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blp\data\"/>
    </mc:Choice>
  </mc:AlternateContent>
  <bookViews>
    <workbookView xWindow="10395" yWindow="-105" windowWidth="14850" windowHeight="12735"/>
  </bookViews>
  <sheets>
    <sheet name="BIData" sheetId="2" r:id="rId1"/>
    <sheet name="ReferenceData" sheetId="3" r:id="rId2"/>
    <sheet name="Help-Reference" sheetId="4" r:id="rId3"/>
  </sheets>
  <calcPr calcId="162913"/>
</workbook>
</file>

<file path=xl/calcChain.xml><?xml version="1.0" encoding="utf-8"?>
<calcChain xmlns="http://schemas.openxmlformats.org/spreadsheetml/2006/main">
  <c r="DU289" i="3" l="1"/>
  <c r="DT289" i="3"/>
  <c r="DS289" i="3"/>
  <c r="DR289" i="3"/>
  <c r="DQ289" i="3"/>
  <c r="DP289" i="3"/>
  <c r="DO289" i="3"/>
  <c r="DN289" i="3"/>
  <c r="DM289" i="3"/>
  <c r="DL289" i="3"/>
  <c r="DK289" i="3"/>
  <c r="DJ289" i="3"/>
  <c r="DI289" i="3"/>
  <c r="DH289" i="3"/>
  <c r="DG289" i="3"/>
  <c r="DF289" i="3"/>
  <c r="DE289" i="3"/>
  <c r="DD289" i="3"/>
  <c r="DC289" i="3"/>
  <c r="DB289" i="3"/>
  <c r="DA289" i="3"/>
  <c r="CZ289" i="3"/>
  <c r="CY289" i="3"/>
  <c r="CX289" i="3"/>
  <c r="CW289" i="3"/>
  <c r="CV289" i="3"/>
  <c r="CU289" i="3"/>
  <c r="CT289" i="3"/>
  <c r="CS289" i="3"/>
  <c r="CR289" i="3"/>
  <c r="CQ289" i="3"/>
  <c r="CP289" i="3"/>
  <c r="CO289" i="3"/>
  <c r="CN289" i="3"/>
  <c r="CM289" i="3"/>
  <c r="CL289" i="3"/>
  <c r="CK289" i="3"/>
  <c r="CJ289" i="3"/>
  <c r="CI289" i="3"/>
  <c r="CH289" i="3"/>
  <c r="CG289" i="3"/>
  <c r="CF289" i="3"/>
  <c r="CE289" i="3"/>
  <c r="CD289" i="3"/>
  <c r="CC289" i="3"/>
  <c r="CB289" i="3"/>
  <c r="CA289" i="3"/>
  <c r="BZ289" i="3"/>
  <c r="BY289" i="3"/>
  <c r="BX289" i="3"/>
  <c r="BW289" i="3"/>
  <c r="BV289" i="3"/>
  <c r="BU289" i="3"/>
  <c r="BT289" i="3"/>
  <c r="BS289" i="3"/>
  <c r="BR289" i="3"/>
  <c r="BQ289" i="3"/>
  <c r="BP289" i="3"/>
  <c r="BO289" i="3"/>
  <c r="BN289" i="3"/>
  <c r="E289" i="3"/>
  <c r="D289" i="3"/>
  <c r="C289" i="3"/>
  <c r="B289" i="3"/>
  <c r="A289" i="3"/>
  <c r="DU288" i="3"/>
  <c r="DT288" i="3"/>
  <c r="DS288" i="3"/>
  <c r="DR288" i="3"/>
  <c r="DQ288" i="3"/>
  <c r="DP288" i="3"/>
  <c r="DO288" i="3"/>
  <c r="DN288" i="3"/>
  <c r="DM288" i="3"/>
  <c r="DL288" i="3"/>
  <c r="DK288" i="3"/>
  <c r="DJ288" i="3"/>
  <c r="DI288" i="3"/>
  <c r="DH288" i="3"/>
  <c r="DG288" i="3"/>
  <c r="DF288" i="3"/>
  <c r="DE288" i="3"/>
  <c r="DD288" i="3"/>
  <c r="DC288" i="3"/>
  <c r="DB288" i="3"/>
  <c r="DA288" i="3"/>
  <c r="CZ288" i="3"/>
  <c r="CY288" i="3"/>
  <c r="CX288" i="3"/>
  <c r="CW288" i="3"/>
  <c r="CV288" i="3"/>
  <c r="CU288" i="3"/>
  <c r="CT288" i="3"/>
  <c r="CS288" i="3"/>
  <c r="CR288" i="3"/>
  <c r="CQ288" i="3"/>
  <c r="CP288" i="3"/>
  <c r="CO288" i="3"/>
  <c r="CN288" i="3"/>
  <c r="CM288" i="3"/>
  <c r="CL288" i="3"/>
  <c r="CK288" i="3"/>
  <c r="CJ288" i="3"/>
  <c r="CI288" i="3"/>
  <c r="CH288" i="3"/>
  <c r="CG288" i="3"/>
  <c r="CF288" i="3"/>
  <c r="CE288" i="3"/>
  <c r="CD288" i="3"/>
  <c r="CC288" i="3"/>
  <c r="CB288" i="3"/>
  <c r="CA288" i="3"/>
  <c r="BZ288" i="3"/>
  <c r="BY288" i="3"/>
  <c r="BX288" i="3"/>
  <c r="BW288" i="3"/>
  <c r="BV288" i="3"/>
  <c r="BU288" i="3"/>
  <c r="BT288" i="3"/>
  <c r="BS288" i="3"/>
  <c r="BR288" i="3"/>
  <c r="BQ288" i="3"/>
  <c r="BP288" i="3"/>
  <c r="BO288" i="3"/>
  <c r="BN288" i="3"/>
  <c r="A288" i="3"/>
  <c r="DU287" i="3"/>
  <c r="DT287" i="3"/>
  <c r="DS287" i="3"/>
  <c r="DR287" i="3"/>
  <c r="DQ287" i="3"/>
  <c r="DP287" i="3"/>
  <c r="DO287" i="3"/>
  <c r="DN287" i="3"/>
  <c r="DM287" i="3"/>
  <c r="DL287" i="3"/>
  <c r="DK287" i="3"/>
  <c r="DJ287" i="3"/>
  <c r="DI287" i="3"/>
  <c r="DH287" i="3"/>
  <c r="DG287" i="3"/>
  <c r="DF287" i="3"/>
  <c r="DE287" i="3"/>
  <c r="DD287" i="3"/>
  <c r="DC287" i="3"/>
  <c r="DB287" i="3"/>
  <c r="DA287" i="3"/>
  <c r="CZ287" i="3"/>
  <c r="CY287" i="3"/>
  <c r="CX287" i="3"/>
  <c r="CW287" i="3"/>
  <c r="CV287" i="3"/>
  <c r="CU287" i="3"/>
  <c r="CT287" i="3"/>
  <c r="CS287" i="3"/>
  <c r="CR287" i="3"/>
  <c r="CQ287" i="3"/>
  <c r="CP287" i="3"/>
  <c r="CO287" i="3"/>
  <c r="CN287" i="3"/>
  <c r="CM287" i="3"/>
  <c r="CL287" i="3"/>
  <c r="CK287" i="3"/>
  <c r="CJ287" i="3"/>
  <c r="CI287" i="3"/>
  <c r="CH287" i="3"/>
  <c r="CG287" i="3"/>
  <c r="CF287" i="3"/>
  <c r="CE287" i="3"/>
  <c r="CD287" i="3"/>
  <c r="CC287" i="3"/>
  <c r="CB287" i="3"/>
  <c r="CA287" i="3"/>
  <c r="BZ287" i="3"/>
  <c r="BY287" i="3"/>
  <c r="BX287" i="3"/>
  <c r="BW287" i="3"/>
  <c r="BV287" i="3"/>
  <c r="BU287" i="3"/>
  <c r="BT287" i="3"/>
  <c r="BS287" i="3"/>
  <c r="BR287" i="3"/>
  <c r="BQ287" i="3"/>
  <c r="BP287" i="3"/>
  <c r="BO287" i="3"/>
  <c r="BN287" i="3"/>
  <c r="A287" i="3"/>
  <c r="DU286" i="3"/>
  <c r="DT286" i="3"/>
  <c r="DS286" i="3"/>
  <c r="DR286" i="3"/>
  <c r="DQ286" i="3"/>
  <c r="DP286" i="3"/>
  <c r="DO286" i="3"/>
  <c r="DN286" i="3"/>
  <c r="DM286" i="3"/>
  <c r="DL286" i="3"/>
  <c r="DK286" i="3"/>
  <c r="DJ286" i="3"/>
  <c r="DI286" i="3"/>
  <c r="DH286" i="3"/>
  <c r="DG286" i="3"/>
  <c r="DF286" i="3"/>
  <c r="DE286" i="3"/>
  <c r="DD286" i="3"/>
  <c r="DC286" i="3"/>
  <c r="DB286" i="3"/>
  <c r="DA286" i="3"/>
  <c r="CZ286" i="3"/>
  <c r="CY286" i="3"/>
  <c r="CX286" i="3"/>
  <c r="CW286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A286" i="3"/>
  <c r="DU285" i="3"/>
  <c r="DT285" i="3"/>
  <c r="DS285" i="3"/>
  <c r="DR285" i="3"/>
  <c r="DQ285" i="3"/>
  <c r="DP285" i="3"/>
  <c r="DO285" i="3"/>
  <c r="DN285" i="3"/>
  <c r="DM285" i="3"/>
  <c r="DL285" i="3"/>
  <c r="DK285" i="3"/>
  <c r="DJ285" i="3"/>
  <c r="DI285" i="3"/>
  <c r="DH285" i="3"/>
  <c r="DG285" i="3"/>
  <c r="DF285" i="3"/>
  <c r="DE285" i="3"/>
  <c r="DD285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A285" i="3"/>
  <c r="DU284" i="3"/>
  <c r="DT284" i="3"/>
  <c r="DS284" i="3"/>
  <c r="DR284" i="3"/>
  <c r="DQ284" i="3"/>
  <c r="DP284" i="3"/>
  <c r="DO284" i="3"/>
  <c r="DN284" i="3"/>
  <c r="DM284" i="3"/>
  <c r="DL284" i="3"/>
  <c r="DK284" i="3"/>
  <c r="DJ284" i="3"/>
  <c r="DI284" i="3"/>
  <c r="DH284" i="3"/>
  <c r="DG284" i="3"/>
  <c r="DF284" i="3"/>
  <c r="DE284" i="3"/>
  <c r="DD284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A284" i="3"/>
  <c r="DU283" i="3"/>
  <c r="DT283" i="3"/>
  <c r="DS283" i="3"/>
  <c r="DR283" i="3"/>
  <c r="DQ283" i="3"/>
  <c r="DP283" i="3"/>
  <c r="DO283" i="3"/>
  <c r="DN283" i="3"/>
  <c r="DM283" i="3"/>
  <c r="DL283" i="3"/>
  <c r="DK283" i="3"/>
  <c r="DJ283" i="3"/>
  <c r="DI283" i="3"/>
  <c r="DH283" i="3"/>
  <c r="DG283" i="3"/>
  <c r="DF283" i="3"/>
  <c r="DE283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A283" i="3"/>
  <c r="DU282" i="3"/>
  <c r="DT282" i="3"/>
  <c r="DS282" i="3"/>
  <c r="DR282" i="3"/>
  <c r="DQ282" i="3"/>
  <c r="DP282" i="3"/>
  <c r="DO282" i="3"/>
  <c r="DN282" i="3"/>
  <c r="DM282" i="3"/>
  <c r="DL282" i="3"/>
  <c r="DK282" i="3"/>
  <c r="DJ282" i="3"/>
  <c r="DI282" i="3"/>
  <c r="DH282" i="3"/>
  <c r="DG282" i="3"/>
  <c r="DF282" i="3"/>
  <c r="DE282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A282" i="3"/>
  <c r="DU281" i="3"/>
  <c r="DT281" i="3"/>
  <c r="DS281" i="3"/>
  <c r="DR281" i="3"/>
  <c r="DQ281" i="3"/>
  <c r="DP281" i="3"/>
  <c r="DO281" i="3"/>
  <c r="DN281" i="3"/>
  <c r="DM281" i="3"/>
  <c r="DL281" i="3"/>
  <c r="DK281" i="3"/>
  <c r="DJ281" i="3"/>
  <c r="DI281" i="3"/>
  <c r="DH281" i="3"/>
  <c r="DG281" i="3"/>
  <c r="DF281" i="3"/>
  <c r="DE281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A281" i="3"/>
  <c r="DU280" i="3"/>
  <c r="DT280" i="3"/>
  <c r="DS280" i="3"/>
  <c r="DR280" i="3"/>
  <c r="DQ280" i="3"/>
  <c r="DP280" i="3"/>
  <c r="DO280" i="3"/>
  <c r="DN280" i="3"/>
  <c r="DM280" i="3"/>
  <c r="DL280" i="3"/>
  <c r="DK280" i="3"/>
  <c r="DJ280" i="3"/>
  <c r="DI280" i="3"/>
  <c r="DH280" i="3"/>
  <c r="DG280" i="3"/>
  <c r="DF280" i="3"/>
  <c r="DE280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A280" i="3"/>
  <c r="DU279" i="3"/>
  <c r="DT279" i="3"/>
  <c r="DS279" i="3"/>
  <c r="DR279" i="3"/>
  <c r="DQ279" i="3"/>
  <c r="DP279" i="3"/>
  <c r="DO279" i="3"/>
  <c r="DN279" i="3"/>
  <c r="DM279" i="3"/>
  <c r="DL279" i="3"/>
  <c r="DK279" i="3"/>
  <c r="DJ279" i="3"/>
  <c r="DI279" i="3"/>
  <c r="DH279" i="3"/>
  <c r="DG279" i="3"/>
  <c r="DF279" i="3"/>
  <c r="DE279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A279" i="3"/>
  <c r="DU278" i="3"/>
  <c r="DT278" i="3"/>
  <c r="DS278" i="3"/>
  <c r="DR278" i="3"/>
  <c r="DQ278" i="3"/>
  <c r="DP278" i="3"/>
  <c r="DO278" i="3"/>
  <c r="DN278" i="3"/>
  <c r="DM278" i="3"/>
  <c r="DL278" i="3"/>
  <c r="DK278" i="3"/>
  <c r="DJ278" i="3"/>
  <c r="DI278" i="3"/>
  <c r="DH278" i="3"/>
  <c r="DG278" i="3"/>
  <c r="DF278" i="3"/>
  <c r="DE278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A278" i="3"/>
  <c r="DU277" i="3"/>
  <c r="DT277" i="3"/>
  <c r="DS277" i="3"/>
  <c r="DR277" i="3"/>
  <c r="DQ277" i="3"/>
  <c r="DP277" i="3"/>
  <c r="DO277" i="3"/>
  <c r="DN277" i="3"/>
  <c r="DM277" i="3"/>
  <c r="DL277" i="3"/>
  <c r="DK277" i="3"/>
  <c r="DJ277" i="3"/>
  <c r="DI277" i="3"/>
  <c r="DH277" i="3"/>
  <c r="DG277" i="3"/>
  <c r="DF277" i="3"/>
  <c r="DE277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A277" i="3"/>
  <c r="DU276" i="3"/>
  <c r="DT276" i="3"/>
  <c r="DS276" i="3"/>
  <c r="DR276" i="3"/>
  <c r="DQ276" i="3"/>
  <c r="DP276" i="3"/>
  <c r="DO276" i="3"/>
  <c r="DN276" i="3"/>
  <c r="DM276" i="3"/>
  <c r="DL276" i="3"/>
  <c r="DK276" i="3"/>
  <c r="DJ276" i="3"/>
  <c r="DI276" i="3"/>
  <c r="DH276" i="3"/>
  <c r="DG276" i="3"/>
  <c r="DF276" i="3"/>
  <c r="DE276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A276" i="3"/>
  <c r="DU275" i="3"/>
  <c r="DT275" i="3"/>
  <c r="DS275" i="3"/>
  <c r="DR275" i="3"/>
  <c r="DQ275" i="3"/>
  <c r="DP275" i="3"/>
  <c r="DO275" i="3"/>
  <c r="DN275" i="3"/>
  <c r="DM275" i="3"/>
  <c r="DL275" i="3"/>
  <c r="DK275" i="3"/>
  <c r="DJ275" i="3"/>
  <c r="DI275" i="3"/>
  <c r="DH275" i="3"/>
  <c r="DG275" i="3"/>
  <c r="DF275" i="3"/>
  <c r="DE275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A275" i="3"/>
  <c r="DU274" i="3"/>
  <c r="DT274" i="3"/>
  <c r="DS274" i="3"/>
  <c r="DR274" i="3"/>
  <c r="DQ274" i="3"/>
  <c r="DP274" i="3"/>
  <c r="DO274" i="3"/>
  <c r="DN274" i="3"/>
  <c r="DM274" i="3"/>
  <c r="DL274" i="3"/>
  <c r="DK274" i="3"/>
  <c r="DJ274" i="3"/>
  <c r="DI274" i="3"/>
  <c r="DH274" i="3"/>
  <c r="DG274" i="3"/>
  <c r="DF274" i="3"/>
  <c r="DE274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A274" i="3"/>
  <c r="DU273" i="3"/>
  <c r="DT273" i="3"/>
  <c r="DS273" i="3"/>
  <c r="DR273" i="3"/>
  <c r="DQ273" i="3"/>
  <c r="DP273" i="3"/>
  <c r="DO273" i="3"/>
  <c r="DN273" i="3"/>
  <c r="DM273" i="3"/>
  <c r="DL273" i="3"/>
  <c r="DK273" i="3"/>
  <c r="DJ273" i="3"/>
  <c r="DI273" i="3"/>
  <c r="DH273" i="3"/>
  <c r="DG273" i="3"/>
  <c r="DF273" i="3"/>
  <c r="DE273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A273" i="3"/>
  <c r="DU272" i="3"/>
  <c r="DT272" i="3"/>
  <c r="DS272" i="3"/>
  <c r="DR272" i="3"/>
  <c r="DQ272" i="3"/>
  <c r="DP272" i="3"/>
  <c r="DO272" i="3"/>
  <c r="DN272" i="3"/>
  <c r="DM272" i="3"/>
  <c r="DL272" i="3"/>
  <c r="DK272" i="3"/>
  <c r="DJ272" i="3"/>
  <c r="DI272" i="3"/>
  <c r="DH272" i="3"/>
  <c r="DG272" i="3"/>
  <c r="DF272" i="3"/>
  <c r="DE272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DU271" i="3"/>
  <c r="DT271" i="3"/>
  <c r="DS271" i="3"/>
  <c r="DR271" i="3"/>
  <c r="DQ271" i="3"/>
  <c r="DP271" i="3"/>
  <c r="DO271" i="3"/>
  <c r="DN271" i="3"/>
  <c r="DM271" i="3"/>
  <c r="DL271" i="3"/>
  <c r="DK271" i="3"/>
  <c r="DJ271" i="3"/>
  <c r="DI271" i="3"/>
  <c r="DH271" i="3"/>
  <c r="DG271" i="3"/>
  <c r="DF271" i="3"/>
  <c r="DE271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E271" i="3"/>
  <c r="D271" i="3"/>
  <c r="C271" i="3"/>
  <c r="B271" i="3"/>
  <c r="A271" i="3"/>
  <c r="DU270" i="3"/>
  <c r="DT270" i="3"/>
  <c r="DS270" i="3"/>
  <c r="DR270" i="3"/>
  <c r="DQ270" i="3"/>
  <c r="DP270" i="3"/>
  <c r="DO270" i="3"/>
  <c r="DN270" i="3"/>
  <c r="DM270" i="3"/>
  <c r="DL270" i="3"/>
  <c r="DK270" i="3"/>
  <c r="DJ270" i="3"/>
  <c r="DI270" i="3"/>
  <c r="DH270" i="3"/>
  <c r="DG270" i="3"/>
  <c r="DF270" i="3"/>
  <c r="DE270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E270" i="3"/>
  <c r="D270" i="3"/>
  <c r="C270" i="3"/>
  <c r="B270" i="3"/>
  <c r="A270" i="3"/>
  <c r="DU269" i="3"/>
  <c r="DT269" i="3"/>
  <c r="DS269" i="3"/>
  <c r="DR269" i="3"/>
  <c r="DQ269" i="3"/>
  <c r="DP269" i="3"/>
  <c r="DO269" i="3"/>
  <c r="DN269" i="3"/>
  <c r="DM269" i="3"/>
  <c r="DL269" i="3"/>
  <c r="DK269" i="3"/>
  <c r="DJ269" i="3"/>
  <c r="DI269" i="3"/>
  <c r="DH269" i="3"/>
  <c r="DG269" i="3"/>
  <c r="DF269" i="3"/>
  <c r="DE269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E269" i="3"/>
  <c r="D269" i="3"/>
  <c r="C269" i="3"/>
  <c r="A269" i="3"/>
  <c r="DU268" i="3"/>
  <c r="DT268" i="3"/>
  <c r="DS268" i="3"/>
  <c r="DR268" i="3"/>
  <c r="DQ268" i="3"/>
  <c r="DP268" i="3"/>
  <c r="DO268" i="3"/>
  <c r="DN268" i="3"/>
  <c r="DM268" i="3"/>
  <c r="DL268" i="3"/>
  <c r="DK268" i="3"/>
  <c r="DJ268" i="3"/>
  <c r="DI268" i="3"/>
  <c r="DH268" i="3"/>
  <c r="DG268" i="3"/>
  <c r="DF268" i="3"/>
  <c r="DE268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E268" i="3"/>
  <c r="D268" i="3"/>
  <c r="C268" i="3"/>
  <c r="B268" i="3"/>
  <c r="A268" i="3"/>
  <c r="DU267" i="3"/>
  <c r="DT267" i="3"/>
  <c r="DS267" i="3"/>
  <c r="DR267" i="3"/>
  <c r="DQ267" i="3"/>
  <c r="DP267" i="3"/>
  <c r="DO267" i="3"/>
  <c r="DN267" i="3"/>
  <c r="DM267" i="3"/>
  <c r="DL267" i="3"/>
  <c r="DK267" i="3"/>
  <c r="DJ267" i="3"/>
  <c r="DI267" i="3"/>
  <c r="DH267" i="3"/>
  <c r="DG267" i="3"/>
  <c r="DF267" i="3"/>
  <c r="DE267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A267" i="3"/>
  <c r="DU266" i="3"/>
  <c r="DT266" i="3"/>
  <c r="DS266" i="3"/>
  <c r="DR266" i="3"/>
  <c r="DQ266" i="3"/>
  <c r="DP266" i="3"/>
  <c r="DO266" i="3"/>
  <c r="DN266" i="3"/>
  <c r="DM266" i="3"/>
  <c r="DL266" i="3"/>
  <c r="DK266" i="3"/>
  <c r="DJ266" i="3"/>
  <c r="DI266" i="3"/>
  <c r="DH266" i="3"/>
  <c r="DG266" i="3"/>
  <c r="DF266" i="3"/>
  <c r="DE266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E266" i="3"/>
  <c r="D266" i="3"/>
  <c r="C266" i="3"/>
  <c r="B266" i="3"/>
  <c r="A266" i="3"/>
  <c r="DU265" i="3"/>
  <c r="DT265" i="3"/>
  <c r="DS265" i="3"/>
  <c r="DR265" i="3"/>
  <c r="DQ265" i="3"/>
  <c r="DP265" i="3"/>
  <c r="DO265" i="3"/>
  <c r="DN265" i="3"/>
  <c r="DM265" i="3"/>
  <c r="DL265" i="3"/>
  <c r="DK265" i="3"/>
  <c r="DJ265" i="3"/>
  <c r="DI265" i="3"/>
  <c r="DH265" i="3"/>
  <c r="DG265" i="3"/>
  <c r="DF265" i="3"/>
  <c r="DE265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E265" i="3"/>
  <c r="D265" i="3"/>
  <c r="C265" i="3"/>
  <c r="B265" i="3"/>
  <c r="A265" i="3"/>
  <c r="DU264" i="3"/>
  <c r="DT264" i="3"/>
  <c r="DS264" i="3"/>
  <c r="DR264" i="3"/>
  <c r="DQ264" i="3"/>
  <c r="DP264" i="3"/>
  <c r="DO264" i="3"/>
  <c r="DN264" i="3"/>
  <c r="DM264" i="3"/>
  <c r="DL264" i="3"/>
  <c r="DK264" i="3"/>
  <c r="DJ264" i="3"/>
  <c r="DI264" i="3"/>
  <c r="DH264" i="3"/>
  <c r="DG264" i="3"/>
  <c r="DF264" i="3"/>
  <c r="DE264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E264" i="3"/>
  <c r="D264" i="3"/>
  <c r="C264" i="3"/>
  <c r="B264" i="3"/>
  <c r="A264" i="3"/>
  <c r="DU263" i="3"/>
  <c r="DT263" i="3"/>
  <c r="DS263" i="3"/>
  <c r="DR263" i="3"/>
  <c r="DQ263" i="3"/>
  <c r="DP263" i="3"/>
  <c r="DO263" i="3"/>
  <c r="DN263" i="3"/>
  <c r="DM263" i="3"/>
  <c r="DL263" i="3"/>
  <c r="DK263" i="3"/>
  <c r="DJ263" i="3"/>
  <c r="DI263" i="3"/>
  <c r="DH263" i="3"/>
  <c r="DG263" i="3"/>
  <c r="DF263" i="3"/>
  <c r="DE263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E263" i="3"/>
  <c r="D263" i="3"/>
  <c r="C263" i="3"/>
  <c r="B263" i="3"/>
  <c r="A263" i="3"/>
  <c r="DU262" i="3"/>
  <c r="DT262" i="3"/>
  <c r="DS262" i="3"/>
  <c r="DR262" i="3"/>
  <c r="DQ262" i="3"/>
  <c r="DP262" i="3"/>
  <c r="DO262" i="3"/>
  <c r="DN262" i="3"/>
  <c r="DM262" i="3"/>
  <c r="DL262" i="3"/>
  <c r="DK262" i="3"/>
  <c r="DJ262" i="3"/>
  <c r="DI262" i="3"/>
  <c r="DH262" i="3"/>
  <c r="DG262" i="3"/>
  <c r="DF262" i="3"/>
  <c r="DE262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E262" i="3"/>
  <c r="D262" i="3"/>
  <c r="C262" i="3"/>
  <c r="B262" i="3"/>
  <c r="A262" i="3"/>
  <c r="DU261" i="3"/>
  <c r="DT261" i="3"/>
  <c r="DS261" i="3"/>
  <c r="DR261" i="3"/>
  <c r="DQ261" i="3"/>
  <c r="DP261" i="3"/>
  <c r="DO261" i="3"/>
  <c r="DN261" i="3"/>
  <c r="DM261" i="3"/>
  <c r="DL261" i="3"/>
  <c r="DK261" i="3"/>
  <c r="DJ261" i="3"/>
  <c r="DI261" i="3"/>
  <c r="DH261" i="3"/>
  <c r="DG261" i="3"/>
  <c r="DF261" i="3"/>
  <c r="DE261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E261" i="3"/>
  <c r="D261" i="3"/>
  <c r="C261" i="3"/>
  <c r="B261" i="3"/>
  <c r="A261" i="3"/>
  <c r="DU260" i="3"/>
  <c r="DT260" i="3"/>
  <c r="DS260" i="3"/>
  <c r="DR260" i="3"/>
  <c r="DQ260" i="3"/>
  <c r="DP260" i="3"/>
  <c r="DO260" i="3"/>
  <c r="DN260" i="3"/>
  <c r="DM260" i="3"/>
  <c r="DL260" i="3"/>
  <c r="DK260" i="3"/>
  <c r="DJ260" i="3"/>
  <c r="DI260" i="3"/>
  <c r="DH260" i="3"/>
  <c r="DG260" i="3"/>
  <c r="DF260" i="3"/>
  <c r="DE260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DU259" i="3"/>
  <c r="DT259" i="3"/>
  <c r="DS259" i="3"/>
  <c r="DR259" i="3"/>
  <c r="DQ259" i="3"/>
  <c r="DP259" i="3"/>
  <c r="DO259" i="3"/>
  <c r="DN259" i="3"/>
  <c r="DM259" i="3"/>
  <c r="DL259" i="3"/>
  <c r="DK259" i="3"/>
  <c r="DJ259" i="3"/>
  <c r="DI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DU258" i="3"/>
  <c r="DT258" i="3"/>
  <c r="DS258" i="3"/>
  <c r="DR258" i="3"/>
  <c r="DQ258" i="3"/>
  <c r="DP258" i="3"/>
  <c r="DO258" i="3"/>
  <c r="DN258" i="3"/>
  <c r="DM258" i="3"/>
  <c r="DL258" i="3"/>
  <c r="DK258" i="3"/>
  <c r="DJ258" i="3"/>
  <c r="DI258" i="3"/>
  <c r="DH258" i="3"/>
  <c r="DG258" i="3"/>
  <c r="DF258" i="3"/>
  <c r="DE258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DU257" i="3"/>
  <c r="DT257" i="3"/>
  <c r="DS257" i="3"/>
  <c r="DR257" i="3"/>
  <c r="DQ257" i="3"/>
  <c r="DP257" i="3"/>
  <c r="DO257" i="3"/>
  <c r="DN257" i="3"/>
  <c r="DM257" i="3"/>
  <c r="DL257" i="3"/>
  <c r="DK257" i="3"/>
  <c r="DJ257" i="3"/>
  <c r="DI257" i="3"/>
  <c r="DH257" i="3"/>
  <c r="DG257" i="3"/>
  <c r="DF257" i="3"/>
  <c r="DE257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DU256" i="3"/>
  <c r="DT256" i="3"/>
  <c r="DS256" i="3"/>
  <c r="DR256" i="3"/>
  <c r="DQ256" i="3"/>
  <c r="DP256" i="3"/>
  <c r="DO256" i="3"/>
  <c r="DN256" i="3"/>
  <c r="DM256" i="3"/>
  <c r="DL256" i="3"/>
  <c r="DK256" i="3"/>
  <c r="DJ256" i="3"/>
  <c r="DI256" i="3"/>
  <c r="DH256" i="3"/>
  <c r="DG256" i="3"/>
  <c r="DF256" i="3"/>
  <c r="DE256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DU255" i="3"/>
  <c r="DT255" i="3"/>
  <c r="DS255" i="3"/>
  <c r="DR255" i="3"/>
  <c r="DQ255" i="3"/>
  <c r="DP255" i="3"/>
  <c r="DO255" i="3"/>
  <c r="DN255" i="3"/>
  <c r="DM255" i="3"/>
  <c r="DL255" i="3"/>
  <c r="DK255" i="3"/>
  <c r="DJ255" i="3"/>
  <c r="DI255" i="3"/>
  <c r="DH255" i="3"/>
  <c r="DG255" i="3"/>
  <c r="DF255" i="3"/>
  <c r="DE255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DU254" i="3"/>
  <c r="DT254" i="3"/>
  <c r="DS254" i="3"/>
  <c r="DR254" i="3"/>
  <c r="DQ254" i="3"/>
  <c r="DP254" i="3"/>
  <c r="DO254" i="3"/>
  <c r="DN254" i="3"/>
  <c r="DM254" i="3"/>
  <c r="DL254" i="3"/>
  <c r="DK254" i="3"/>
  <c r="DJ254" i="3"/>
  <c r="DI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DU253" i="3"/>
  <c r="DT253" i="3"/>
  <c r="DS253" i="3"/>
  <c r="DR253" i="3"/>
  <c r="DQ253" i="3"/>
  <c r="DP253" i="3"/>
  <c r="DO253" i="3"/>
  <c r="DN253" i="3"/>
  <c r="DM253" i="3"/>
  <c r="DL253" i="3"/>
  <c r="DK253" i="3"/>
  <c r="DJ253" i="3"/>
  <c r="DI253" i="3"/>
  <c r="DH253" i="3"/>
  <c r="DG253" i="3"/>
  <c r="DF253" i="3"/>
  <c r="DE253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DU252" i="3"/>
  <c r="DT252" i="3"/>
  <c r="DS252" i="3"/>
  <c r="DR252" i="3"/>
  <c r="DQ252" i="3"/>
  <c r="DP252" i="3"/>
  <c r="DO252" i="3"/>
  <c r="DN252" i="3"/>
  <c r="DM252" i="3"/>
  <c r="DL252" i="3"/>
  <c r="DK252" i="3"/>
  <c r="DJ252" i="3"/>
  <c r="DI252" i="3"/>
  <c r="DH252" i="3"/>
  <c r="DG252" i="3"/>
  <c r="DF252" i="3"/>
  <c r="DE252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DU251" i="3"/>
  <c r="DT251" i="3"/>
  <c r="DS251" i="3"/>
  <c r="DR251" i="3"/>
  <c r="DQ251" i="3"/>
  <c r="DP251" i="3"/>
  <c r="DO251" i="3"/>
  <c r="DN251" i="3"/>
  <c r="DM251" i="3"/>
  <c r="DL251" i="3"/>
  <c r="DK251" i="3"/>
  <c r="DJ251" i="3"/>
  <c r="DI251" i="3"/>
  <c r="DH251" i="3"/>
  <c r="DG251" i="3"/>
  <c r="DF251" i="3"/>
  <c r="DE251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DU250" i="3"/>
  <c r="DT250" i="3"/>
  <c r="DS250" i="3"/>
  <c r="DR250" i="3"/>
  <c r="DQ250" i="3"/>
  <c r="DP250" i="3"/>
  <c r="DO250" i="3"/>
  <c r="DN250" i="3"/>
  <c r="DM250" i="3"/>
  <c r="DL250" i="3"/>
  <c r="DK250" i="3"/>
  <c r="DJ250" i="3"/>
  <c r="DI250" i="3"/>
  <c r="DH250" i="3"/>
  <c r="DG250" i="3"/>
  <c r="DF250" i="3"/>
  <c r="DE250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DU249" i="3"/>
  <c r="DT249" i="3"/>
  <c r="DS249" i="3"/>
  <c r="DR249" i="3"/>
  <c r="DQ249" i="3"/>
  <c r="DP249" i="3"/>
  <c r="DO249" i="3"/>
  <c r="DN249" i="3"/>
  <c r="DM249" i="3"/>
  <c r="DL249" i="3"/>
  <c r="DK249" i="3"/>
  <c r="DJ249" i="3"/>
  <c r="DI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DU248" i="3"/>
  <c r="DT248" i="3"/>
  <c r="DS248" i="3"/>
  <c r="DR248" i="3"/>
  <c r="DQ248" i="3"/>
  <c r="DP248" i="3"/>
  <c r="DO248" i="3"/>
  <c r="DN248" i="3"/>
  <c r="DM248" i="3"/>
  <c r="DL248" i="3"/>
  <c r="DK248" i="3"/>
  <c r="DJ248" i="3"/>
  <c r="DI248" i="3"/>
  <c r="DH248" i="3"/>
  <c r="DG248" i="3"/>
  <c r="DF248" i="3"/>
  <c r="DE248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DU247" i="3"/>
  <c r="DT247" i="3"/>
  <c r="DS247" i="3"/>
  <c r="DR247" i="3"/>
  <c r="DQ247" i="3"/>
  <c r="DP247" i="3"/>
  <c r="DO247" i="3"/>
  <c r="DN247" i="3"/>
  <c r="DM247" i="3"/>
  <c r="DL247" i="3"/>
  <c r="DK247" i="3"/>
  <c r="DJ247" i="3"/>
  <c r="DI247" i="3"/>
  <c r="DH247" i="3"/>
  <c r="DG247" i="3"/>
  <c r="DF247" i="3"/>
  <c r="DE247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DU246" i="3"/>
  <c r="DT246" i="3"/>
  <c r="DS246" i="3"/>
  <c r="DR246" i="3"/>
  <c r="DQ246" i="3"/>
  <c r="DP246" i="3"/>
  <c r="DO246" i="3"/>
  <c r="DN246" i="3"/>
  <c r="DM246" i="3"/>
  <c r="DL246" i="3"/>
  <c r="DK246" i="3"/>
  <c r="DJ246" i="3"/>
  <c r="DI246" i="3"/>
  <c r="DH246" i="3"/>
  <c r="DG246" i="3"/>
  <c r="DF246" i="3"/>
  <c r="DE246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DU245" i="3"/>
  <c r="DT245" i="3"/>
  <c r="DS245" i="3"/>
  <c r="DR245" i="3"/>
  <c r="DQ245" i="3"/>
  <c r="DP245" i="3"/>
  <c r="DO245" i="3"/>
  <c r="DN245" i="3"/>
  <c r="DM245" i="3"/>
  <c r="DL245" i="3"/>
  <c r="DK245" i="3"/>
  <c r="DJ245" i="3"/>
  <c r="DI245" i="3"/>
  <c r="DH245" i="3"/>
  <c r="DG245" i="3"/>
  <c r="DF245" i="3"/>
  <c r="DE245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DU244" i="3"/>
  <c r="DT244" i="3"/>
  <c r="DS244" i="3"/>
  <c r="DR244" i="3"/>
  <c r="DQ244" i="3"/>
  <c r="DP244" i="3"/>
  <c r="DO244" i="3"/>
  <c r="DN244" i="3"/>
  <c r="DM244" i="3"/>
  <c r="DL244" i="3"/>
  <c r="DK244" i="3"/>
  <c r="DJ244" i="3"/>
  <c r="DI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DU243" i="3"/>
  <c r="DT243" i="3"/>
  <c r="DS243" i="3"/>
  <c r="DR243" i="3"/>
  <c r="DQ243" i="3"/>
  <c r="DP243" i="3"/>
  <c r="DO243" i="3"/>
  <c r="DN243" i="3"/>
  <c r="DM243" i="3"/>
  <c r="DL243" i="3"/>
  <c r="DK243" i="3"/>
  <c r="DJ243" i="3"/>
  <c r="DI243" i="3"/>
  <c r="DH243" i="3"/>
  <c r="DG243" i="3"/>
  <c r="DF243" i="3"/>
  <c r="DE243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DU242" i="3"/>
  <c r="DT242" i="3"/>
  <c r="DS242" i="3"/>
  <c r="DR242" i="3"/>
  <c r="DQ242" i="3"/>
  <c r="DP242" i="3"/>
  <c r="DO242" i="3"/>
  <c r="DN242" i="3"/>
  <c r="DM242" i="3"/>
  <c r="DL242" i="3"/>
  <c r="DK242" i="3"/>
  <c r="DJ242" i="3"/>
  <c r="DI242" i="3"/>
  <c r="DH242" i="3"/>
  <c r="DG242" i="3"/>
  <c r="DF242" i="3"/>
  <c r="DE242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DU241" i="3"/>
  <c r="DT241" i="3"/>
  <c r="DS241" i="3"/>
  <c r="DR241" i="3"/>
  <c r="DQ241" i="3"/>
  <c r="DP241" i="3"/>
  <c r="DO241" i="3"/>
  <c r="DN241" i="3"/>
  <c r="DM241" i="3"/>
  <c r="DL241" i="3"/>
  <c r="DK241" i="3"/>
  <c r="DJ241" i="3"/>
  <c r="DI241" i="3"/>
  <c r="DH241" i="3"/>
  <c r="DG241" i="3"/>
  <c r="DF241" i="3"/>
  <c r="DE241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DU240" i="3"/>
  <c r="DT240" i="3"/>
  <c r="DS240" i="3"/>
  <c r="DR240" i="3"/>
  <c r="DQ240" i="3"/>
  <c r="DP240" i="3"/>
  <c r="DO240" i="3"/>
  <c r="DN240" i="3"/>
  <c r="DM240" i="3"/>
  <c r="DL240" i="3"/>
  <c r="DK240" i="3"/>
  <c r="DJ240" i="3"/>
  <c r="DI240" i="3"/>
  <c r="DH240" i="3"/>
  <c r="DG240" i="3"/>
  <c r="DF240" i="3"/>
  <c r="DE240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DU239" i="3"/>
  <c r="DT239" i="3"/>
  <c r="DS239" i="3"/>
  <c r="DR239" i="3"/>
  <c r="DQ239" i="3"/>
  <c r="DP239" i="3"/>
  <c r="DO239" i="3"/>
  <c r="DN239" i="3"/>
  <c r="DM239" i="3"/>
  <c r="DL239" i="3"/>
  <c r="DK239" i="3"/>
  <c r="DJ239" i="3"/>
  <c r="DI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DU238" i="3"/>
  <c r="DT238" i="3"/>
  <c r="DS238" i="3"/>
  <c r="DR238" i="3"/>
  <c r="DQ238" i="3"/>
  <c r="DP238" i="3"/>
  <c r="DO238" i="3"/>
  <c r="DN238" i="3"/>
  <c r="DM238" i="3"/>
  <c r="DL238" i="3"/>
  <c r="DK238" i="3"/>
  <c r="DJ238" i="3"/>
  <c r="DI238" i="3"/>
  <c r="DH238" i="3"/>
  <c r="DG238" i="3"/>
  <c r="DF238" i="3"/>
  <c r="DE238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DU237" i="3"/>
  <c r="DT237" i="3"/>
  <c r="DS237" i="3"/>
  <c r="DR237" i="3"/>
  <c r="DQ237" i="3"/>
  <c r="DP237" i="3"/>
  <c r="DO237" i="3"/>
  <c r="DN237" i="3"/>
  <c r="DM237" i="3"/>
  <c r="DL237" i="3"/>
  <c r="DK237" i="3"/>
  <c r="DJ237" i="3"/>
  <c r="DI237" i="3"/>
  <c r="DH237" i="3"/>
  <c r="DG237" i="3"/>
  <c r="DF237" i="3"/>
  <c r="DE237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DU236" i="3"/>
  <c r="DT236" i="3"/>
  <c r="DS236" i="3"/>
  <c r="DR236" i="3"/>
  <c r="DQ236" i="3"/>
  <c r="DP236" i="3"/>
  <c r="DO236" i="3"/>
  <c r="DN236" i="3"/>
  <c r="DM236" i="3"/>
  <c r="DL236" i="3"/>
  <c r="DK236" i="3"/>
  <c r="DJ236" i="3"/>
  <c r="DI236" i="3"/>
  <c r="DH236" i="3"/>
  <c r="DG236" i="3"/>
  <c r="DF236" i="3"/>
  <c r="DE236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DU235" i="3"/>
  <c r="DT235" i="3"/>
  <c r="DS235" i="3"/>
  <c r="DR235" i="3"/>
  <c r="DQ235" i="3"/>
  <c r="DP235" i="3"/>
  <c r="DO235" i="3"/>
  <c r="DN235" i="3"/>
  <c r="DM235" i="3"/>
  <c r="DL235" i="3"/>
  <c r="DK235" i="3"/>
  <c r="DJ235" i="3"/>
  <c r="DI235" i="3"/>
  <c r="DH235" i="3"/>
  <c r="DG235" i="3"/>
  <c r="DF235" i="3"/>
  <c r="DE235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DU234" i="3"/>
  <c r="DT234" i="3"/>
  <c r="DS234" i="3"/>
  <c r="DR234" i="3"/>
  <c r="DQ234" i="3"/>
  <c r="DP234" i="3"/>
  <c r="DO234" i="3"/>
  <c r="DN234" i="3"/>
  <c r="DM234" i="3"/>
  <c r="DL234" i="3"/>
  <c r="DK234" i="3"/>
  <c r="DJ234" i="3"/>
  <c r="DI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DU233" i="3"/>
  <c r="DT233" i="3"/>
  <c r="DS233" i="3"/>
  <c r="DR233" i="3"/>
  <c r="DQ233" i="3"/>
  <c r="DP233" i="3"/>
  <c r="DO233" i="3"/>
  <c r="DN233" i="3"/>
  <c r="DM233" i="3"/>
  <c r="DL233" i="3"/>
  <c r="DK233" i="3"/>
  <c r="DJ233" i="3"/>
  <c r="DI233" i="3"/>
  <c r="DH233" i="3"/>
  <c r="DG233" i="3"/>
  <c r="DF233" i="3"/>
  <c r="DE233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DU232" i="3"/>
  <c r="DT232" i="3"/>
  <c r="DS232" i="3"/>
  <c r="DR232" i="3"/>
  <c r="DQ232" i="3"/>
  <c r="DP232" i="3"/>
  <c r="DO232" i="3"/>
  <c r="DN232" i="3"/>
  <c r="DM232" i="3"/>
  <c r="DL232" i="3"/>
  <c r="DK232" i="3"/>
  <c r="DJ232" i="3"/>
  <c r="DI232" i="3"/>
  <c r="DH232" i="3"/>
  <c r="DG232" i="3"/>
  <c r="DF232" i="3"/>
  <c r="DE232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DU231" i="3"/>
  <c r="DT231" i="3"/>
  <c r="DS231" i="3"/>
  <c r="DR231" i="3"/>
  <c r="DQ231" i="3"/>
  <c r="DP231" i="3"/>
  <c r="DO231" i="3"/>
  <c r="DN231" i="3"/>
  <c r="DM231" i="3"/>
  <c r="DL231" i="3"/>
  <c r="DK231" i="3"/>
  <c r="DJ231" i="3"/>
  <c r="DI231" i="3"/>
  <c r="DH231" i="3"/>
  <c r="DG231" i="3"/>
  <c r="DF231" i="3"/>
  <c r="DE231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DU230" i="3"/>
  <c r="DT230" i="3"/>
  <c r="DS230" i="3"/>
  <c r="DR230" i="3"/>
  <c r="DQ230" i="3"/>
  <c r="DP230" i="3"/>
  <c r="DO230" i="3"/>
  <c r="DN230" i="3"/>
  <c r="DM230" i="3"/>
  <c r="DL230" i="3"/>
  <c r="DK230" i="3"/>
  <c r="DJ230" i="3"/>
  <c r="DI230" i="3"/>
  <c r="DH230" i="3"/>
  <c r="DG230" i="3"/>
  <c r="DF230" i="3"/>
  <c r="DE230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DU229" i="3"/>
  <c r="DT229" i="3"/>
  <c r="DS229" i="3"/>
  <c r="DR229" i="3"/>
  <c r="DQ229" i="3"/>
  <c r="DP229" i="3"/>
  <c r="DO229" i="3"/>
  <c r="DN229" i="3"/>
  <c r="DM229" i="3"/>
  <c r="DL229" i="3"/>
  <c r="DK229" i="3"/>
  <c r="DJ229" i="3"/>
  <c r="DI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DU228" i="3"/>
  <c r="DT228" i="3"/>
  <c r="DS228" i="3"/>
  <c r="DR228" i="3"/>
  <c r="DQ228" i="3"/>
  <c r="DP228" i="3"/>
  <c r="DO228" i="3"/>
  <c r="DN228" i="3"/>
  <c r="DM228" i="3"/>
  <c r="DL228" i="3"/>
  <c r="DK228" i="3"/>
  <c r="DJ228" i="3"/>
  <c r="DI228" i="3"/>
  <c r="DH228" i="3"/>
  <c r="DG228" i="3"/>
  <c r="DF228" i="3"/>
  <c r="DE228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DU227" i="3"/>
  <c r="DT227" i="3"/>
  <c r="DS227" i="3"/>
  <c r="DR227" i="3"/>
  <c r="DQ227" i="3"/>
  <c r="DP227" i="3"/>
  <c r="DO227" i="3"/>
  <c r="DN227" i="3"/>
  <c r="DM227" i="3"/>
  <c r="DL227" i="3"/>
  <c r="DK227" i="3"/>
  <c r="DJ227" i="3"/>
  <c r="DI227" i="3"/>
  <c r="DH227" i="3"/>
  <c r="DG227" i="3"/>
  <c r="DF227" i="3"/>
  <c r="DE227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DU226" i="3"/>
  <c r="DT226" i="3"/>
  <c r="DS226" i="3"/>
  <c r="DR226" i="3"/>
  <c r="DQ226" i="3"/>
  <c r="DP226" i="3"/>
  <c r="DO226" i="3"/>
  <c r="DN226" i="3"/>
  <c r="DM226" i="3"/>
  <c r="DL226" i="3"/>
  <c r="DK226" i="3"/>
  <c r="DJ226" i="3"/>
  <c r="DI226" i="3"/>
  <c r="DH226" i="3"/>
  <c r="DG226" i="3"/>
  <c r="DF226" i="3"/>
  <c r="DE226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DU225" i="3"/>
  <c r="DT225" i="3"/>
  <c r="DS225" i="3"/>
  <c r="DR225" i="3"/>
  <c r="DQ225" i="3"/>
  <c r="DP225" i="3"/>
  <c r="DO225" i="3"/>
  <c r="DN225" i="3"/>
  <c r="DM225" i="3"/>
  <c r="DL225" i="3"/>
  <c r="DK225" i="3"/>
  <c r="DJ225" i="3"/>
  <c r="DI225" i="3"/>
  <c r="DH225" i="3"/>
  <c r="DG225" i="3"/>
  <c r="DF225" i="3"/>
  <c r="DE225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DU224" i="3"/>
  <c r="DT224" i="3"/>
  <c r="DS224" i="3"/>
  <c r="DR224" i="3"/>
  <c r="DQ224" i="3"/>
  <c r="DP224" i="3"/>
  <c r="DO224" i="3"/>
  <c r="DN224" i="3"/>
  <c r="DM224" i="3"/>
  <c r="DL224" i="3"/>
  <c r="DK224" i="3"/>
  <c r="DJ224" i="3"/>
  <c r="DI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DU223" i="3"/>
  <c r="DT223" i="3"/>
  <c r="DS223" i="3"/>
  <c r="DR223" i="3"/>
  <c r="DQ223" i="3"/>
  <c r="DP223" i="3"/>
  <c r="DO223" i="3"/>
  <c r="DN223" i="3"/>
  <c r="DM223" i="3"/>
  <c r="DL223" i="3"/>
  <c r="DK223" i="3"/>
  <c r="DJ223" i="3"/>
  <c r="DI223" i="3"/>
  <c r="DH223" i="3"/>
  <c r="DG223" i="3"/>
  <c r="DF223" i="3"/>
  <c r="DE223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DU222" i="3"/>
  <c r="DT222" i="3"/>
  <c r="DS222" i="3"/>
  <c r="DR222" i="3"/>
  <c r="DQ222" i="3"/>
  <c r="DP222" i="3"/>
  <c r="DO222" i="3"/>
  <c r="DN222" i="3"/>
  <c r="DM222" i="3"/>
  <c r="DL222" i="3"/>
  <c r="DK222" i="3"/>
  <c r="DJ222" i="3"/>
  <c r="DI222" i="3"/>
  <c r="DH222" i="3"/>
  <c r="DG222" i="3"/>
  <c r="DF222" i="3"/>
  <c r="DE222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DU221" i="3"/>
  <c r="DT221" i="3"/>
  <c r="DS221" i="3"/>
  <c r="DR221" i="3"/>
  <c r="DQ221" i="3"/>
  <c r="DP221" i="3"/>
  <c r="DO221" i="3"/>
  <c r="DN221" i="3"/>
  <c r="DM221" i="3"/>
  <c r="DL221" i="3"/>
  <c r="DK221" i="3"/>
  <c r="DJ221" i="3"/>
  <c r="DI221" i="3"/>
  <c r="DH221" i="3"/>
  <c r="DG221" i="3"/>
  <c r="DF221" i="3"/>
  <c r="DE221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DU220" i="3"/>
  <c r="DT220" i="3"/>
  <c r="DS220" i="3"/>
  <c r="DR220" i="3"/>
  <c r="DQ220" i="3"/>
  <c r="DP220" i="3"/>
  <c r="DO220" i="3"/>
  <c r="DN220" i="3"/>
  <c r="DM220" i="3"/>
  <c r="DL220" i="3"/>
  <c r="DK220" i="3"/>
  <c r="DJ220" i="3"/>
  <c r="DI220" i="3"/>
  <c r="DH220" i="3"/>
  <c r="DG220" i="3"/>
  <c r="DF220" i="3"/>
  <c r="DE220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DU219" i="3"/>
  <c r="DT219" i="3"/>
  <c r="DS219" i="3"/>
  <c r="DR219" i="3"/>
  <c r="DQ219" i="3"/>
  <c r="DP219" i="3"/>
  <c r="DO219" i="3"/>
  <c r="DN219" i="3"/>
  <c r="DM219" i="3"/>
  <c r="DL219" i="3"/>
  <c r="DK219" i="3"/>
  <c r="DJ219" i="3"/>
  <c r="DI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DU218" i="3"/>
  <c r="DT218" i="3"/>
  <c r="DS218" i="3"/>
  <c r="DR218" i="3"/>
  <c r="DQ218" i="3"/>
  <c r="DP218" i="3"/>
  <c r="DO218" i="3"/>
  <c r="DN218" i="3"/>
  <c r="DM218" i="3"/>
  <c r="DL218" i="3"/>
  <c r="DK218" i="3"/>
  <c r="DJ218" i="3"/>
  <c r="DI218" i="3"/>
  <c r="DH218" i="3"/>
  <c r="DG218" i="3"/>
  <c r="DF218" i="3"/>
  <c r="DE218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DU217" i="3"/>
  <c r="DT217" i="3"/>
  <c r="DS217" i="3"/>
  <c r="DR217" i="3"/>
  <c r="DQ217" i="3"/>
  <c r="DP217" i="3"/>
  <c r="DO217" i="3"/>
  <c r="DN217" i="3"/>
  <c r="DM217" i="3"/>
  <c r="DL217" i="3"/>
  <c r="DK217" i="3"/>
  <c r="DJ217" i="3"/>
  <c r="DI217" i="3"/>
  <c r="DH217" i="3"/>
  <c r="DG217" i="3"/>
  <c r="DF217" i="3"/>
  <c r="DE217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DU216" i="3"/>
  <c r="DT216" i="3"/>
  <c r="DS216" i="3"/>
  <c r="DR216" i="3"/>
  <c r="DQ216" i="3"/>
  <c r="DP216" i="3"/>
  <c r="DO216" i="3"/>
  <c r="DN216" i="3"/>
  <c r="DM216" i="3"/>
  <c r="DL216" i="3"/>
  <c r="DK216" i="3"/>
  <c r="DJ216" i="3"/>
  <c r="DI216" i="3"/>
  <c r="DH216" i="3"/>
  <c r="DG216" i="3"/>
  <c r="DF216" i="3"/>
  <c r="DE216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DU215" i="3"/>
  <c r="DT215" i="3"/>
  <c r="DS215" i="3"/>
  <c r="DR215" i="3"/>
  <c r="DQ215" i="3"/>
  <c r="DP215" i="3"/>
  <c r="DO215" i="3"/>
  <c r="DN215" i="3"/>
  <c r="DM215" i="3"/>
  <c r="DL215" i="3"/>
  <c r="DK215" i="3"/>
  <c r="DJ215" i="3"/>
  <c r="DI215" i="3"/>
  <c r="DH215" i="3"/>
  <c r="DG215" i="3"/>
  <c r="DF215" i="3"/>
  <c r="DE215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DU214" i="3"/>
  <c r="DT214" i="3"/>
  <c r="DS214" i="3"/>
  <c r="DR214" i="3"/>
  <c r="DQ214" i="3"/>
  <c r="DP214" i="3"/>
  <c r="DO214" i="3"/>
  <c r="DN214" i="3"/>
  <c r="DM214" i="3"/>
  <c r="DL214" i="3"/>
  <c r="DK214" i="3"/>
  <c r="DJ214" i="3"/>
  <c r="DI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DU213" i="3"/>
  <c r="DT213" i="3"/>
  <c r="DS213" i="3"/>
  <c r="DR213" i="3"/>
  <c r="DQ213" i="3"/>
  <c r="DP213" i="3"/>
  <c r="DO213" i="3"/>
  <c r="DN213" i="3"/>
  <c r="DM213" i="3"/>
  <c r="DL213" i="3"/>
  <c r="DK213" i="3"/>
  <c r="DJ213" i="3"/>
  <c r="DI213" i="3"/>
  <c r="DH213" i="3"/>
  <c r="DG213" i="3"/>
  <c r="DF213" i="3"/>
  <c r="DE213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DU212" i="3"/>
  <c r="DT212" i="3"/>
  <c r="DS212" i="3"/>
  <c r="DR212" i="3"/>
  <c r="DQ212" i="3"/>
  <c r="DP212" i="3"/>
  <c r="DO212" i="3"/>
  <c r="DN212" i="3"/>
  <c r="DM212" i="3"/>
  <c r="DL212" i="3"/>
  <c r="DK212" i="3"/>
  <c r="DJ212" i="3"/>
  <c r="DI212" i="3"/>
  <c r="DH212" i="3"/>
  <c r="DG212" i="3"/>
  <c r="DF212" i="3"/>
  <c r="DE212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DU211" i="3"/>
  <c r="DT211" i="3"/>
  <c r="DS211" i="3"/>
  <c r="DR211" i="3"/>
  <c r="DQ211" i="3"/>
  <c r="DP211" i="3"/>
  <c r="DO211" i="3"/>
  <c r="DN211" i="3"/>
  <c r="DM211" i="3"/>
  <c r="DL211" i="3"/>
  <c r="DK211" i="3"/>
  <c r="DJ211" i="3"/>
  <c r="DI211" i="3"/>
  <c r="DH211" i="3"/>
  <c r="DG211" i="3"/>
  <c r="DF211" i="3"/>
  <c r="DE211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DU210" i="3"/>
  <c r="DT210" i="3"/>
  <c r="DS210" i="3"/>
  <c r="DR210" i="3"/>
  <c r="DQ210" i="3"/>
  <c r="DP210" i="3"/>
  <c r="DO210" i="3"/>
  <c r="DN210" i="3"/>
  <c r="DM210" i="3"/>
  <c r="DL210" i="3"/>
  <c r="DK210" i="3"/>
  <c r="DJ210" i="3"/>
  <c r="DI210" i="3"/>
  <c r="DH210" i="3"/>
  <c r="DG210" i="3"/>
  <c r="DF210" i="3"/>
  <c r="DE210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DU209" i="3"/>
  <c r="DT209" i="3"/>
  <c r="DS209" i="3"/>
  <c r="DR209" i="3"/>
  <c r="DQ209" i="3"/>
  <c r="DP209" i="3"/>
  <c r="DO209" i="3"/>
  <c r="DN209" i="3"/>
  <c r="DM209" i="3"/>
  <c r="DL209" i="3"/>
  <c r="DK209" i="3"/>
  <c r="DJ209" i="3"/>
  <c r="DI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DU208" i="3"/>
  <c r="DT208" i="3"/>
  <c r="DS208" i="3"/>
  <c r="DR208" i="3"/>
  <c r="DQ208" i="3"/>
  <c r="DP208" i="3"/>
  <c r="DO208" i="3"/>
  <c r="DN208" i="3"/>
  <c r="DM208" i="3"/>
  <c r="DL208" i="3"/>
  <c r="DK208" i="3"/>
  <c r="DJ208" i="3"/>
  <c r="DI208" i="3"/>
  <c r="DH208" i="3"/>
  <c r="DG208" i="3"/>
  <c r="DF208" i="3"/>
  <c r="DE208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DU207" i="3"/>
  <c r="DT207" i="3"/>
  <c r="DS207" i="3"/>
  <c r="DR207" i="3"/>
  <c r="DQ207" i="3"/>
  <c r="DP207" i="3"/>
  <c r="DO207" i="3"/>
  <c r="DN207" i="3"/>
  <c r="DM207" i="3"/>
  <c r="DL207" i="3"/>
  <c r="DK207" i="3"/>
  <c r="DJ207" i="3"/>
  <c r="DI207" i="3"/>
  <c r="DH207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DU206" i="3"/>
  <c r="DT206" i="3"/>
  <c r="DS206" i="3"/>
  <c r="DR206" i="3"/>
  <c r="DQ206" i="3"/>
  <c r="DP206" i="3"/>
  <c r="DO206" i="3"/>
  <c r="DN206" i="3"/>
  <c r="DM206" i="3"/>
  <c r="DL206" i="3"/>
  <c r="DK206" i="3"/>
  <c r="DJ206" i="3"/>
  <c r="DI206" i="3"/>
  <c r="DH206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DU205" i="3"/>
  <c r="DT205" i="3"/>
  <c r="DS205" i="3"/>
  <c r="DR205" i="3"/>
  <c r="DQ205" i="3"/>
  <c r="DP205" i="3"/>
  <c r="DO205" i="3"/>
  <c r="DN205" i="3"/>
  <c r="DM205" i="3"/>
  <c r="DL205" i="3"/>
  <c r="DK205" i="3"/>
  <c r="DJ205" i="3"/>
  <c r="DI205" i="3"/>
  <c r="DH205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DU204" i="3"/>
  <c r="DT204" i="3"/>
  <c r="DS204" i="3"/>
  <c r="DR204" i="3"/>
  <c r="DQ204" i="3"/>
  <c r="DP204" i="3"/>
  <c r="DO204" i="3"/>
  <c r="DN204" i="3"/>
  <c r="DM204" i="3"/>
  <c r="DL204" i="3"/>
  <c r="DK204" i="3"/>
  <c r="DJ204" i="3"/>
  <c r="DI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DU203" i="3"/>
  <c r="DT203" i="3"/>
  <c r="DS203" i="3"/>
  <c r="DR203" i="3"/>
  <c r="DQ203" i="3"/>
  <c r="DP203" i="3"/>
  <c r="DO203" i="3"/>
  <c r="DN203" i="3"/>
  <c r="DM203" i="3"/>
  <c r="DL203" i="3"/>
  <c r="DK203" i="3"/>
  <c r="DJ203" i="3"/>
  <c r="DI203" i="3"/>
  <c r="DH203" i="3"/>
  <c r="DG203" i="3"/>
  <c r="DF203" i="3"/>
  <c r="DE203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DU202" i="3"/>
  <c r="DT202" i="3"/>
  <c r="DS202" i="3"/>
  <c r="DR202" i="3"/>
  <c r="DQ202" i="3"/>
  <c r="DP202" i="3"/>
  <c r="DO202" i="3"/>
  <c r="DN202" i="3"/>
  <c r="DM202" i="3"/>
  <c r="DL202" i="3"/>
  <c r="DK202" i="3"/>
  <c r="DJ202" i="3"/>
  <c r="DI202" i="3"/>
  <c r="DH202" i="3"/>
  <c r="DG202" i="3"/>
  <c r="DF202" i="3"/>
  <c r="DE202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DU201" i="3"/>
  <c r="DT201" i="3"/>
  <c r="DS201" i="3"/>
  <c r="DR201" i="3"/>
  <c r="DQ201" i="3"/>
  <c r="DP201" i="3"/>
  <c r="DO201" i="3"/>
  <c r="DN201" i="3"/>
  <c r="DM201" i="3"/>
  <c r="DL201" i="3"/>
  <c r="DK201" i="3"/>
  <c r="DJ201" i="3"/>
  <c r="DI201" i="3"/>
  <c r="DH201" i="3"/>
  <c r="DG201" i="3"/>
  <c r="DF201" i="3"/>
  <c r="DE201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DU200" i="3"/>
  <c r="DT200" i="3"/>
  <c r="DS200" i="3"/>
  <c r="DR200" i="3"/>
  <c r="DQ200" i="3"/>
  <c r="DP200" i="3"/>
  <c r="DO200" i="3"/>
  <c r="DN200" i="3"/>
  <c r="DM200" i="3"/>
  <c r="DL200" i="3"/>
  <c r="DK200" i="3"/>
  <c r="DJ200" i="3"/>
  <c r="DI200" i="3"/>
  <c r="DH200" i="3"/>
  <c r="DG200" i="3"/>
  <c r="DF200" i="3"/>
  <c r="DE200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DU199" i="3"/>
  <c r="DT199" i="3"/>
  <c r="DS199" i="3"/>
  <c r="DR199" i="3"/>
  <c r="DQ199" i="3"/>
  <c r="DP199" i="3"/>
  <c r="DO199" i="3"/>
  <c r="DN199" i="3"/>
  <c r="DM199" i="3"/>
  <c r="DL199" i="3"/>
  <c r="DK199" i="3"/>
  <c r="DJ199" i="3"/>
  <c r="DI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DU198" i="3"/>
  <c r="DT198" i="3"/>
  <c r="DS198" i="3"/>
  <c r="DR198" i="3"/>
  <c r="DQ198" i="3"/>
  <c r="DP198" i="3"/>
  <c r="DO198" i="3"/>
  <c r="DN198" i="3"/>
  <c r="DM198" i="3"/>
  <c r="DL198" i="3"/>
  <c r="DK198" i="3"/>
  <c r="DJ198" i="3"/>
  <c r="DI198" i="3"/>
  <c r="DH198" i="3"/>
  <c r="DG198" i="3"/>
  <c r="DF198" i="3"/>
  <c r="DE198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DU197" i="3"/>
  <c r="DT197" i="3"/>
  <c r="DS197" i="3"/>
  <c r="DR197" i="3"/>
  <c r="DQ197" i="3"/>
  <c r="DP197" i="3"/>
  <c r="DO197" i="3"/>
  <c r="DN197" i="3"/>
  <c r="DM197" i="3"/>
  <c r="DL197" i="3"/>
  <c r="DK197" i="3"/>
  <c r="DJ197" i="3"/>
  <c r="DI197" i="3"/>
  <c r="DH197" i="3"/>
  <c r="DG197" i="3"/>
  <c r="DF197" i="3"/>
  <c r="DE197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DU196" i="3"/>
  <c r="DT196" i="3"/>
  <c r="DS196" i="3"/>
  <c r="DR196" i="3"/>
  <c r="DQ196" i="3"/>
  <c r="DP196" i="3"/>
  <c r="DO196" i="3"/>
  <c r="DN196" i="3"/>
  <c r="DM196" i="3"/>
  <c r="DL196" i="3"/>
  <c r="DK196" i="3"/>
  <c r="DJ196" i="3"/>
  <c r="DI196" i="3"/>
  <c r="DH196" i="3"/>
  <c r="DG196" i="3"/>
  <c r="DF196" i="3"/>
  <c r="DE196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DU195" i="3"/>
  <c r="DT195" i="3"/>
  <c r="DS195" i="3"/>
  <c r="DR195" i="3"/>
  <c r="DQ195" i="3"/>
  <c r="DP195" i="3"/>
  <c r="DO195" i="3"/>
  <c r="DN195" i="3"/>
  <c r="DM195" i="3"/>
  <c r="DL195" i="3"/>
  <c r="DK195" i="3"/>
  <c r="DJ195" i="3"/>
  <c r="DI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DU194" i="3"/>
  <c r="DT194" i="3"/>
  <c r="DS194" i="3"/>
  <c r="DR194" i="3"/>
  <c r="DQ194" i="3"/>
  <c r="DP194" i="3"/>
  <c r="DO194" i="3"/>
  <c r="DN194" i="3"/>
  <c r="DM194" i="3"/>
  <c r="DL194" i="3"/>
  <c r="DK194" i="3"/>
  <c r="DJ194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DU193" i="3"/>
  <c r="DT193" i="3"/>
  <c r="DS193" i="3"/>
  <c r="DR193" i="3"/>
  <c r="DQ193" i="3"/>
  <c r="DP193" i="3"/>
  <c r="DO193" i="3"/>
  <c r="DN193" i="3"/>
  <c r="DM193" i="3"/>
  <c r="DL193" i="3"/>
  <c r="DK193" i="3"/>
  <c r="DJ193" i="3"/>
  <c r="DI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DU192" i="3"/>
  <c r="DT192" i="3"/>
  <c r="DS192" i="3"/>
  <c r="DR192" i="3"/>
  <c r="DQ192" i="3"/>
  <c r="DP192" i="3"/>
  <c r="DO192" i="3"/>
  <c r="DN192" i="3"/>
  <c r="DM192" i="3"/>
  <c r="DL192" i="3"/>
  <c r="DK192" i="3"/>
  <c r="DJ192" i="3"/>
  <c r="DI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DU191" i="3"/>
  <c r="DT191" i="3"/>
  <c r="DS191" i="3"/>
  <c r="DR191" i="3"/>
  <c r="DQ191" i="3"/>
  <c r="DP191" i="3"/>
  <c r="DO191" i="3"/>
  <c r="DN191" i="3"/>
  <c r="DM191" i="3"/>
  <c r="DL191" i="3"/>
  <c r="DK191" i="3"/>
  <c r="DJ191" i="3"/>
  <c r="DI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DU190" i="3"/>
  <c r="DT190" i="3"/>
  <c r="DS190" i="3"/>
  <c r="DR190" i="3"/>
  <c r="DQ190" i="3"/>
  <c r="DP190" i="3"/>
  <c r="DO190" i="3"/>
  <c r="DN190" i="3"/>
  <c r="DM190" i="3"/>
  <c r="DL190" i="3"/>
  <c r="DK190" i="3"/>
  <c r="DJ190" i="3"/>
  <c r="DI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E160" i="3"/>
  <c r="D160" i="3"/>
  <c r="C160" i="3"/>
  <c r="B160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E159" i="3"/>
  <c r="D159" i="3"/>
  <c r="C159" i="3"/>
  <c r="A159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E158" i="3"/>
  <c r="D158" i="3"/>
  <c r="C158" i="3"/>
  <c r="A158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A156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155" i="3"/>
  <c r="B269" i="3" s="1"/>
  <c r="A155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A154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153" i="3"/>
  <c r="C154" i="3" s="1"/>
  <c r="A153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C152" i="3"/>
  <c r="B152" i="3"/>
  <c r="A152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151" i="3"/>
  <c r="A151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A149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E140" i="3"/>
  <c r="B140" i="3"/>
  <c r="A140" i="3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E139" i="3"/>
  <c r="B139" i="3"/>
  <c r="A139" i="3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E138" i="3"/>
  <c r="E260" i="3" s="1"/>
  <c r="D138" i="3"/>
  <c r="D260" i="3" s="1"/>
  <c r="C138" i="3"/>
  <c r="C260" i="3" s="1"/>
  <c r="B138" i="3"/>
  <c r="B260" i="3" s="1"/>
  <c r="A138" i="3"/>
  <c r="A260" i="3" s="1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E137" i="3"/>
  <c r="E259" i="3" s="1"/>
  <c r="D137" i="3"/>
  <c r="D259" i="3" s="1"/>
  <c r="C137" i="3"/>
  <c r="C259" i="3" s="1"/>
  <c r="B137" i="3"/>
  <c r="B259" i="3" s="1"/>
  <c r="A137" i="3"/>
  <c r="A259" i="3" s="1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E136" i="3"/>
  <c r="E258" i="3" s="1"/>
  <c r="D136" i="3"/>
  <c r="D258" i="3" s="1"/>
  <c r="C136" i="3"/>
  <c r="C258" i="3" s="1"/>
  <c r="B136" i="3"/>
  <c r="B258" i="3" s="1"/>
  <c r="A136" i="3"/>
  <c r="A258" i="3" s="1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E135" i="3"/>
  <c r="E257" i="3" s="1"/>
  <c r="D135" i="3"/>
  <c r="D257" i="3" s="1"/>
  <c r="C135" i="3"/>
  <c r="C257" i="3" s="1"/>
  <c r="B135" i="3"/>
  <c r="B257" i="3" s="1"/>
  <c r="A135" i="3"/>
  <c r="A257" i="3" s="1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E134" i="3"/>
  <c r="E256" i="3" s="1"/>
  <c r="D134" i="3"/>
  <c r="D256" i="3" s="1"/>
  <c r="C134" i="3"/>
  <c r="C256" i="3" s="1"/>
  <c r="B134" i="3"/>
  <c r="B256" i="3" s="1"/>
  <c r="A134" i="3"/>
  <c r="A256" i="3" s="1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E133" i="3"/>
  <c r="E255" i="3" s="1"/>
  <c r="D133" i="3"/>
  <c r="D255" i="3" s="1"/>
  <c r="C133" i="3"/>
  <c r="C255" i="3" s="1"/>
  <c r="B133" i="3"/>
  <c r="B255" i="3" s="1"/>
  <c r="A133" i="3"/>
  <c r="A255" i="3" s="1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E132" i="3"/>
  <c r="E254" i="3" s="1"/>
  <c r="D132" i="3"/>
  <c r="D254" i="3" s="1"/>
  <c r="C132" i="3"/>
  <c r="C254" i="3" s="1"/>
  <c r="B132" i="3"/>
  <c r="B254" i="3" s="1"/>
  <c r="A132" i="3"/>
  <c r="A254" i="3" s="1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E131" i="3"/>
  <c r="E253" i="3" s="1"/>
  <c r="D131" i="3"/>
  <c r="D253" i="3" s="1"/>
  <c r="C131" i="3"/>
  <c r="C253" i="3" s="1"/>
  <c r="B131" i="3"/>
  <c r="B253" i="3" s="1"/>
  <c r="A131" i="3"/>
  <c r="A253" i="3" s="1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E130" i="3"/>
  <c r="E252" i="3" s="1"/>
  <c r="D130" i="3"/>
  <c r="D252" i="3" s="1"/>
  <c r="C130" i="3"/>
  <c r="C252" i="3" s="1"/>
  <c r="B130" i="3"/>
  <c r="B252" i="3" s="1"/>
  <c r="A130" i="3"/>
  <c r="A252" i="3" s="1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E129" i="3"/>
  <c r="E251" i="3" s="1"/>
  <c r="D129" i="3"/>
  <c r="D251" i="3" s="1"/>
  <c r="C129" i="3"/>
  <c r="C251" i="3" s="1"/>
  <c r="B129" i="3"/>
  <c r="B251" i="3" s="1"/>
  <c r="A129" i="3"/>
  <c r="A251" i="3" s="1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E128" i="3"/>
  <c r="B128" i="3"/>
  <c r="A128" i="3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E127" i="3"/>
  <c r="E250" i="3" s="1"/>
  <c r="D127" i="3"/>
  <c r="D250" i="3" s="1"/>
  <c r="C127" i="3"/>
  <c r="C250" i="3" s="1"/>
  <c r="B127" i="3"/>
  <c r="B250" i="3" s="1"/>
  <c r="A127" i="3"/>
  <c r="A250" i="3" s="1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E126" i="3"/>
  <c r="E249" i="3" s="1"/>
  <c r="D126" i="3"/>
  <c r="D249" i="3" s="1"/>
  <c r="C126" i="3"/>
  <c r="C249" i="3" s="1"/>
  <c r="B126" i="3"/>
  <c r="B249" i="3" s="1"/>
  <c r="A126" i="3"/>
  <c r="A249" i="3" s="1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E125" i="3"/>
  <c r="B125" i="3"/>
  <c r="A125" i="3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E124" i="3"/>
  <c r="E248" i="3" s="1"/>
  <c r="D124" i="3"/>
  <c r="D248" i="3" s="1"/>
  <c r="C124" i="3"/>
  <c r="C248" i="3" s="1"/>
  <c r="B124" i="3"/>
  <c r="B248" i="3" s="1"/>
  <c r="A124" i="3"/>
  <c r="A248" i="3" s="1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E123" i="3"/>
  <c r="E247" i="3" s="1"/>
  <c r="D123" i="3"/>
  <c r="D247" i="3" s="1"/>
  <c r="C123" i="3"/>
  <c r="C247" i="3" s="1"/>
  <c r="B123" i="3"/>
  <c r="B247" i="3" s="1"/>
  <c r="A123" i="3"/>
  <c r="A247" i="3" s="1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E122" i="3"/>
  <c r="B122" i="3"/>
  <c r="A122" i="3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E121" i="3"/>
  <c r="B121" i="3"/>
  <c r="A121" i="3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E120" i="3"/>
  <c r="B120" i="3"/>
  <c r="A120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E119" i="3"/>
  <c r="B119" i="3"/>
  <c r="A119" i="3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E118" i="3"/>
  <c r="E246" i="3" s="1"/>
  <c r="D118" i="3"/>
  <c r="D246" i="3" s="1"/>
  <c r="C118" i="3"/>
  <c r="C246" i="3" s="1"/>
  <c r="B118" i="3"/>
  <c r="B246" i="3" s="1"/>
  <c r="A118" i="3"/>
  <c r="A246" i="3" s="1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E117" i="3"/>
  <c r="E245" i="3" s="1"/>
  <c r="D117" i="3"/>
  <c r="D245" i="3" s="1"/>
  <c r="C117" i="3"/>
  <c r="C245" i="3" s="1"/>
  <c r="B117" i="3"/>
  <c r="B245" i="3" s="1"/>
  <c r="A117" i="3"/>
  <c r="A245" i="3" s="1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E116" i="3"/>
  <c r="E244" i="3" s="1"/>
  <c r="D116" i="3"/>
  <c r="D244" i="3" s="1"/>
  <c r="C116" i="3"/>
  <c r="C244" i="3" s="1"/>
  <c r="B116" i="3"/>
  <c r="B244" i="3" s="1"/>
  <c r="A116" i="3"/>
  <c r="A244" i="3" s="1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E115" i="3"/>
  <c r="B115" i="3"/>
  <c r="A115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E114" i="3"/>
  <c r="E243" i="3" s="1"/>
  <c r="D114" i="3"/>
  <c r="D243" i="3" s="1"/>
  <c r="C114" i="3"/>
  <c r="C243" i="3" s="1"/>
  <c r="B114" i="3"/>
  <c r="B243" i="3" s="1"/>
  <c r="A114" i="3"/>
  <c r="A243" i="3" s="1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E113" i="3"/>
  <c r="E242" i="3" s="1"/>
  <c r="D113" i="3"/>
  <c r="D242" i="3" s="1"/>
  <c r="C113" i="3"/>
  <c r="C242" i="3" s="1"/>
  <c r="B113" i="3"/>
  <c r="B242" i="3" s="1"/>
  <c r="A113" i="3"/>
  <c r="A242" i="3" s="1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E112" i="3"/>
  <c r="B112" i="3"/>
  <c r="A112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E111" i="3"/>
  <c r="B111" i="3"/>
  <c r="A111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E110" i="3"/>
  <c r="E241" i="3" s="1"/>
  <c r="D110" i="3"/>
  <c r="D241" i="3" s="1"/>
  <c r="C110" i="3"/>
  <c r="C241" i="3" s="1"/>
  <c r="B110" i="3"/>
  <c r="B241" i="3" s="1"/>
  <c r="A110" i="3"/>
  <c r="A241" i="3" s="1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E109" i="3"/>
  <c r="E240" i="3" s="1"/>
  <c r="D109" i="3"/>
  <c r="D240" i="3" s="1"/>
  <c r="C109" i="3"/>
  <c r="C240" i="3" s="1"/>
  <c r="B109" i="3"/>
  <c r="B240" i="3" s="1"/>
  <c r="A109" i="3"/>
  <c r="A240" i="3" s="1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E108" i="3"/>
  <c r="B108" i="3"/>
  <c r="A108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E107" i="3"/>
  <c r="E239" i="3" s="1"/>
  <c r="D107" i="3"/>
  <c r="D239" i="3" s="1"/>
  <c r="C107" i="3"/>
  <c r="C239" i="3" s="1"/>
  <c r="B107" i="3"/>
  <c r="B239" i="3" s="1"/>
  <c r="A107" i="3"/>
  <c r="A239" i="3" s="1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E106" i="3"/>
  <c r="B106" i="3"/>
  <c r="A106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E105" i="3"/>
  <c r="B105" i="3"/>
  <c r="A105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E104" i="3"/>
  <c r="B104" i="3"/>
  <c r="A104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E103" i="3"/>
  <c r="B103" i="3"/>
  <c r="A103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E102" i="3"/>
  <c r="B102" i="3"/>
  <c r="A102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E101" i="3"/>
  <c r="B101" i="3"/>
  <c r="A101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E100" i="3"/>
  <c r="B100" i="3"/>
  <c r="A100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E99" i="3"/>
  <c r="B99" i="3"/>
  <c r="A99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E98" i="3"/>
  <c r="E238" i="3" s="1"/>
  <c r="D98" i="3"/>
  <c r="D238" i="3" s="1"/>
  <c r="C98" i="3"/>
  <c r="C238" i="3" s="1"/>
  <c r="B98" i="3"/>
  <c r="B238" i="3" s="1"/>
  <c r="A98" i="3"/>
  <c r="A238" i="3" s="1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E97" i="3"/>
  <c r="E237" i="3" s="1"/>
  <c r="D97" i="3"/>
  <c r="D237" i="3" s="1"/>
  <c r="C97" i="3"/>
  <c r="C237" i="3" s="1"/>
  <c r="B97" i="3"/>
  <c r="B237" i="3" s="1"/>
  <c r="A97" i="3"/>
  <c r="A237" i="3" s="1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E96" i="3"/>
  <c r="E236" i="3" s="1"/>
  <c r="D96" i="3"/>
  <c r="D236" i="3" s="1"/>
  <c r="C96" i="3"/>
  <c r="C236" i="3" s="1"/>
  <c r="B96" i="3"/>
  <c r="B236" i="3" s="1"/>
  <c r="A96" i="3"/>
  <c r="A236" i="3" s="1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E95" i="3"/>
  <c r="E235" i="3" s="1"/>
  <c r="D95" i="3"/>
  <c r="D235" i="3" s="1"/>
  <c r="C95" i="3"/>
  <c r="C235" i="3" s="1"/>
  <c r="B95" i="3"/>
  <c r="B235" i="3" s="1"/>
  <c r="A95" i="3"/>
  <c r="A235" i="3" s="1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E94" i="3"/>
  <c r="B94" i="3"/>
  <c r="A94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E93" i="3"/>
  <c r="E234" i="3" s="1"/>
  <c r="D93" i="3"/>
  <c r="D234" i="3" s="1"/>
  <c r="C93" i="3"/>
  <c r="C234" i="3" s="1"/>
  <c r="B93" i="3"/>
  <c r="B234" i="3" s="1"/>
  <c r="A93" i="3"/>
  <c r="A234" i="3" s="1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E92" i="3"/>
  <c r="B92" i="3"/>
  <c r="A92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E91" i="3"/>
  <c r="B91" i="3"/>
  <c r="A91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E90" i="3"/>
  <c r="E233" i="3" s="1"/>
  <c r="D90" i="3"/>
  <c r="D233" i="3" s="1"/>
  <c r="C90" i="3"/>
  <c r="C233" i="3" s="1"/>
  <c r="B90" i="3"/>
  <c r="B233" i="3" s="1"/>
  <c r="A90" i="3"/>
  <c r="A233" i="3" s="1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E89" i="3"/>
  <c r="E232" i="3" s="1"/>
  <c r="D89" i="3"/>
  <c r="D232" i="3" s="1"/>
  <c r="C89" i="3"/>
  <c r="C232" i="3" s="1"/>
  <c r="B89" i="3"/>
  <c r="B232" i="3" s="1"/>
  <c r="A89" i="3"/>
  <c r="A232" i="3" s="1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E88" i="3"/>
  <c r="B88" i="3"/>
  <c r="A88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E87" i="3"/>
  <c r="E231" i="3" s="1"/>
  <c r="D87" i="3"/>
  <c r="D231" i="3" s="1"/>
  <c r="C87" i="3"/>
  <c r="C231" i="3" s="1"/>
  <c r="B87" i="3"/>
  <c r="B231" i="3" s="1"/>
  <c r="A87" i="3"/>
  <c r="A231" i="3" s="1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E86" i="3"/>
  <c r="E230" i="3" s="1"/>
  <c r="D86" i="3"/>
  <c r="D230" i="3" s="1"/>
  <c r="C86" i="3"/>
  <c r="C230" i="3" s="1"/>
  <c r="B86" i="3"/>
  <c r="B230" i="3" s="1"/>
  <c r="A86" i="3"/>
  <c r="A230" i="3" s="1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E85" i="3"/>
  <c r="B85" i="3"/>
  <c r="A85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E84" i="3"/>
  <c r="E229" i="3" s="1"/>
  <c r="D84" i="3"/>
  <c r="D229" i="3" s="1"/>
  <c r="C84" i="3"/>
  <c r="C229" i="3" s="1"/>
  <c r="B84" i="3"/>
  <c r="B229" i="3" s="1"/>
  <c r="A84" i="3"/>
  <c r="A229" i="3" s="1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E83" i="3"/>
  <c r="E228" i="3" s="1"/>
  <c r="D83" i="3"/>
  <c r="D228" i="3" s="1"/>
  <c r="C83" i="3"/>
  <c r="C228" i="3" s="1"/>
  <c r="B83" i="3"/>
  <c r="B228" i="3" s="1"/>
  <c r="A83" i="3"/>
  <c r="A228" i="3" s="1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E82" i="3"/>
  <c r="E227" i="3" s="1"/>
  <c r="D82" i="3"/>
  <c r="D227" i="3" s="1"/>
  <c r="C82" i="3"/>
  <c r="C227" i="3" s="1"/>
  <c r="B82" i="3"/>
  <c r="B227" i="3" s="1"/>
  <c r="A82" i="3"/>
  <c r="A227" i="3" s="1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E81" i="3"/>
  <c r="E226" i="3" s="1"/>
  <c r="D81" i="3"/>
  <c r="D226" i="3" s="1"/>
  <c r="C81" i="3"/>
  <c r="C226" i="3" s="1"/>
  <c r="B81" i="3"/>
  <c r="B226" i="3" s="1"/>
  <c r="A81" i="3"/>
  <c r="A226" i="3" s="1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E80" i="3"/>
  <c r="E225" i="3" s="1"/>
  <c r="D80" i="3"/>
  <c r="D225" i="3" s="1"/>
  <c r="C80" i="3"/>
  <c r="C225" i="3" s="1"/>
  <c r="B80" i="3"/>
  <c r="B225" i="3" s="1"/>
  <c r="A80" i="3"/>
  <c r="A225" i="3" s="1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E79" i="3"/>
  <c r="E224" i="3" s="1"/>
  <c r="D79" i="3"/>
  <c r="D224" i="3" s="1"/>
  <c r="C79" i="3"/>
  <c r="C224" i="3" s="1"/>
  <c r="B79" i="3"/>
  <c r="B224" i="3" s="1"/>
  <c r="A79" i="3"/>
  <c r="A224" i="3" s="1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E78" i="3"/>
  <c r="E223" i="3" s="1"/>
  <c r="D78" i="3"/>
  <c r="D223" i="3" s="1"/>
  <c r="C78" i="3"/>
  <c r="C223" i="3" s="1"/>
  <c r="B78" i="3"/>
  <c r="B223" i="3" s="1"/>
  <c r="A78" i="3"/>
  <c r="A223" i="3" s="1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E77" i="3"/>
  <c r="E222" i="3" s="1"/>
  <c r="D77" i="3"/>
  <c r="D222" i="3" s="1"/>
  <c r="C77" i="3"/>
  <c r="C222" i="3" s="1"/>
  <c r="B77" i="3"/>
  <c r="B222" i="3" s="1"/>
  <c r="A77" i="3"/>
  <c r="A222" i="3" s="1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E76" i="3"/>
  <c r="E221" i="3" s="1"/>
  <c r="D76" i="3"/>
  <c r="D221" i="3" s="1"/>
  <c r="C76" i="3"/>
  <c r="C221" i="3" s="1"/>
  <c r="B76" i="3"/>
  <c r="B221" i="3" s="1"/>
  <c r="A76" i="3"/>
  <c r="A221" i="3" s="1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E75" i="3"/>
  <c r="E220" i="3" s="1"/>
  <c r="D75" i="3"/>
  <c r="D220" i="3" s="1"/>
  <c r="C75" i="3"/>
  <c r="C220" i="3" s="1"/>
  <c r="B75" i="3"/>
  <c r="B220" i="3" s="1"/>
  <c r="A75" i="3"/>
  <c r="A220" i="3" s="1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E74" i="3"/>
  <c r="E219" i="3" s="1"/>
  <c r="D74" i="3"/>
  <c r="D219" i="3" s="1"/>
  <c r="C74" i="3"/>
  <c r="C219" i="3" s="1"/>
  <c r="B74" i="3"/>
  <c r="B219" i="3" s="1"/>
  <c r="A74" i="3"/>
  <c r="A219" i="3" s="1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E73" i="3"/>
  <c r="E218" i="3" s="1"/>
  <c r="D73" i="3"/>
  <c r="D218" i="3" s="1"/>
  <c r="C73" i="3"/>
  <c r="C218" i="3" s="1"/>
  <c r="B73" i="3"/>
  <c r="B218" i="3" s="1"/>
  <c r="A73" i="3"/>
  <c r="A218" i="3" s="1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E72" i="3"/>
  <c r="B72" i="3"/>
  <c r="A72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E71" i="3"/>
  <c r="B71" i="3"/>
  <c r="A71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E70" i="3"/>
  <c r="E217" i="3" s="1"/>
  <c r="D70" i="3"/>
  <c r="D217" i="3" s="1"/>
  <c r="C70" i="3"/>
  <c r="C217" i="3" s="1"/>
  <c r="B70" i="3"/>
  <c r="B217" i="3" s="1"/>
  <c r="A70" i="3"/>
  <c r="A217" i="3" s="1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E69" i="3"/>
  <c r="E216" i="3" s="1"/>
  <c r="D69" i="3"/>
  <c r="D216" i="3" s="1"/>
  <c r="C69" i="3"/>
  <c r="C216" i="3" s="1"/>
  <c r="B69" i="3"/>
  <c r="B216" i="3" s="1"/>
  <c r="A69" i="3"/>
  <c r="A216" i="3" s="1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E68" i="3"/>
  <c r="E215" i="3" s="1"/>
  <c r="D68" i="3"/>
  <c r="D215" i="3" s="1"/>
  <c r="C68" i="3"/>
  <c r="C215" i="3" s="1"/>
  <c r="B68" i="3"/>
  <c r="B215" i="3" s="1"/>
  <c r="A68" i="3"/>
  <c r="A215" i="3" s="1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E67" i="3"/>
  <c r="B67" i="3"/>
  <c r="A67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E66" i="3"/>
  <c r="E214" i="3" s="1"/>
  <c r="D66" i="3"/>
  <c r="D214" i="3" s="1"/>
  <c r="C66" i="3"/>
  <c r="C214" i="3" s="1"/>
  <c r="B66" i="3"/>
  <c r="B214" i="3" s="1"/>
  <c r="A66" i="3"/>
  <c r="A214" i="3" s="1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E65" i="3"/>
  <c r="E213" i="3" s="1"/>
  <c r="D65" i="3"/>
  <c r="D213" i="3" s="1"/>
  <c r="C65" i="3"/>
  <c r="C213" i="3" s="1"/>
  <c r="B65" i="3"/>
  <c r="B213" i="3" s="1"/>
  <c r="A65" i="3"/>
  <c r="A213" i="3" s="1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E64" i="3"/>
  <c r="E212" i="3" s="1"/>
  <c r="D64" i="3"/>
  <c r="D212" i="3" s="1"/>
  <c r="C64" i="3"/>
  <c r="C212" i="3" s="1"/>
  <c r="B64" i="3"/>
  <c r="B212" i="3" s="1"/>
  <c r="A64" i="3"/>
  <c r="A212" i="3" s="1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E63" i="3"/>
  <c r="E211" i="3" s="1"/>
  <c r="D63" i="3"/>
  <c r="D211" i="3" s="1"/>
  <c r="C63" i="3"/>
  <c r="C211" i="3" s="1"/>
  <c r="B63" i="3"/>
  <c r="B211" i="3" s="1"/>
  <c r="A63" i="3"/>
  <c r="A211" i="3" s="1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E62" i="3"/>
  <c r="E210" i="3" s="1"/>
  <c r="D62" i="3"/>
  <c r="D210" i="3" s="1"/>
  <c r="C62" i="3"/>
  <c r="C210" i="3" s="1"/>
  <c r="B62" i="3"/>
  <c r="B210" i="3" s="1"/>
  <c r="A62" i="3"/>
  <c r="A210" i="3" s="1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E61" i="3"/>
  <c r="B61" i="3"/>
  <c r="A61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E60" i="3"/>
  <c r="E209" i="3" s="1"/>
  <c r="D60" i="3"/>
  <c r="D209" i="3" s="1"/>
  <c r="C60" i="3"/>
  <c r="C209" i="3" s="1"/>
  <c r="B60" i="3"/>
  <c r="B209" i="3" s="1"/>
  <c r="A60" i="3"/>
  <c r="A209" i="3" s="1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E59" i="3"/>
  <c r="E208" i="3" s="1"/>
  <c r="D59" i="3"/>
  <c r="D208" i="3" s="1"/>
  <c r="C59" i="3"/>
  <c r="C208" i="3" s="1"/>
  <c r="B59" i="3"/>
  <c r="B208" i="3" s="1"/>
  <c r="A59" i="3"/>
  <c r="A208" i="3" s="1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E58" i="3"/>
  <c r="E207" i="3" s="1"/>
  <c r="D58" i="3"/>
  <c r="D207" i="3" s="1"/>
  <c r="C58" i="3"/>
  <c r="C207" i="3" s="1"/>
  <c r="B58" i="3"/>
  <c r="B207" i="3" s="1"/>
  <c r="A58" i="3"/>
  <c r="A207" i="3" s="1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E57" i="3"/>
  <c r="B57" i="3"/>
  <c r="A57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E56" i="3"/>
  <c r="B56" i="3"/>
  <c r="A56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E55" i="3"/>
  <c r="E206" i="3" s="1"/>
  <c r="D55" i="3"/>
  <c r="D206" i="3" s="1"/>
  <c r="C55" i="3"/>
  <c r="C206" i="3" s="1"/>
  <c r="B55" i="3"/>
  <c r="B206" i="3" s="1"/>
  <c r="A55" i="3"/>
  <c r="A206" i="3" s="1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E54" i="3"/>
  <c r="E205" i="3" s="1"/>
  <c r="D54" i="3"/>
  <c r="D205" i="3" s="1"/>
  <c r="C54" i="3"/>
  <c r="C205" i="3" s="1"/>
  <c r="B54" i="3"/>
  <c r="B205" i="3" s="1"/>
  <c r="A54" i="3"/>
  <c r="A205" i="3" s="1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E53" i="3"/>
  <c r="E204" i="3" s="1"/>
  <c r="D53" i="3"/>
  <c r="D204" i="3" s="1"/>
  <c r="C53" i="3"/>
  <c r="C204" i="3" s="1"/>
  <c r="B53" i="3"/>
  <c r="B204" i="3" s="1"/>
  <c r="A53" i="3"/>
  <c r="A204" i="3" s="1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E52" i="3"/>
  <c r="E203" i="3" s="1"/>
  <c r="D52" i="3"/>
  <c r="D203" i="3" s="1"/>
  <c r="C52" i="3"/>
  <c r="C203" i="3" s="1"/>
  <c r="B52" i="3"/>
  <c r="B203" i="3" s="1"/>
  <c r="A52" i="3"/>
  <c r="A203" i="3" s="1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E51" i="3"/>
  <c r="E202" i="3" s="1"/>
  <c r="D51" i="3"/>
  <c r="D202" i="3" s="1"/>
  <c r="C51" i="3"/>
  <c r="C202" i="3" s="1"/>
  <c r="B51" i="3"/>
  <c r="B202" i="3" s="1"/>
  <c r="A51" i="3"/>
  <c r="A202" i="3" s="1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E50" i="3"/>
  <c r="E201" i="3" s="1"/>
  <c r="D50" i="3"/>
  <c r="D201" i="3" s="1"/>
  <c r="C50" i="3"/>
  <c r="C201" i="3" s="1"/>
  <c r="B50" i="3"/>
  <c r="B201" i="3" s="1"/>
  <c r="A50" i="3"/>
  <c r="A201" i="3" s="1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E49" i="3"/>
  <c r="E200" i="3" s="1"/>
  <c r="D49" i="3"/>
  <c r="D200" i="3" s="1"/>
  <c r="C49" i="3"/>
  <c r="C200" i="3" s="1"/>
  <c r="B49" i="3"/>
  <c r="B200" i="3" s="1"/>
  <c r="A49" i="3"/>
  <c r="A200" i="3" s="1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E48" i="3"/>
  <c r="E199" i="3" s="1"/>
  <c r="D48" i="3"/>
  <c r="D199" i="3" s="1"/>
  <c r="C48" i="3"/>
  <c r="C199" i="3" s="1"/>
  <c r="B48" i="3"/>
  <c r="B199" i="3" s="1"/>
  <c r="A48" i="3"/>
  <c r="A199" i="3" s="1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E47" i="3"/>
  <c r="E198" i="3" s="1"/>
  <c r="D47" i="3"/>
  <c r="D198" i="3" s="1"/>
  <c r="C47" i="3"/>
  <c r="C198" i="3" s="1"/>
  <c r="B47" i="3"/>
  <c r="B198" i="3" s="1"/>
  <c r="A47" i="3"/>
  <c r="A198" i="3" s="1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E46" i="3"/>
  <c r="E197" i="3" s="1"/>
  <c r="D46" i="3"/>
  <c r="D197" i="3" s="1"/>
  <c r="C46" i="3"/>
  <c r="C197" i="3" s="1"/>
  <c r="B46" i="3"/>
  <c r="B197" i="3" s="1"/>
  <c r="A46" i="3"/>
  <c r="A197" i="3" s="1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E45" i="3"/>
  <c r="E196" i="3" s="1"/>
  <c r="D45" i="3"/>
  <c r="D196" i="3" s="1"/>
  <c r="C45" i="3"/>
  <c r="C196" i="3" s="1"/>
  <c r="B45" i="3"/>
  <c r="B196" i="3" s="1"/>
  <c r="A45" i="3"/>
  <c r="A196" i="3" s="1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E44" i="3"/>
  <c r="B44" i="3"/>
  <c r="A44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E43" i="3"/>
  <c r="E195" i="3" s="1"/>
  <c r="D43" i="3"/>
  <c r="D195" i="3" s="1"/>
  <c r="C43" i="3"/>
  <c r="C195" i="3" s="1"/>
  <c r="B43" i="3"/>
  <c r="B195" i="3" s="1"/>
  <c r="A43" i="3"/>
  <c r="A195" i="3" s="1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E42" i="3"/>
  <c r="E194" i="3" s="1"/>
  <c r="D42" i="3"/>
  <c r="D194" i="3" s="1"/>
  <c r="C42" i="3"/>
  <c r="C194" i="3" s="1"/>
  <c r="B42" i="3"/>
  <c r="B194" i="3" s="1"/>
  <c r="A42" i="3"/>
  <c r="A194" i="3" s="1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E41" i="3"/>
  <c r="E193" i="3" s="1"/>
  <c r="D41" i="3"/>
  <c r="D193" i="3" s="1"/>
  <c r="C41" i="3"/>
  <c r="C193" i="3" s="1"/>
  <c r="B41" i="3"/>
  <c r="B193" i="3" s="1"/>
  <c r="A41" i="3"/>
  <c r="A193" i="3" s="1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E40" i="3"/>
  <c r="E192" i="3" s="1"/>
  <c r="D40" i="3"/>
  <c r="D192" i="3" s="1"/>
  <c r="C40" i="3"/>
  <c r="C192" i="3" s="1"/>
  <c r="B40" i="3"/>
  <c r="B192" i="3" s="1"/>
  <c r="A40" i="3"/>
  <c r="A192" i="3" s="1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E39" i="3"/>
  <c r="E191" i="3" s="1"/>
  <c r="D39" i="3"/>
  <c r="D191" i="3" s="1"/>
  <c r="C39" i="3"/>
  <c r="C191" i="3" s="1"/>
  <c r="B39" i="3"/>
  <c r="B191" i="3" s="1"/>
  <c r="A39" i="3"/>
  <c r="A191" i="3" s="1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E38" i="3"/>
  <c r="E190" i="3" s="1"/>
  <c r="D38" i="3"/>
  <c r="D190" i="3" s="1"/>
  <c r="C38" i="3"/>
  <c r="C190" i="3" s="1"/>
  <c r="B38" i="3"/>
  <c r="B190" i="3" s="1"/>
  <c r="A38" i="3"/>
  <c r="A190" i="3" s="1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E37" i="3"/>
  <c r="E189" i="3" s="1"/>
  <c r="D37" i="3"/>
  <c r="D189" i="3" s="1"/>
  <c r="C37" i="3"/>
  <c r="C189" i="3" s="1"/>
  <c r="B37" i="3"/>
  <c r="B189" i="3" s="1"/>
  <c r="A37" i="3"/>
  <c r="A189" i="3" s="1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E36" i="3"/>
  <c r="E188" i="3" s="1"/>
  <c r="D36" i="3"/>
  <c r="D188" i="3" s="1"/>
  <c r="C36" i="3"/>
  <c r="C188" i="3" s="1"/>
  <c r="B36" i="3"/>
  <c r="B188" i="3" s="1"/>
  <c r="A36" i="3"/>
  <c r="A188" i="3" s="1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E35" i="3"/>
  <c r="E187" i="3" s="1"/>
  <c r="D35" i="3"/>
  <c r="D187" i="3" s="1"/>
  <c r="C35" i="3"/>
  <c r="C187" i="3" s="1"/>
  <c r="B35" i="3"/>
  <c r="B187" i="3" s="1"/>
  <c r="A35" i="3"/>
  <c r="A187" i="3" s="1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E34" i="3"/>
  <c r="E186" i="3" s="1"/>
  <c r="D34" i="3"/>
  <c r="D186" i="3" s="1"/>
  <c r="C34" i="3"/>
  <c r="C186" i="3" s="1"/>
  <c r="B34" i="3"/>
  <c r="B186" i="3" s="1"/>
  <c r="A34" i="3"/>
  <c r="A186" i="3" s="1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E33" i="3"/>
  <c r="E185" i="3" s="1"/>
  <c r="D33" i="3"/>
  <c r="D185" i="3" s="1"/>
  <c r="C33" i="3"/>
  <c r="C185" i="3" s="1"/>
  <c r="B33" i="3"/>
  <c r="B185" i="3" s="1"/>
  <c r="A33" i="3"/>
  <c r="A185" i="3" s="1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E32" i="3"/>
  <c r="E184" i="3" s="1"/>
  <c r="D32" i="3"/>
  <c r="D184" i="3" s="1"/>
  <c r="C32" i="3"/>
  <c r="C184" i="3" s="1"/>
  <c r="B32" i="3"/>
  <c r="B184" i="3" s="1"/>
  <c r="A32" i="3"/>
  <c r="A184" i="3" s="1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E31" i="3"/>
  <c r="E183" i="3" s="1"/>
  <c r="D31" i="3"/>
  <c r="D183" i="3" s="1"/>
  <c r="C31" i="3"/>
  <c r="C183" i="3" s="1"/>
  <c r="B31" i="3"/>
  <c r="B183" i="3" s="1"/>
  <c r="A31" i="3"/>
  <c r="A183" i="3" s="1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E30" i="3"/>
  <c r="E182" i="3" s="1"/>
  <c r="D30" i="3"/>
  <c r="D182" i="3" s="1"/>
  <c r="C30" i="3"/>
  <c r="C182" i="3" s="1"/>
  <c r="B30" i="3"/>
  <c r="B182" i="3" s="1"/>
  <c r="A30" i="3"/>
  <c r="A182" i="3" s="1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E29" i="3"/>
  <c r="E181" i="3" s="1"/>
  <c r="D29" i="3"/>
  <c r="D181" i="3" s="1"/>
  <c r="C29" i="3"/>
  <c r="C181" i="3" s="1"/>
  <c r="B29" i="3"/>
  <c r="B181" i="3" s="1"/>
  <c r="A29" i="3"/>
  <c r="A181" i="3" s="1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E28" i="3"/>
  <c r="E180" i="3" s="1"/>
  <c r="D28" i="3"/>
  <c r="D180" i="3" s="1"/>
  <c r="C28" i="3"/>
  <c r="C180" i="3" s="1"/>
  <c r="B28" i="3"/>
  <c r="B180" i="3" s="1"/>
  <c r="A28" i="3"/>
  <c r="A180" i="3" s="1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E27" i="3"/>
  <c r="E179" i="3" s="1"/>
  <c r="D27" i="3"/>
  <c r="D179" i="3" s="1"/>
  <c r="C27" i="3"/>
  <c r="C179" i="3" s="1"/>
  <c r="B27" i="3"/>
  <c r="B179" i="3" s="1"/>
  <c r="A27" i="3"/>
  <c r="A179" i="3" s="1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E26" i="3"/>
  <c r="E178" i="3" s="1"/>
  <c r="D26" i="3"/>
  <c r="D178" i="3" s="1"/>
  <c r="C26" i="3"/>
  <c r="C178" i="3" s="1"/>
  <c r="B26" i="3"/>
  <c r="B178" i="3" s="1"/>
  <c r="A26" i="3"/>
  <c r="A178" i="3" s="1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E25" i="3"/>
  <c r="E177" i="3" s="1"/>
  <c r="D25" i="3"/>
  <c r="D177" i="3" s="1"/>
  <c r="C25" i="3"/>
  <c r="C177" i="3" s="1"/>
  <c r="B25" i="3"/>
  <c r="B177" i="3" s="1"/>
  <c r="A25" i="3"/>
  <c r="A177" i="3" s="1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E24" i="3"/>
  <c r="E176" i="3" s="1"/>
  <c r="D24" i="3"/>
  <c r="D176" i="3" s="1"/>
  <c r="C24" i="3"/>
  <c r="C176" i="3" s="1"/>
  <c r="B24" i="3"/>
  <c r="B176" i="3" s="1"/>
  <c r="A24" i="3"/>
  <c r="A176" i="3" s="1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E23" i="3"/>
  <c r="B23" i="3"/>
  <c r="A23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E22" i="3"/>
  <c r="B22" i="3"/>
  <c r="A22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E21" i="3"/>
  <c r="E175" i="3" s="1"/>
  <c r="D21" i="3"/>
  <c r="D175" i="3" s="1"/>
  <c r="C21" i="3"/>
  <c r="C175" i="3" s="1"/>
  <c r="B21" i="3"/>
  <c r="B175" i="3" s="1"/>
  <c r="A21" i="3"/>
  <c r="A175" i="3" s="1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E20" i="3"/>
  <c r="E174" i="3" s="1"/>
  <c r="D20" i="3"/>
  <c r="D174" i="3" s="1"/>
  <c r="C20" i="3"/>
  <c r="C174" i="3" s="1"/>
  <c r="B20" i="3"/>
  <c r="B174" i="3" s="1"/>
  <c r="A20" i="3"/>
  <c r="A174" i="3" s="1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E19" i="3"/>
  <c r="E173" i="3" s="1"/>
  <c r="D19" i="3"/>
  <c r="D173" i="3" s="1"/>
  <c r="C19" i="3"/>
  <c r="C173" i="3" s="1"/>
  <c r="B19" i="3"/>
  <c r="B173" i="3" s="1"/>
  <c r="A19" i="3"/>
  <c r="A173" i="3" s="1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E18" i="3"/>
  <c r="E172" i="3" s="1"/>
  <c r="D18" i="3"/>
  <c r="D172" i="3" s="1"/>
  <c r="C18" i="3"/>
  <c r="C172" i="3" s="1"/>
  <c r="B18" i="3"/>
  <c r="B172" i="3" s="1"/>
  <c r="A18" i="3"/>
  <c r="A172" i="3" s="1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E17" i="3"/>
  <c r="E171" i="3" s="1"/>
  <c r="D17" i="3"/>
  <c r="D171" i="3" s="1"/>
  <c r="C17" i="3"/>
  <c r="C171" i="3" s="1"/>
  <c r="B17" i="3"/>
  <c r="B171" i="3" s="1"/>
  <c r="A17" i="3"/>
  <c r="A171" i="3" s="1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E16" i="3"/>
  <c r="E170" i="3" s="1"/>
  <c r="D16" i="3"/>
  <c r="D170" i="3" s="1"/>
  <c r="C16" i="3"/>
  <c r="C170" i="3" s="1"/>
  <c r="B16" i="3"/>
  <c r="B170" i="3" s="1"/>
  <c r="A16" i="3"/>
  <c r="A170" i="3" s="1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E15" i="3"/>
  <c r="E169" i="3" s="1"/>
  <c r="D15" i="3"/>
  <c r="D169" i="3" s="1"/>
  <c r="C15" i="3"/>
  <c r="C169" i="3" s="1"/>
  <c r="B15" i="3"/>
  <c r="B169" i="3" s="1"/>
  <c r="A15" i="3"/>
  <c r="A169" i="3" s="1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E14" i="3"/>
  <c r="E168" i="3" s="1"/>
  <c r="D14" i="3"/>
  <c r="D168" i="3" s="1"/>
  <c r="C14" i="3"/>
  <c r="C168" i="3" s="1"/>
  <c r="B14" i="3"/>
  <c r="B168" i="3" s="1"/>
  <c r="A14" i="3"/>
  <c r="A168" i="3" s="1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E13" i="3"/>
  <c r="E167" i="3" s="1"/>
  <c r="D13" i="3"/>
  <c r="D167" i="3" s="1"/>
  <c r="C13" i="3"/>
  <c r="C167" i="3" s="1"/>
  <c r="B13" i="3"/>
  <c r="B167" i="3" s="1"/>
  <c r="A13" i="3"/>
  <c r="A167" i="3" s="1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E12" i="3"/>
  <c r="E166" i="3" s="1"/>
  <c r="D12" i="3"/>
  <c r="D166" i="3" s="1"/>
  <c r="C12" i="3"/>
  <c r="C166" i="3" s="1"/>
  <c r="B12" i="3"/>
  <c r="B166" i="3" s="1"/>
  <c r="A12" i="3"/>
  <c r="A166" i="3" s="1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E11" i="3"/>
  <c r="E165" i="3" s="1"/>
  <c r="D11" i="3"/>
  <c r="D165" i="3" s="1"/>
  <c r="C11" i="3"/>
  <c r="C165" i="3" s="1"/>
  <c r="B11" i="3"/>
  <c r="B165" i="3" s="1"/>
  <c r="A11" i="3"/>
  <c r="A165" i="3" s="1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E10" i="3"/>
  <c r="E164" i="3" s="1"/>
  <c r="D10" i="3"/>
  <c r="D164" i="3" s="1"/>
  <c r="C10" i="3"/>
  <c r="C164" i="3" s="1"/>
  <c r="B10" i="3"/>
  <c r="B164" i="3" s="1"/>
  <c r="A10" i="3"/>
  <c r="A164" i="3" s="1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E9" i="3"/>
  <c r="E163" i="3" s="1"/>
  <c r="D9" i="3"/>
  <c r="D163" i="3" s="1"/>
  <c r="C9" i="3"/>
  <c r="C163" i="3" s="1"/>
  <c r="B9" i="3"/>
  <c r="B163" i="3" s="1"/>
  <c r="A9" i="3"/>
  <c r="A163" i="3" s="1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E8" i="3"/>
  <c r="B8" i="3"/>
  <c r="A8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E7" i="3"/>
  <c r="E162" i="3" s="1"/>
  <c r="D7" i="3"/>
  <c r="D162" i="3" s="1"/>
  <c r="C7" i="3"/>
  <c r="C162" i="3" s="1"/>
  <c r="B7" i="3"/>
  <c r="B162" i="3" s="1"/>
  <c r="A7" i="3"/>
  <c r="A162" i="3" s="1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E6" i="3"/>
  <c r="E161" i="3" s="1"/>
  <c r="D6" i="3"/>
  <c r="D161" i="3" s="1"/>
  <c r="C6" i="3"/>
  <c r="C161" i="3" s="1"/>
  <c r="B6" i="3"/>
  <c r="B161" i="3" s="1"/>
  <c r="A6" i="3"/>
  <c r="A161" i="3" s="1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E5" i="3"/>
  <c r="B5" i="3"/>
  <c r="A5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E4" i="3"/>
  <c r="B4" i="3"/>
  <c r="A4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E3" i="3"/>
  <c r="B3" i="3"/>
  <c r="A3" i="3"/>
  <c r="E2" i="3"/>
  <c r="D2" i="3"/>
  <c r="C2" i="3"/>
  <c r="B2" i="3"/>
  <c r="A2" i="3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2" i="2"/>
  <c r="D2" i="2"/>
  <c r="C2" i="2"/>
  <c r="B2" i="2"/>
  <c r="A2" i="2"/>
  <c r="A150" i="3"/>
  <c r="H158" i="3" l="1"/>
  <c r="L158" i="3"/>
  <c r="P158" i="3"/>
  <c r="T158" i="3"/>
  <c r="X158" i="3"/>
  <c r="AB158" i="3"/>
  <c r="AF158" i="3"/>
  <c r="AJ158" i="3"/>
  <c r="AN158" i="3"/>
  <c r="AR158" i="3"/>
  <c r="AV158" i="3"/>
  <c r="AZ158" i="3"/>
  <c r="BD158" i="3"/>
  <c r="BH158" i="3"/>
  <c r="BL158" i="3"/>
  <c r="H159" i="3"/>
  <c r="L159" i="3"/>
  <c r="P159" i="3"/>
  <c r="T159" i="3"/>
  <c r="X159" i="3"/>
  <c r="AB159" i="3"/>
  <c r="AF159" i="3"/>
  <c r="AJ159" i="3"/>
  <c r="AN159" i="3"/>
  <c r="AR159" i="3"/>
  <c r="AV159" i="3"/>
  <c r="AZ159" i="3"/>
  <c r="BD159" i="3"/>
  <c r="BH159" i="3"/>
  <c r="BL159" i="3"/>
  <c r="B154" i="3"/>
  <c r="I158" i="3"/>
  <c r="M158" i="3"/>
  <c r="Q158" i="3"/>
  <c r="U158" i="3"/>
  <c r="Y158" i="3"/>
  <c r="AC158" i="3"/>
  <c r="AG158" i="3"/>
  <c r="AK158" i="3"/>
  <c r="AO158" i="3"/>
  <c r="AS158" i="3"/>
  <c r="AW158" i="3"/>
  <c r="BA158" i="3"/>
  <c r="BE158" i="3"/>
  <c r="BI158" i="3"/>
  <c r="BM158" i="3"/>
  <c r="I159" i="3"/>
  <c r="M159" i="3"/>
  <c r="Q159" i="3"/>
  <c r="U159" i="3"/>
  <c r="Y159" i="3"/>
  <c r="AC159" i="3"/>
  <c r="AG159" i="3"/>
  <c r="AK159" i="3"/>
  <c r="AO159" i="3"/>
  <c r="AS159" i="3"/>
  <c r="AW159" i="3"/>
  <c r="BA159" i="3"/>
  <c r="BE159" i="3"/>
  <c r="BI159" i="3"/>
  <c r="BM159" i="3"/>
  <c r="F158" i="3"/>
  <c r="J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BJ158" i="3"/>
  <c r="F159" i="3"/>
  <c r="J159" i="3"/>
  <c r="N159" i="3"/>
  <c r="R159" i="3"/>
  <c r="V159" i="3"/>
  <c r="Z159" i="3"/>
  <c r="AD159" i="3"/>
  <c r="AH159" i="3"/>
  <c r="AL159" i="3"/>
  <c r="AP159" i="3"/>
  <c r="AT159" i="3"/>
  <c r="AX159" i="3"/>
  <c r="BB159" i="3"/>
  <c r="BF159" i="3"/>
  <c r="BJ159" i="3"/>
  <c r="G158" i="3"/>
  <c r="K158" i="3"/>
  <c r="O158" i="3"/>
  <c r="S158" i="3"/>
  <c r="W158" i="3"/>
  <c r="AA158" i="3"/>
  <c r="AE158" i="3"/>
  <c r="AI158" i="3"/>
  <c r="AM158" i="3"/>
  <c r="AQ158" i="3"/>
  <c r="AU158" i="3"/>
  <c r="AY158" i="3"/>
  <c r="BC158" i="3"/>
  <c r="BG158" i="3"/>
  <c r="BK158" i="3"/>
  <c r="G159" i="3"/>
  <c r="K159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BK159" i="3"/>
  <c r="F259" i="3"/>
  <c r="F251" i="3"/>
  <c r="F258" i="3"/>
  <c r="F243" i="3"/>
  <c r="F235" i="3"/>
  <c r="F227" i="3"/>
  <c r="F242" i="3"/>
  <c r="F226" i="3"/>
  <c r="F220" i="3"/>
  <c r="F240" i="3"/>
  <c r="F221" i="3"/>
  <c r="F257" i="3"/>
  <c r="F249" i="3"/>
  <c r="F250" i="3"/>
  <c r="F241" i="3"/>
  <c r="F233" i="3"/>
  <c r="F225" i="3"/>
  <c r="F238" i="3"/>
  <c r="F246" i="3"/>
  <c r="F218" i="3"/>
  <c r="F236" i="3"/>
  <c r="F223" i="3"/>
  <c r="C281" i="3"/>
  <c r="C283" i="3"/>
  <c r="C285" i="3"/>
  <c r="C273" i="3"/>
  <c r="C275" i="3"/>
  <c r="C277" i="3"/>
  <c r="F255" i="3"/>
  <c r="F247" i="3"/>
  <c r="F256" i="3"/>
  <c r="F239" i="3"/>
  <c r="F231" i="3"/>
  <c r="F254" i="3"/>
  <c r="F234" i="3"/>
  <c r="F224" i="3"/>
  <c r="F260" i="3"/>
  <c r="F232" i="3"/>
  <c r="F219" i="3"/>
  <c r="F253" i="3"/>
  <c r="F245" i="3"/>
  <c r="F248" i="3"/>
  <c r="F237" i="3"/>
  <c r="F229" i="3"/>
  <c r="F252" i="3"/>
  <c r="F230" i="3"/>
  <c r="F222" i="3"/>
  <c r="F244" i="3"/>
  <c r="F228" i="3"/>
  <c r="B277" i="3" l="1"/>
  <c r="B275" i="3"/>
  <c r="B273" i="3"/>
  <c r="B285" i="3"/>
  <c r="B283" i="3"/>
  <c r="B281" i="3"/>
  <c r="BG213" i="3"/>
  <c r="BG215" i="3"/>
  <c r="BG206" i="3"/>
  <c r="BG196" i="3"/>
  <c r="BG202" i="3"/>
  <c r="BG197" i="3"/>
  <c r="BG184" i="3"/>
  <c r="BG186" i="3"/>
  <c r="BG180" i="3"/>
  <c r="BG182" i="3"/>
  <c r="BG177" i="3"/>
  <c r="BG164" i="3"/>
  <c r="BG163" i="3"/>
  <c r="BG169" i="3"/>
  <c r="AQ217" i="3"/>
  <c r="AQ209" i="3"/>
  <c r="AQ203" i="3"/>
  <c r="AQ208" i="3"/>
  <c r="AQ195" i="3"/>
  <c r="AQ194" i="3"/>
  <c r="AQ188" i="3"/>
  <c r="AQ190" i="3"/>
  <c r="AQ185" i="3"/>
  <c r="AQ175" i="3"/>
  <c r="AQ174" i="3"/>
  <c r="AQ172" i="3"/>
  <c r="AQ171" i="3"/>
  <c r="AQ166" i="3"/>
  <c r="AQ161" i="3"/>
  <c r="AA216" i="3"/>
  <c r="AA212" i="3"/>
  <c r="AA205" i="3"/>
  <c r="AA196" i="3"/>
  <c r="AA202" i="3"/>
  <c r="AA197" i="3"/>
  <c r="AA191" i="3"/>
  <c r="AA193" i="3"/>
  <c r="AA176" i="3"/>
  <c r="AA182" i="3"/>
  <c r="AA177" i="3"/>
  <c r="AA164" i="3"/>
  <c r="AA163" i="3"/>
  <c r="AA169" i="3"/>
  <c r="K217" i="3"/>
  <c r="K215" i="3"/>
  <c r="K206" i="3"/>
  <c r="K208" i="3"/>
  <c r="K195" i="3"/>
  <c r="K194" i="3"/>
  <c r="K188" i="3"/>
  <c r="K190" i="3"/>
  <c r="K185" i="3"/>
  <c r="K179" i="3"/>
  <c r="K174" i="3"/>
  <c r="K172" i="3"/>
  <c r="K171" i="3"/>
  <c r="K166" i="3"/>
  <c r="K161" i="3"/>
  <c r="AX210" i="3"/>
  <c r="AX209" i="3"/>
  <c r="AX207" i="3"/>
  <c r="AX197" i="3"/>
  <c r="AX199" i="3"/>
  <c r="AX194" i="3"/>
  <c r="AX192" i="3"/>
  <c r="AX187" i="3"/>
  <c r="AX177" i="3"/>
  <c r="AX176" i="3"/>
  <c r="AX178" i="3"/>
  <c r="AX161" i="3"/>
  <c r="AX160" i="3"/>
  <c r="AX170" i="3"/>
  <c r="AH211" i="3"/>
  <c r="AH212" i="3"/>
  <c r="AH204" i="3"/>
  <c r="AH205" i="3"/>
  <c r="AH196" i="3"/>
  <c r="AH202" i="3"/>
  <c r="AH189" i="3"/>
  <c r="AH184" i="3"/>
  <c r="AH186" i="3"/>
  <c r="AH180" i="3"/>
  <c r="AH175" i="3"/>
  <c r="AH169" i="3"/>
  <c r="AH168" i="3"/>
  <c r="AH167" i="3"/>
  <c r="AH162" i="3"/>
  <c r="R210" i="3"/>
  <c r="R209" i="3"/>
  <c r="R207" i="3"/>
  <c r="R200" i="3"/>
  <c r="R199" i="3"/>
  <c r="R194" i="3"/>
  <c r="R192" i="3"/>
  <c r="R187" i="3"/>
  <c r="R177" i="3"/>
  <c r="R183" i="3"/>
  <c r="R178" i="3"/>
  <c r="R161" i="3"/>
  <c r="R160" i="3"/>
  <c r="R170" i="3"/>
  <c r="BI212" i="3"/>
  <c r="BI213" i="3"/>
  <c r="BI208" i="3"/>
  <c r="BI206" i="3"/>
  <c r="BI201" i="3"/>
  <c r="BI196" i="3"/>
  <c r="BI186" i="3"/>
  <c r="BI192" i="3"/>
  <c r="BI183" i="3"/>
  <c r="BI181" i="3"/>
  <c r="BI180" i="3"/>
  <c r="BI170" i="3"/>
  <c r="BI165" i="3"/>
  <c r="BI164" i="3"/>
  <c r="BI163" i="3"/>
  <c r="AS211" i="3"/>
  <c r="AS217" i="3"/>
  <c r="AS204" i="3"/>
  <c r="AS198" i="3"/>
  <c r="AS203" i="3"/>
  <c r="AS195" i="3"/>
  <c r="AS189" i="3"/>
  <c r="AS191" i="3"/>
  <c r="AS174" i="3"/>
  <c r="AS173" i="3"/>
  <c r="AS179" i="3"/>
  <c r="AS162" i="3"/>
  <c r="AS172" i="3"/>
  <c r="AS171" i="3"/>
  <c r="AC212" i="3"/>
  <c r="AC214" i="3"/>
  <c r="AC209" i="3"/>
  <c r="AC206" i="3"/>
  <c r="AC201" i="3"/>
  <c r="AC196" i="3"/>
  <c r="AC186" i="3"/>
  <c r="AC192" i="3"/>
  <c r="AC182" i="3"/>
  <c r="AC177" i="3"/>
  <c r="AC183" i="3"/>
  <c r="AC166" i="3"/>
  <c r="AC161" i="3"/>
  <c r="AC164" i="3"/>
  <c r="AC163" i="3"/>
  <c r="M211" i="3"/>
  <c r="M205" i="3"/>
  <c r="M217" i="3"/>
  <c r="M198" i="3"/>
  <c r="M200" i="3"/>
  <c r="M190" i="3"/>
  <c r="M185" i="3"/>
  <c r="M191" i="3"/>
  <c r="M174" i="3"/>
  <c r="M180" i="3"/>
  <c r="M175" i="3"/>
  <c r="M169" i="3"/>
  <c r="M172" i="3"/>
  <c r="M171" i="3"/>
  <c r="BD213" i="3"/>
  <c r="BD211" i="3"/>
  <c r="BD206" i="3"/>
  <c r="BD199" i="3"/>
  <c r="BD194" i="3"/>
  <c r="BD204" i="3"/>
  <c r="BD187" i="3"/>
  <c r="BD193" i="3"/>
  <c r="BD188" i="3"/>
  <c r="BD182" i="3"/>
  <c r="BD177" i="3"/>
  <c r="BD171" i="3"/>
  <c r="BD166" i="3"/>
  <c r="BD161" i="3"/>
  <c r="BD160" i="3"/>
  <c r="AN212" i="3"/>
  <c r="AN209" i="3"/>
  <c r="AN208" i="3"/>
  <c r="AN202" i="3"/>
  <c r="AN201" i="3"/>
  <c r="AN196" i="3"/>
  <c r="AN190" i="3"/>
  <c r="AN185" i="3"/>
  <c r="AN179" i="3"/>
  <c r="AN174" i="3"/>
  <c r="AN176" i="3"/>
  <c r="AN173" i="3"/>
  <c r="AN169" i="3"/>
  <c r="AN168" i="3"/>
  <c r="X213" i="3"/>
  <c r="X210" i="3"/>
  <c r="X209" i="3"/>
  <c r="X199" i="3"/>
  <c r="X194" i="3"/>
  <c r="X204" i="3"/>
  <c r="X187" i="3"/>
  <c r="X189" i="3"/>
  <c r="X184" i="3"/>
  <c r="X182" i="3"/>
  <c r="X177" i="3"/>
  <c r="X167" i="3"/>
  <c r="X166" i="3"/>
  <c r="X161" i="3"/>
  <c r="X160" i="3"/>
  <c r="H212" i="3"/>
  <c r="H206" i="3"/>
  <c r="H208" i="3"/>
  <c r="H202" i="3"/>
  <c r="H201" i="3"/>
  <c r="H196" i="3"/>
  <c r="H186" i="3"/>
  <c r="H192" i="3"/>
  <c r="H179" i="3"/>
  <c r="H174" i="3"/>
  <c r="H176" i="3"/>
  <c r="H173" i="3"/>
  <c r="H169" i="3"/>
  <c r="H168" i="3"/>
  <c r="BC210" i="3"/>
  <c r="BC215" i="3"/>
  <c r="BC207" i="3"/>
  <c r="BC208" i="3"/>
  <c r="BC199" i="3"/>
  <c r="BC194" i="3"/>
  <c r="BC188" i="3"/>
  <c r="BC190" i="3"/>
  <c r="BC185" i="3"/>
  <c r="BC175" i="3"/>
  <c r="BC174" i="3"/>
  <c r="BC172" i="3"/>
  <c r="BC171" i="3"/>
  <c r="BC166" i="3"/>
  <c r="BC161" i="3"/>
  <c r="AM216" i="3"/>
  <c r="AM209" i="3"/>
  <c r="AM206" i="3"/>
  <c r="AM200" i="3"/>
  <c r="AM202" i="3"/>
  <c r="AM197" i="3"/>
  <c r="AM191" i="3"/>
  <c r="AM193" i="3"/>
  <c r="AM176" i="3"/>
  <c r="AM182" i="3"/>
  <c r="AM177" i="3"/>
  <c r="AM164" i="3"/>
  <c r="AM163" i="3"/>
  <c r="AM169" i="3"/>
  <c r="W217" i="3"/>
  <c r="W212" i="3"/>
  <c r="W203" i="3"/>
  <c r="W208" i="3"/>
  <c r="W199" i="3"/>
  <c r="W194" i="3"/>
  <c r="W188" i="3"/>
  <c r="W190" i="3"/>
  <c r="W185" i="3"/>
  <c r="W179" i="3"/>
  <c r="W174" i="3"/>
  <c r="W172" i="3"/>
  <c r="W171" i="3"/>
  <c r="W166" i="3"/>
  <c r="W161" i="3"/>
  <c r="G216" i="3"/>
  <c r="G211" i="3"/>
  <c r="G209" i="3"/>
  <c r="G200" i="3"/>
  <c r="G202" i="3"/>
  <c r="G197" i="3"/>
  <c r="G191" i="3"/>
  <c r="G193" i="3"/>
  <c r="G176" i="3"/>
  <c r="G182" i="3"/>
  <c r="G177" i="3"/>
  <c r="G164" i="3"/>
  <c r="G163" i="3"/>
  <c r="G169" i="3"/>
  <c r="BJ211" i="3"/>
  <c r="BJ213" i="3"/>
  <c r="BJ204" i="3"/>
  <c r="BJ205" i="3"/>
  <c r="BJ200" i="3"/>
  <c r="BJ202" i="3"/>
  <c r="BJ185" i="3"/>
  <c r="BJ184" i="3"/>
  <c r="BJ186" i="3"/>
  <c r="BJ180" i="3"/>
  <c r="BJ183" i="3"/>
  <c r="BJ169" i="3"/>
  <c r="BJ168" i="3"/>
  <c r="BJ167" i="3"/>
  <c r="BJ162" i="3"/>
  <c r="AT210" i="3"/>
  <c r="AT209" i="3"/>
  <c r="AT207" i="3"/>
  <c r="AT197" i="3"/>
  <c r="AT199" i="3"/>
  <c r="AT194" i="3"/>
  <c r="AT192" i="3"/>
  <c r="AT187" i="3"/>
  <c r="AT181" i="3"/>
  <c r="AT176" i="3"/>
  <c r="AT178" i="3"/>
  <c r="AT161" i="3"/>
  <c r="AT160" i="3"/>
  <c r="AT170" i="3"/>
  <c r="AD211" i="3"/>
  <c r="AD213" i="3"/>
  <c r="AD204" i="3"/>
  <c r="AD205" i="3"/>
  <c r="AD200" i="3"/>
  <c r="AD202" i="3"/>
  <c r="AD189" i="3"/>
  <c r="AD184" i="3"/>
  <c r="AD186" i="3"/>
  <c r="AD180" i="3"/>
  <c r="AD175" i="3"/>
  <c r="AD169" i="3"/>
  <c r="AD168" i="3"/>
  <c r="AD167" i="3"/>
  <c r="AD162" i="3"/>
  <c r="N210" i="3"/>
  <c r="N209" i="3"/>
  <c r="N216" i="3"/>
  <c r="N203" i="3"/>
  <c r="N195" i="3"/>
  <c r="N194" i="3"/>
  <c r="N192" i="3"/>
  <c r="N187" i="3"/>
  <c r="N177" i="3"/>
  <c r="N183" i="3"/>
  <c r="N178" i="3"/>
  <c r="N161" i="3"/>
  <c r="N160" i="3"/>
  <c r="N170" i="3"/>
  <c r="BE212" i="3"/>
  <c r="BE213" i="3"/>
  <c r="BE208" i="3"/>
  <c r="BE206" i="3"/>
  <c r="BE203" i="3"/>
  <c r="BE196" i="3"/>
  <c r="BE186" i="3"/>
  <c r="BE192" i="3"/>
  <c r="BE183" i="3"/>
  <c r="BE181" i="3"/>
  <c r="BE176" i="3"/>
  <c r="BE170" i="3"/>
  <c r="BE165" i="3"/>
  <c r="BE164" i="3"/>
  <c r="BE163" i="3"/>
  <c r="AO211" i="3"/>
  <c r="AO208" i="3"/>
  <c r="AO210" i="3"/>
  <c r="AO198" i="3"/>
  <c r="AO197" i="3"/>
  <c r="AO195" i="3"/>
  <c r="AO189" i="3"/>
  <c r="AO191" i="3"/>
  <c r="AO178" i="3"/>
  <c r="AO173" i="3"/>
  <c r="AO179" i="3"/>
  <c r="AO162" i="3"/>
  <c r="AO172" i="3"/>
  <c r="AO171" i="3"/>
  <c r="Y212" i="3"/>
  <c r="Y213" i="3"/>
  <c r="Y208" i="3"/>
  <c r="Y206" i="3"/>
  <c r="Y203" i="3"/>
  <c r="Y196" i="3"/>
  <c r="Y186" i="3"/>
  <c r="Y192" i="3"/>
  <c r="Y182" i="3"/>
  <c r="Y177" i="3"/>
  <c r="Y183" i="3"/>
  <c r="Y170" i="3"/>
  <c r="Y165" i="3"/>
  <c r="Y164" i="3"/>
  <c r="Y163" i="3"/>
  <c r="I211" i="3"/>
  <c r="I205" i="3"/>
  <c r="I214" i="3"/>
  <c r="I198" i="3"/>
  <c r="I200" i="3"/>
  <c r="I194" i="3"/>
  <c r="I189" i="3"/>
  <c r="I191" i="3"/>
  <c r="I174" i="3"/>
  <c r="I176" i="3"/>
  <c r="I175" i="3"/>
  <c r="I162" i="3"/>
  <c r="I172" i="3"/>
  <c r="I171" i="3"/>
  <c r="AZ213" i="3"/>
  <c r="AZ215" i="3"/>
  <c r="AZ205" i="3"/>
  <c r="AZ199" i="3"/>
  <c r="AZ202" i="3"/>
  <c r="AZ197" i="3"/>
  <c r="AZ187" i="3"/>
  <c r="AZ193" i="3"/>
  <c r="AZ188" i="3"/>
  <c r="AZ182" i="3"/>
  <c r="AZ177" i="3"/>
  <c r="AZ171" i="3"/>
  <c r="AZ166" i="3"/>
  <c r="AZ161" i="3"/>
  <c r="AZ160" i="3"/>
  <c r="AJ212" i="3"/>
  <c r="AJ206" i="3"/>
  <c r="AJ211" i="3"/>
  <c r="AJ204" i="3"/>
  <c r="AJ194" i="3"/>
  <c r="AJ196" i="3"/>
  <c r="AJ186" i="3"/>
  <c r="AJ192" i="3"/>
  <c r="AJ179" i="3"/>
  <c r="AJ174" i="3"/>
  <c r="AJ176" i="3"/>
  <c r="AJ170" i="3"/>
  <c r="AJ165" i="3"/>
  <c r="AJ168" i="3"/>
  <c r="T213" i="3"/>
  <c r="T214" i="3"/>
  <c r="T205" i="3"/>
  <c r="T199" i="3"/>
  <c r="T202" i="3"/>
  <c r="T197" i="3"/>
  <c r="T187" i="3"/>
  <c r="T189" i="3"/>
  <c r="T184" i="3"/>
  <c r="T182" i="3"/>
  <c r="T177" i="3"/>
  <c r="T167" i="3"/>
  <c r="T162" i="3"/>
  <c r="T173" i="3"/>
  <c r="T160" i="3"/>
  <c r="AY213" i="3"/>
  <c r="AY215" i="3"/>
  <c r="AY206" i="3"/>
  <c r="AY196" i="3"/>
  <c r="AY202" i="3"/>
  <c r="AY197" i="3"/>
  <c r="AY191" i="3"/>
  <c r="AY193" i="3"/>
  <c r="AY180" i="3"/>
  <c r="AY182" i="3"/>
  <c r="AY177" i="3"/>
  <c r="AY164" i="3"/>
  <c r="AY163" i="3"/>
  <c r="AY169" i="3"/>
  <c r="AI217" i="3"/>
  <c r="AI210" i="3"/>
  <c r="AI203" i="3"/>
  <c r="AI208" i="3"/>
  <c r="AI195" i="3"/>
  <c r="AI194" i="3"/>
  <c r="AI188" i="3"/>
  <c r="AI190" i="3"/>
  <c r="AI185" i="3"/>
  <c r="AI179" i="3"/>
  <c r="AI174" i="3"/>
  <c r="AI172" i="3"/>
  <c r="AI171" i="3"/>
  <c r="AI166" i="3"/>
  <c r="AI161" i="3"/>
  <c r="S216" i="3"/>
  <c r="S207" i="3"/>
  <c r="S206" i="3"/>
  <c r="S196" i="3"/>
  <c r="S202" i="3"/>
  <c r="S197" i="3"/>
  <c r="S191" i="3"/>
  <c r="S193" i="3"/>
  <c r="S176" i="3"/>
  <c r="S182" i="3"/>
  <c r="S177" i="3"/>
  <c r="S164" i="3"/>
  <c r="S163" i="3"/>
  <c r="S169" i="3"/>
  <c r="BF211" i="3"/>
  <c r="BF216" i="3"/>
  <c r="BF208" i="3"/>
  <c r="BF205" i="3"/>
  <c r="BF200" i="3"/>
  <c r="BF202" i="3"/>
  <c r="BF189" i="3"/>
  <c r="BF184" i="3"/>
  <c r="BF186" i="3"/>
  <c r="BF183" i="3"/>
  <c r="BF175" i="3"/>
  <c r="BF169" i="3"/>
  <c r="BF168" i="3"/>
  <c r="BF167" i="3"/>
  <c r="BF162" i="3"/>
  <c r="AP210" i="3"/>
  <c r="AP209" i="3"/>
  <c r="AP213" i="3"/>
  <c r="AP201" i="3"/>
  <c r="AP199" i="3"/>
  <c r="AP194" i="3"/>
  <c r="AP192" i="3"/>
  <c r="AP187" i="3"/>
  <c r="AP177" i="3"/>
  <c r="AP179" i="3"/>
  <c r="AP178" i="3"/>
  <c r="AP161" i="3"/>
  <c r="AP160" i="3"/>
  <c r="AP170" i="3"/>
  <c r="Z211" i="3"/>
  <c r="Z216" i="3"/>
  <c r="Z208" i="3"/>
  <c r="Z205" i="3"/>
  <c r="Z200" i="3"/>
  <c r="Z202" i="3"/>
  <c r="Z189" i="3"/>
  <c r="Z184" i="3"/>
  <c r="Z186" i="3"/>
  <c r="Z180" i="3"/>
  <c r="Z175" i="3"/>
  <c r="Z169" i="3"/>
  <c r="Z168" i="3"/>
  <c r="Z167" i="3"/>
  <c r="Z162" i="3"/>
  <c r="J210" i="3"/>
  <c r="J209" i="3"/>
  <c r="J213" i="3"/>
  <c r="J201" i="3"/>
  <c r="J199" i="3"/>
  <c r="J194" i="3"/>
  <c r="J192" i="3"/>
  <c r="J187" i="3"/>
  <c r="J177" i="3"/>
  <c r="J183" i="3"/>
  <c r="J178" i="3"/>
  <c r="J161" i="3"/>
  <c r="J160" i="3"/>
  <c r="J170" i="3"/>
  <c r="BA212" i="3"/>
  <c r="BA214" i="3"/>
  <c r="BA209" i="3"/>
  <c r="BA206" i="3"/>
  <c r="BA194" i="3"/>
  <c r="BA196" i="3"/>
  <c r="BA186" i="3"/>
  <c r="BA192" i="3"/>
  <c r="BA183" i="3"/>
  <c r="BA174" i="3"/>
  <c r="BA180" i="3"/>
  <c r="BA170" i="3"/>
  <c r="BA165" i="3"/>
  <c r="BA164" i="3"/>
  <c r="BA163" i="3"/>
  <c r="AK211" i="3"/>
  <c r="AK210" i="3"/>
  <c r="AK204" i="3"/>
  <c r="AK202" i="3"/>
  <c r="AK197" i="3"/>
  <c r="AK195" i="3"/>
  <c r="AK189" i="3"/>
  <c r="AK191" i="3"/>
  <c r="AK178" i="3"/>
  <c r="AK180" i="3"/>
  <c r="AK175" i="3"/>
  <c r="AK169" i="3"/>
  <c r="AK172" i="3"/>
  <c r="AK171" i="3"/>
  <c r="U212" i="3"/>
  <c r="U214" i="3"/>
  <c r="U208" i="3"/>
  <c r="U206" i="3"/>
  <c r="U201" i="3"/>
  <c r="U199" i="3"/>
  <c r="U194" i="3"/>
  <c r="U192" i="3"/>
  <c r="U184" i="3"/>
  <c r="U181" i="3"/>
  <c r="U183" i="3"/>
  <c r="U166" i="3"/>
  <c r="U161" i="3"/>
  <c r="U164" i="3"/>
  <c r="U163" i="3"/>
  <c r="BL212" i="3"/>
  <c r="BL209" i="3"/>
  <c r="BL215" i="3"/>
  <c r="BL195" i="3"/>
  <c r="BL201" i="3"/>
  <c r="BL196" i="3"/>
  <c r="BL183" i="3"/>
  <c r="BL185" i="3"/>
  <c r="BL179" i="3"/>
  <c r="BL174" i="3"/>
  <c r="BL180" i="3"/>
  <c r="BL163" i="3"/>
  <c r="BL169" i="3"/>
  <c r="BL168" i="3"/>
  <c r="AV213" i="3"/>
  <c r="AV211" i="3"/>
  <c r="AV215" i="3"/>
  <c r="AV203" i="3"/>
  <c r="AV198" i="3"/>
  <c r="AV204" i="3"/>
  <c r="AV187" i="3"/>
  <c r="AV193" i="3"/>
  <c r="AV188" i="3"/>
  <c r="AV182" i="3"/>
  <c r="AV177" i="3"/>
  <c r="AV171" i="3"/>
  <c r="AV166" i="3"/>
  <c r="AV161" i="3"/>
  <c r="AV160" i="3"/>
  <c r="AF212" i="3"/>
  <c r="AF209" i="3"/>
  <c r="AF215" i="3"/>
  <c r="AF195" i="3"/>
  <c r="AF201" i="3"/>
  <c r="AF196" i="3"/>
  <c r="AF186" i="3"/>
  <c r="AF192" i="3"/>
  <c r="AF179" i="3"/>
  <c r="AF174" i="3"/>
  <c r="AF176" i="3"/>
  <c r="AF173" i="3"/>
  <c r="AF169" i="3"/>
  <c r="AF168" i="3"/>
  <c r="P213" i="3"/>
  <c r="P211" i="3"/>
  <c r="P205" i="3"/>
  <c r="P203" i="3"/>
  <c r="P198" i="3"/>
  <c r="P204" i="3"/>
  <c r="P187" i="3"/>
  <c r="P189" i="3"/>
  <c r="P184" i="3"/>
  <c r="P182" i="3"/>
  <c r="P177" i="3"/>
  <c r="P167" i="3"/>
  <c r="P166" i="3"/>
  <c r="P161" i="3"/>
  <c r="P160" i="3"/>
  <c r="BK213" i="3"/>
  <c r="BK209" i="3"/>
  <c r="BK206" i="3"/>
  <c r="BK200" i="3"/>
  <c r="BK202" i="3"/>
  <c r="BK197" i="3"/>
  <c r="BK184" i="3"/>
  <c r="BK186" i="3"/>
  <c r="BK176" i="3"/>
  <c r="BK182" i="3"/>
  <c r="BK177" i="3"/>
  <c r="BK164" i="3"/>
  <c r="BK163" i="3"/>
  <c r="BK169" i="3"/>
  <c r="AU217" i="3"/>
  <c r="AU212" i="3"/>
  <c r="AU203" i="3"/>
  <c r="AU208" i="3"/>
  <c r="AU199" i="3"/>
  <c r="AU194" i="3"/>
  <c r="AU188" i="3"/>
  <c r="AU190" i="3"/>
  <c r="AU185" i="3"/>
  <c r="AU175" i="3"/>
  <c r="AU183" i="3"/>
  <c r="AU172" i="3"/>
  <c r="AU171" i="3"/>
  <c r="AU166" i="3"/>
  <c r="AU161" i="3"/>
  <c r="AE216" i="3"/>
  <c r="AE211" i="3"/>
  <c r="AE206" i="3"/>
  <c r="AE200" i="3"/>
  <c r="AE202" i="3"/>
  <c r="AE197" i="3"/>
  <c r="AE191" i="3"/>
  <c r="AE193" i="3"/>
  <c r="AE176" i="3"/>
  <c r="AE182" i="3"/>
  <c r="AE177" i="3"/>
  <c r="AE164" i="3"/>
  <c r="AE163" i="3"/>
  <c r="AE169" i="3"/>
  <c r="O217" i="3"/>
  <c r="O212" i="3"/>
  <c r="O207" i="3"/>
  <c r="O208" i="3"/>
  <c r="O199" i="3"/>
  <c r="O194" i="3"/>
  <c r="O188" i="3"/>
  <c r="O190" i="3"/>
  <c r="O185" i="3"/>
  <c r="O179" i="3"/>
  <c r="O174" i="3"/>
  <c r="O172" i="3"/>
  <c r="O171" i="3"/>
  <c r="O166" i="3"/>
  <c r="O161" i="3"/>
  <c r="BB210" i="3"/>
  <c r="BB212" i="3"/>
  <c r="BB207" i="3"/>
  <c r="BB197" i="3"/>
  <c r="BB195" i="3"/>
  <c r="BB194" i="3"/>
  <c r="BB192" i="3"/>
  <c r="BB187" i="3"/>
  <c r="BB177" i="3"/>
  <c r="BB179" i="3"/>
  <c r="BB178" i="3"/>
  <c r="BB161" i="3"/>
  <c r="BB160" i="3"/>
  <c r="BB170" i="3"/>
  <c r="AL211" i="3"/>
  <c r="AL216" i="3"/>
  <c r="AL208" i="3"/>
  <c r="AL205" i="3"/>
  <c r="AL196" i="3"/>
  <c r="AL202" i="3"/>
  <c r="AL189" i="3"/>
  <c r="AL184" i="3"/>
  <c r="AL186" i="3"/>
  <c r="AL180" i="3"/>
  <c r="AL175" i="3"/>
  <c r="AL169" i="3"/>
  <c r="AL168" i="3"/>
  <c r="AL167" i="3"/>
  <c r="AL162" i="3"/>
  <c r="V210" i="3"/>
  <c r="V212" i="3"/>
  <c r="V207" i="3"/>
  <c r="V205" i="3"/>
  <c r="V195" i="3"/>
  <c r="V194" i="3"/>
  <c r="V192" i="3"/>
  <c r="V187" i="3"/>
  <c r="V177" i="3"/>
  <c r="V183" i="3"/>
  <c r="V178" i="3"/>
  <c r="V161" i="3"/>
  <c r="V160" i="3"/>
  <c r="V170" i="3"/>
  <c r="F211" i="3"/>
  <c r="F216" i="3"/>
  <c r="F204" i="3"/>
  <c r="F201" i="3"/>
  <c r="F196" i="3"/>
  <c r="F202" i="3"/>
  <c r="F189" i="3"/>
  <c r="F184" i="3"/>
  <c r="F186" i="3"/>
  <c r="F180" i="3"/>
  <c r="F175" i="3"/>
  <c r="F169" i="3"/>
  <c r="F168" i="3"/>
  <c r="F167" i="3"/>
  <c r="F162" i="3"/>
  <c r="BM211" i="3"/>
  <c r="BM205" i="3"/>
  <c r="BM214" i="3"/>
  <c r="BM198" i="3"/>
  <c r="BM200" i="3"/>
  <c r="BM195" i="3"/>
  <c r="BM185" i="3"/>
  <c r="BM191" i="3"/>
  <c r="BM178" i="3"/>
  <c r="BM177" i="3"/>
  <c r="BM179" i="3"/>
  <c r="BM162" i="3"/>
  <c r="BM172" i="3"/>
  <c r="BM171" i="3"/>
  <c r="AW212" i="3"/>
  <c r="AW210" i="3"/>
  <c r="AW208" i="3"/>
  <c r="AW206" i="3"/>
  <c r="AW201" i="3"/>
  <c r="AW203" i="3"/>
  <c r="AW186" i="3"/>
  <c r="AW192" i="3"/>
  <c r="AW182" i="3"/>
  <c r="AW181" i="3"/>
  <c r="AW180" i="3"/>
  <c r="AW170" i="3"/>
  <c r="AW165" i="3"/>
  <c r="AW164" i="3"/>
  <c r="AW163" i="3"/>
  <c r="AG211" i="3"/>
  <c r="AG205" i="3"/>
  <c r="AG214" i="3"/>
  <c r="AG198" i="3"/>
  <c r="AG200" i="3"/>
  <c r="AG195" i="3"/>
  <c r="AG189" i="3"/>
  <c r="AG191" i="3"/>
  <c r="AG174" i="3"/>
  <c r="AG180" i="3"/>
  <c r="AG175" i="3"/>
  <c r="AG162" i="3"/>
  <c r="AG172" i="3"/>
  <c r="AG171" i="3"/>
  <c r="Q212" i="3"/>
  <c r="Q210" i="3"/>
  <c r="Q208" i="3"/>
  <c r="Q206" i="3"/>
  <c r="Q197" i="3"/>
  <c r="Q199" i="3"/>
  <c r="Q193" i="3"/>
  <c r="Q192" i="3"/>
  <c r="Q182" i="3"/>
  <c r="Q181" i="3"/>
  <c r="Q183" i="3"/>
  <c r="Q170" i="3"/>
  <c r="Q165" i="3"/>
  <c r="Q164" i="3"/>
  <c r="Q163" i="3"/>
  <c r="BH212" i="3"/>
  <c r="BH211" i="3"/>
  <c r="BH208" i="3"/>
  <c r="BH204" i="3"/>
  <c r="BH201" i="3"/>
  <c r="BH196" i="3"/>
  <c r="BH190" i="3"/>
  <c r="BH193" i="3"/>
  <c r="BH179" i="3"/>
  <c r="BH174" i="3"/>
  <c r="BH180" i="3"/>
  <c r="BH163" i="3"/>
  <c r="BH169" i="3"/>
  <c r="BH168" i="3"/>
  <c r="AR213" i="3"/>
  <c r="AR210" i="3"/>
  <c r="AR211" i="3"/>
  <c r="AR199" i="3"/>
  <c r="AR198" i="3"/>
  <c r="AR203" i="3"/>
  <c r="AR187" i="3"/>
  <c r="AR193" i="3"/>
  <c r="AR188" i="3"/>
  <c r="AR182" i="3"/>
  <c r="AR177" i="3"/>
  <c r="AR171" i="3"/>
  <c r="AR166" i="3"/>
  <c r="AR161" i="3"/>
  <c r="AR160" i="3"/>
  <c r="AB212" i="3"/>
  <c r="AB211" i="3"/>
  <c r="AB208" i="3"/>
  <c r="AB204" i="3"/>
  <c r="AB201" i="3"/>
  <c r="AB196" i="3"/>
  <c r="AB186" i="3"/>
  <c r="AB192" i="3"/>
  <c r="AB179" i="3"/>
  <c r="AB174" i="3"/>
  <c r="AB176" i="3"/>
  <c r="AB170" i="3"/>
  <c r="AB165" i="3"/>
  <c r="AB168" i="3"/>
  <c r="L213" i="3"/>
  <c r="L210" i="3"/>
  <c r="L211" i="3"/>
  <c r="L199" i="3"/>
  <c r="L198" i="3"/>
  <c r="L203" i="3"/>
  <c r="L187" i="3"/>
  <c r="L189" i="3"/>
  <c r="L184" i="3"/>
  <c r="L182" i="3"/>
  <c r="L177" i="3"/>
  <c r="L167" i="3"/>
  <c r="L162" i="3"/>
  <c r="L173" i="3"/>
  <c r="L160" i="3"/>
  <c r="L163" i="3"/>
  <c r="L172" i="3"/>
  <c r="L204" i="3"/>
  <c r="L186" i="3"/>
  <c r="L174" i="3"/>
  <c r="L165" i="3"/>
  <c r="Q168" i="3"/>
  <c r="BH200" i="3"/>
  <c r="BH173" i="3"/>
  <c r="BH172" i="3"/>
  <c r="AR207" i="3"/>
  <c r="AR186" i="3"/>
  <c r="AR170" i="3"/>
  <c r="AB216" i="3"/>
  <c r="AB194" i="3"/>
  <c r="AB183" i="3"/>
  <c r="AB163" i="3"/>
  <c r="L217" i="3"/>
  <c r="L207" i="3"/>
  <c r="L193" i="3"/>
  <c r="L171" i="3"/>
  <c r="L164" i="3"/>
  <c r="BG214" i="3"/>
  <c r="BG216" i="3"/>
  <c r="BG212" i="3"/>
  <c r="BG205" i="3"/>
  <c r="BG199" i="3"/>
  <c r="BG198" i="3"/>
  <c r="BG193" i="3"/>
  <c r="BG191" i="3"/>
  <c r="BG189" i="3"/>
  <c r="BG176" i="3"/>
  <c r="BG178" i="3"/>
  <c r="BG173" i="3"/>
  <c r="BG160" i="3"/>
  <c r="BG170" i="3"/>
  <c r="BG165" i="3"/>
  <c r="AQ213" i="3"/>
  <c r="AQ215" i="3"/>
  <c r="AQ206" i="3"/>
  <c r="AQ200" i="3"/>
  <c r="AQ204" i="3"/>
  <c r="AQ201" i="3"/>
  <c r="AQ184" i="3"/>
  <c r="AQ186" i="3"/>
  <c r="AQ180" i="3"/>
  <c r="AQ183" i="3"/>
  <c r="AQ181" i="3"/>
  <c r="AQ168" i="3"/>
  <c r="AQ167" i="3"/>
  <c r="AQ162" i="3"/>
  <c r="AA214" i="3"/>
  <c r="AA211" i="3"/>
  <c r="AA207" i="3"/>
  <c r="AA209" i="3"/>
  <c r="AA199" i="3"/>
  <c r="AA198" i="3"/>
  <c r="AA192" i="3"/>
  <c r="AA187" i="3"/>
  <c r="AA189" i="3"/>
  <c r="AA183" i="3"/>
  <c r="AA178" i="3"/>
  <c r="AA173" i="3"/>
  <c r="AA160" i="3"/>
  <c r="AA170" i="3"/>
  <c r="AA165" i="3"/>
  <c r="K213" i="3"/>
  <c r="K210" i="3"/>
  <c r="K212" i="3"/>
  <c r="K200" i="3"/>
  <c r="K204" i="3"/>
  <c r="K201" i="3"/>
  <c r="K184" i="3"/>
  <c r="K186" i="3"/>
  <c r="K180" i="3"/>
  <c r="K175" i="3"/>
  <c r="K181" i="3"/>
  <c r="K168" i="3"/>
  <c r="K167" i="3"/>
  <c r="K162" i="3"/>
  <c r="AX215" i="3"/>
  <c r="AX217" i="3"/>
  <c r="AX208" i="3"/>
  <c r="AX206" i="3"/>
  <c r="AX200" i="3"/>
  <c r="AX195" i="3"/>
  <c r="AX193" i="3"/>
  <c r="AX188" i="3"/>
  <c r="AX190" i="3"/>
  <c r="AX173" i="3"/>
  <c r="AX179" i="3"/>
  <c r="AX174" i="3"/>
  <c r="AX172" i="3"/>
  <c r="AX171" i="3"/>
  <c r="AX166" i="3"/>
  <c r="AH214" i="3"/>
  <c r="AH216" i="3"/>
  <c r="AH207" i="3"/>
  <c r="AH201" i="3"/>
  <c r="AH203" i="3"/>
  <c r="AH198" i="3"/>
  <c r="AH185" i="3"/>
  <c r="AH191" i="3"/>
  <c r="AH181" i="3"/>
  <c r="AH176" i="3"/>
  <c r="AH182" i="3"/>
  <c r="AH165" i="3"/>
  <c r="AH164" i="3"/>
  <c r="AH163" i="3"/>
  <c r="R215" i="3"/>
  <c r="R217" i="3"/>
  <c r="R208" i="3"/>
  <c r="R206" i="3"/>
  <c r="R196" i="3"/>
  <c r="R195" i="3"/>
  <c r="R193" i="3"/>
  <c r="R188" i="3"/>
  <c r="R190" i="3"/>
  <c r="R173" i="3"/>
  <c r="R179" i="3"/>
  <c r="R174" i="3"/>
  <c r="R172" i="3"/>
  <c r="R171" i="3"/>
  <c r="R166" i="3"/>
  <c r="BI215" i="3"/>
  <c r="BI210" i="3"/>
  <c r="BI204" i="3"/>
  <c r="BI202" i="3"/>
  <c r="BI197" i="3"/>
  <c r="BI199" i="3"/>
  <c r="BI189" i="3"/>
  <c r="BI188" i="3"/>
  <c r="BI182" i="3"/>
  <c r="BI177" i="3"/>
  <c r="BI176" i="3"/>
  <c r="BI166" i="3"/>
  <c r="BI161" i="3"/>
  <c r="BI160" i="3"/>
  <c r="AS216" i="3"/>
  <c r="AS210" i="3"/>
  <c r="AS205" i="3"/>
  <c r="AS207" i="3"/>
  <c r="AS194" i="3"/>
  <c r="AS200" i="3"/>
  <c r="AS190" i="3"/>
  <c r="AS185" i="3"/>
  <c r="AS187" i="3"/>
  <c r="AS183" i="3"/>
  <c r="AS184" i="3"/>
  <c r="AS175" i="3"/>
  <c r="AS169" i="3"/>
  <c r="AS168" i="3"/>
  <c r="AS167" i="3"/>
  <c r="AC215" i="3"/>
  <c r="AC213" i="3"/>
  <c r="AC208" i="3"/>
  <c r="AC202" i="3"/>
  <c r="AC197" i="3"/>
  <c r="AC199" i="3"/>
  <c r="AC193" i="3"/>
  <c r="AC188" i="3"/>
  <c r="AC178" i="3"/>
  <c r="AC184" i="3"/>
  <c r="AC179" i="3"/>
  <c r="AC162" i="3"/>
  <c r="AC173" i="3"/>
  <c r="AC160" i="3"/>
  <c r="M216" i="3"/>
  <c r="M210" i="3"/>
  <c r="M209" i="3"/>
  <c r="M207" i="3"/>
  <c r="M201" i="3"/>
  <c r="M196" i="3"/>
  <c r="M186" i="3"/>
  <c r="M192" i="3"/>
  <c r="M187" i="3"/>
  <c r="M181" i="3"/>
  <c r="M176" i="3"/>
  <c r="M170" i="3"/>
  <c r="M165" i="3"/>
  <c r="M168" i="3"/>
  <c r="M167" i="3"/>
  <c r="BD216" i="3"/>
  <c r="BD210" i="3"/>
  <c r="BD205" i="3"/>
  <c r="BD195" i="3"/>
  <c r="BD203" i="3"/>
  <c r="BD200" i="3"/>
  <c r="BD183" i="3"/>
  <c r="BD189" i="3"/>
  <c r="BD184" i="3"/>
  <c r="BD178" i="3"/>
  <c r="BD173" i="3"/>
  <c r="BD167" i="3"/>
  <c r="BD162" i="3"/>
  <c r="BD172" i="3"/>
  <c r="AN217" i="3"/>
  <c r="AN214" i="3"/>
  <c r="AN206" i="3"/>
  <c r="AN207" i="3"/>
  <c r="AN198" i="3"/>
  <c r="AN197" i="3"/>
  <c r="AN191" i="3"/>
  <c r="AN186" i="3"/>
  <c r="AN192" i="3"/>
  <c r="AN175" i="3"/>
  <c r="AN181" i="3"/>
  <c r="AN171" i="3"/>
  <c r="AN170" i="3"/>
  <c r="AN165" i="3"/>
  <c r="AN164" i="3"/>
  <c r="X216" i="3"/>
  <c r="X211" i="3"/>
  <c r="X205" i="3"/>
  <c r="X195" i="3"/>
  <c r="X203" i="3"/>
  <c r="X200" i="3"/>
  <c r="X190" i="3"/>
  <c r="X185" i="3"/>
  <c r="X183" i="3"/>
  <c r="X178" i="3"/>
  <c r="X180" i="3"/>
  <c r="X163" i="3"/>
  <c r="X162" i="3"/>
  <c r="X172" i="3"/>
  <c r="H217" i="3"/>
  <c r="H214" i="3"/>
  <c r="H209" i="3"/>
  <c r="H207" i="3"/>
  <c r="H198" i="3"/>
  <c r="H197" i="3"/>
  <c r="H191" i="3"/>
  <c r="H193" i="3"/>
  <c r="H188" i="3"/>
  <c r="H175" i="3"/>
  <c r="H181" i="3"/>
  <c r="H171" i="3"/>
  <c r="H170" i="3"/>
  <c r="H165" i="3"/>
  <c r="H164" i="3"/>
  <c r="BC217" i="3"/>
  <c r="BC212" i="3"/>
  <c r="BC203" i="3"/>
  <c r="BC204" i="3"/>
  <c r="BC195" i="3"/>
  <c r="BC201" i="3"/>
  <c r="BC184" i="3"/>
  <c r="BC186" i="3"/>
  <c r="BC180" i="3"/>
  <c r="BC183" i="3"/>
  <c r="BC181" i="3"/>
  <c r="BC168" i="3"/>
  <c r="BC167" i="3"/>
  <c r="BC162" i="3"/>
  <c r="AM214" i="3"/>
  <c r="AM215" i="3"/>
  <c r="AM211" i="3"/>
  <c r="AM205" i="3"/>
  <c r="AM196" i="3"/>
  <c r="AM198" i="3"/>
  <c r="AM192" i="3"/>
  <c r="AM187" i="3"/>
  <c r="AM189" i="3"/>
  <c r="AM183" i="3"/>
  <c r="AM178" i="3"/>
  <c r="AM173" i="3"/>
  <c r="AM160" i="3"/>
  <c r="AM170" i="3"/>
  <c r="AM165" i="3"/>
  <c r="W213" i="3"/>
  <c r="W210" i="3"/>
  <c r="W206" i="3"/>
  <c r="W204" i="3"/>
  <c r="W195" i="3"/>
  <c r="W201" i="3"/>
  <c r="W184" i="3"/>
  <c r="W186" i="3"/>
  <c r="W180" i="3"/>
  <c r="W175" i="3"/>
  <c r="W181" i="3"/>
  <c r="W168" i="3"/>
  <c r="W167" i="3"/>
  <c r="W162" i="3"/>
  <c r="G214" i="3"/>
  <c r="G215" i="3"/>
  <c r="G207" i="3"/>
  <c r="G205" i="3"/>
  <c r="G196" i="3"/>
  <c r="G198" i="3"/>
  <c r="G192" i="3"/>
  <c r="G187" i="3"/>
  <c r="G189" i="3"/>
  <c r="G183" i="3"/>
  <c r="G178" i="3"/>
  <c r="G173" i="3"/>
  <c r="G160" i="3"/>
  <c r="G170" i="3"/>
  <c r="G165" i="3"/>
  <c r="BJ214" i="3"/>
  <c r="BJ212" i="3"/>
  <c r="BJ207" i="3"/>
  <c r="BJ201" i="3"/>
  <c r="BJ196" i="3"/>
  <c r="BJ198" i="3"/>
  <c r="BJ193" i="3"/>
  <c r="BJ191" i="3"/>
  <c r="BJ181" i="3"/>
  <c r="BJ176" i="3"/>
  <c r="BJ182" i="3"/>
  <c r="BJ165" i="3"/>
  <c r="BJ164" i="3"/>
  <c r="BJ163" i="3"/>
  <c r="AT215" i="3"/>
  <c r="AT217" i="3"/>
  <c r="AT216" i="3"/>
  <c r="AT206" i="3"/>
  <c r="AT203" i="3"/>
  <c r="AT195" i="3"/>
  <c r="AT193" i="3"/>
  <c r="AT188" i="3"/>
  <c r="AT190" i="3"/>
  <c r="AT177" i="3"/>
  <c r="AT179" i="3"/>
  <c r="AT174" i="3"/>
  <c r="AT172" i="3"/>
  <c r="AT171" i="3"/>
  <c r="AT166" i="3"/>
  <c r="AD214" i="3"/>
  <c r="AD212" i="3"/>
  <c r="AD216" i="3"/>
  <c r="AD201" i="3"/>
  <c r="AD196" i="3"/>
  <c r="AD198" i="3"/>
  <c r="AD185" i="3"/>
  <c r="AD191" i="3"/>
  <c r="AD181" i="3"/>
  <c r="AD176" i="3"/>
  <c r="AD182" i="3"/>
  <c r="AD165" i="3"/>
  <c r="AD164" i="3"/>
  <c r="AD163" i="3"/>
  <c r="N215" i="3"/>
  <c r="N217" i="3"/>
  <c r="N208" i="3"/>
  <c r="N206" i="3"/>
  <c r="N200" i="3"/>
  <c r="N205" i="3"/>
  <c r="N193" i="3"/>
  <c r="N188" i="3"/>
  <c r="N190" i="3"/>
  <c r="N173" i="3"/>
  <c r="N179" i="3"/>
  <c r="N174" i="3"/>
  <c r="N172" i="3"/>
  <c r="N171" i="3"/>
  <c r="N166" i="3"/>
  <c r="BE215" i="3"/>
  <c r="BE210" i="3"/>
  <c r="BE204" i="3"/>
  <c r="BE202" i="3"/>
  <c r="BE201" i="3"/>
  <c r="BE199" i="3"/>
  <c r="BE193" i="3"/>
  <c r="BE188" i="3"/>
  <c r="BE182" i="3"/>
  <c r="BE177" i="3"/>
  <c r="BE184" i="3"/>
  <c r="BE166" i="3"/>
  <c r="BE161" i="3"/>
  <c r="BE160" i="3"/>
  <c r="AO216" i="3"/>
  <c r="AO217" i="3"/>
  <c r="AO204" i="3"/>
  <c r="AO209" i="3"/>
  <c r="AO194" i="3"/>
  <c r="AO200" i="3"/>
  <c r="AO190" i="3"/>
  <c r="AO185" i="3"/>
  <c r="AO187" i="3"/>
  <c r="AO174" i="3"/>
  <c r="AO180" i="3"/>
  <c r="AO175" i="3"/>
  <c r="AO169" i="3"/>
  <c r="AO168" i="3"/>
  <c r="AO167" i="3"/>
  <c r="Y215" i="3"/>
  <c r="Y214" i="3"/>
  <c r="Y204" i="3"/>
  <c r="Y202" i="3"/>
  <c r="Y201" i="3"/>
  <c r="Y199" i="3"/>
  <c r="Y193" i="3"/>
  <c r="Y188" i="3"/>
  <c r="Y178" i="3"/>
  <c r="Y180" i="3"/>
  <c r="Y179" i="3"/>
  <c r="Y166" i="3"/>
  <c r="Y161" i="3"/>
  <c r="Y160" i="3"/>
  <c r="I216" i="3"/>
  <c r="I217" i="3"/>
  <c r="I210" i="3"/>
  <c r="I207" i="3"/>
  <c r="I203" i="3"/>
  <c r="I196" i="3"/>
  <c r="I190" i="3"/>
  <c r="I185" i="3"/>
  <c r="I187" i="3"/>
  <c r="I181" i="3"/>
  <c r="I184" i="3"/>
  <c r="I173" i="3"/>
  <c r="I169" i="3"/>
  <c r="I168" i="3"/>
  <c r="I167" i="3"/>
  <c r="AZ216" i="3"/>
  <c r="AZ214" i="3"/>
  <c r="AZ209" i="3"/>
  <c r="AZ195" i="3"/>
  <c r="AZ198" i="3"/>
  <c r="AZ200" i="3"/>
  <c r="AZ183" i="3"/>
  <c r="AZ189" i="3"/>
  <c r="AZ184" i="3"/>
  <c r="AZ178" i="3"/>
  <c r="AZ173" i="3"/>
  <c r="AZ167" i="3"/>
  <c r="AZ162" i="3"/>
  <c r="AZ172" i="3"/>
  <c r="AJ217" i="3"/>
  <c r="AJ215" i="3"/>
  <c r="AJ205" i="3"/>
  <c r="AJ207" i="3"/>
  <c r="AJ203" i="3"/>
  <c r="AJ201" i="3"/>
  <c r="AJ191" i="3"/>
  <c r="AJ193" i="3"/>
  <c r="AJ188" i="3"/>
  <c r="AJ175" i="3"/>
  <c r="AJ181" i="3"/>
  <c r="AJ171" i="3"/>
  <c r="AJ166" i="3"/>
  <c r="AJ161" i="3"/>
  <c r="AJ164" i="3"/>
  <c r="T216" i="3"/>
  <c r="T209" i="3"/>
  <c r="T208" i="3"/>
  <c r="T195" i="3"/>
  <c r="T198" i="3"/>
  <c r="T200" i="3"/>
  <c r="T190" i="3"/>
  <c r="T185" i="3"/>
  <c r="T183" i="3"/>
  <c r="T178" i="3"/>
  <c r="T180" i="3"/>
  <c r="T163" i="3"/>
  <c r="T169" i="3"/>
  <c r="T172" i="3"/>
  <c r="AY214" i="3"/>
  <c r="AY216" i="3"/>
  <c r="AY207" i="3"/>
  <c r="AY205" i="3"/>
  <c r="AY199" i="3"/>
  <c r="AY198" i="3"/>
  <c r="AY192" i="3"/>
  <c r="AY187" i="3"/>
  <c r="AY189" i="3"/>
  <c r="AY176" i="3"/>
  <c r="AY178" i="3"/>
  <c r="AY173" i="3"/>
  <c r="AY160" i="3"/>
  <c r="AY170" i="3"/>
  <c r="AY165" i="3"/>
  <c r="AI213" i="3"/>
  <c r="AI209" i="3"/>
  <c r="AI206" i="3"/>
  <c r="AI200" i="3"/>
  <c r="AI204" i="3"/>
  <c r="AI201" i="3"/>
  <c r="AI184" i="3"/>
  <c r="AI186" i="3"/>
  <c r="AI180" i="3"/>
  <c r="AI175" i="3"/>
  <c r="AI181" i="3"/>
  <c r="AI168" i="3"/>
  <c r="AI167" i="3"/>
  <c r="AI162" i="3"/>
  <c r="S214" i="3"/>
  <c r="S211" i="3"/>
  <c r="S203" i="3"/>
  <c r="S205" i="3"/>
  <c r="S199" i="3"/>
  <c r="S198" i="3"/>
  <c r="S192" i="3"/>
  <c r="S187" i="3"/>
  <c r="S189" i="3"/>
  <c r="S183" i="3"/>
  <c r="S178" i="3"/>
  <c r="S173" i="3"/>
  <c r="S160" i="3"/>
  <c r="S170" i="3"/>
  <c r="S165" i="3"/>
  <c r="BF214" i="3"/>
  <c r="BF212" i="3"/>
  <c r="BF204" i="3"/>
  <c r="BF203" i="3"/>
  <c r="BF196" i="3"/>
  <c r="BF198" i="3"/>
  <c r="BF185" i="3"/>
  <c r="BF191" i="3"/>
  <c r="BF181" i="3"/>
  <c r="BF180" i="3"/>
  <c r="BF182" i="3"/>
  <c r="BF165" i="3"/>
  <c r="BF164" i="3"/>
  <c r="BF163" i="3"/>
  <c r="AP215" i="3"/>
  <c r="AP217" i="3"/>
  <c r="AP208" i="3"/>
  <c r="AP206" i="3"/>
  <c r="AP197" i="3"/>
  <c r="AP195" i="3"/>
  <c r="AP193" i="3"/>
  <c r="AP188" i="3"/>
  <c r="AP190" i="3"/>
  <c r="AP173" i="3"/>
  <c r="AP175" i="3"/>
  <c r="AP174" i="3"/>
  <c r="AP172" i="3"/>
  <c r="AP171" i="3"/>
  <c r="AP166" i="3"/>
  <c r="Z214" i="3"/>
  <c r="Z212" i="3"/>
  <c r="Z204" i="3"/>
  <c r="Z203" i="3"/>
  <c r="Z196" i="3"/>
  <c r="Z198" i="3"/>
  <c r="Z185" i="3"/>
  <c r="Z191" i="3"/>
  <c r="Z181" i="3"/>
  <c r="Z176" i="3"/>
  <c r="Z182" i="3"/>
  <c r="Z165" i="3"/>
  <c r="Z164" i="3"/>
  <c r="Z163" i="3"/>
  <c r="J215" i="3"/>
  <c r="J217" i="3"/>
  <c r="J208" i="3"/>
  <c r="J206" i="3"/>
  <c r="J197" i="3"/>
  <c r="J195" i="3"/>
  <c r="J193" i="3"/>
  <c r="J188" i="3"/>
  <c r="J190" i="3"/>
  <c r="J173" i="3"/>
  <c r="J179" i="3"/>
  <c r="J174" i="3"/>
  <c r="J172" i="3"/>
  <c r="J171" i="3"/>
  <c r="J166" i="3"/>
  <c r="BA215" i="3"/>
  <c r="BA213" i="3"/>
  <c r="BA208" i="3"/>
  <c r="BA203" i="3"/>
  <c r="BA201" i="3"/>
  <c r="BA199" i="3"/>
  <c r="BA193" i="3"/>
  <c r="BA188" i="3"/>
  <c r="BA184" i="3"/>
  <c r="BA181" i="3"/>
  <c r="BA176" i="3"/>
  <c r="BA166" i="3"/>
  <c r="BA161" i="3"/>
  <c r="BA160" i="3"/>
  <c r="AK216" i="3"/>
  <c r="AK217" i="3"/>
  <c r="AK205" i="3"/>
  <c r="AK207" i="3"/>
  <c r="AK198" i="3"/>
  <c r="AK200" i="3"/>
  <c r="AK190" i="3"/>
  <c r="AK185" i="3"/>
  <c r="AK187" i="3"/>
  <c r="AK174" i="3"/>
  <c r="AK176" i="3"/>
  <c r="AK170" i="3"/>
  <c r="AK165" i="3"/>
  <c r="AK168" i="3"/>
  <c r="AK167" i="3"/>
  <c r="U215" i="3"/>
  <c r="U213" i="3"/>
  <c r="U204" i="3"/>
  <c r="U203" i="3"/>
  <c r="U197" i="3"/>
  <c r="U195" i="3"/>
  <c r="U193" i="3"/>
  <c r="U188" i="3"/>
  <c r="U182" i="3"/>
  <c r="U177" i="3"/>
  <c r="U179" i="3"/>
  <c r="U162" i="3"/>
  <c r="U173" i="3"/>
  <c r="U160" i="3"/>
  <c r="BL217" i="3"/>
  <c r="BL214" i="3"/>
  <c r="BL206" i="3"/>
  <c r="BL207" i="3"/>
  <c r="BL202" i="3"/>
  <c r="BL197" i="3"/>
  <c r="BL193" i="3"/>
  <c r="BL190" i="3"/>
  <c r="BL192" i="3"/>
  <c r="BL175" i="3"/>
  <c r="BL181" i="3"/>
  <c r="BL176" i="3"/>
  <c r="BL170" i="3"/>
  <c r="BL165" i="3"/>
  <c r="BL164" i="3"/>
  <c r="AV216" i="3"/>
  <c r="AV210" i="3"/>
  <c r="AV205" i="3"/>
  <c r="AV199" i="3"/>
  <c r="AV194" i="3"/>
  <c r="AV200" i="3"/>
  <c r="AV183" i="3"/>
  <c r="AV189" i="3"/>
  <c r="AV184" i="3"/>
  <c r="AV178" i="3"/>
  <c r="AV173" i="3"/>
  <c r="AV167" i="3"/>
  <c r="AV162" i="3"/>
  <c r="AV172" i="3"/>
  <c r="AF217" i="3"/>
  <c r="AF214" i="3"/>
  <c r="AF206" i="3"/>
  <c r="AF207" i="3"/>
  <c r="AF202" i="3"/>
  <c r="AF197" i="3"/>
  <c r="AF191" i="3"/>
  <c r="AF193" i="3"/>
  <c r="AF188" i="3"/>
  <c r="AF175" i="3"/>
  <c r="AF181" i="3"/>
  <c r="AF171" i="3"/>
  <c r="AF170" i="3"/>
  <c r="AF165" i="3"/>
  <c r="AF164" i="3"/>
  <c r="P216" i="3"/>
  <c r="P210" i="3"/>
  <c r="P208" i="3"/>
  <c r="P199" i="3"/>
  <c r="P194" i="3"/>
  <c r="P200" i="3"/>
  <c r="P190" i="3"/>
  <c r="P185" i="3"/>
  <c r="P183" i="3"/>
  <c r="P178" i="3"/>
  <c r="P180" i="3"/>
  <c r="P163" i="3"/>
  <c r="P162" i="3"/>
  <c r="P172" i="3"/>
  <c r="BK214" i="3"/>
  <c r="BK216" i="3"/>
  <c r="BK211" i="3"/>
  <c r="BK205" i="3"/>
  <c r="BK196" i="3"/>
  <c r="BK198" i="3"/>
  <c r="BK193" i="3"/>
  <c r="BK191" i="3"/>
  <c r="BK189" i="3"/>
  <c r="BK179" i="3"/>
  <c r="BK178" i="3"/>
  <c r="BK173" i="3"/>
  <c r="BK160" i="3"/>
  <c r="BK170" i="3"/>
  <c r="BK165" i="3"/>
  <c r="AU213" i="3"/>
  <c r="AU209" i="3"/>
  <c r="AU206" i="3"/>
  <c r="AU204" i="3"/>
  <c r="AU195" i="3"/>
  <c r="AU201" i="3"/>
  <c r="AU184" i="3"/>
  <c r="AU186" i="3"/>
  <c r="AU180" i="3"/>
  <c r="AU182" i="3"/>
  <c r="AU181" i="3"/>
  <c r="AU168" i="3"/>
  <c r="AU167" i="3"/>
  <c r="AU162" i="3"/>
  <c r="AE214" i="3"/>
  <c r="AE215" i="3"/>
  <c r="AE207" i="3"/>
  <c r="AE205" i="3"/>
  <c r="AE196" i="3"/>
  <c r="AE198" i="3"/>
  <c r="AE192" i="3"/>
  <c r="AE187" i="3"/>
  <c r="AE189" i="3"/>
  <c r="AE183" i="3"/>
  <c r="AE178" i="3"/>
  <c r="AE173" i="3"/>
  <c r="AE160" i="3"/>
  <c r="AE170" i="3"/>
  <c r="AE165" i="3"/>
  <c r="O213" i="3"/>
  <c r="O211" i="3"/>
  <c r="O203" i="3"/>
  <c r="O204" i="3"/>
  <c r="O195" i="3"/>
  <c r="O201" i="3"/>
  <c r="O184" i="3"/>
  <c r="O186" i="3"/>
  <c r="O180" i="3"/>
  <c r="O175" i="3"/>
  <c r="O181" i="3"/>
  <c r="O168" i="3"/>
  <c r="O167" i="3"/>
  <c r="O162" i="3"/>
  <c r="BB215" i="3"/>
  <c r="BB217" i="3"/>
  <c r="BB209" i="3"/>
  <c r="BB206" i="3"/>
  <c r="BB200" i="3"/>
  <c r="BB203" i="3"/>
  <c r="BB193" i="3"/>
  <c r="BB188" i="3"/>
  <c r="BB190" i="3"/>
  <c r="BB173" i="3"/>
  <c r="BB175" i="3"/>
  <c r="BB174" i="3"/>
  <c r="BB172" i="3"/>
  <c r="BB171" i="3"/>
  <c r="BB166" i="3"/>
  <c r="AL214" i="3"/>
  <c r="AL213" i="3"/>
  <c r="AL204" i="3"/>
  <c r="AL201" i="3"/>
  <c r="AL199" i="3"/>
  <c r="AL198" i="3"/>
  <c r="AL185" i="3"/>
  <c r="AL191" i="3"/>
  <c r="AL181" i="3"/>
  <c r="AL176" i="3"/>
  <c r="AL182" i="3"/>
  <c r="AL165" i="3"/>
  <c r="AL164" i="3"/>
  <c r="AL163" i="3"/>
  <c r="V215" i="3"/>
  <c r="V217" i="3"/>
  <c r="V209" i="3"/>
  <c r="V206" i="3"/>
  <c r="V200" i="3"/>
  <c r="V203" i="3"/>
  <c r="V193" i="3"/>
  <c r="V188" i="3"/>
  <c r="V190" i="3"/>
  <c r="V173" i="3"/>
  <c r="V179" i="3"/>
  <c r="V174" i="3"/>
  <c r="V172" i="3"/>
  <c r="V171" i="3"/>
  <c r="V166" i="3"/>
  <c r="F214" i="3"/>
  <c r="F213" i="3"/>
  <c r="F207" i="3"/>
  <c r="F197" i="3"/>
  <c r="F199" i="3"/>
  <c r="F198" i="3"/>
  <c r="F185" i="3"/>
  <c r="F191" i="3"/>
  <c r="F181" i="3"/>
  <c r="F176" i="3"/>
  <c r="F182" i="3"/>
  <c r="F165" i="3"/>
  <c r="F164" i="3"/>
  <c r="F163" i="3"/>
  <c r="BM216" i="3"/>
  <c r="BM213" i="3"/>
  <c r="BM208" i="3"/>
  <c r="BM209" i="3"/>
  <c r="BM194" i="3"/>
  <c r="BM196" i="3"/>
  <c r="BM190" i="3"/>
  <c r="BM192" i="3"/>
  <c r="BM187" i="3"/>
  <c r="BM174" i="3"/>
  <c r="BM173" i="3"/>
  <c r="BM175" i="3"/>
  <c r="BM169" i="3"/>
  <c r="BM168" i="3"/>
  <c r="BM167" i="3"/>
  <c r="AW215" i="3"/>
  <c r="AW217" i="3"/>
  <c r="AW204" i="3"/>
  <c r="AW202" i="3"/>
  <c r="AW197" i="3"/>
  <c r="AW199" i="3"/>
  <c r="AW193" i="3"/>
  <c r="AW188" i="3"/>
  <c r="AW178" i="3"/>
  <c r="AW177" i="3"/>
  <c r="AW176" i="3"/>
  <c r="AW166" i="3"/>
  <c r="AW161" i="3"/>
  <c r="AW160" i="3"/>
  <c r="AG216" i="3"/>
  <c r="AG213" i="3"/>
  <c r="AG208" i="3"/>
  <c r="AG209" i="3"/>
  <c r="AG194" i="3"/>
  <c r="AG196" i="3"/>
  <c r="AG190" i="3"/>
  <c r="AG185" i="3"/>
  <c r="AG187" i="3"/>
  <c r="AG184" i="3"/>
  <c r="AG176" i="3"/>
  <c r="AG173" i="3"/>
  <c r="AG169" i="3"/>
  <c r="AG168" i="3"/>
  <c r="AG167" i="3"/>
  <c r="Q215" i="3"/>
  <c r="Q217" i="3"/>
  <c r="Q204" i="3"/>
  <c r="Q202" i="3"/>
  <c r="Q200" i="3"/>
  <c r="Q195" i="3"/>
  <c r="Q189" i="3"/>
  <c r="Q188" i="3"/>
  <c r="Q178" i="3"/>
  <c r="Q177" i="3"/>
  <c r="Q179" i="3"/>
  <c r="Q166" i="3"/>
  <c r="Q161" i="3"/>
  <c r="Q160" i="3"/>
  <c r="BH217" i="3"/>
  <c r="BH210" i="3"/>
  <c r="BH206" i="3"/>
  <c r="BH207" i="3"/>
  <c r="BH202" i="3"/>
  <c r="BH197" i="3"/>
  <c r="BH191" i="3"/>
  <c r="BH186" i="3"/>
  <c r="BH192" i="3"/>
  <c r="BH175" i="3"/>
  <c r="BH181" i="3"/>
  <c r="BH176" i="3"/>
  <c r="BH170" i="3"/>
  <c r="BH165" i="3"/>
  <c r="BH164" i="3"/>
  <c r="AR216" i="3"/>
  <c r="AR214" i="3"/>
  <c r="AR209" i="3"/>
  <c r="AR195" i="3"/>
  <c r="AR194" i="3"/>
  <c r="AR200" i="3"/>
  <c r="AR183" i="3"/>
  <c r="AR189" i="3"/>
  <c r="AR184" i="3"/>
  <c r="AR178" i="3"/>
  <c r="AR173" i="3"/>
  <c r="AR167" i="3"/>
  <c r="AR162" i="3"/>
  <c r="AR172" i="3"/>
  <c r="AB217" i="3"/>
  <c r="AB215" i="3"/>
  <c r="AB206" i="3"/>
  <c r="AB207" i="3"/>
  <c r="AB202" i="3"/>
  <c r="AB197" i="3"/>
  <c r="AB191" i="3"/>
  <c r="AB193" i="3"/>
  <c r="AB188" i="3"/>
  <c r="AB175" i="3"/>
  <c r="AB181" i="3"/>
  <c r="AB171" i="3"/>
  <c r="AB166" i="3"/>
  <c r="AB161" i="3"/>
  <c r="AB164" i="3"/>
  <c r="L216" i="3"/>
  <c r="L214" i="3"/>
  <c r="L209" i="3"/>
  <c r="L195" i="3"/>
  <c r="L194" i="3"/>
  <c r="L200" i="3"/>
  <c r="L190" i="3"/>
  <c r="L185" i="3"/>
  <c r="L183" i="3"/>
  <c r="L178" i="3"/>
  <c r="L180" i="3"/>
  <c r="L169" i="3"/>
  <c r="L208" i="3"/>
  <c r="L196" i="3"/>
  <c r="L179" i="3"/>
  <c r="L170" i="3"/>
  <c r="Q169" i="3"/>
  <c r="BH183" i="3"/>
  <c r="BH167" i="3"/>
  <c r="AR215" i="3"/>
  <c r="AR202" i="3"/>
  <c r="AR192" i="3"/>
  <c r="AR176" i="3"/>
  <c r="AR164" i="3"/>
  <c r="AB195" i="3"/>
  <c r="AB185" i="3"/>
  <c r="AB169" i="3"/>
  <c r="L205" i="3"/>
  <c r="L197" i="3"/>
  <c r="L188" i="3"/>
  <c r="L166" i="3"/>
  <c r="BG210" i="3"/>
  <c r="BG211" i="3"/>
  <c r="BG207" i="3"/>
  <c r="BG208" i="3"/>
  <c r="BG195" i="3"/>
  <c r="BG194" i="3"/>
  <c r="BG192" i="3"/>
  <c r="BG187" i="3"/>
  <c r="BG185" i="3"/>
  <c r="BG179" i="3"/>
  <c r="BG174" i="3"/>
  <c r="BG172" i="3"/>
  <c r="BG171" i="3"/>
  <c r="BG166" i="3"/>
  <c r="BG161" i="3"/>
  <c r="AQ216" i="3"/>
  <c r="AQ210" i="3"/>
  <c r="AQ212" i="3"/>
  <c r="AQ196" i="3"/>
  <c r="AQ202" i="3"/>
  <c r="AQ197" i="3"/>
  <c r="AQ191" i="3"/>
  <c r="AQ193" i="3"/>
  <c r="AQ176" i="3"/>
  <c r="AQ182" i="3"/>
  <c r="AQ177" i="3"/>
  <c r="AQ164" i="3"/>
  <c r="AQ163" i="3"/>
  <c r="AQ169" i="3"/>
  <c r="AA217" i="3"/>
  <c r="AA215" i="3"/>
  <c r="AA203" i="3"/>
  <c r="AA208" i="3"/>
  <c r="AA195" i="3"/>
  <c r="AA194" i="3"/>
  <c r="AA188" i="3"/>
  <c r="AA190" i="3"/>
  <c r="AA185" i="3"/>
  <c r="AA179" i="3"/>
  <c r="AA174" i="3"/>
  <c r="AA172" i="3"/>
  <c r="AA171" i="3"/>
  <c r="AA166" i="3"/>
  <c r="AA161" i="3"/>
  <c r="K216" i="3"/>
  <c r="K207" i="3"/>
  <c r="K205" i="3"/>
  <c r="K196" i="3"/>
  <c r="K202" i="3"/>
  <c r="K197" i="3"/>
  <c r="K191" i="3"/>
  <c r="K193" i="3"/>
  <c r="K176" i="3"/>
  <c r="K182" i="3"/>
  <c r="K177" i="3"/>
  <c r="K164" i="3"/>
  <c r="K163" i="3"/>
  <c r="K169" i="3"/>
  <c r="AX211" i="3"/>
  <c r="AX212" i="3"/>
  <c r="AX204" i="3"/>
  <c r="AX205" i="3"/>
  <c r="AX196" i="3"/>
  <c r="AX202" i="3"/>
  <c r="AX189" i="3"/>
  <c r="AX184" i="3"/>
  <c r="AX186" i="3"/>
  <c r="AX183" i="3"/>
  <c r="AX175" i="3"/>
  <c r="AX169" i="3"/>
  <c r="AX168" i="3"/>
  <c r="AX167" i="3"/>
  <c r="AX162" i="3"/>
  <c r="AH210" i="3"/>
  <c r="AH209" i="3"/>
  <c r="AH206" i="3"/>
  <c r="AH197" i="3"/>
  <c r="AH199" i="3"/>
  <c r="AH194" i="3"/>
  <c r="AH192" i="3"/>
  <c r="AH187" i="3"/>
  <c r="AH177" i="3"/>
  <c r="AH183" i="3"/>
  <c r="AH178" i="3"/>
  <c r="AH161" i="3"/>
  <c r="AH160" i="3"/>
  <c r="AH170" i="3"/>
  <c r="R211" i="3"/>
  <c r="R212" i="3"/>
  <c r="R204" i="3"/>
  <c r="R201" i="3"/>
  <c r="R205" i="3"/>
  <c r="R202" i="3"/>
  <c r="R189" i="3"/>
  <c r="R184" i="3"/>
  <c r="R186" i="3"/>
  <c r="R180" i="3"/>
  <c r="R175" i="3"/>
  <c r="R169" i="3"/>
  <c r="R168" i="3"/>
  <c r="R167" i="3"/>
  <c r="R162" i="3"/>
  <c r="BI211" i="3"/>
  <c r="BI205" i="3"/>
  <c r="BI207" i="3"/>
  <c r="BI198" i="3"/>
  <c r="BI203" i="3"/>
  <c r="BI195" i="3"/>
  <c r="BI185" i="3"/>
  <c r="BI191" i="3"/>
  <c r="BI178" i="3"/>
  <c r="BI173" i="3"/>
  <c r="BI179" i="3"/>
  <c r="BI162" i="3"/>
  <c r="BI172" i="3"/>
  <c r="BI171" i="3"/>
  <c r="AS212" i="3"/>
  <c r="AS214" i="3"/>
  <c r="AS209" i="3"/>
  <c r="AS206" i="3"/>
  <c r="AS201" i="3"/>
  <c r="AS196" i="3"/>
  <c r="AS186" i="3"/>
  <c r="AS192" i="3"/>
  <c r="AS182" i="3"/>
  <c r="AS181" i="3"/>
  <c r="AS180" i="3"/>
  <c r="AS170" i="3"/>
  <c r="AS165" i="3"/>
  <c r="AS164" i="3"/>
  <c r="AS163" i="3"/>
  <c r="AC211" i="3"/>
  <c r="AC205" i="3"/>
  <c r="AC204" i="3"/>
  <c r="AC198" i="3"/>
  <c r="AC203" i="3"/>
  <c r="AC195" i="3"/>
  <c r="AC189" i="3"/>
  <c r="AC191" i="3"/>
  <c r="AC174" i="3"/>
  <c r="AC180" i="3"/>
  <c r="AC175" i="3"/>
  <c r="AC169" i="3"/>
  <c r="AC172" i="3"/>
  <c r="AC171" i="3"/>
  <c r="M212" i="3"/>
  <c r="M214" i="3"/>
  <c r="M208" i="3"/>
  <c r="M206" i="3"/>
  <c r="M197" i="3"/>
  <c r="M199" i="3"/>
  <c r="M193" i="3"/>
  <c r="M188" i="3"/>
  <c r="M182" i="3"/>
  <c r="M177" i="3"/>
  <c r="M183" i="3"/>
  <c r="M166" i="3"/>
  <c r="M161" i="3"/>
  <c r="M164" i="3"/>
  <c r="M163" i="3"/>
  <c r="BD212" i="3"/>
  <c r="BD215" i="3"/>
  <c r="BD208" i="3"/>
  <c r="BD202" i="3"/>
  <c r="BD201" i="3"/>
  <c r="BD196" i="3"/>
  <c r="BD190" i="3"/>
  <c r="BD185" i="3"/>
  <c r="BD179" i="3"/>
  <c r="BD174" i="3"/>
  <c r="BD180" i="3"/>
  <c r="BD163" i="3"/>
  <c r="BD169" i="3"/>
  <c r="BD168" i="3"/>
  <c r="AN213" i="3"/>
  <c r="AN210" i="3"/>
  <c r="AN205" i="3"/>
  <c r="AN199" i="3"/>
  <c r="AN194" i="3"/>
  <c r="AN204" i="3"/>
  <c r="AN187" i="3"/>
  <c r="AN193" i="3"/>
  <c r="AN188" i="3"/>
  <c r="AN182" i="3"/>
  <c r="AN177" i="3"/>
  <c r="AN167" i="3"/>
  <c r="AN166" i="3"/>
  <c r="AN161" i="3"/>
  <c r="AN160" i="3"/>
  <c r="X212" i="3"/>
  <c r="X215" i="3"/>
  <c r="X208" i="3"/>
  <c r="X202" i="3"/>
  <c r="X201" i="3"/>
  <c r="X196" i="3"/>
  <c r="X186" i="3"/>
  <c r="X192" i="3"/>
  <c r="X179" i="3"/>
  <c r="X174" i="3"/>
  <c r="X176" i="3"/>
  <c r="X173" i="3"/>
  <c r="X169" i="3"/>
  <c r="X168" i="3"/>
  <c r="H213" i="3"/>
  <c r="H210" i="3"/>
  <c r="H205" i="3"/>
  <c r="H199" i="3"/>
  <c r="H194" i="3"/>
  <c r="H204" i="3"/>
  <c r="H187" i="3"/>
  <c r="H189" i="3"/>
  <c r="H184" i="3"/>
  <c r="H182" i="3"/>
  <c r="H177" i="3"/>
  <c r="H167" i="3"/>
  <c r="H166" i="3"/>
  <c r="H161" i="3"/>
  <c r="H160" i="3"/>
  <c r="BC213" i="3"/>
  <c r="BC209" i="3"/>
  <c r="BC206" i="3"/>
  <c r="BC200" i="3"/>
  <c r="BC202" i="3"/>
  <c r="BC197" i="3"/>
  <c r="BC191" i="3"/>
  <c r="BC193" i="3"/>
  <c r="BC176" i="3"/>
  <c r="BC182" i="3"/>
  <c r="BC177" i="3"/>
  <c r="BC164" i="3"/>
  <c r="BC163" i="3"/>
  <c r="BC169" i="3"/>
  <c r="AM217" i="3"/>
  <c r="AM212" i="3"/>
  <c r="AM207" i="3"/>
  <c r="AM208" i="3"/>
  <c r="AM199" i="3"/>
  <c r="AM194" i="3"/>
  <c r="AM188" i="3"/>
  <c r="AM190" i="3"/>
  <c r="AM185" i="3"/>
  <c r="AM179" i="3"/>
  <c r="AM174" i="3"/>
  <c r="AM172" i="3"/>
  <c r="AM171" i="3"/>
  <c r="AM166" i="3"/>
  <c r="AM161" i="3"/>
  <c r="W216" i="3"/>
  <c r="W211" i="3"/>
  <c r="W209" i="3"/>
  <c r="W200" i="3"/>
  <c r="W202" i="3"/>
  <c r="W197" i="3"/>
  <c r="W191" i="3"/>
  <c r="W193" i="3"/>
  <c r="W176" i="3"/>
  <c r="W182" i="3"/>
  <c r="W177" i="3"/>
  <c r="W164" i="3"/>
  <c r="W163" i="3"/>
  <c r="W169" i="3"/>
  <c r="G217" i="3"/>
  <c r="G212" i="3"/>
  <c r="G203" i="3"/>
  <c r="G208" i="3"/>
  <c r="G199" i="3"/>
  <c r="G194" i="3"/>
  <c r="G188" i="3"/>
  <c r="G190" i="3"/>
  <c r="G185" i="3"/>
  <c r="G179" i="3"/>
  <c r="G174" i="3"/>
  <c r="G172" i="3"/>
  <c r="G171" i="3"/>
  <c r="G166" i="3"/>
  <c r="G161" i="3"/>
  <c r="BJ210" i="3"/>
  <c r="BJ209" i="3"/>
  <c r="BJ206" i="3"/>
  <c r="BJ197" i="3"/>
  <c r="BJ199" i="3"/>
  <c r="BJ194" i="3"/>
  <c r="BJ192" i="3"/>
  <c r="BJ187" i="3"/>
  <c r="BJ177" i="3"/>
  <c r="BJ179" i="3"/>
  <c r="BJ178" i="3"/>
  <c r="BJ161" i="3"/>
  <c r="BJ160" i="3"/>
  <c r="BJ170" i="3"/>
  <c r="AT211" i="3"/>
  <c r="AT213" i="3"/>
  <c r="AT208" i="3"/>
  <c r="AT205" i="3"/>
  <c r="AT200" i="3"/>
  <c r="AT202" i="3"/>
  <c r="AT189" i="3"/>
  <c r="AT184" i="3"/>
  <c r="AT186" i="3"/>
  <c r="AT173" i="3"/>
  <c r="AT175" i="3"/>
  <c r="AT169" i="3"/>
  <c r="AT168" i="3"/>
  <c r="AT167" i="3"/>
  <c r="AT162" i="3"/>
  <c r="AD210" i="3"/>
  <c r="AD209" i="3"/>
  <c r="AD207" i="3"/>
  <c r="AD197" i="3"/>
  <c r="AD199" i="3"/>
  <c r="AD194" i="3"/>
  <c r="AD192" i="3"/>
  <c r="AD187" i="3"/>
  <c r="AD177" i="3"/>
  <c r="AD183" i="3"/>
  <c r="AD178" i="3"/>
  <c r="AD161" i="3"/>
  <c r="AD160" i="3"/>
  <c r="AD170" i="3"/>
  <c r="N211" i="3"/>
  <c r="N213" i="3"/>
  <c r="N204" i="3"/>
  <c r="N201" i="3"/>
  <c r="N196" i="3"/>
  <c r="N202" i="3"/>
  <c r="N189" i="3"/>
  <c r="N184" i="3"/>
  <c r="N186" i="3"/>
  <c r="N180" i="3"/>
  <c r="N175" i="3"/>
  <c r="N169" i="3"/>
  <c r="N168" i="3"/>
  <c r="N167" i="3"/>
  <c r="N162" i="3"/>
  <c r="BE211" i="3"/>
  <c r="BE214" i="3"/>
  <c r="BE207" i="3"/>
  <c r="BE198" i="3"/>
  <c r="BE197" i="3"/>
  <c r="BE195" i="3"/>
  <c r="BE189" i="3"/>
  <c r="BE191" i="3"/>
  <c r="BE178" i="3"/>
  <c r="BE173" i="3"/>
  <c r="BE179" i="3"/>
  <c r="BE162" i="3"/>
  <c r="BE172" i="3"/>
  <c r="BE171" i="3"/>
  <c r="AO212" i="3"/>
  <c r="AO213" i="3"/>
  <c r="AO214" i="3"/>
  <c r="AO206" i="3"/>
  <c r="AO203" i="3"/>
  <c r="AO196" i="3"/>
  <c r="AO186" i="3"/>
  <c r="AO192" i="3"/>
  <c r="AO183" i="3"/>
  <c r="AO181" i="3"/>
  <c r="AO176" i="3"/>
  <c r="AO170" i="3"/>
  <c r="AO165" i="3"/>
  <c r="AO164" i="3"/>
  <c r="AO163" i="3"/>
  <c r="Y211" i="3"/>
  <c r="Y209" i="3"/>
  <c r="Y210" i="3"/>
  <c r="Y198" i="3"/>
  <c r="Y197" i="3"/>
  <c r="Y195" i="3"/>
  <c r="Y189" i="3"/>
  <c r="Y191" i="3"/>
  <c r="Y174" i="3"/>
  <c r="Y176" i="3"/>
  <c r="Y175" i="3"/>
  <c r="Y162" i="3"/>
  <c r="Y172" i="3"/>
  <c r="Y171" i="3"/>
  <c r="I212" i="3"/>
  <c r="I213" i="3"/>
  <c r="I208" i="3"/>
  <c r="I206" i="3"/>
  <c r="I201" i="3"/>
  <c r="I199" i="3"/>
  <c r="I186" i="3"/>
  <c r="I192" i="3"/>
  <c r="I182" i="3"/>
  <c r="I177" i="3"/>
  <c r="I183" i="3"/>
  <c r="I170" i="3"/>
  <c r="I165" i="3"/>
  <c r="I164" i="3"/>
  <c r="I163" i="3"/>
  <c r="AZ212" i="3"/>
  <c r="AZ206" i="3"/>
  <c r="AZ208" i="3"/>
  <c r="AZ204" i="3"/>
  <c r="AZ194" i="3"/>
  <c r="AZ196" i="3"/>
  <c r="AZ190" i="3"/>
  <c r="AZ185" i="3"/>
  <c r="AZ179" i="3"/>
  <c r="AZ174" i="3"/>
  <c r="AZ180" i="3"/>
  <c r="AZ163" i="3"/>
  <c r="AZ169" i="3"/>
  <c r="AZ168" i="3"/>
  <c r="AJ213" i="3"/>
  <c r="AJ214" i="3"/>
  <c r="AJ209" i="3"/>
  <c r="AJ199" i="3"/>
  <c r="AJ202" i="3"/>
  <c r="AJ197" i="3"/>
  <c r="AJ187" i="3"/>
  <c r="AJ189" i="3"/>
  <c r="AJ184" i="3"/>
  <c r="AJ182" i="3"/>
  <c r="AJ177" i="3"/>
  <c r="AJ167" i="3"/>
  <c r="AJ162" i="3"/>
  <c r="AJ173" i="3"/>
  <c r="AJ160" i="3"/>
  <c r="T212" i="3"/>
  <c r="T206" i="3"/>
  <c r="T210" i="3"/>
  <c r="T204" i="3"/>
  <c r="T194" i="3"/>
  <c r="T196" i="3"/>
  <c r="T186" i="3"/>
  <c r="T192" i="3"/>
  <c r="T179" i="3"/>
  <c r="T174" i="3"/>
  <c r="T176" i="3"/>
  <c r="T170" i="3"/>
  <c r="T165" i="3"/>
  <c r="T168" i="3"/>
  <c r="AY210" i="3"/>
  <c r="AY211" i="3"/>
  <c r="AY203" i="3"/>
  <c r="AY208" i="3"/>
  <c r="AY195" i="3"/>
  <c r="AY194" i="3"/>
  <c r="AY188" i="3"/>
  <c r="AY190" i="3"/>
  <c r="AY185" i="3"/>
  <c r="AY179" i="3"/>
  <c r="AY174" i="3"/>
  <c r="AY172" i="3"/>
  <c r="AY171" i="3"/>
  <c r="AY166" i="3"/>
  <c r="AY161" i="3"/>
  <c r="AI216" i="3"/>
  <c r="AI215" i="3"/>
  <c r="AI205" i="3"/>
  <c r="AI196" i="3"/>
  <c r="AI202" i="3"/>
  <c r="AI197" i="3"/>
  <c r="AI191" i="3"/>
  <c r="AI193" i="3"/>
  <c r="AI176" i="3"/>
  <c r="AI182" i="3"/>
  <c r="AI177" i="3"/>
  <c r="AI164" i="3"/>
  <c r="AI163" i="3"/>
  <c r="AI169" i="3"/>
  <c r="S217" i="3"/>
  <c r="S210" i="3"/>
  <c r="S212" i="3"/>
  <c r="S208" i="3"/>
  <c r="S195" i="3"/>
  <c r="S194" i="3"/>
  <c r="S188" i="3"/>
  <c r="S190" i="3"/>
  <c r="S185" i="3"/>
  <c r="S179" i="3"/>
  <c r="S174" i="3"/>
  <c r="S172" i="3"/>
  <c r="S171" i="3"/>
  <c r="S166" i="3"/>
  <c r="S161" i="3"/>
  <c r="BF210" i="3"/>
  <c r="BF209" i="3"/>
  <c r="BF207" i="3"/>
  <c r="BF201" i="3"/>
  <c r="BF199" i="3"/>
  <c r="BF194" i="3"/>
  <c r="BF192" i="3"/>
  <c r="BF187" i="3"/>
  <c r="BF177" i="3"/>
  <c r="BF176" i="3"/>
  <c r="BF178" i="3"/>
  <c r="BF161" i="3"/>
  <c r="BF160" i="3"/>
  <c r="BF170" i="3"/>
  <c r="AP211" i="3"/>
  <c r="AP216" i="3"/>
  <c r="AP204" i="3"/>
  <c r="AP205" i="3"/>
  <c r="AP200" i="3"/>
  <c r="AP202" i="3"/>
  <c r="AP189" i="3"/>
  <c r="AP184" i="3"/>
  <c r="AP186" i="3"/>
  <c r="AP180" i="3"/>
  <c r="AP183" i="3"/>
  <c r="AP169" i="3"/>
  <c r="AP168" i="3"/>
  <c r="AP167" i="3"/>
  <c r="AP162" i="3"/>
  <c r="Z210" i="3"/>
  <c r="Z209" i="3"/>
  <c r="Z207" i="3"/>
  <c r="Z201" i="3"/>
  <c r="Z199" i="3"/>
  <c r="Z194" i="3"/>
  <c r="Z192" i="3"/>
  <c r="Z187" i="3"/>
  <c r="Z177" i="3"/>
  <c r="Z183" i="3"/>
  <c r="Z178" i="3"/>
  <c r="Z161" i="3"/>
  <c r="Z160" i="3"/>
  <c r="Z170" i="3"/>
  <c r="J211" i="3"/>
  <c r="J216" i="3"/>
  <c r="J204" i="3"/>
  <c r="J205" i="3"/>
  <c r="J200" i="3"/>
  <c r="J202" i="3"/>
  <c r="J189" i="3"/>
  <c r="J184" i="3"/>
  <c r="J186" i="3"/>
  <c r="J180" i="3"/>
  <c r="J175" i="3"/>
  <c r="J169" i="3"/>
  <c r="J168" i="3"/>
  <c r="J167" i="3"/>
  <c r="J162" i="3"/>
  <c r="BA211" i="3"/>
  <c r="BA205" i="3"/>
  <c r="BA204" i="3"/>
  <c r="BA202" i="3"/>
  <c r="BA197" i="3"/>
  <c r="BA195" i="3"/>
  <c r="BA189" i="3"/>
  <c r="BA191" i="3"/>
  <c r="BA182" i="3"/>
  <c r="BA177" i="3"/>
  <c r="BA179" i="3"/>
  <c r="BA162" i="3"/>
  <c r="BA172" i="3"/>
  <c r="BA171" i="3"/>
  <c r="AK212" i="3"/>
  <c r="AK214" i="3"/>
  <c r="AK209" i="3"/>
  <c r="AK206" i="3"/>
  <c r="AK194" i="3"/>
  <c r="AK196" i="3"/>
  <c r="AK186" i="3"/>
  <c r="AK192" i="3"/>
  <c r="AK184" i="3"/>
  <c r="AK181" i="3"/>
  <c r="AK183" i="3"/>
  <c r="AK166" i="3"/>
  <c r="AK161" i="3"/>
  <c r="AK164" i="3"/>
  <c r="AK163" i="3"/>
  <c r="U211" i="3"/>
  <c r="U210" i="3"/>
  <c r="U207" i="3"/>
  <c r="U202" i="3"/>
  <c r="U200" i="3"/>
  <c r="U190" i="3"/>
  <c r="U189" i="3"/>
  <c r="U191" i="3"/>
  <c r="U178" i="3"/>
  <c r="U180" i="3"/>
  <c r="U175" i="3"/>
  <c r="U169" i="3"/>
  <c r="U172" i="3"/>
  <c r="U171" i="3"/>
  <c r="BL213" i="3"/>
  <c r="BL211" i="3"/>
  <c r="BL205" i="3"/>
  <c r="BL203" i="3"/>
  <c r="BL198" i="3"/>
  <c r="BL204" i="3"/>
  <c r="BL191" i="3"/>
  <c r="BL186" i="3"/>
  <c r="BL188" i="3"/>
  <c r="BL182" i="3"/>
  <c r="BL177" i="3"/>
  <c r="BL171" i="3"/>
  <c r="BL166" i="3"/>
  <c r="BL161" i="3"/>
  <c r="BL160" i="3"/>
  <c r="AV212" i="3"/>
  <c r="AV209" i="3"/>
  <c r="AV208" i="3"/>
  <c r="AV195" i="3"/>
  <c r="AV201" i="3"/>
  <c r="AV196" i="3"/>
  <c r="AV190" i="3"/>
  <c r="AV185" i="3"/>
  <c r="AV179" i="3"/>
  <c r="AV174" i="3"/>
  <c r="AV180" i="3"/>
  <c r="AV163" i="3"/>
  <c r="AV169" i="3"/>
  <c r="AV168" i="3"/>
  <c r="AF213" i="3"/>
  <c r="AF211" i="3"/>
  <c r="AF205" i="3"/>
  <c r="AF203" i="3"/>
  <c r="AF198" i="3"/>
  <c r="AF204" i="3"/>
  <c r="AF187" i="3"/>
  <c r="AF189" i="3"/>
  <c r="AF184" i="3"/>
  <c r="AF182" i="3"/>
  <c r="AF177" i="3"/>
  <c r="AF167" i="3"/>
  <c r="AF166" i="3"/>
  <c r="AF161" i="3"/>
  <c r="AF160" i="3"/>
  <c r="P212" i="3"/>
  <c r="P206" i="3"/>
  <c r="P209" i="3"/>
  <c r="P195" i="3"/>
  <c r="P201" i="3"/>
  <c r="P196" i="3"/>
  <c r="P186" i="3"/>
  <c r="P192" i="3"/>
  <c r="P179" i="3"/>
  <c r="P174" i="3"/>
  <c r="P176" i="3"/>
  <c r="P173" i="3"/>
  <c r="P169" i="3"/>
  <c r="P168" i="3"/>
  <c r="BK210" i="3"/>
  <c r="BK215" i="3"/>
  <c r="BK207" i="3"/>
  <c r="BK208" i="3"/>
  <c r="BK199" i="3"/>
  <c r="BK194" i="3"/>
  <c r="BK192" i="3"/>
  <c r="BK187" i="3"/>
  <c r="BK185" i="3"/>
  <c r="BK175" i="3"/>
  <c r="BK174" i="3"/>
  <c r="BK172" i="3"/>
  <c r="BK171" i="3"/>
  <c r="BK166" i="3"/>
  <c r="BK161" i="3"/>
  <c r="AU216" i="3"/>
  <c r="AU211" i="3"/>
  <c r="AU210" i="3"/>
  <c r="AU200" i="3"/>
  <c r="AU202" i="3"/>
  <c r="AU197" i="3"/>
  <c r="AU191" i="3"/>
  <c r="AU193" i="3"/>
  <c r="AU176" i="3"/>
  <c r="AU178" i="3"/>
  <c r="AU177" i="3"/>
  <c r="AU164" i="3"/>
  <c r="AU163" i="3"/>
  <c r="AU169" i="3"/>
  <c r="AE217" i="3"/>
  <c r="AE212" i="3"/>
  <c r="AE203" i="3"/>
  <c r="AE208" i="3"/>
  <c r="AE199" i="3"/>
  <c r="AE194" i="3"/>
  <c r="AE188" i="3"/>
  <c r="AE190" i="3"/>
  <c r="AE185" i="3"/>
  <c r="AE179" i="3"/>
  <c r="AE174" i="3"/>
  <c r="AE172" i="3"/>
  <c r="AE171" i="3"/>
  <c r="AE166" i="3"/>
  <c r="AE161" i="3"/>
  <c r="O216" i="3"/>
  <c r="O210" i="3"/>
  <c r="O206" i="3"/>
  <c r="O200" i="3"/>
  <c r="O202" i="3"/>
  <c r="O197" i="3"/>
  <c r="O191" i="3"/>
  <c r="O193" i="3"/>
  <c r="O176" i="3"/>
  <c r="O182" i="3"/>
  <c r="O177" i="3"/>
  <c r="O164" i="3"/>
  <c r="O163" i="3"/>
  <c r="O169" i="3"/>
  <c r="BB211" i="3"/>
  <c r="BB216" i="3"/>
  <c r="BB208" i="3"/>
  <c r="BB205" i="3"/>
  <c r="BB196" i="3"/>
  <c r="BB202" i="3"/>
  <c r="BB189" i="3"/>
  <c r="BB184" i="3"/>
  <c r="BB186" i="3"/>
  <c r="BB180" i="3"/>
  <c r="BB183" i="3"/>
  <c r="BB169" i="3"/>
  <c r="BB168" i="3"/>
  <c r="BB167" i="3"/>
  <c r="BB162" i="3"/>
  <c r="AL210" i="3"/>
  <c r="AL212" i="3"/>
  <c r="AL207" i="3"/>
  <c r="AL197" i="3"/>
  <c r="AL195" i="3"/>
  <c r="AL194" i="3"/>
  <c r="AL192" i="3"/>
  <c r="AL187" i="3"/>
  <c r="AL177" i="3"/>
  <c r="AL183" i="3"/>
  <c r="AL178" i="3"/>
  <c r="AL161" i="3"/>
  <c r="AL160" i="3"/>
  <c r="AL170" i="3"/>
  <c r="V211" i="3"/>
  <c r="V216" i="3"/>
  <c r="V208" i="3"/>
  <c r="V201" i="3"/>
  <c r="V196" i="3"/>
  <c r="V202" i="3"/>
  <c r="V189" i="3"/>
  <c r="V184" i="3"/>
  <c r="V186" i="3"/>
  <c r="V180" i="3"/>
  <c r="V175" i="3"/>
  <c r="V169" i="3"/>
  <c r="V168" i="3"/>
  <c r="V167" i="3"/>
  <c r="V162" i="3"/>
  <c r="F210" i="3"/>
  <c r="F212" i="3"/>
  <c r="F206" i="3"/>
  <c r="F205" i="3"/>
  <c r="F195" i="3"/>
  <c r="F194" i="3"/>
  <c r="F192" i="3"/>
  <c r="F187" i="3"/>
  <c r="F177" i="3"/>
  <c r="F183" i="3"/>
  <c r="F178" i="3"/>
  <c r="F161" i="3"/>
  <c r="F160" i="3"/>
  <c r="F170" i="3"/>
  <c r="BM212" i="3"/>
  <c r="BM210" i="3"/>
  <c r="BM204" i="3"/>
  <c r="BM206" i="3"/>
  <c r="BM201" i="3"/>
  <c r="BM203" i="3"/>
  <c r="BM186" i="3"/>
  <c r="BM188" i="3"/>
  <c r="BM183" i="3"/>
  <c r="BM184" i="3"/>
  <c r="BM180" i="3"/>
  <c r="BM170" i="3"/>
  <c r="BM165" i="3"/>
  <c r="BM164" i="3"/>
  <c r="BM163" i="3"/>
  <c r="AW211" i="3"/>
  <c r="AW205" i="3"/>
  <c r="AW207" i="3"/>
  <c r="AW198" i="3"/>
  <c r="AW200" i="3"/>
  <c r="AW195" i="3"/>
  <c r="AW189" i="3"/>
  <c r="AW191" i="3"/>
  <c r="AW174" i="3"/>
  <c r="AW173" i="3"/>
  <c r="AW179" i="3"/>
  <c r="AW162" i="3"/>
  <c r="AW172" i="3"/>
  <c r="AW171" i="3"/>
  <c r="AG212" i="3"/>
  <c r="AG210" i="3"/>
  <c r="AG204" i="3"/>
  <c r="AG206" i="3"/>
  <c r="AG201" i="3"/>
  <c r="AG203" i="3"/>
  <c r="AG186" i="3"/>
  <c r="AG192" i="3"/>
  <c r="AG182" i="3"/>
  <c r="AG181" i="3"/>
  <c r="AG183" i="3"/>
  <c r="AG170" i="3"/>
  <c r="AG165" i="3"/>
  <c r="AG164" i="3"/>
  <c r="AG163" i="3"/>
  <c r="Q211" i="3"/>
  <c r="Q205" i="3"/>
  <c r="Q209" i="3"/>
  <c r="Q198" i="3"/>
  <c r="Q196" i="3"/>
  <c r="Q190" i="3"/>
  <c r="Q185" i="3"/>
  <c r="Q191" i="3"/>
  <c r="Q174" i="3"/>
  <c r="Q180" i="3"/>
  <c r="Q175" i="3"/>
  <c r="Q162" i="3"/>
  <c r="Q172" i="3"/>
  <c r="Q171" i="3"/>
  <c r="BH213" i="3"/>
  <c r="BH215" i="3"/>
  <c r="BH205" i="3"/>
  <c r="BH199" i="3"/>
  <c r="BH198" i="3"/>
  <c r="BH203" i="3"/>
  <c r="BH187" i="3"/>
  <c r="BH189" i="3"/>
  <c r="BH188" i="3"/>
  <c r="BH182" i="3"/>
  <c r="BH177" i="3"/>
  <c r="BH171" i="3"/>
  <c r="BH166" i="3"/>
  <c r="BH161" i="3"/>
  <c r="BH160" i="3"/>
  <c r="AR212" i="3"/>
  <c r="AR206" i="3"/>
  <c r="AR208" i="3"/>
  <c r="AR204" i="3"/>
  <c r="AR201" i="3"/>
  <c r="AR196" i="3"/>
  <c r="AR190" i="3"/>
  <c r="AR185" i="3"/>
  <c r="AR179" i="3"/>
  <c r="AR174" i="3"/>
  <c r="AR180" i="3"/>
  <c r="AR163" i="3"/>
  <c r="AR169" i="3"/>
  <c r="AR168" i="3"/>
  <c r="AB213" i="3"/>
  <c r="AB210" i="3"/>
  <c r="AB205" i="3"/>
  <c r="AB199" i="3"/>
  <c r="AB198" i="3"/>
  <c r="AB203" i="3"/>
  <c r="AB187" i="3"/>
  <c r="AB189" i="3"/>
  <c r="AB184" i="3"/>
  <c r="AB182" i="3"/>
  <c r="AB177" i="3"/>
  <c r="AB167" i="3"/>
  <c r="AB162" i="3"/>
  <c r="AB173" i="3"/>
  <c r="AB160" i="3"/>
  <c r="L212" i="3"/>
  <c r="L206" i="3"/>
  <c r="L201" i="3"/>
  <c r="L192" i="3"/>
  <c r="L176" i="3"/>
  <c r="L168" i="3"/>
  <c r="BH216" i="3"/>
  <c r="BH195" i="3"/>
  <c r="BH185" i="3"/>
  <c r="BH178" i="3"/>
  <c r="BH162" i="3"/>
  <c r="AR205" i="3"/>
  <c r="AR191" i="3"/>
  <c r="AR181" i="3"/>
  <c r="AR165" i="3"/>
  <c r="AB209" i="3"/>
  <c r="AB190" i="3"/>
  <c r="AB180" i="3"/>
  <c r="AB172" i="3"/>
  <c r="L202" i="3"/>
  <c r="L175" i="3"/>
  <c r="L161" i="3"/>
  <c r="BG217" i="3"/>
  <c r="BG209" i="3"/>
  <c r="BG203" i="3"/>
  <c r="BG200" i="3"/>
  <c r="BG204" i="3"/>
  <c r="BG201" i="3"/>
  <c r="BG188" i="3"/>
  <c r="BG190" i="3"/>
  <c r="BG183" i="3"/>
  <c r="BG175" i="3"/>
  <c r="BG181" i="3"/>
  <c r="BG168" i="3"/>
  <c r="BG167" i="3"/>
  <c r="BG162" i="3"/>
  <c r="AQ214" i="3"/>
  <c r="AQ211" i="3"/>
  <c r="AQ207" i="3"/>
  <c r="AQ205" i="3"/>
  <c r="AQ199" i="3"/>
  <c r="AQ198" i="3"/>
  <c r="AQ192" i="3"/>
  <c r="AQ187" i="3"/>
  <c r="AQ189" i="3"/>
  <c r="AQ179" i="3"/>
  <c r="AQ178" i="3"/>
  <c r="AQ173" i="3"/>
  <c r="AQ160" i="3"/>
  <c r="AQ170" i="3"/>
  <c r="AQ165" i="3"/>
  <c r="AA213" i="3"/>
  <c r="AA210" i="3"/>
  <c r="AA206" i="3"/>
  <c r="AA200" i="3"/>
  <c r="AA204" i="3"/>
  <c r="AA201" i="3"/>
  <c r="AA184" i="3"/>
  <c r="AA186" i="3"/>
  <c r="AA180" i="3"/>
  <c r="AA175" i="3"/>
  <c r="AA181" i="3"/>
  <c r="AA168" i="3"/>
  <c r="AA167" i="3"/>
  <c r="AA162" i="3"/>
  <c r="K214" i="3"/>
  <c r="K211" i="3"/>
  <c r="K203" i="3"/>
  <c r="K209" i="3"/>
  <c r="K199" i="3"/>
  <c r="K198" i="3"/>
  <c r="K192" i="3"/>
  <c r="K187" i="3"/>
  <c r="K189" i="3"/>
  <c r="K183" i="3"/>
  <c r="K178" i="3"/>
  <c r="K173" i="3"/>
  <c r="K160" i="3"/>
  <c r="K170" i="3"/>
  <c r="K165" i="3"/>
  <c r="AX214" i="3"/>
  <c r="AX216" i="3"/>
  <c r="AX213" i="3"/>
  <c r="AX201" i="3"/>
  <c r="AX203" i="3"/>
  <c r="AX198" i="3"/>
  <c r="AX185" i="3"/>
  <c r="AX191" i="3"/>
  <c r="AX181" i="3"/>
  <c r="AX180" i="3"/>
  <c r="AX182" i="3"/>
  <c r="AX165" i="3"/>
  <c r="AX164" i="3"/>
  <c r="AX163" i="3"/>
  <c r="AH215" i="3"/>
  <c r="AH217" i="3"/>
  <c r="AH208" i="3"/>
  <c r="AH213" i="3"/>
  <c r="AH200" i="3"/>
  <c r="AH195" i="3"/>
  <c r="AH193" i="3"/>
  <c r="AH188" i="3"/>
  <c r="AH190" i="3"/>
  <c r="AH173" i="3"/>
  <c r="AH179" i="3"/>
  <c r="AH174" i="3"/>
  <c r="AH172" i="3"/>
  <c r="AH171" i="3"/>
  <c r="AH166" i="3"/>
  <c r="R214" i="3"/>
  <c r="R216" i="3"/>
  <c r="R213" i="3"/>
  <c r="R197" i="3"/>
  <c r="R203" i="3"/>
  <c r="R198" i="3"/>
  <c r="R185" i="3"/>
  <c r="R191" i="3"/>
  <c r="R181" i="3"/>
  <c r="R176" i="3"/>
  <c r="R182" i="3"/>
  <c r="R165" i="3"/>
  <c r="R164" i="3"/>
  <c r="R163" i="3"/>
  <c r="BI216" i="3"/>
  <c r="BI214" i="3"/>
  <c r="BI209" i="3"/>
  <c r="BI217" i="3"/>
  <c r="BI194" i="3"/>
  <c r="BI200" i="3"/>
  <c r="BI190" i="3"/>
  <c r="BI193" i="3"/>
  <c r="BI187" i="3"/>
  <c r="BI174" i="3"/>
  <c r="BI184" i="3"/>
  <c r="BI175" i="3"/>
  <c r="BI169" i="3"/>
  <c r="BI168" i="3"/>
  <c r="BI167" i="3"/>
  <c r="AS215" i="3"/>
  <c r="AS213" i="3"/>
  <c r="AS208" i="3"/>
  <c r="AS202" i="3"/>
  <c r="AS197" i="3"/>
  <c r="AS199" i="3"/>
  <c r="AS193" i="3"/>
  <c r="AS188" i="3"/>
  <c r="AS178" i="3"/>
  <c r="AS177" i="3"/>
  <c r="AS176" i="3"/>
  <c r="AS166" i="3"/>
  <c r="AS161" i="3"/>
  <c r="AS160" i="3"/>
  <c r="AC216" i="3"/>
  <c r="AC210" i="3"/>
  <c r="AC217" i="3"/>
  <c r="AC207" i="3"/>
  <c r="AC194" i="3"/>
  <c r="AC200" i="3"/>
  <c r="AC190" i="3"/>
  <c r="AC185" i="3"/>
  <c r="AC187" i="3"/>
  <c r="AC181" i="3"/>
  <c r="AC176" i="3"/>
  <c r="AC170" i="3"/>
  <c r="AC165" i="3"/>
  <c r="AC168" i="3"/>
  <c r="AC167" i="3"/>
  <c r="M215" i="3"/>
  <c r="M213" i="3"/>
  <c r="M204" i="3"/>
  <c r="M202" i="3"/>
  <c r="M203" i="3"/>
  <c r="M195" i="3"/>
  <c r="M189" i="3"/>
  <c r="M194" i="3"/>
  <c r="M178" i="3"/>
  <c r="M184" i="3"/>
  <c r="M179" i="3"/>
  <c r="M162" i="3"/>
  <c r="M173" i="3"/>
  <c r="M160" i="3"/>
  <c r="BD217" i="3"/>
  <c r="BD214" i="3"/>
  <c r="BD209" i="3"/>
  <c r="BD207" i="3"/>
  <c r="BD198" i="3"/>
  <c r="BD197" i="3"/>
  <c r="BD191" i="3"/>
  <c r="BD186" i="3"/>
  <c r="BD192" i="3"/>
  <c r="BD175" i="3"/>
  <c r="BD181" i="3"/>
  <c r="BD176" i="3"/>
  <c r="BD170" i="3"/>
  <c r="BD165" i="3"/>
  <c r="BD164" i="3"/>
  <c r="AN216" i="3"/>
  <c r="AN211" i="3"/>
  <c r="AN215" i="3"/>
  <c r="AN195" i="3"/>
  <c r="AN203" i="3"/>
  <c r="AN200" i="3"/>
  <c r="AN183" i="3"/>
  <c r="AN189" i="3"/>
  <c r="AN184" i="3"/>
  <c r="AN178" i="3"/>
  <c r="AN180" i="3"/>
  <c r="AN163" i="3"/>
  <c r="AN162" i="3"/>
  <c r="AN172" i="3"/>
  <c r="X217" i="3"/>
  <c r="X214" i="3"/>
  <c r="X206" i="3"/>
  <c r="X207" i="3"/>
  <c r="X198" i="3"/>
  <c r="X197" i="3"/>
  <c r="X191" i="3"/>
  <c r="X193" i="3"/>
  <c r="X188" i="3"/>
  <c r="X175" i="3"/>
  <c r="X181" i="3"/>
  <c r="X171" i="3"/>
  <c r="X170" i="3"/>
  <c r="X165" i="3"/>
  <c r="X164" i="3"/>
  <c r="H216" i="3"/>
  <c r="H211" i="3"/>
  <c r="H215" i="3"/>
  <c r="H195" i="3"/>
  <c r="H203" i="3"/>
  <c r="H200" i="3"/>
  <c r="H190" i="3"/>
  <c r="H185" i="3"/>
  <c r="H183" i="3"/>
  <c r="H178" i="3"/>
  <c r="H180" i="3"/>
  <c r="H163" i="3"/>
  <c r="H162" i="3"/>
  <c r="H172" i="3"/>
  <c r="BC214" i="3"/>
  <c r="BC216" i="3"/>
  <c r="BC211" i="3"/>
  <c r="BC205" i="3"/>
  <c r="BC196" i="3"/>
  <c r="BC198" i="3"/>
  <c r="BC192" i="3"/>
  <c r="BC187" i="3"/>
  <c r="BC189" i="3"/>
  <c r="BC179" i="3"/>
  <c r="BC178" i="3"/>
  <c r="BC173" i="3"/>
  <c r="BC160" i="3"/>
  <c r="BC170" i="3"/>
  <c r="BC165" i="3"/>
  <c r="AM213" i="3"/>
  <c r="AM210" i="3"/>
  <c r="AM203" i="3"/>
  <c r="AM204" i="3"/>
  <c r="AM195" i="3"/>
  <c r="AM201" i="3"/>
  <c r="AM184" i="3"/>
  <c r="AM186" i="3"/>
  <c r="AM180" i="3"/>
  <c r="AM175" i="3"/>
  <c r="AM181" i="3"/>
  <c r="AM168" i="3"/>
  <c r="AM167" i="3"/>
  <c r="AM162" i="3"/>
  <c r="W214" i="3"/>
  <c r="W215" i="3"/>
  <c r="W207" i="3"/>
  <c r="W205" i="3"/>
  <c r="W196" i="3"/>
  <c r="W198" i="3"/>
  <c r="W192" i="3"/>
  <c r="W187" i="3"/>
  <c r="W189" i="3"/>
  <c r="W183" i="3"/>
  <c r="W178" i="3"/>
  <c r="W173" i="3"/>
  <c r="W160" i="3"/>
  <c r="W170" i="3"/>
  <c r="W165" i="3"/>
  <c r="G213" i="3"/>
  <c r="G210" i="3"/>
  <c r="G206" i="3"/>
  <c r="G204" i="3"/>
  <c r="G195" i="3"/>
  <c r="G201" i="3"/>
  <c r="G184" i="3"/>
  <c r="G186" i="3"/>
  <c r="G180" i="3"/>
  <c r="G175" i="3"/>
  <c r="G181" i="3"/>
  <c r="G168" i="3"/>
  <c r="G167" i="3"/>
  <c r="G162" i="3"/>
  <c r="BJ215" i="3"/>
  <c r="BJ217" i="3"/>
  <c r="BJ208" i="3"/>
  <c r="BJ216" i="3"/>
  <c r="BJ203" i="3"/>
  <c r="BJ195" i="3"/>
  <c r="BJ189" i="3"/>
  <c r="BJ188" i="3"/>
  <c r="BJ190" i="3"/>
  <c r="BJ173" i="3"/>
  <c r="BJ175" i="3"/>
  <c r="BJ174" i="3"/>
  <c r="BJ172" i="3"/>
  <c r="BJ171" i="3"/>
  <c r="BJ166" i="3"/>
  <c r="AT214" i="3"/>
  <c r="AT212" i="3"/>
  <c r="AT204" i="3"/>
  <c r="AT201" i="3"/>
  <c r="AT196" i="3"/>
  <c r="AT198" i="3"/>
  <c r="AT185" i="3"/>
  <c r="AT191" i="3"/>
  <c r="AT183" i="3"/>
  <c r="AT180" i="3"/>
  <c r="AT182" i="3"/>
  <c r="AT165" i="3"/>
  <c r="AT164" i="3"/>
  <c r="AT163" i="3"/>
  <c r="AD215" i="3"/>
  <c r="AD217" i="3"/>
  <c r="AD208" i="3"/>
  <c r="AD206" i="3"/>
  <c r="AD203" i="3"/>
  <c r="AD195" i="3"/>
  <c r="AD193" i="3"/>
  <c r="AD188" i="3"/>
  <c r="AD190" i="3"/>
  <c r="AD173" i="3"/>
  <c r="AD179" i="3"/>
  <c r="AD174" i="3"/>
  <c r="AD172" i="3"/>
  <c r="AD171" i="3"/>
  <c r="AD166" i="3"/>
  <c r="N214" i="3"/>
  <c r="N212" i="3"/>
  <c r="N207" i="3"/>
  <c r="N197" i="3"/>
  <c r="N199" i="3"/>
  <c r="N198" i="3"/>
  <c r="N185" i="3"/>
  <c r="N191" i="3"/>
  <c r="N181" i="3"/>
  <c r="N176" i="3"/>
  <c r="N182" i="3"/>
  <c r="N165" i="3"/>
  <c r="N164" i="3"/>
  <c r="N163" i="3"/>
  <c r="BE216" i="3"/>
  <c r="BE217" i="3"/>
  <c r="BE205" i="3"/>
  <c r="BE209" i="3"/>
  <c r="BE194" i="3"/>
  <c r="BE200" i="3"/>
  <c r="BE190" i="3"/>
  <c r="BE185" i="3"/>
  <c r="BE187" i="3"/>
  <c r="BE174" i="3"/>
  <c r="BE180" i="3"/>
  <c r="BE175" i="3"/>
  <c r="BE169" i="3"/>
  <c r="BE168" i="3"/>
  <c r="BE167" i="3"/>
  <c r="AO215" i="3"/>
  <c r="AO205" i="3"/>
  <c r="AO207" i="3"/>
  <c r="AO202" i="3"/>
  <c r="AO201" i="3"/>
  <c r="AO199" i="3"/>
  <c r="AO193" i="3"/>
  <c r="AO188" i="3"/>
  <c r="AO182" i="3"/>
  <c r="AO177" i="3"/>
  <c r="AO184" i="3"/>
  <c r="AO166" i="3"/>
  <c r="AO161" i="3"/>
  <c r="AO160" i="3"/>
  <c r="Y216" i="3"/>
  <c r="Y217" i="3"/>
  <c r="Y205" i="3"/>
  <c r="Y207" i="3"/>
  <c r="Y194" i="3"/>
  <c r="Y200" i="3"/>
  <c r="Y190" i="3"/>
  <c r="Y185" i="3"/>
  <c r="Y187" i="3"/>
  <c r="Y181" i="3"/>
  <c r="Y184" i="3"/>
  <c r="Y173" i="3"/>
  <c r="Y169" i="3"/>
  <c r="Y168" i="3"/>
  <c r="Y167" i="3"/>
  <c r="I215" i="3"/>
  <c r="I209" i="3"/>
  <c r="I204" i="3"/>
  <c r="I202" i="3"/>
  <c r="I197" i="3"/>
  <c r="I195" i="3"/>
  <c r="I193" i="3"/>
  <c r="I188" i="3"/>
  <c r="I178" i="3"/>
  <c r="I180" i="3"/>
  <c r="I179" i="3"/>
  <c r="I166" i="3"/>
  <c r="I161" i="3"/>
  <c r="I160" i="3"/>
  <c r="AZ217" i="3"/>
  <c r="AZ210" i="3"/>
  <c r="AZ211" i="3"/>
  <c r="AZ207" i="3"/>
  <c r="AZ203" i="3"/>
  <c r="AZ201" i="3"/>
  <c r="AZ191" i="3"/>
  <c r="AZ186" i="3"/>
  <c r="AZ192" i="3"/>
  <c r="AZ175" i="3"/>
  <c r="AZ181" i="3"/>
  <c r="AZ176" i="3"/>
  <c r="AZ170" i="3"/>
  <c r="AZ165" i="3"/>
  <c r="AZ164" i="3"/>
  <c r="AJ216" i="3"/>
  <c r="AJ210" i="3"/>
  <c r="AJ208" i="3"/>
  <c r="AJ195" i="3"/>
  <c r="AJ198" i="3"/>
  <c r="AJ200" i="3"/>
  <c r="AJ190" i="3"/>
  <c r="AJ185" i="3"/>
  <c r="AJ183" i="3"/>
  <c r="AJ178" i="3"/>
  <c r="AJ180" i="3"/>
  <c r="AJ163" i="3"/>
  <c r="AJ169" i="3"/>
  <c r="AJ172" i="3"/>
  <c r="T217" i="3"/>
  <c r="T215" i="3"/>
  <c r="T211" i="3"/>
  <c r="T207" i="3"/>
  <c r="T203" i="3"/>
  <c r="T201" i="3"/>
  <c r="T191" i="3"/>
  <c r="T193" i="3"/>
  <c r="T188" i="3"/>
  <c r="T175" i="3"/>
  <c r="T181" i="3"/>
  <c r="T171" i="3"/>
  <c r="T166" i="3"/>
  <c r="T161" i="3"/>
  <c r="T164" i="3"/>
  <c r="AY217" i="3"/>
  <c r="AY209" i="3"/>
  <c r="AY212" i="3"/>
  <c r="AY200" i="3"/>
  <c r="AY204" i="3"/>
  <c r="AY201" i="3"/>
  <c r="AY184" i="3"/>
  <c r="AY186" i="3"/>
  <c r="AY183" i="3"/>
  <c r="AY175" i="3"/>
  <c r="AY181" i="3"/>
  <c r="AY168" i="3"/>
  <c r="AY167" i="3"/>
  <c r="AY162" i="3"/>
  <c r="AI214" i="3"/>
  <c r="AI211" i="3"/>
  <c r="AI207" i="3"/>
  <c r="AI212" i="3"/>
  <c r="AI199" i="3"/>
  <c r="AI198" i="3"/>
  <c r="AI192" i="3"/>
  <c r="AI187" i="3"/>
  <c r="AI189" i="3"/>
  <c r="AI183" i="3"/>
  <c r="AI178" i="3"/>
  <c r="AI173" i="3"/>
  <c r="AI160" i="3"/>
  <c r="AI170" i="3"/>
  <c r="AI165" i="3"/>
  <c r="S213" i="3"/>
  <c r="S215" i="3"/>
  <c r="S209" i="3"/>
  <c r="S200" i="3"/>
  <c r="S204" i="3"/>
  <c r="S201" i="3"/>
  <c r="S184" i="3"/>
  <c r="S186" i="3"/>
  <c r="S180" i="3"/>
  <c r="S175" i="3"/>
  <c r="S181" i="3"/>
  <c r="S168" i="3"/>
  <c r="S167" i="3"/>
  <c r="S162" i="3"/>
  <c r="BF215" i="3"/>
  <c r="BF217" i="3"/>
  <c r="BF213" i="3"/>
  <c r="BF206" i="3"/>
  <c r="BF197" i="3"/>
  <c r="BF195" i="3"/>
  <c r="BF193" i="3"/>
  <c r="BF188" i="3"/>
  <c r="BF190" i="3"/>
  <c r="BF173" i="3"/>
  <c r="BF179" i="3"/>
  <c r="BF174" i="3"/>
  <c r="BF172" i="3"/>
  <c r="BF171" i="3"/>
  <c r="BF166" i="3"/>
  <c r="AP214" i="3"/>
  <c r="AP212" i="3"/>
  <c r="AP207" i="3"/>
  <c r="AP203" i="3"/>
  <c r="AP196" i="3"/>
  <c r="AP198" i="3"/>
  <c r="AP185" i="3"/>
  <c r="AP191" i="3"/>
  <c r="AP181" i="3"/>
  <c r="AP176" i="3"/>
  <c r="AP182" i="3"/>
  <c r="AP165" i="3"/>
  <c r="AP164" i="3"/>
  <c r="AP163" i="3"/>
  <c r="Z215" i="3"/>
  <c r="Z217" i="3"/>
  <c r="Z213" i="3"/>
  <c r="Z206" i="3"/>
  <c r="Z197" i="3"/>
  <c r="Z195" i="3"/>
  <c r="Z193" i="3"/>
  <c r="Z188" i="3"/>
  <c r="Z190" i="3"/>
  <c r="Z173" i="3"/>
  <c r="Z179" i="3"/>
  <c r="Z174" i="3"/>
  <c r="Z172" i="3"/>
  <c r="Z171" i="3"/>
  <c r="Z166" i="3"/>
  <c r="J214" i="3"/>
  <c r="J212" i="3"/>
  <c r="J207" i="3"/>
  <c r="J203" i="3"/>
  <c r="J196" i="3"/>
  <c r="J198" i="3"/>
  <c r="J185" i="3"/>
  <c r="J191" i="3"/>
  <c r="J181" i="3"/>
  <c r="J176" i="3"/>
  <c r="J182" i="3"/>
  <c r="J165" i="3"/>
  <c r="J164" i="3"/>
  <c r="J163" i="3"/>
  <c r="BA216" i="3"/>
  <c r="BA217" i="3"/>
  <c r="BA210" i="3"/>
  <c r="BA207" i="3"/>
  <c r="BA198" i="3"/>
  <c r="BA200" i="3"/>
  <c r="BA190" i="3"/>
  <c r="BA185" i="3"/>
  <c r="BA187" i="3"/>
  <c r="BA178" i="3"/>
  <c r="BA173" i="3"/>
  <c r="BA175" i="3"/>
  <c r="BA169" i="3"/>
  <c r="BA168" i="3"/>
  <c r="BA167" i="3"/>
  <c r="AK215" i="3"/>
  <c r="AK213" i="3"/>
  <c r="AK208" i="3"/>
  <c r="AK203" i="3"/>
  <c r="AK201" i="3"/>
  <c r="AK199" i="3"/>
  <c r="AK193" i="3"/>
  <c r="AK188" i="3"/>
  <c r="AK182" i="3"/>
  <c r="AK177" i="3"/>
  <c r="AK179" i="3"/>
  <c r="AK162" i="3"/>
  <c r="AK173" i="3"/>
  <c r="AK160" i="3"/>
  <c r="U216" i="3"/>
  <c r="U217" i="3"/>
  <c r="U205" i="3"/>
  <c r="U209" i="3"/>
  <c r="U198" i="3"/>
  <c r="U196" i="3"/>
  <c r="U186" i="3"/>
  <c r="U185" i="3"/>
  <c r="U187" i="3"/>
  <c r="U174" i="3"/>
  <c r="U176" i="3"/>
  <c r="U170" i="3"/>
  <c r="U165" i="3"/>
  <c r="U168" i="3"/>
  <c r="U167" i="3"/>
  <c r="BL216" i="3"/>
  <c r="BL210" i="3"/>
  <c r="BL208" i="3"/>
  <c r="BL199" i="3"/>
  <c r="BL194" i="3"/>
  <c r="BL200" i="3"/>
  <c r="BL187" i="3"/>
  <c r="BL189" i="3"/>
  <c r="BL184" i="3"/>
  <c r="BL178" i="3"/>
  <c r="BL173" i="3"/>
  <c r="BL167" i="3"/>
  <c r="BL162" i="3"/>
  <c r="BL172" i="3"/>
  <c r="AV217" i="3"/>
  <c r="AV214" i="3"/>
  <c r="AV206" i="3"/>
  <c r="AV207" i="3"/>
  <c r="AV202" i="3"/>
  <c r="AV197" i="3"/>
  <c r="AV191" i="3"/>
  <c r="AV186" i="3"/>
  <c r="AV192" i="3"/>
  <c r="AV175" i="3"/>
  <c r="AV181" i="3"/>
  <c r="AV176" i="3"/>
  <c r="AV170" i="3"/>
  <c r="AV165" i="3"/>
  <c r="AV164" i="3"/>
  <c r="AF216" i="3"/>
  <c r="AF210" i="3"/>
  <c r="AF208" i="3"/>
  <c r="AF199" i="3"/>
  <c r="AF194" i="3"/>
  <c r="AF200" i="3"/>
  <c r="AF190" i="3"/>
  <c r="AF185" i="3"/>
  <c r="AF183" i="3"/>
  <c r="AF178" i="3"/>
  <c r="AF180" i="3"/>
  <c r="AF163" i="3"/>
  <c r="AF162" i="3"/>
  <c r="AF172" i="3"/>
  <c r="P217" i="3"/>
  <c r="P214" i="3"/>
  <c r="P215" i="3"/>
  <c r="P207" i="3"/>
  <c r="P202" i="3"/>
  <c r="P197" i="3"/>
  <c r="P191" i="3"/>
  <c r="P193" i="3"/>
  <c r="P188" i="3"/>
  <c r="P175" i="3"/>
  <c r="P181" i="3"/>
  <c r="P171" i="3"/>
  <c r="P170" i="3"/>
  <c r="P165" i="3"/>
  <c r="P164" i="3"/>
  <c r="BK217" i="3"/>
  <c r="BK212" i="3"/>
  <c r="BK203" i="3"/>
  <c r="BK204" i="3"/>
  <c r="BK195" i="3"/>
  <c r="BK201" i="3"/>
  <c r="BK188" i="3"/>
  <c r="BK190" i="3"/>
  <c r="BK180" i="3"/>
  <c r="BK183" i="3"/>
  <c r="BK181" i="3"/>
  <c r="BK168" i="3"/>
  <c r="BK167" i="3"/>
  <c r="BK162" i="3"/>
  <c r="AU214" i="3"/>
  <c r="AU215" i="3"/>
  <c r="AU207" i="3"/>
  <c r="AU205" i="3"/>
  <c r="AU196" i="3"/>
  <c r="AU198" i="3"/>
  <c r="AU192" i="3"/>
  <c r="AU187" i="3"/>
  <c r="AU189" i="3"/>
  <c r="AU179" i="3"/>
  <c r="AU174" i="3"/>
  <c r="AU173" i="3"/>
  <c r="AU160" i="3"/>
  <c r="AU170" i="3"/>
  <c r="AU165" i="3"/>
  <c r="AE213" i="3"/>
  <c r="AE209" i="3"/>
  <c r="AE210" i="3"/>
  <c r="AE204" i="3"/>
  <c r="AE195" i="3"/>
  <c r="AE201" i="3"/>
  <c r="AE184" i="3"/>
  <c r="AE186" i="3"/>
  <c r="AE180" i="3"/>
  <c r="AE175" i="3"/>
  <c r="AE181" i="3"/>
  <c r="AE168" i="3"/>
  <c r="AE167" i="3"/>
  <c r="AE162" i="3"/>
  <c r="O214" i="3"/>
  <c r="O215" i="3"/>
  <c r="O209" i="3"/>
  <c r="O205" i="3"/>
  <c r="O196" i="3"/>
  <c r="O198" i="3"/>
  <c r="O192" i="3"/>
  <c r="O187" i="3"/>
  <c r="O189" i="3"/>
  <c r="O183" i="3"/>
  <c r="O178" i="3"/>
  <c r="O173" i="3"/>
  <c r="O160" i="3"/>
  <c r="O170" i="3"/>
  <c r="O165" i="3"/>
  <c r="BB214" i="3"/>
  <c r="BB213" i="3"/>
  <c r="BB204" i="3"/>
  <c r="BB201" i="3"/>
  <c r="BB199" i="3"/>
  <c r="BB198" i="3"/>
  <c r="BB185" i="3"/>
  <c r="BB191" i="3"/>
  <c r="BB181" i="3"/>
  <c r="BB176" i="3"/>
  <c r="BB182" i="3"/>
  <c r="BB165" i="3"/>
  <c r="BB164" i="3"/>
  <c r="BB163" i="3"/>
  <c r="AL215" i="3"/>
  <c r="AL217" i="3"/>
  <c r="AL209" i="3"/>
  <c r="AL206" i="3"/>
  <c r="AL200" i="3"/>
  <c r="AL203" i="3"/>
  <c r="AL193" i="3"/>
  <c r="AL188" i="3"/>
  <c r="AL190" i="3"/>
  <c r="AL173" i="3"/>
  <c r="AL179" i="3"/>
  <c r="AL174" i="3"/>
  <c r="AL172" i="3"/>
  <c r="AL171" i="3"/>
  <c r="AL166" i="3"/>
  <c r="V214" i="3"/>
  <c r="V213" i="3"/>
  <c r="V204" i="3"/>
  <c r="V197" i="3"/>
  <c r="V199" i="3"/>
  <c r="V198" i="3"/>
  <c r="V185" i="3"/>
  <c r="V191" i="3"/>
  <c r="V181" i="3"/>
  <c r="V176" i="3"/>
  <c r="V182" i="3"/>
  <c r="V165" i="3"/>
  <c r="V164" i="3"/>
  <c r="V163" i="3"/>
  <c r="F215" i="3"/>
  <c r="F217" i="3"/>
  <c r="F208" i="3"/>
  <c r="F209" i="3"/>
  <c r="F200" i="3"/>
  <c r="F203" i="3"/>
  <c r="F193" i="3"/>
  <c r="F188" i="3"/>
  <c r="F190" i="3"/>
  <c r="F173" i="3"/>
  <c r="F179" i="3"/>
  <c r="F174" i="3"/>
  <c r="F172" i="3"/>
  <c r="F171" i="3"/>
  <c r="F166" i="3"/>
  <c r="BM215" i="3"/>
  <c r="BM217" i="3"/>
  <c r="BM207" i="3"/>
  <c r="BM202" i="3"/>
  <c r="BM197" i="3"/>
  <c r="BM199" i="3"/>
  <c r="BM189" i="3"/>
  <c r="BM193" i="3"/>
  <c r="BM182" i="3"/>
  <c r="BM181" i="3"/>
  <c r="BM176" i="3"/>
  <c r="BM166" i="3"/>
  <c r="BM161" i="3"/>
  <c r="BM160" i="3"/>
  <c r="AW216" i="3"/>
  <c r="AW213" i="3"/>
  <c r="AW214" i="3"/>
  <c r="AW209" i="3"/>
  <c r="AW194" i="3"/>
  <c r="AW196" i="3"/>
  <c r="AW190" i="3"/>
  <c r="AW185" i="3"/>
  <c r="AW187" i="3"/>
  <c r="AW184" i="3"/>
  <c r="AW183" i="3"/>
  <c r="AW175" i="3"/>
  <c r="AW169" i="3"/>
  <c r="AW168" i="3"/>
  <c r="AW167" i="3"/>
  <c r="AG215" i="3"/>
  <c r="AG217" i="3"/>
  <c r="AG207" i="3"/>
  <c r="AG202" i="3"/>
  <c r="AG197" i="3"/>
  <c r="AG199" i="3"/>
  <c r="AG193" i="3"/>
  <c r="AG188" i="3"/>
  <c r="AG178" i="3"/>
  <c r="AG177" i="3"/>
  <c r="AG179" i="3"/>
  <c r="AG166" i="3"/>
  <c r="AG161" i="3"/>
  <c r="AG160" i="3"/>
  <c r="Q216" i="3"/>
  <c r="Q213" i="3"/>
  <c r="Q214" i="3"/>
  <c r="Q207" i="3"/>
  <c r="Q201" i="3"/>
  <c r="Q203" i="3"/>
  <c r="Q186" i="3"/>
  <c r="Q194" i="3"/>
  <c r="Q187" i="3"/>
  <c r="Q184" i="3"/>
  <c r="Q176" i="3"/>
  <c r="Q173" i="3"/>
  <c r="Q167" i="3"/>
  <c r="BH214" i="3"/>
  <c r="BH209" i="3"/>
  <c r="BH194" i="3"/>
  <c r="BH184" i="3"/>
  <c r="AR217" i="3"/>
  <c r="AR197" i="3"/>
  <c r="AR175" i="3"/>
  <c r="AB214" i="3"/>
  <c r="AB200" i="3"/>
  <c r="AB178" i="3"/>
  <c r="L215" i="3"/>
  <c r="L191" i="3"/>
  <c r="L181" i="3"/>
  <c r="BI279" i="3" l="1"/>
  <c r="BI280" i="3" s="1"/>
  <c r="BE279" i="3"/>
  <c r="BE280" i="3" s="1"/>
  <c r="BA279" i="3"/>
  <c r="BA280" i="3" s="1"/>
  <c r="AW279" i="3"/>
  <c r="AW280" i="3" s="1"/>
  <c r="AS279" i="3"/>
  <c r="AS280" i="3" s="1"/>
  <c r="AO279" i="3"/>
  <c r="AO280" i="3" s="1"/>
  <c r="AK279" i="3"/>
  <c r="AK280" i="3" s="1"/>
  <c r="AG279" i="3"/>
  <c r="AG280" i="3" s="1"/>
  <c r="AC279" i="3"/>
  <c r="AC280" i="3" s="1"/>
  <c r="Y279" i="3"/>
  <c r="Y280" i="3" s="1"/>
  <c r="U279" i="3"/>
  <c r="U280" i="3" s="1"/>
  <c r="Q279" i="3"/>
  <c r="Q280" i="3" s="1"/>
  <c r="M279" i="3"/>
  <c r="M280" i="3" s="1"/>
  <c r="I279" i="3"/>
  <c r="I280" i="3" s="1"/>
  <c r="E279" i="3"/>
  <c r="E280" i="3" s="1"/>
  <c r="BH279" i="3"/>
  <c r="BH280" i="3" s="1"/>
  <c r="BD279" i="3"/>
  <c r="BD280" i="3" s="1"/>
  <c r="AZ279" i="3"/>
  <c r="AZ280" i="3" s="1"/>
  <c r="AV279" i="3"/>
  <c r="AV280" i="3" s="1"/>
  <c r="AR279" i="3"/>
  <c r="AR280" i="3" s="1"/>
  <c r="AN279" i="3"/>
  <c r="AN280" i="3" s="1"/>
  <c r="AJ279" i="3"/>
  <c r="AJ280" i="3" s="1"/>
  <c r="AF279" i="3"/>
  <c r="AF280" i="3" s="1"/>
  <c r="AB279" i="3"/>
  <c r="AB280" i="3" s="1"/>
  <c r="X279" i="3"/>
  <c r="X280" i="3" s="1"/>
  <c r="T279" i="3"/>
  <c r="T280" i="3" s="1"/>
  <c r="P279" i="3"/>
  <c r="P280" i="3" s="1"/>
  <c r="L279" i="3"/>
  <c r="L280" i="3" s="1"/>
  <c r="H279" i="3"/>
  <c r="H280" i="3" s="1"/>
  <c r="D279" i="3"/>
  <c r="D280" i="3" s="1"/>
  <c r="BG279" i="3"/>
  <c r="BG280" i="3" s="1"/>
  <c r="AY279" i="3"/>
  <c r="AY280" i="3" s="1"/>
  <c r="AQ279" i="3"/>
  <c r="AQ280" i="3" s="1"/>
  <c r="AI279" i="3"/>
  <c r="AI280" i="3" s="1"/>
  <c r="AA279" i="3"/>
  <c r="AA280" i="3" s="1"/>
  <c r="S279" i="3"/>
  <c r="S280" i="3" s="1"/>
  <c r="K279" i="3"/>
  <c r="K280" i="3" s="1"/>
  <c r="C279" i="3"/>
  <c r="C280" i="3" s="1"/>
  <c r="BF279" i="3"/>
  <c r="BF280" i="3" s="1"/>
  <c r="AX279" i="3"/>
  <c r="AX280" i="3" s="1"/>
  <c r="AP279" i="3"/>
  <c r="AP280" i="3" s="1"/>
  <c r="AH279" i="3"/>
  <c r="AH280" i="3" s="1"/>
  <c r="Z279" i="3"/>
  <c r="Z280" i="3" s="1"/>
  <c r="R279" i="3"/>
  <c r="R280" i="3" s="1"/>
  <c r="J279" i="3"/>
  <c r="J280" i="3" s="1"/>
  <c r="B279" i="3"/>
  <c r="B280" i="3" s="1"/>
  <c r="BC279" i="3"/>
  <c r="BC280" i="3" s="1"/>
  <c r="AU279" i="3"/>
  <c r="AU280" i="3" s="1"/>
  <c r="AM279" i="3"/>
  <c r="AM280" i="3" s="1"/>
  <c r="AE279" i="3"/>
  <c r="AE280" i="3" s="1"/>
  <c r="W279" i="3"/>
  <c r="W280" i="3" s="1"/>
  <c r="O279" i="3"/>
  <c r="O280" i="3" s="1"/>
  <c r="G279" i="3"/>
  <c r="G280" i="3" s="1"/>
  <c r="BB279" i="3"/>
  <c r="BB280" i="3" s="1"/>
  <c r="V279" i="3"/>
  <c r="V280" i="3" s="1"/>
  <c r="AT279" i="3"/>
  <c r="AT280" i="3" s="1"/>
  <c r="N279" i="3"/>
  <c r="N280" i="3" s="1"/>
  <c r="AL279" i="3"/>
  <c r="AL280" i="3" s="1"/>
  <c r="F279" i="3"/>
  <c r="F280" i="3" s="1"/>
  <c r="BJ279" i="3"/>
  <c r="BJ280" i="3" s="1"/>
  <c r="AD279" i="3"/>
  <c r="AD280" i="3" s="1"/>
  <c r="BI287" i="3"/>
  <c r="BI288" i="3" s="1"/>
  <c r="BE287" i="3"/>
  <c r="BE288" i="3" s="1"/>
  <c r="BA287" i="3"/>
  <c r="BA288" i="3" s="1"/>
  <c r="AW287" i="3"/>
  <c r="AW288" i="3" s="1"/>
  <c r="AS287" i="3"/>
  <c r="AS288" i="3" s="1"/>
  <c r="AO287" i="3"/>
  <c r="AO288" i="3" s="1"/>
  <c r="AK287" i="3"/>
  <c r="AK288" i="3" s="1"/>
  <c r="AG287" i="3"/>
  <c r="AG288" i="3" s="1"/>
  <c r="AC287" i="3"/>
  <c r="AC288" i="3" s="1"/>
  <c r="Y287" i="3"/>
  <c r="Y288" i="3" s="1"/>
  <c r="U287" i="3"/>
  <c r="U288" i="3" s="1"/>
  <c r="Q287" i="3"/>
  <c r="Q288" i="3" s="1"/>
  <c r="M287" i="3"/>
  <c r="M288" i="3" s="1"/>
  <c r="I287" i="3"/>
  <c r="I288" i="3" s="1"/>
  <c r="E287" i="3"/>
  <c r="E288" i="3" s="1"/>
  <c r="BH287" i="3"/>
  <c r="BH288" i="3" s="1"/>
  <c r="BD287" i="3"/>
  <c r="BD288" i="3" s="1"/>
  <c r="AZ287" i="3"/>
  <c r="AZ288" i="3" s="1"/>
  <c r="AV287" i="3"/>
  <c r="AV288" i="3" s="1"/>
  <c r="AR287" i="3"/>
  <c r="AR288" i="3" s="1"/>
  <c r="AN287" i="3"/>
  <c r="AN288" i="3" s="1"/>
  <c r="AJ287" i="3"/>
  <c r="AJ288" i="3" s="1"/>
  <c r="AF287" i="3"/>
  <c r="AF288" i="3" s="1"/>
  <c r="AB287" i="3"/>
  <c r="AB288" i="3" s="1"/>
  <c r="X287" i="3"/>
  <c r="X288" i="3" s="1"/>
  <c r="T287" i="3"/>
  <c r="T288" i="3" s="1"/>
  <c r="P287" i="3"/>
  <c r="P288" i="3" s="1"/>
  <c r="L287" i="3"/>
  <c r="L288" i="3" s="1"/>
  <c r="H287" i="3"/>
  <c r="H288" i="3" s="1"/>
  <c r="D287" i="3"/>
  <c r="D288" i="3" s="1"/>
  <c r="BJ287" i="3"/>
  <c r="BJ288" i="3" s="1"/>
  <c r="BB287" i="3"/>
  <c r="BB288" i="3" s="1"/>
  <c r="AT287" i="3"/>
  <c r="AT288" i="3" s="1"/>
  <c r="AL287" i="3"/>
  <c r="AL288" i="3" s="1"/>
  <c r="AD287" i="3"/>
  <c r="AD288" i="3" s="1"/>
  <c r="V287" i="3"/>
  <c r="V288" i="3" s="1"/>
  <c r="N287" i="3"/>
  <c r="N288" i="3" s="1"/>
  <c r="F287" i="3"/>
  <c r="F288" i="3" s="1"/>
  <c r="BG287" i="3"/>
  <c r="BG288" i="3" s="1"/>
  <c r="AY287" i="3"/>
  <c r="AY288" i="3" s="1"/>
  <c r="AQ287" i="3"/>
  <c r="AQ288" i="3" s="1"/>
  <c r="AI287" i="3"/>
  <c r="AI288" i="3" s="1"/>
  <c r="AA287" i="3"/>
  <c r="AA288" i="3" s="1"/>
  <c r="S287" i="3"/>
  <c r="S288" i="3" s="1"/>
  <c r="K287" i="3"/>
  <c r="K288" i="3" s="1"/>
  <c r="C287" i="3"/>
  <c r="C288" i="3" s="1"/>
  <c r="BF287" i="3"/>
  <c r="BF288" i="3" s="1"/>
  <c r="AX287" i="3"/>
  <c r="AX288" i="3" s="1"/>
  <c r="AP287" i="3"/>
  <c r="AP288" i="3" s="1"/>
  <c r="AH287" i="3"/>
  <c r="AH288" i="3" s="1"/>
  <c r="Z287" i="3"/>
  <c r="Z288" i="3" s="1"/>
  <c r="R287" i="3"/>
  <c r="R288" i="3" s="1"/>
  <c r="J287" i="3"/>
  <c r="J288" i="3" s="1"/>
  <c r="B287" i="3"/>
  <c r="B288" i="3" s="1"/>
  <c r="AE287" i="3"/>
  <c r="AE288" i="3" s="1"/>
  <c r="BC287" i="3"/>
  <c r="BC288" i="3" s="1"/>
  <c r="W287" i="3"/>
  <c r="W288" i="3" s="1"/>
  <c r="AU287" i="3"/>
  <c r="AU288" i="3" s="1"/>
  <c r="O287" i="3"/>
  <c r="O288" i="3" s="1"/>
  <c r="AM287" i="3"/>
  <c r="AM288" i="3" s="1"/>
  <c r="G287" i="3"/>
  <c r="G288" i="3" s="1"/>
  <c r="DU2" i="3" l="1"/>
  <c r="BM2" i="3"/>
  <c r="DE2" i="3"/>
  <c r="AW2" i="3"/>
  <c r="BZ2" i="3"/>
  <c r="R2" i="3"/>
  <c r="DF2" i="3"/>
  <c r="AX2" i="3"/>
  <c r="CC2" i="3"/>
  <c r="U2" i="3"/>
  <c r="DI2" i="3"/>
  <c r="BA2" i="3"/>
  <c r="CD2" i="3"/>
  <c r="V2" i="3"/>
  <c r="DJ2" i="3"/>
  <c r="BB2" i="3"/>
  <c r="BW2" i="3"/>
  <c r="O2" i="3"/>
  <c r="CM2" i="3"/>
  <c r="AE2" i="3"/>
  <c r="DC2" i="3"/>
  <c r="AU2" i="3"/>
  <c r="DS2" i="3"/>
  <c r="BK2" i="3"/>
  <c r="CB2" i="3"/>
  <c r="T2" i="3"/>
  <c r="CR2" i="3"/>
  <c r="AJ2" i="3"/>
  <c r="DH2" i="3"/>
  <c r="AZ2" i="3"/>
  <c r="BQ2" i="3"/>
  <c r="I2" i="3"/>
  <c r="CG2" i="3"/>
  <c r="Y2" i="3"/>
  <c r="CH2" i="3"/>
  <c r="Z2" i="3"/>
  <c r="DN2" i="3"/>
  <c r="BF2" i="3"/>
  <c r="CK2" i="3"/>
  <c r="AC2" i="3"/>
  <c r="DQ2" i="3"/>
  <c r="BI2" i="3"/>
  <c r="CL2" i="3"/>
  <c r="AD2" i="3"/>
  <c r="DR2" i="3"/>
  <c r="BJ2" i="3"/>
  <c r="CA2" i="3"/>
  <c r="S2" i="3"/>
  <c r="CQ2" i="3"/>
  <c r="AI2" i="3"/>
  <c r="DG2" i="3"/>
  <c r="AY2" i="3"/>
  <c r="BP2" i="3"/>
  <c r="H2" i="3"/>
  <c r="CF2" i="3"/>
  <c r="X2" i="3"/>
  <c r="CV2" i="3"/>
  <c r="AN2" i="3"/>
  <c r="DL2" i="3"/>
  <c r="BD2" i="3"/>
  <c r="CW2" i="3"/>
  <c r="AO2" i="3"/>
  <c r="DM2" i="3"/>
  <c r="BE2" i="3"/>
  <c r="CP2" i="3"/>
  <c r="AH2" i="3"/>
  <c r="CS2" i="3"/>
  <c r="AK2" i="3"/>
  <c r="BN2" i="3"/>
  <c r="F2" i="3"/>
  <c r="CT2" i="3"/>
  <c r="AL2" i="3"/>
  <c r="BO2" i="3"/>
  <c r="G2" i="3"/>
  <c r="CE2" i="3"/>
  <c r="W2" i="3"/>
  <c r="CU2" i="3"/>
  <c r="AM2" i="3"/>
  <c r="DK2" i="3"/>
  <c r="BC2" i="3"/>
  <c r="BT2" i="3"/>
  <c r="L2" i="3"/>
  <c r="CJ2" i="3"/>
  <c r="AB2" i="3"/>
  <c r="CZ2" i="3"/>
  <c r="AR2" i="3"/>
  <c r="DP2" i="3"/>
  <c r="BH2" i="3"/>
  <c r="CO2" i="3"/>
  <c r="AG2" i="3"/>
  <c r="BY2" i="3"/>
  <c r="Q2" i="3"/>
  <c r="BR2" i="3"/>
  <c r="J2" i="3"/>
  <c r="CX2" i="3"/>
  <c r="AP2" i="3"/>
  <c r="BU2" i="3"/>
  <c r="M2" i="3"/>
  <c r="DA2" i="3"/>
  <c r="AS2" i="3"/>
  <c r="BV2" i="3"/>
  <c r="N2" i="3"/>
  <c r="DB2" i="3"/>
  <c r="AT2" i="3"/>
  <c r="BS2" i="3"/>
  <c r="K2" i="3"/>
  <c r="CI2" i="3"/>
  <c r="AA2" i="3"/>
  <c r="CY2" i="3"/>
  <c r="AQ2" i="3"/>
  <c r="DO2" i="3"/>
  <c r="BG2" i="3"/>
  <c r="BX2" i="3"/>
  <c r="P2" i="3"/>
  <c r="CN2" i="3"/>
  <c r="AF2" i="3"/>
  <c r="DD2" i="3"/>
  <c r="AV2" i="3"/>
  <c r="DT2" i="3"/>
  <c r="BL2" i="3"/>
  <c r="AG54" i="3"/>
  <c r="AG43" i="3"/>
  <c r="AG28" i="3"/>
  <c r="AG17" i="3"/>
  <c r="AG65" i="3"/>
  <c r="AG45" i="3"/>
  <c r="AG32" i="3"/>
  <c r="AG14" i="3"/>
  <c r="AG53" i="3"/>
  <c r="AG34" i="3"/>
  <c r="AG31" i="3"/>
  <c r="AG9" i="3"/>
  <c r="AG68" i="3"/>
  <c r="AG46" i="3"/>
  <c r="AG26" i="3"/>
  <c r="AG6" i="3"/>
  <c r="AG66" i="3"/>
  <c r="AG37" i="3"/>
  <c r="AG21" i="3"/>
  <c r="AG59" i="3"/>
  <c r="AG38" i="3"/>
  <c r="AG24" i="3"/>
  <c r="AG13" i="3"/>
  <c r="AG55" i="3"/>
  <c r="AG40" i="3"/>
  <c r="AG16" i="3"/>
  <c r="AG70" i="3"/>
  <c r="AG48" i="3"/>
  <c r="AG25" i="3"/>
  <c r="AG57" i="3"/>
  <c r="AG47" i="3"/>
  <c r="AG39" i="3"/>
  <c r="AG7" i="3"/>
  <c r="AG60" i="3"/>
  <c r="AG33" i="3"/>
  <c r="AG19" i="3"/>
  <c r="AG64" i="3"/>
  <c r="AG50" i="3"/>
  <c r="AG30" i="3"/>
  <c r="AG11" i="3"/>
  <c r="AG58" i="3"/>
  <c r="AG41" i="3"/>
  <c r="AG27" i="3"/>
  <c r="AG63" i="3"/>
  <c r="AG49" i="3"/>
  <c r="AG20" i="3"/>
  <c r="AG18" i="3"/>
  <c r="AG69" i="3"/>
  <c r="AG42" i="3"/>
  <c r="AG35" i="3"/>
  <c r="AG15" i="3"/>
  <c r="AG62" i="3"/>
  <c r="AG52" i="3"/>
  <c r="AG29" i="3"/>
  <c r="AG10" i="3"/>
  <c r="AG51" i="3"/>
  <c r="AG36" i="3"/>
  <c r="AG12" i="3"/>
  <c r="AG73" i="3"/>
  <c r="AG77" i="3"/>
  <c r="AG81" i="3"/>
  <c r="AG87" i="3"/>
  <c r="AG89" i="3"/>
  <c r="AG93" i="3"/>
  <c r="AG95" i="3"/>
  <c r="AG74" i="3"/>
  <c r="AG78" i="3"/>
  <c r="AG82" i="3"/>
  <c r="AG90" i="3"/>
  <c r="AG96" i="3"/>
  <c r="AG75" i="3"/>
  <c r="AG79" i="3"/>
  <c r="AG83" i="3"/>
  <c r="AG97" i="3"/>
  <c r="AG72" i="3"/>
  <c r="AG76" i="3"/>
  <c r="AG80" i="3"/>
  <c r="AG84" i="3"/>
  <c r="AG86" i="3"/>
  <c r="AG92" i="3"/>
  <c r="AG94" i="3"/>
  <c r="AG98" i="3"/>
  <c r="AG101" i="3"/>
  <c r="AG105" i="3"/>
  <c r="AG107" i="3"/>
  <c r="AG109" i="3"/>
  <c r="AG113" i="3"/>
  <c r="AG121" i="3"/>
  <c r="AG123" i="3"/>
  <c r="AG125" i="3"/>
  <c r="AG104" i="3"/>
  <c r="AG110" i="3"/>
  <c r="AG114" i="3"/>
  <c r="AG116" i="3"/>
  <c r="AG120" i="3"/>
  <c r="AG124" i="3"/>
  <c r="AG126" i="3"/>
  <c r="AG128" i="3"/>
  <c r="AG103" i="3"/>
  <c r="AG117" i="3"/>
  <c r="AG119" i="3"/>
  <c r="AG127" i="3"/>
  <c r="AG129" i="3"/>
  <c r="AG102" i="3"/>
  <c r="AG106" i="3"/>
  <c r="AG108" i="3"/>
  <c r="AG118" i="3"/>
  <c r="AG122" i="3"/>
  <c r="AG131" i="3"/>
  <c r="AG135" i="3"/>
  <c r="AG132" i="3"/>
  <c r="AG136" i="3"/>
  <c r="AG133" i="3"/>
  <c r="AG137" i="3"/>
  <c r="AG130" i="3"/>
  <c r="AG134" i="3"/>
  <c r="AG138" i="3"/>
  <c r="AO63" i="3"/>
  <c r="AO46" i="3"/>
  <c r="AO26" i="3"/>
  <c r="AO18" i="3"/>
  <c r="AO69" i="3"/>
  <c r="AO42" i="3"/>
  <c r="AO35" i="3"/>
  <c r="AO15" i="3"/>
  <c r="AO65" i="3"/>
  <c r="AO45" i="3"/>
  <c r="AO29" i="3"/>
  <c r="AO10" i="3"/>
  <c r="AO51" i="3"/>
  <c r="AO36" i="3"/>
  <c r="AO12" i="3"/>
  <c r="AO59" i="3"/>
  <c r="AO43" i="3"/>
  <c r="AO19" i="3"/>
  <c r="AO17" i="3"/>
  <c r="AO70" i="3"/>
  <c r="AO49" i="3"/>
  <c r="AO20" i="3"/>
  <c r="AO14" i="3"/>
  <c r="AO66" i="3"/>
  <c r="AO34" i="3"/>
  <c r="AO24" i="3"/>
  <c r="AO9" i="3"/>
  <c r="AO68" i="3"/>
  <c r="AO50" i="3"/>
  <c r="AO30" i="3"/>
  <c r="AO6" i="3"/>
  <c r="AO62" i="3"/>
  <c r="AO37" i="3"/>
  <c r="AO27" i="3"/>
  <c r="AO53" i="3"/>
  <c r="AO38" i="3"/>
  <c r="AO28" i="3"/>
  <c r="AO13" i="3"/>
  <c r="AO55" i="3"/>
  <c r="AO40" i="3"/>
  <c r="AO16" i="3"/>
  <c r="AO54" i="3"/>
  <c r="AO48" i="3"/>
  <c r="AO25" i="3"/>
  <c r="AO57" i="3"/>
  <c r="AO47" i="3"/>
  <c r="AO39" i="3"/>
  <c r="AO7" i="3"/>
  <c r="AO60" i="3"/>
  <c r="AO33" i="3"/>
  <c r="AO21" i="3"/>
  <c r="AO64" i="3"/>
  <c r="AO52" i="3"/>
  <c r="AO31" i="3"/>
  <c r="AO11" i="3"/>
  <c r="AO58" i="3"/>
  <c r="AO41" i="3"/>
  <c r="AO32" i="3"/>
  <c r="AO73" i="3"/>
  <c r="AO77" i="3"/>
  <c r="AO81" i="3"/>
  <c r="AO87" i="3"/>
  <c r="AO89" i="3"/>
  <c r="AO93" i="3"/>
  <c r="AO95" i="3"/>
  <c r="AO74" i="3"/>
  <c r="AO78" i="3"/>
  <c r="AO82" i="3"/>
  <c r="AO90" i="3"/>
  <c r="AO96" i="3"/>
  <c r="AO75" i="3"/>
  <c r="AO79" i="3"/>
  <c r="AO83" i="3"/>
  <c r="AO97" i="3"/>
  <c r="AO72" i="3"/>
  <c r="AO76" i="3"/>
  <c r="AO80" i="3"/>
  <c r="AO84" i="3"/>
  <c r="AO86" i="3"/>
  <c r="AO92" i="3"/>
  <c r="AO94" i="3"/>
  <c r="AO101" i="3"/>
  <c r="AO105" i="3"/>
  <c r="AO107" i="3"/>
  <c r="AO109" i="3"/>
  <c r="AO113" i="3"/>
  <c r="AO121" i="3"/>
  <c r="AO123" i="3"/>
  <c r="AO125" i="3"/>
  <c r="AO104" i="3"/>
  <c r="AO110" i="3"/>
  <c r="AO114" i="3"/>
  <c r="AO116" i="3"/>
  <c r="AO120" i="3"/>
  <c r="AO124" i="3"/>
  <c r="AO126" i="3"/>
  <c r="AO128" i="3"/>
  <c r="AO103" i="3"/>
  <c r="AO117" i="3"/>
  <c r="AO119" i="3"/>
  <c r="AO127" i="3"/>
  <c r="AO129" i="3"/>
  <c r="AO98" i="3"/>
  <c r="AO102" i="3"/>
  <c r="AO106" i="3"/>
  <c r="AO108" i="3"/>
  <c r="AO118" i="3"/>
  <c r="AO122" i="3"/>
  <c r="AO131" i="3"/>
  <c r="AO135" i="3"/>
  <c r="AO132" i="3"/>
  <c r="AO136" i="3"/>
  <c r="AO133" i="3"/>
  <c r="AO137" i="3"/>
  <c r="AO130" i="3"/>
  <c r="AO134" i="3"/>
  <c r="AO138" i="3"/>
  <c r="BM66" i="3"/>
  <c r="BM33" i="3"/>
  <c r="BM27" i="3"/>
  <c r="BM59" i="3"/>
  <c r="BM38" i="3"/>
  <c r="BM19" i="3"/>
  <c r="BM13" i="3"/>
  <c r="BM55" i="3"/>
  <c r="BM36" i="3"/>
  <c r="BM16" i="3"/>
  <c r="BM70" i="3"/>
  <c r="BM48" i="3"/>
  <c r="BM29" i="3"/>
  <c r="BM57" i="3"/>
  <c r="BM47" i="3"/>
  <c r="BM39" i="3"/>
  <c r="BM7" i="3"/>
  <c r="BM60" i="3"/>
  <c r="BM40" i="3"/>
  <c r="BM21" i="3"/>
  <c r="BM64" i="3"/>
  <c r="BM50" i="3"/>
  <c r="BM31" i="3"/>
  <c r="BM11" i="3"/>
  <c r="BM58" i="3"/>
  <c r="BM37" i="3"/>
  <c r="BM24" i="3"/>
  <c r="BM63" i="3"/>
  <c r="BM49" i="3"/>
  <c r="BM26" i="3"/>
  <c r="BM18" i="3"/>
  <c r="BM69" i="3"/>
  <c r="BM42" i="3"/>
  <c r="BM35" i="3"/>
  <c r="BM15" i="3"/>
  <c r="BM62" i="3"/>
  <c r="BM52" i="3"/>
  <c r="BM32" i="3"/>
  <c r="BM10" i="3"/>
  <c r="BM51" i="3"/>
  <c r="BM41" i="3"/>
  <c r="BM12" i="3"/>
  <c r="BM54" i="3"/>
  <c r="BM43" i="3"/>
  <c r="BM25" i="3"/>
  <c r="BM17" i="3"/>
  <c r="BM65" i="3"/>
  <c r="BM45" i="3"/>
  <c r="BM20" i="3"/>
  <c r="BM14" i="3"/>
  <c r="BM53" i="3"/>
  <c r="BM34" i="3"/>
  <c r="BM28" i="3"/>
  <c r="BM9" i="3"/>
  <c r="BM68" i="3"/>
  <c r="BM46" i="3"/>
  <c r="BM30" i="3"/>
  <c r="BM6" i="3"/>
  <c r="BM73" i="3"/>
  <c r="BM77" i="3"/>
  <c r="BM81" i="3"/>
  <c r="BM87" i="3"/>
  <c r="BM89" i="3"/>
  <c r="BM93" i="3"/>
  <c r="BM95" i="3"/>
  <c r="BM74" i="3"/>
  <c r="BM78" i="3"/>
  <c r="BM82" i="3"/>
  <c r="BM90" i="3"/>
  <c r="BM96" i="3"/>
  <c r="BM75" i="3"/>
  <c r="BM79" i="3"/>
  <c r="BM83" i="3"/>
  <c r="BM97" i="3"/>
  <c r="BM72" i="3"/>
  <c r="BM76" i="3"/>
  <c r="BM80" i="3"/>
  <c r="BM84" i="3"/>
  <c r="BM86" i="3"/>
  <c r="BM92" i="3"/>
  <c r="BM94" i="3"/>
  <c r="BM101" i="3"/>
  <c r="BM105" i="3"/>
  <c r="BM107" i="3"/>
  <c r="BM109" i="3"/>
  <c r="BM113" i="3"/>
  <c r="BM121" i="3"/>
  <c r="BM123" i="3"/>
  <c r="BM125" i="3"/>
  <c r="BM104" i="3"/>
  <c r="BM110" i="3"/>
  <c r="BM114" i="3"/>
  <c r="BM116" i="3"/>
  <c r="BM120" i="3"/>
  <c r="BM124" i="3"/>
  <c r="BM126" i="3"/>
  <c r="BM128" i="3"/>
  <c r="BM103" i="3"/>
  <c r="BM117" i="3"/>
  <c r="BM119" i="3"/>
  <c r="BM127" i="3"/>
  <c r="BM98" i="3"/>
  <c r="BM102" i="3"/>
  <c r="BM106" i="3"/>
  <c r="BM108" i="3"/>
  <c r="BM118" i="3"/>
  <c r="BM122" i="3"/>
  <c r="BM129" i="3"/>
  <c r="BM131" i="3"/>
  <c r="BM135" i="3"/>
  <c r="BM132" i="3"/>
  <c r="BM136" i="3"/>
  <c r="BM133" i="3"/>
  <c r="BM137" i="3"/>
  <c r="BM130" i="3"/>
  <c r="BM134" i="3"/>
  <c r="BM138" i="3"/>
  <c r="V54" i="3"/>
  <c r="V35" i="3"/>
  <c r="V6" i="3"/>
  <c r="V55" i="3"/>
  <c r="V36" i="3"/>
  <c r="V20" i="3"/>
  <c r="V63" i="3"/>
  <c r="V45" i="3"/>
  <c r="V34" i="3"/>
  <c r="V14" i="3"/>
  <c r="V53" i="3"/>
  <c r="V33" i="3"/>
  <c r="V30" i="3"/>
  <c r="V62" i="3"/>
  <c r="V43" i="3"/>
  <c r="V25" i="3"/>
  <c r="V57" i="3"/>
  <c r="V68" i="3"/>
  <c r="V49" i="3"/>
  <c r="V38" i="3"/>
  <c r="V18" i="3"/>
  <c r="V69" i="3"/>
  <c r="V51" i="3"/>
  <c r="V28" i="3"/>
  <c r="V13" i="3"/>
  <c r="V46" i="3"/>
  <c r="V39" i="3"/>
  <c r="V11" i="3"/>
  <c r="V64" i="3"/>
  <c r="V42" i="3"/>
  <c r="V31" i="3"/>
  <c r="V16" i="3"/>
  <c r="V70" i="3"/>
  <c r="V52" i="3"/>
  <c r="V19" i="3"/>
  <c r="V17" i="3"/>
  <c r="V59" i="3"/>
  <c r="V37" i="3"/>
  <c r="V21" i="3"/>
  <c r="V7" i="3"/>
  <c r="V66" i="3"/>
  <c r="V48" i="3"/>
  <c r="V29" i="3"/>
  <c r="V10" i="3"/>
  <c r="V58" i="3"/>
  <c r="V40" i="3"/>
  <c r="V26" i="3"/>
  <c r="V60" i="3"/>
  <c r="V41" i="3"/>
  <c r="V27" i="3"/>
  <c r="V12" i="3"/>
  <c r="V50" i="3"/>
  <c r="V32" i="3"/>
  <c r="V15" i="3"/>
  <c r="V65" i="3"/>
  <c r="V47" i="3"/>
  <c r="V24" i="3"/>
  <c r="V9" i="3"/>
  <c r="V72" i="3"/>
  <c r="V76" i="3"/>
  <c r="V80" i="3"/>
  <c r="V84" i="3"/>
  <c r="V86" i="3"/>
  <c r="V92" i="3"/>
  <c r="V94" i="3"/>
  <c r="V98" i="3"/>
  <c r="V73" i="3"/>
  <c r="V77" i="3"/>
  <c r="V81" i="3"/>
  <c r="V87" i="3"/>
  <c r="V89" i="3"/>
  <c r="V93" i="3"/>
  <c r="V95" i="3"/>
  <c r="V74" i="3"/>
  <c r="V78" i="3"/>
  <c r="V82" i="3"/>
  <c r="V90" i="3"/>
  <c r="V96" i="3"/>
  <c r="V75" i="3"/>
  <c r="V79" i="3"/>
  <c r="V83" i="3"/>
  <c r="V97" i="3"/>
  <c r="V102" i="3"/>
  <c r="V106" i="3"/>
  <c r="V108" i="3"/>
  <c r="V118" i="3"/>
  <c r="V122" i="3"/>
  <c r="V101" i="3"/>
  <c r="V105" i="3"/>
  <c r="V107" i="3"/>
  <c r="V109" i="3"/>
  <c r="V113" i="3"/>
  <c r="V121" i="3"/>
  <c r="V123" i="3"/>
  <c r="V125" i="3"/>
  <c r="V104" i="3"/>
  <c r="V110" i="3"/>
  <c r="V114" i="3"/>
  <c r="V116" i="3"/>
  <c r="V120" i="3"/>
  <c r="V124" i="3"/>
  <c r="V126" i="3"/>
  <c r="V128" i="3"/>
  <c r="V103" i="3"/>
  <c r="V117" i="3"/>
  <c r="V119" i="3"/>
  <c r="V127" i="3"/>
  <c r="V129" i="3"/>
  <c r="V130" i="3"/>
  <c r="V134" i="3"/>
  <c r="V138" i="3"/>
  <c r="V131" i="3"/>
  <c r="V135" i="3"/>
  <c r="V132" i="3"/>
  <c r="V136" i="3"/>
  <c r="V133" i="3"/>
  <c r="V137" i="3"/>
  <c r="AU70" i="3"/>
  <c r="AU48" i="3"/>
  <c r="AU33" i="3"/>
  <c r="AU17" i="3"/>
  <c r="AU53" i="3"/>
  <c r="AU34" i="3"/>
  <c r="AU14" i="3"/>
  <c r="AU69" i="3"/>
  <c r="AU51" i="3"/>
  <c r="AU24" i="3"/>
  <c r="AU9" i="3"/>
  <c r="AU54" i="3"/>
  <c r="AU35" i="3"/>
  <c r="AU19" i="3"/>
  <c r="AU64" i="3"/>
  <c r="AU42" i="3"/>
  <c r="AU21" i="3"/>
  <c r="AU12" i="3"/>
  <c r="AU65" i="3"/>
  <c r="AU43" i="3"/>
  <c r="AU28" i="3"/>
  <c r="AU13" i="3"/>
  <c r="AU63" i="3"/>
  <c r="AU46" i="3"/>
  <c r="AU26" i="3"/>
  <c r="AU15" i="3"/>
  <c r="AU66" i="3"/>
  <c r="AU45" i="3"/>
  <c r="AU37" i="3"/>
  <c r="AU57" i="3"/>
  <c r="AU52" i="3"/>
  <c r="AU36" i="3"/>
  <c r="AU31" i="3"/>
  <c r="AU6" i="3"/>
  <c r="AU60" i="3"/>
  <c r="AU50" i="3"/>
  <c r="AU30" i="3"/>
  <c r="AU7" i="3"/>
  <c r="AU62" i="3"/>
  <c r="AU39" i="3"/>
  <c r="AU25" i="3"/>
  <c r="AU68" i="3"/>
  <c r="AU47" i="3"/>
  <c r="AU27" i="3"/>
  <c r="AU16" i="3"/>
  <c r="AU59" i="3"/>
  <c r="AU38" i="3"/>
  <c r="AU18" i="3"/>
  <c r="AU55" i="3"/>
  <c r="AU32" i="3"/>
  <c r="AU29" i="3"/>
  <c r="AU49" i="3"/>
  <c r="AU41" i="3"/>
  <c r="AU10" i="3"/>
  <c r="AU58" i="3"/>
  <c r="AU40" i="3"/>
  <c r="AU20" i="3"/>
  <c r="AU11" i="3"/>
  <c r="AU75" i="3"/>
  <c r="AU79" i="3"/>
  <c r="AU83" i="3"/>
  <c r="AU97" i="3"/>
  <c r="AU72" i="3"/>
  <c r="AU76" i="3"/>
  <c r="AU80" i="3"/>
  <c r="AU84" i="3"/>
  <c r="AU86" i="3"/>
  <c r="AU92" i="3"/>
  <c r="AU94" i="3"/>
  <c r="AU73" i="3"/>
  <c r="AU77" i="3"/>
  <c r="AU81" i="3"/>
  <c r="AU87" i="3"/>
  <c r="AU89" i="3"/>
  <c r="AU93" i="3"/>
  <c r="AU95" i="3"/>
  <c r="AU74" i="3"/>
  <c r="AU78" i="3"/>
  <c r="AU82" i="3"/>
  <c r="AU90" i="3"/>
  <c r="AU96" i="3"/>
  <c r="AU103" i="3"/>
  <c r="AU117" i="3"/>
  <c r="AU119" i="3"/>
  <c r="AU127" i="3"/>
  <c r="AU98" i="3"/>
  <c r="AU102" i="3"/>
  <c r="AU106" i="3"/>
  <c r="AU108" i="3"/>
  <c r="AU118" i="3"/>
  <c r="AU122" i="3"/>
  <c r="AU101" i="3"/>
  <c r="AU105" i="3"/>
  <c r="AU107" i="3"/>
  <c r="AU109" i="3"/>
  <c r="AU113" i="3"/>
  <c r="AU121" i="3"/>
  <c r="AU123" i="3"/>
  <c r="AU125" i="3"/>
  <c r="AU104" i="3"/>
  <c r="AU110" i="3"/>
  <c r="AU114" i="3"/>
  <c r="AU116" i="3"/>
  <c r="AU120" i="3"/>
  <c r="AU124" i="3"/>
  <c r="AU126" i="3"/>
  <c r="AU128" i="3"/>
  <c r="AU129" i="3"/>
  <c r="AU133" i="3"/>
  <c r="AU137" i="3"/>
  <c r="AU130" i="3"/>
  <c r="AU134" i="3"/>
  <c r="AU138" i="3"/>
  <c r="AU131" i="3"/>
  <c r="AU135" i="3"/>
  <c r="AU132" i="3"/>
  <c r="AU136" i="3"/>
  <c r="AZ68" i="3"/>
  <c r="AZ46" i="3"/>
  <c r="AZ30" i="3"/>
  <c r="AZ6" i="3"/>
  <c r="AZ69" i="3"/>
  <c r="AZ47" i="3"/>
  <c r="AZ32" i="3"/>
  <c r="AZ7" i="3"/>
  <c r="AZ55" i="3"/>
  <c r="AZ45" i="3"/>
  <c r="AZ20" i="3"/>
  <c r="AZ14" i="3"/>
  <c r="AZ70" i="3"/>
  <c r="AZ52" i="3"/>
  <c r="AZ40" i="3"/>
  <c r="AZ16" i="3"/>
  <c r="AZ54" i="3"/>
  <c r="AZ35" i="3"/>
  <c r="AZ25" i="3"/>
  <c r="AZ57" i="3"/>
  <c r="AZ66" i="3"/>
  <c r="AZ49" i="3"/>
  <c r="AZ26" i="3"/>
  <c r="AZ18" i="3"/>
  <c r="AZ59" i="3"/>
  <c r="AZ38" i="3"/>
  <c r="AZ28" i="3"/>
  <c r="AZ62" i="3"/>
  <c r="AZ50" i="3"/>
  <c r="AZ21" i="3"/>
  <c r="AZ11" i="3"/>
  <c r="AZ48" i="3"/>
  <c r="AZ41" i="3"/>
  <c r="AZ17" i="3"/>
  <c r="AZ60" i="3"/>
  <c r="AZ31" i="3"/>
  <c r="AZ19" i="3"/>
  <c r="AZ53" i="3"/>
  <c r="AZ33" i="3"/>
  <c r="AZ9" i="3"/>
  <c r="AZ63" i="3"/>
  <c r="AZ39" i="3"/>
  <c r="AZ29" i="3"/>
  <c r="AZ10" i="3"/>
  <c r="AZ65" i="3"/>
  <c r="AZ51" i="3"/>
  <c r="AZ36" i="3"/>
  <c r="AZ12" i="3"/>
  <c r="AZ43" i="3"/>
  <c r="AZ37" i="3"/>
  <c r="AZ13" i="3"/>
  <c r="AZ64" i="3"/>
  <c r="AZ42" i="3"/>
  <c r="AZ27" i="3"/>
  <c r="AZ15" i="3"/>
  <c r="AZ58" i="3"/>
  <c r="AZ34" i="3"/>
  <c r="AZ24" i="3"/>
  <c r="AZ74" i="3"/>
  <c r="AZ78" i="3"/>
  <c r="AZ82" i="3"/>
  <c r="AZ90" i="3"/>
  <c r="AZ96" i="3"/>
  <c r="AZ75" i="3"/>
  <c r="AZ79" i="3"/>
  <c r="AZ83" i="3"/>
  <c r="AZ97" i="3"/>
  <c r="AZ72" i="3"/>
  <c r="AZ76" i="3"/>
  <c r="AZ80" i="3"/>
  <c r="AZ84" i="3"/>
  <c r="AZ86" i="3"/>
  <c r="AZ92" i="3"/>
  <c r="AZ94" i="3"/>
  <c r="AZ73" i="3"/>
  <c r="AZ77" i="3"/>
  <c r="AZ81" i="3"/>
  <c r="AZ87" i="3"/>
  <c r="AZ89" i="3"/>
  <c r="AZ93" i="3"/>
  <c r="AZ95" i="3"/>
  <c r="AZ104" i="3"/>
  <c r="AZ110" i="3"/>
  <c r="AZ114" i="3"/>
  <c r="AZ116" i="3"/>
  <c r="AZ120" i="3"/>
  <c r="AZ124" i="3"/>
  <c r="AZ126" i="3"/>
  <c r="AZ128" i="3"/>
  <c r="AZ129" i="3"/>
  <c r="AZ103" i="3"/>
  <c r="AZ117" i="3"/>
  <c r="AZ119" i="3"/>
  <c r="AZ127" i="3"/>
  <c r="AZ98" i="3"/>
  <c r="AZ102" i="3"/>
  <c r="AZ106" i="3"/>
  <c r="AZ108" i="3"/>
  <c r="AZ118" i="3"/>
  <c r="AZ122" i="3"/>
  <c r="AZ101" i="3"/>
  <c r="AZ105" i="3"/>
  <c r="AZ107" i="3"/>
  <c r="AZ109" i="3"/>
  <c r="AZ113" i="3"/>
  <c r="AZ121" i="3"/>
  <c r="AZ123" i="3"/>
  <c r="AZ125" i="3"/>
  <c r="AZ132" i="3"/>
  <c r="AZ136" i="3"/>
  <c r="AZ133" i="3"/>
  <c r="AZ137" i="3"/>
  <c r="AZ130" i="3"/>
  <c r="AZ134" i="3"/>
  <c r="AZ138" i="3"/>
  <c r="AZ131" i="3"/>
  <c r="AZ135" i="3"/>
  <c r="BF59" i="3"/>
  <c r="BF37" i="3"/>
  <c r="BF21" i="3"/>
  <c r="BF7" i="3"/>
  <c r="BF64" i="3"/>
  <c r="BF47" i="3"/>
  <c r="BF28" i="3"/>
  <c r="BF9" i="3"/>
  <c r="BF58" i="3"/>
  <c r="BF40" i="3"/>
  <c r="BF26" i="3"/>
  <c r="BF70" i="3"/>
  <c r="BF43" i="3"/>
  <c r="BF19" i="3"/>
  <c r="BF17" i="3"/>
  <c r="BF54" i="3"/>
  <c r="BF32" i="3"/>
  <c r="BF15" i="3"/>
  <c r="BF53" i="3"/>
  <c r="BF33" i="3"/>
  <c r="BF30" i="3"/>
  <c r="BF50" i="3"/>
  <c r="BF35" i="3"/>
  <c r="BF6" i="3"/>
  <c r="BF65" i="3"/>
  <c r="BF41" i="3"/>
  <c r="BF27" i="3"/>
  <c r="BF12" i="3"/>
  <c r="BF63" i="3"/>
  <c r="BF49" i="3"/>
  <c r="BF34" i="3"/>
  <c r="BF14" i="3"/>
  <c r="BF52" i="3"/>
  <c r="BF39" i="3"/>
  <c r="BF11" i="3"/>
  <c r="BF62" i="3"/>
  <c r="BF48" i="3"/>
  <c r="BF25" i="3"/>
  <c r="BF57" i="3"/>
  <c r="BF55" i="3"/>
  <c r="BF36" i="3"/>
  <c r="BF20" i="3"/>
  <c r="BF69" i="3"/>
  <c r="BF51" i="3"/>
  <c r="BF31" i="3"/>
  <c r="BF13" i="3"/>
  <c r="BF66" i="3"/>
  <c r="BF45" i="3"/>
  <c r="BF29" i="3"/>
  <c r="BF10" i="3"/>
  <c r="BF60" i="3"/>
  <c r="BF42" i="3"/>
  <c r="BF24" i="3"/>
  <c r="BF16" i="3"/>
  <c r="BF68" i="3"/>
  <c r="BF46" i="3"/>
  <c r="BF38" i="3"/>
  <c r="BF18" i="3"/>
  <c r="BF72" i="3"/>
  <c r="BF76" i="3"/>
  <c r="BF80" i="3"/>
  <c r="BF84" i="3"/>
  <c r="BF86" i="3"/>
  <c r="BF92" i="3"/>
  <c r="BF94" i="3"/>
  <c r="BF73" i="3"/>
  <c r="BF77" i="3"/>
  <c r="BF81" i="3"/>
  <c r="BF87" i="3"/>
  <c r="BF89" i="3"/>
  <c r="BF93" i="3"/>
  <c r="BF95" i="3"/>
  <c r="BF74" i="3"/>
  <c r="BF78" i="3"/>
  <c r="BF82" i="3"/>
  <c r="BF90" i="3"/>
  <c r="BF96" i="3"/>
  <c r="BF75" i="3"/>
  <c r="BF79" i="3"/>
  <c r="BF83" i="3"/>
  <c r="BF97" i="3"/>
  <c r="BF98" i="3"/>
  <c r="BF102" i="3"/>
  <c r="BF106" i="3"/>
  <c r="BF108" i="3"/>
  <c r="BF118" i="3"/>
  <c r="BF122" i="3"/>
  <c r="BF101" i="3"/>
  <c r="BF105" i="3"/>
  <c r="BF107" i="3"/>
  <c r="BF109" i="3"/>
  <c r="BF113" i="3"/>
  <c r="BF121" i="3"/>
  <c r="BF123" i="3"/>
  <c r="BF125" i="3"/>
  <c r="BF104" i="3"/>
  <c r="BF110" i="3"/>
  <c r="BF114" i="3"/>
  <c r="BF116" i="3"/>
  <c r="BF120" i="3"/>
  <c r="BF124" i="3"/>
  <c r="BF126" i="3"/>
  <c r="BF128" i="3"/>
  <c r="BF103" i="3"/>
  <c r="BF117" i="3"/>
  <c r="BF119" i="3"/>
  <c r="BF127" i="3"/>
  <c r="BF130" i="3"/>
  <c r="BF134" i="3"/>
  <c r="BF138" i="3"/>
  <c r="BF131" i="3"/>
  <c r="BF135" i="3"/>
  <c r="BF132" i="3"/>
  <c r="BF136" i="3"/>
  <c r="BF129" i="3"/>
  <c r="BF133" i="3"/>
  <c r="BF137" i="3"/>
  <c r="BJ65" i="3"/>
  <c r="BJ51" i="3"/>
  <c r="BJ28" i="3"/>
  <c r="BJ13" i="3"/>
  <c r="BJ66" i="3"/>
  <c r="BJ45" i="3"/>
  <c r="BJ29" i="3"/>
  <c r="BJ10" i="3"/>
  <c r="BJ60" i="3"/>
  <c r="BJ42" i="3"/>
  <c r="BJ27" i="3"/>
  <c r="BJ16" i="3"/>
  <c r="BJ68" i="3"/>
  <c r="BJ52" i="3"/>
  <c r="BJ38" i="3"/>
  <c r="BJ18" i="3"/>
  <c r="BJ53" i="3"/>
  <c r="BJ33" i="3"/>
  <c r="BJ31" i="3"/>
  <c r="BJ7" i="3"/>
  <c r="BJ64" i="3"/>
  <c r="BJ47" i="3"/>
  <c r="BJ24" i="3"/>
  <c r="BJ9" i="3"/>
  <c r="BJ55" i="3"/>
  <c r="BJ40" i="3"/>
  <c r="BJ26" i="3"/>
  <c r="BJ70" i="3"/>
  <c r="BJ43" i="3"/>
  <c r="BJ19" i="3"/>
  <c r="BJ17" i="3"/>
  <c r="BJ54" i="3"/>
  <c r="BJ32" i="3"/>
  <c r="BJ15" i="3"/>
  <c r="BJ58" i="3"/>
  <c r="BJ41" i="3"/>
  <c r="BJ30" i="3"/>
  <c r="BJ46" i="3"/>
  <c r="BJ35" i="3"/>
  <c r="BJ6" i="3"/>
  <c r="BJ59" i="3"/>
  <c r="BJ37" i="3"/>
  <c r="BJ21" i="3"/>
  <c r="BJ12" i="3"/>
  <c r="BJ63" i="3"/>
  <c r="BJ49" i="3"/>
  <c r="BJ34" i="3"/>
  <c r="BJ14" i="3"/>
  <c r="BJ50" i="3"/>
  <c r="BJ39" i="3"/>
  <c r="BJ11" i="3"/>
  <c r="BJ62" i="3"/>
  <c r="BJ48" i="3"/>
  <c r="BJ25" i="3"/>
  <c r="BJ57" i="3"/>
  <c r="BJ69" i="3"/>
  <c r="BJ36" i="3"/>
  <c r="BJ20" i="3"/>
  <c r="BJ72" i="3"/>
  <c r="BJ76" i="3"/>
  <c r="BJ80" i="3"/>
  <c r="BJ84" i="3"/>
  <c r="BJ86" i="3"/>
  <c r="BJ92" i="3"/>
  <c r="BJ94" i="3"/>
  <c r="BJ73" i="3"/>
  <c r="BJ77" i="3"/>
  <c r="BJ81" i="3"/>
  <c r="BJ87" i="3"/>
  <c r="BJ89" i="3"/>
  <c r="BJ93" i="3"/>
  <c r="BJ95" i="3"/>
  <c r="BJ74" i="3"/>
  <c r="BJ78" i="3"/>
  <c r="BJ82" i="3"/>
  <c r="BJ90" i="3"/>
  <c r="BJ96" i="3"/>
  <c r="BJ75" i="3"/>
  <c r="BJ79" i="3"/>
  <c r="BJ83" i="3"/>
  <c r="BJ97" i="3"/>
  <c r="BJ98" i="3"/>
  <c r="BJ102" i="3"/>
  <c r="BJ106" i="3"/>
  <c r="BJ108" i="3"/>
  <c r="BJ118" i="3"/>
  <c r="BJ122" i="3"/>
  <c r="BJ101" i="3"/>
  <c r="BJ105" i="3"/>
  <c r="BJ107" i="3"/>
  <c r="BJ109" i="3"/>
  <c r="BJ113" i="3"/>
  <c r="BJ121" i="3"/>
  <c r="BJ123" i="3"/>
  <c r="BJ125" i="3"/>
  <c r="BJ104" i="3"/>
  <c r="BJ110" i="3"/>
  <c r="BJ114" i="3"/>
  <c r="BJ116" i="3"/>
  <c r="BJ120" i="3"/>
  <c r="BJ124" i="3"/>
  <c r="BJ126" i="3"/>
  <c r="BJ128" i="3"/>
  <c r="BJ103" i="3"/>
  <c r="BJ117" i="3"/>
  <c r="BJ119" i="3"/>
  <c r="BJ127" i="3"/>
  <c r="BJ130" i="3"/>
  <c r="BJ134" i="3"/>
  <c r="BJ138" i="3"/>
  <c r="BJ131" i="3"/>
  <c r="BJ135" i="3"/>
  <c r="BJ132" i="3"/>
  <c r="BJ136" i="3"/>
  <c r="BJ129" i="3"/>
  <c r="BJ133" i="3"/>
  <c r="BJ137" i="3"/>
  <c r="H55" i="3"/>
  <c r="H45" i="3"/>
  <c r="H20" i="3"/>
  <c r="H14" i="3"/>
  <c r="H66" i="3"/>
  <c r="H46" i="3"/>
  <c r="H21" i="3"/>
  <c r="H11" i="3"/>
  <c r="H54" i="3"/>
  <c r="H35" i="3"/>
  <c r="H25" i="3"/>
  <c r="H57" i="3"/>
  <c r="H69" i="3"/>
  <c r="H52" i="3"/>
  <c r="H31" i="3"/>
  <c r="H7" i="3"/>
  <c r="H59" i="3"/>
  <c r="H34" i="3"/>
  <c r="H24" i="3"/>
  <c r="H60" i="3"/>
  <c r="H39" i="3"/>
  <c r="H29" i="3"/>
  <c r="H10" i="3"/>
  <c r="H48" i="3"/>
  <c r="H37" i="3"/>
  <c r="H13" i="3"/>
  <c r="H63" i="3"/>
  <c r="H49" i="3"/>
  <c r="H26" i="3"/>
  <c r="H18" i="3"/>
  <c r="H51" i="3"/>
  <c r="H40" i="3"/>
  <c r="H19" i="3"/>
  <c r="H58" i="3"/>
  <c r="H41" i="3"/>
  <c r="H17" i="3"/>
  <c r="H65" i="3"/>
  <c r="H42" i="3"/>
  <c r="H32" i="3"/>
  <c r="H12" i="3"/>
  <c r="H68" i="3"/>
  <c r="H38" i="3"/>
  <c r="H28" i="3"/>
  <c r="H64" i="3"/>
  <c r="H50" i="3"/>
  <c r="H27" i="3"/>
  <c r="H15" i="3"/>
  <c r="H70" i="3"/>
  <c r="H47" i="3"/>
  <c r="H36" i="3"/>
  <c r="H16" i="3"/>
  <c r="H62" i="3"/>
  <c r="H53" i="3"/>
  <c r="H30" i="3"/>
  <c r="H6" i="3"/>
  <c r="H43" i="3"/>
  <c r="H33" i="3"/>
  <c r="H9" i="3"/>
  <c r="H74" i="3"/>
  <c r="H78" i="3"/>
  <c r="H82" i="3"/>
  <c r="H90" i="3"/>
  <c r="H96" i="3"/>
  <c r="H75" i="3"/>
  <c r="H79" i="3"/>
  <c r="H83" i="3"/>
  <c r="H97" i="3"/>
  <c r="H72" i="3"/>
  <c r="H76" i="3"/>
  <c r="H80" i="3"/>
  <c r="H84" i="3"/>
  <c r="H86" i="3"/>
  <c r="H92" i="3"/>
  <c r="H94" i="3"/>
  <c r="H98" i="3"/>
  <c r="H73" i="3"/>
  <c r="H77" i="3"/>
  <c r="H81" i="3"/>
  <c r="H87" i="3"/>
  <c r="H89" i="3"/>
  <c r="H93" i="3"/>
  <c r="H95" i="3"/>
  <c r="H104" i="3"/>
  <c r="H110" i="3"/>
  <c r="H114" i="3"/>
  <c r="H116" i="3"/>
  <c r="H120" i="3"/>
  <c r="H124" i="3"/>
  <c r="H126" i="3"/>
  <c r="H128" i="3"/>
  <c r="H103" i="3"/>
  <c r="H117" i="3"/>
  <c r="H119" i="3"/>
  <c r="H127" i="3"/>
  <c r="H129" i="3"/>
  <c r="H102" i="3"/>
  <c r="H106" i="3"/>
  <c r="H108" i="3"/>
  <c r="H118" i="3"/>
  <c r="H122" i="3"/>
  <c r="H130" i="3"/>
  <c r="H101" i="3"/>
  <c r="H105" i="3"/>
  <c r="H107" i="3"/>
  <c r="H109" i="3"/>
  <c r="H113" i="3"/>
  <c r="H121" i="3"/>
  <c r="H123" i="3"/>
  <c r="H125" i="3"/>
  <c r="H132" i="3"/>
  <c r="H136" i="3"/>
  <c r="H133" i="3"/>
  <c r="H137" i="3"/>
  <c r="H134" i="3"/>
  <c r="H138" i="3"/>
  <c r="H131" i="3"/>
  <c r="H135" i="3"/>
  <c r="F69" i="3"/>
  <c r="F51" i="3"/>
  <c r="F28" i="3"/>
  <c r="F13" i="3"/>
  <c r="F66" i="3"/>
  <c r="F48" i="3"/>
  <c r="F29" i="3"/>
  <c r="F10" i="3"/>
  <c r="F64" i="3"/>
  <c r="F42" i="3"/>
  <c r="F31" i="3"/>
  <c r="F16" i="3"/>
  <c r="F68" i="3"/>
  <c r="F49" i="3"/>
  <c r="F38" i="3"/>
  <c r="F18" i="3"/>
  <c r="F53" i="3"/>
  <c r="F37" i="3"/>
  <c r="F21" i="3"/>
  <c r="F7" i="3"/>
  <c r="F65" i="3"/>
  <c r="F47" i="3"/>
  <c r="F24" i="3"/>
  <c r="F9" i="3"/>
  <c r="F55" i="3"/>
  <c r="F40" i="3"/>
  <c r="F26" i="3"/>
  <c r="F70" i="3"/>
  <c r="F52" i="3"/>
  <c r="F19" i="3"/>
  <c r="F17" i="3"/>
  <c r="F50" i="3"/>
  <c r="F32" i="3"/>
  <c r="F15" i="3"/>
  <c r="F58" i="3"/>
  <c r="F33" i="3"/>
  <c r="F30" i="3"/>
  <c r="F54" i="3"/>
  <c r="F35" i="3"/>
  <c r="F6" i="3"/>
  <c r="F59" i="3"/>
  <c r="F41" i="3"/>
  <c r="F27" i="3"/>
  <c r="F12" i="3"/>
  <c r="F63" i="3"/>
  <c r="F45" i="3"/>
  <c r="F34" i="3"/>
  <c r="F14" i="3"/>
  <c r="F46" i="3"/>
  <c r="F39" i="3"/>
  <c r="F11" i="3"/>
  <c r="F62" i="3"/>
  <c r="F43" i="3"/>
  <c r="F25" i="3"/>
  <c r="F57" i="3"/>
  <c r="F60" i="3"/>
  <c r="F36" i="3"/>
  <c r="F20" i="3"/>
  <c r="F129" i="3"/>
  <c r="F82" i="3"/>
  <c r="F109" i="3"/>
  <c r="F127" i="3"/>
  <c r="F98" i="3"/>
  <c r="F78" i="3"/>
  <c r="F123" i="3"/>
  <c r="F132" i="3"/>
  <c r="F89" i="3"/>
  <c r="F124" i="3"/>
  <c r="F86" i="3"/>
  <c r="F136" i="3"/>
  <c r="F113" i="3"/>
  <c r="F76" i="3"/>
  <c r="F110" i="3"/>
  <c r="F118" i="3"/>
  <c r="F134" i="3"/>
  <c r="F93" i="3"/>
  <c r="F74" i="3"/>
  <c r="F97" i="3"/>
  <c r="F77" i="3"/>
  <c r="F114" i="3"/>
  <c r="F81" i="3"/>
  <c r="F135" i="3"/>
  <c r="F90" i="3"/>
  <c r="F73" i="3"/>
  <c r="F107" i="3"/>
  <c r="F79" i="3"/>
  <c r="F131" i="3"/>
  <c r="F84" i="3"/>
  <c r="F116" i="3"/>
  <c r="F137" i="3"/>
  <c r="F95" i="3"/>
  <c r="F75" i="3"/>
  <c r="F126" i="3"/>
  <c r="F80" i="3"/>
  <c r="F96" i="3"/>
  <c r="F133" i="3"/>
  <c r="F87" i="3"/>
  <c r="F138" i="3"/>
  <c r="F117" i="3"/>
  <c r="F130" i="3"/>
  <c r="F83" i="3"/>
  <c r="F72" i="3"/>
  <c r="F92" i="3"/>
  <c r="F94" i="3"/>
  <c r="F102" i="3"/>
  <c r="F106" i="3"/>
  <c r="F108" i="3"/>
  <c r="F122" i="3"/>
  <c r="F101" i="3"/>
  <c r="F105" i="3"/>
  <c r="F121" i="3"/>
  <c r="F125" i="3"/>
  <c r="F104" i="3"/>
  <c r="F120" i="3"/>
  <c r="F128" i="3"/>
  <c r="F103" i="3"/>
  <c r="F119" i="3"/>
  <c r="AM69" i="3"/>
  <c r="AM51" i="3"/>
  <c r="AM24" i="3"/>
  <c r="AM9" i="3"/>
  <c r="AM66" i="3"/>
  <c r="AM45" i="3"/>
  <c r="AM37" i="3"/>
  <c r="AM57" i="3"/>
  <c r="AM64" i="3"/>
  <c r="AM42" i="3"/>
  <c r="AM27" i="3"/>
  <c r="AM12" i="3"/>
  <c r="AM53" i="3"/>
  <c r="AM34" i="3"/>
  <c r="AM14" i="3"/>
  <c r="AM60" i="3"/>
  <c r="AM46" i="3"/>
  <c r="AM30" i="3"/>
  <c r="AM15" i="3"/>
  <c r="AM68" i="3"/>
  <c r="AM47" i="3"/>
  <c r="AM31" i="3"/>
  <c r="AM16" i="3"/>
  <c r="AM58" i="3"/>
  <c r="AM36" i="3"/>
  <c r="AM20" i="3"/>
  <c r="AM6" i="3"/>
  <c r="AM65" i="3"/>
  <c r="AM43" i="3"/>
  <c r="AM28" i="3"/>
  <c r="AM13" i="3"/>
  <c r="AM55" i="3"/>
  <c r="AM39" i="3"/>
  <c r="AM25" i="3"/>
  <c r="AM63" i="3"/>
  <c r="AM40" i="3"/>
  <c r="AM26" i="3"/>
  <c r="AM11" i="3"/>
  <c r="AM59" i="3"/>
  <c r="AM38" i="3"/>
  <c r="AM18" i="3"/>
  <c r="AM62" i="3"/>
  <c r="AM50" i="3"/>
  <c r="AM21" i="3"/>
  <c r="AM7" i="3"/>
  <c r="AM49" i="3"/>
  <c r="AM41" i="3"/>
  <c r="AM10" i="3"/>
  <c r="AM54" i="3"/>
  <c r="AM35" i="3"/>
  <c r="AM19" i="3"/>
  <c r="AM70" i="3"/>
  <c r="AM48" i="3"/>
  <c r="AM33" i="3"/>
  <c r="AM17" i="3"/>
  <c r="AM52" i="3"/>
  <c r="AM32" i="3"/>
  <c r="AM29" i="3"/>
  <c r="AM75" i="3"/>
  <c r="AM79" i="3"/>
  <c r="AM83" i="3"/>
  <c r="AM97" i="3"/>
  <c r="AM72" i="3"/>
  <c r="AM76" i="3"/>
  <c r="AM80" i="3"/>
  <c r="AM84" i="3"/>
  <c r="AM86" i="3"/>
  <c r="AM92" i="3"/>
  <c r="AM94" i="3"/>
  <c r="AM73" i="3"/>
  <c r="AM77" i="3"/>
  <c r="AM81" i="3"/>
  <c r="AM87" i="3"/>
  <c r="AM89" i="3"/>
  <c r="AM93" i="3"/>
  <c r="AM95" i="3"/>
  <c r="AM74" i="3"/>
  <c r="AM78" i="3"/>
  <c r="AM82" i="3"/>
  <c r="AM90" i="3"/>
  <c r="AM96" i="3"/>
  <c r="AM103" i="3"/>
  <c r="AM117" i="3"/>
  <c r="AM119" i="3"/>
  <c r="AM127" i="3"/>
  <c r="AM129" i="3"/>
  <c r="AM98" i="3"/>
  <c r="AM102" i="3"/>
  <c r="AM106" i="3"/>
  <c r="AM108" i="3"/>
  <c r="AM118" i="3"/>
  <c r="AM122" i="3"/>
  <c r="AM101" i="3"/>
  <c r="AM105" i="3"/>
  <c r="AM107" i="3"/>
  <c r="AM109" i="3"/>
  <c r="AM113" i="3"/>
  <c r="AM121" i="3"/>
  <c r="AM123" i="3"/>
  <c r="AM125" i="3"/>
  <c r="AM104" i="3"/>
  <c r="AM110" i="3"/>
  <c r="AM114" i="3"/>
  <c r="AM116" i="3"/>
  <c r="AM120" i="3"/>
  <c r="AM124" i="3"/>
  <c r="AM126" i="3"/>
  <c r="AM128" i="3"/>
  <c r="AM133" i="3"/>
  <c r="AM137" i="3"/>
  <c r="AM130" i="3"/>
  <c r="AM134" i="3"/>
  <c r="AM138" i="3"/>
  <c r="AM131" i="3"/>
  <c r="AM135" i="3"/>
  <c r="AM132" i="3"/>
  <c r="AM136" i="3"/>
  <c r="AR63" i="3"/>
  <c r="AR35" i="3"/>
  <c r="AR25" i="3"/>
  <c r="AR57" i="3"/>
  <c r="AR58" i="3"/>
  <c r="AR66" i="3"/>
  <c r="AR49" i="3"/>
  <c r="AR26" i="3"/>
  <c r="AR18" i="3"/>
  <c r="AR51" i="3"/>
  <c r="AR59" i="3"/>
  <c r="AR38" i="3"/>
  <c r="AR28" i="3"/>
  <c r="AR29" i="3"/>
  <c r="AR46" i="3"/>
  <c r="AR48" i="3"/>
  <c r="AR41" i="3"/>
  <c r="AR17" i="3"/>
  <c r="AR34" i="3"/>
  <c r="AR60" i="3"/>
  <c r="AR31" i="3"/>
  <c r="AR19" i="3"/>
  <c r="AR40" i="3"/>
  <c r="AR53" i="3"/>
  <c r="AR33" i="3"/>
  <c r="AR9" i="3"/>
  <c r="AR11" i="3"/>
  <c r="AR21" i="3"/>
  <c r="AR65" i="3"/>
  <c r="AR47" i="3"/>
  <c r="AR36" i="3"/>
  <c r="AR12" i="3"/>
  <c r="AR16" i="3"/>
  <c r="AR43" i="3"/>
  <c r="AR37" i="3"/>
  <c r="AR13" i="3"/>
  <c r="AR24" i="3"/>
  <c r="AR64" i="3"/>
  <c r="AR50" i="3"/>
  <c r="AR27" i="3"/>
  <c r="AR15" i="3"/>
  <c r="AR54" i="3"/>
  <c r="AR62" i="3"/>
  <c r="AR52" i="3"/>
  <c r="AR30" i="3"/>
  <c r="AR6" i="3"/>
  <c r="AR69" i="3"/>
  <c r="AR42" i="3"/>
  <c r="AR32" i="3"/>
  <c r="AR7" i="3"/>
  <c r="AR68" i="3"/>
  <c r="AR10" i="3"/>
  <c r="AR55" i="3"/>
  <c r="AR45" i="3"/>
  <c r="AR20" i="3"/>
  <c r="AR14" i="3"/>
  <c r="AR39" i="3"/>
  <c r="AR70" i="3"/>
  <c r="AR74" i="3"/>
  <c r="AR78" i="3"/>
  <c r="AR82" i="3"/>
  <c r="AR90" i="3"/>
  <c r="AR96" i="3"/>
  <c r="AR75" i="3"/>
  <c r="AR79" i="3"/>
  <c r="AR83" i="3"/>
  <c r="AR97" i="3"/>
  <c r="AR72" i="3"/>
  <c r="AR76" i="3"/>
  <c r="AR80" i="3"/>
  <c r="AR84" i="3"/>
  <c r="AR86" i="3"/>
  <c r="AR92" i="3"/>
  <c r="AR94" i="3"/>
  <c r="AR73" i="3"/>
  <c r="AR77" i="3"/>
  <c r="AR81" i="3"/>
  <c r="AR87" i="3"/>
  <c r="AR89" i="3"/>
  <c r="AR93" i="3"/>
  <c r="AR95" i="3"/>
  <c r="AR104" i="3"/>
  <c r="AR110" i="3"/>
  <c r="AR114" i="3"/>
  <c r="AR116" i="3"/>
  <c r="AR120" i="3"/>
  <c r="AR124" i="3"/>
  <c r="AR126" i="3"/>
  <c r="AR128" i="3"/>
  <c r="AR129" i="3"/>
  <c r="AR103" i="3"/>
  <c r="AR117" i="3"/>
  <c r="AR119" i="3"/>
  <c r="AR127" i="3"/>
  <c r="AR98" i="3"/>
  <c r="AR102" i="3"/>
  <c r="AR106" i="3"/>
  <c r="AR108" i="3"/>
  <c r="AR118" i="3"/>
  <c r="AR122" i="3"/>
  <c r="AR101" i="3"/>
  <c r="AR105" i="3"/>
  <c r="AR107" i="3"/>
  <c r="AR109" i="3"/>
  <c r="AR113" i="3"/>
  <c r="AR121" i="3"/>
  <c r="AR123" i="3"/>
  <c r="AR125" i="3"/>
  <c r="AR132" i="3"/>
  <c r="AR136" i="3"/>
  <c r="AR133" i="3"/>
  <c r="AR137" i="3"/>
  <c r="AR130" i="3"/>
  <c r="AR134" i="3"/>
  <c r="AR138" i="3"/>
  <c r="AR131" i="3"/>
  <c r="AR135" i="3"/>
  <c r="M47" i="3"/>
  <c r="M39" i="3"/>
  <c r="M15" i="3"/>
  <c r="M58" i="3"/>
  <c r="M40" i="3"/>
  <c r="M16" i="3"/>
  <c r="M64" i="3"/>
  <c r="M46" i="3"/>
  <c r="M30" i="3"/>
  <c r="M6" i="3"/>
  <c r="M53" i="3"/>
  <c r="M37" i="3"/>
  <c r="M27" i="3"/>
  <c r="M63" i="3"/>
  <c r="M49" i="3"/>
  <c r="M20" i="3"/>
  <c r="M18" i="3"/>
  <c r="M69" i="3"/>
  <c r="M50" i="3"/>
  <c r="M35" i="3"/>
  <c r="M11" i="3"/>
  <c r="M66" i="3"/>
  <c r="M48" i="3"/>
  <c r="M25" i="3"/>
  <c r="M10" i="3"/>
  <c r="M51" i="3"/>
  <c r="M42" i="3"/>
  <c r="M7" i="3"/>
  <c r="M54" i="3"/>
  <c r="M38" i="3"/>
  <c r="M28" i="3"/>
  <c r="M17" i="3"/>
  <c r="M62" i="3"/>
  <c r="M45" i="3"/>
  <c r="M29" i="3"/>
  <c r="M14" i="3"/>
  <c r="M59" i="3"/>
  <c r="M41" i="3"/>
  <c r="M31" i="3"/>
  <c r="M9" i="3"/>
  <c r="M68" i="3"/>
  <c r="M52" i="3"/>
  <c r="M26" i="3"/>
  <c r="M19" i="3"/>
  <c r="M70" i="3"/>
  <c r="M33" i="3"/>
  <c r="M21" i="3"/>
  <c r="M60" i="3"/>
  <c r="M34" i="3"/>
  <c r="M24" i="3"/>
  <c r="M13" i="3"/>
  <c r="M55" i="3"/>
  <c r="M36" i="3"/>
  <c r="M12" i="3"/>
  <c r="M65" i="3"/>
  <c r="M43" i="3"/>
  <c r="M32" i="3"/>
  <c r="M57" i="3"/>
  <c r="M73" i="3"/>
  <c r="M77" i="3"/>
  <c r="M81" i="3"/>
  <c r="M87" i="3"/>
  <c r="M89" i="3"/>
  <c r="M93" i="3"/>
  <c r="M95" i="3"/>
  <c r="M74" i="3"/>
  <c r="M78" i="3"/>
  <c r="M82" i="3"/>
  <c r="M90" i="3"/>
  <c r="M96" i="3"/>
  <c r="M75" i="3"/>
  <c r="M79" i="3"/>
  <c r="M83" i="3"/>
  <c r="M97" i="3"/>
  <c r="M72" i="3"/>
  <c r="M76" i="3"/>
  <c r="M80" i="3"/>
  <c r="M84" i="3"/>
  <c r="M86" i="3"/>
  <c r="M92" i="3"/>
  <c r="M94" i="3"/>
  <c r="M98" i="3"/>
  <c r="M101" i="3"/>
  <c r="M105" i="3"/>
  <c r="M107" i="3"/>
  <c r="M109" i="3"/>
  <c r="M113" i="3"/>
  <c r="M121" i="3"/>
  <c r="M123" i="3"/>
  <c r="M125" i="3"/>
  <c r="M104" i="3"/>
  <c r="M110" i="3"/>
  <c r="M114" i="3"/>
  <c r="M116" i="3"/>
  <c r="M120" i="3"/>
  <c r="M124" i="3"/>
  <c r="M126" i="3"/>
  <c r="M128" i="3"/>
  <c r="M103" i="3"/>
  <c r="M117" i="3"/>
  <c r="M119" i="3"/>
  <c r="M127" i="3"/>
  <c r="M129" i="3"/>
  <c r="M102" i="3"/>
  <c r="M106" i="3"/>
  <c r="M108" i="3"/>
  <c r="M118" i="3"/>
  <c r="M122" i="3"/>
  <c r="M131" i="3"/>
  <c r="M135" i="3"/>
  <c r="M132" i="3"/>
  <c r="M136" i="3"/>
  <c r="M133" i="3"/>
  <c r="M137" i="3"/>
  <c r="M130" i="3"/>
  <c r="M134" i="3"/>
  <c r="M138" i="3"/>
  <c r="AQ52" i="3"/>
  <c r="AQ36" i="3"/>
  <c r="AQ20" i="3"/>
  <c r="AQ6" i="3"/>
  <c r="AQ68" i="3"/>
  <c r="AQ50" i="3"/>
  <c r="AQ31" i="3"/>
  <c r="AQ7" i="3"/>
  <c r="AQ64" i="3"/>
  <c r="AQ39" i="3"/>
  <c r="AQ25" i="3"/>
  <c r="AQ63" i="3"/>
  <c r="AQ47" i="3"/>
  <c r="AQ27" i="3"/>
  <c r="AQ16" i="3"/>
  <c r="AQ59" i="3"/>
  <c r="AQ38" i="3"/>
  <c r="AQ18" i="3"/>
  <c r="AQ55" i="3"/>
  <c r="AQ32" i="3"/>
  <c r="AQ29" i="3"/>
  <c r="AQ45" i="3"/>
  <c r="AQ41" i="3"/>
  <c r="AQ10" i="3"/>
  <c r="AQ58" i="3"/>
  <c r="AQ40" i="3"/>
  <c r="AQ26" i="3"/>
  <c r="AQ11" i="3"/>
  <c r="AQ70" i="3"/>
  <c r="AQ43" i="3"/>
  <c r="AQ33" i="3"/>
  <c r="AQ17" i="3"/>
  <c r="AQ49" i="3"/>
  <c r="AQ34" i="3"/>
  <c r="AQ14" i="3"/>
  <c r="AQ69" i="3"/>
  <c r="AQ51" i="3"/>
  <c r="AQ24" i="3"/>
  <c r="AQ9" i="3"/>
  <c r="AQ54" i="3"/>
  <c r="AQ35" i="3"/>
  <c r="AQ19" i="3"/>
  <c r="AQ60" i="3"/>
  <c r="AQ42" i="3"/>
  <c r="AQ21" i="3"/>
  <c r="AQ12" i="3"/>
  <c r="AQ65" i="3"/>
  <c r="AQ53" i="3"/>
  <c r="AQ28" i="3"/>
  <c r="AQ13" i="3"/>
  <c r="AQ62" i="3"/>
  <c r="AQ46" i="3"/>
  <c r="AQ30" i="3"/>
  <c r="AQ15" i="3"/>
  <c r="AQ66" i="3"/>
  <c r="AQ48" i="3"/>
  <c r="AQ37" i="3"/>
  <c r="AQ57" i="3"/>
  <c r="AQ75" i="3"/>
  <c r="AQ79" i="3"/>
  <c r="AQ83" i="3"/>
  <c r="AQ97" i="3"/>
  <c r="AQ72" i="3"/>
  <c r="AQ76" i="3"/>
  <c r="AQ80" i="3"/>
  <c r="AQ84" i="3"/>
  <c r="AQ86" i="3"/>
  <c r="AQ92" i="3"/>
  <c r="AQ94" i="3"/>
  <c r="AQ73" i="3"/>
  <c r="AQ77" i="3"/>
  <c r="AQ81" i="3"/>
  <c r="AQ87" i="3"/>
  <c r="AQ89" i="3"/>
  <c r="AQ93" i="3"/>
  <c r="AQ95" i="3"/>
  <c r="AQ74" i="3"/>
  <c r="AQ78" i="3"/>
  <c r="AQ82" i="3"/>
  <c r="AQ90" i="3"/>
  <c r="AQ96" i="3"/>
  <c r="AQ103" i="3"/>
  <c r="AQ117" i="3"/>
  <c r="AQ119" i="3"/>
  <c r="AQ127" i="3"/>
  <c r="AQ98" i="3"/>
  <c r="AQ102" i="3"/>
  <c r="AQ106" i="3"/>
  <c r="AQ108" i="3"/>
  <c r="AQ118" i="3"/>
  <c r="AQ122" i="3"/>
  <c r="AQ101" i="3"/>
  <c r="AQ105" i="3"/>
  <c r="AQ107" i="3"/>
  <c r="AQ109" i="3"/>
  <c r="AQ113" i="3"/>
  <c r="AQ121" i="3"/>
  <c r="AQ123" i="3"/>
  <c r="AQ125" i="3"/>
  <c r="AQ104" i="3"/>
  <c r="AQ110" i="3"/>
  <c r="AQ114" i="3"/>
  <c r="AQ116" i="3"/>
  <c r="AQ120" i="3"/>
  <c r="AQ124" i="3"/>
  <c r="AQ126" i="3"/>
  <c r="AQ128" i="3"/>
  <c r="AQ129" i="3"/>
  <c r="AQ133" i="3"/>
  <c r="AQ137" i="3"/>
  <c r="AQ130" i="3"/>
  <c r="AQ134" i="3"/>
  <c r="AQ138" i="3"/>
  <c r="AQ131" i="3"/>
  <c r="AQ135" i="3"/>
  <c r="AQ132" i="3"/>
  <c r="AQ136" i="3"/>
  <c r="AV68" i="3"/>
  <c r="AV35" i="3"/>
  <c r="AV25" i="3"/>
  <c r="AV57" i="3"/>
  <c r="AV62" i="3"/>
  <c r="AV49" i="3"/>
  <c r="AV26" i="3"/>
  <c r="AV18" i="3"/>
  <c r="AV59" i="3"/>
  <c r="AV38" i="3"/>
  <c r="AV28" i="3"/>
  <c r="AV66" i="3"/>
  <c r="AV46" i="3"/>
  <c r="AV21" i="3"/>
  <c r="AV11" i="3"/>
  <c r="AV52" i="3"/>
  <c r="AV41" i="3"/>
  <c r="AV17" i="3"/>
  <c r="AV54" i="3"/>
  <c r="AV31" i="3"/>
  <c r="AV19" i="3"/>
  <c r="AV43" i="3"/>
  <c r="AV33" i="3"/>
  <c r="AV9" i="3"/>
  <c r="AV55" i="3"/>
  <c r="AV39" i="3"/>
  <c r="AV29" i="3"/>
  <c r="AV10" i="3"/>
  <c r="AV65" i="3"/>
  <c r="AV47" i="3"/>
  <c r="AV36" i="3"/>
  <c r="AV12" i="3"/>
  <c r="AV48" i="3"/>
  <c r="AV37" i="3"/>
  <c r="AV13" i="3"/>
  <c r="AV64" i="3"/>
  <c r="AV50" i="3"/>
  <c r="AV27" i="3"/>
  <c r="AV15" i="3"/>
  <c r="AV58" i="3"/>
  <c r="AV34" i="3"/>
  <c r="AV24" i="3"/>
  <c r="AV63" i="3"/>
  <c r="AV53" i="3"/>
  <c r="AV30" i="3"/>
  <c r="AV6" i="3"/>
  <c r="AV69" i="3"/>
  <c r="AV42" i="3"/>
  <c r="AV32" i="3"/>
  <c r="AV7" i="3"/>
  <c r="AV60" i="3"/>
  <c r="AV45" i="3"/>
  <c r="AV20" i="3"/>
  <c r="AV14" i="3"/>
  <c r="AV70" i="3"/>
  <c r="AV51" i="3"/>
  <c r="AV40" i="3"/>
  <c r="AV16" i="3"/>
  <c r="AV74" i="3"/>
  <c r="AV78" i="3"/>
  <c r="AV82" i="3"/>
  <c r="AV90" i="3"/>
  <c r="AV96" i="3"/>
  <c r="AV75" i="3"/>
  <c r="AV79" i="3"/>
  <c r="AV83" i="3"/>
  <c r="AV97" i="3"/>
  <c r="AV72" i="3"/>
  <c r="AV76" i="3"/>
  <c r="AV80" i="3"/>
  <c r="AV84" i="3"/>
  <c r="AV86" i="3"/>
  <c r="AV92" i="3"/>
  <c r="AV94" i="3"/>
  <c r="AV73" i="3"/>
  <c r="AV77" i="3"/>
  <c r="AV81" i="3"/>
  <c r="AV87" i="3"/>
  <c r="AV89" i="3"/>
  <c r="AV93" i="3"/>
  <c r="AV95" i="3"/>
  <c r="AV104" i="3"/>
  <c r="AV110" i="3"/>
  <c r="AV114" i="3"/>
  <c r="AV116" i="3"/>
  <c r="AV120" i="3"/>
  <c r="AV124" i="3"/>
  <c r="AV126" i="3"/>
  <c r="AV128" i="3"/>
  <c r="AV103" i="3"/>
  <c r="AV117" i="3"/>
  <c r="AV119" i="3"/>
  <c r="AV127" i="3"/>
  <c r="AV98" i="3"/>
  <c r="AV102" i="3"/>
  <c r="AV106" i="3"/>
  <c r="AV108" i="3"/>
  <c r="AV118" i="3"/>
  <c r="AV122" i="3"/>
  <c r="AV129" i="3"/>
  <c r="AV101" i="3"/>
  <c r="AV105" i="3"/>
  <c r="AV107" i="3"/>
  <c r="AV109" i="3"/>
  <c r="AV113" i="3"/>
  <c r="AV121" i="3"/>
  <c r="AV123" i="3"/>
  <c r="AV125" i="3"/>
  <c r="AV132" i="3"/>
  <c r="AV136" i="3"/>
  <c r="AV133" i="3"/>
  <c r="AV137" i="3"/>
  <c r="AV130" i="3"/>
  <c r="AV134" i="3"/>
  <c r="AV138" i="3"/>
  <c r="AV131" i="3"/>
  <c r="AV135" i="3"/>
  <c r="AW64" i="3"/>
  <c r="AW50" i="3"/>
  <c r="AW30" i="3"/>
  <c r="AW11" i="3"/>
  <c r="AW51" i="3"/>
  <c r="AW36" i="3"/>
  <c r="AW12" i="3"/>
  <c r="AW63" i="3"/>
  <c r="AW49" i="3"/>
  <c r="AW20" i="3"/>
  <c r="AW18" i="3"/>
  <c r="AW60" i="3"/>
  <c r="AW33" i="3"/>
  <c r="AW21" i="3"/>
  <c r="AW62" i="3"/>
  <c r="AW52" i="3"/>
  <c r="AW29" i="3"/>
  <c r="AW10" i="3"/>
  <c r="AW68" i="3"/>
  <c r="AW46" i="3"/>
  <c r="AW26" i="3"/>
  <c r="AW6" i="3"/>
  <c r="AW54" i="3"/>
  <c r="AW43" i="3"/>
  <c r="AW19" i="3"/>
  <c r="AW17" i="3"/>
  <c r="AW69" i="3"/>
  <c r="AW42" i="3"/>
  <c r="AW35" i="3"/>
  <c r="AW15" i="3"/>
  <c r="AW59" i="3"/>
  <c r="AW34" i="3"/>
  <c r="AW28" i="3"/>
  <c r="AW9" i="3"/>
  <c r="AW70" i="3"/>
  <c r="AW48" i="3"/>
  <c r="AW25" i="3"/>
  <c r="AW57" i="3"/>
  <c r="AW58" i="3"/>
  <c r="AW37" i="3"/>
  <c r="AW27" i="3"/>
  <c r="AW65" i="3"/>
  <c r="AW45" i="3"/>
  <c r="AW32" i="3"/>
  <c r="AW14" i="3"/>
  <c r="AW55" i="3"/>
  <c r="AW40" i="3"/>
  <c r="AW16" i="3"/>
  <c r="AW53" i="3"/>
  <c r="AW41" i="3"/>
  <c r="AW24" i="3"/>
  <c r="AW47" i="3"/>
  <c r="AW39" i="3"/>
  <c r="AW7" i="3"/>
  <c r="AW66" i="3"/>
  <c r="AW38" i="3"/>
  <c r="AW31" i="3"/>
  <c r="AW13" i="3"/>
  <c r="AW73" i="3"/>
  <c r="AW77" i="3"/>
  <c r="AW81" i="3"/>
  <c r="AW87" i="3"/>
  <c r="AW89" i="3"/>
  <c r="AW93" i="3"/>
  <c r="AW95" i="3"/>
  <c r="AW74" i="3"/>
  <c r="AW78" i="3"/>
  <c r="AW82" i="3"/>
  <c r="AW90" i="3"/>
  <c r="AW96" i="3"/>
  <c r="AW75" i="3"/>
  <c r="AW79" i="3"/>
  <c r="AW83" i="3"/>
  <c r="AW97" i="3"/>
  <c r="AW72" i="3"/>
  <c r="AW76" i="3"/>
  <c r="AW80" i="3"/>
  <c r="AW84" i="3"/>
  <c r="AW86" i="3"/>
  <c r="AW92" i="3"/>
  <c r="AW94" i="3"/>
  <c r="AW101" i="3"/>
  <c r="AW105" i="3"/>
  <c r="AW107" i="3"/>
  <c r="AW109" i="3"/>
  <c r="AW113" i="3"/>
  <c r="AW121" i="3"/>
  <c r="AW123" i="3"/>
  <c r="AW125" i="3"/>
  <c r="AW104" i="3"/>
  <c r="AW110" i="3"/>
  <c r="AW114" i="3"/>
  <c r="AW116" i="3"/>
  <c r="AW120" i="3"/>
  <c r="AW124" i="3"/>
  <c r="AW126" i="3"/>
  <c r="AW128" i="3"/>
  <c r="AW103" i="3"/>
  <c r="AW117" i="3"/>
  <c r="AW119" i="3"/>
  <c r="AW127" i="3"/>
  <c r="AW98" i="3"/>
  <c r="AW102" i="3"/>
  <c r="AW106" i="3"/>
  <c r="AW108" i="3"/>
  <c r="AW118" i="3"/>
  <c r="AW122" i="3"/>
  <c r="AW129" i="3"/>
  <c r="AW131" i="3"/>
  <c r="AW135" i="3"/>
  <c r="AW132" i="3"/>
  <c r="AW136" i="3"/>
  <c r="AW133" i="3"/>
  <c r="AW137" i="3"/>
  <c r="AW130" i="3"/>
  <c r="AW134" i="3"/>
  <c r="AW138" i="3"/>
  <c r="AX58" i="3"/>
  <c r="AX40" i="3"/>
  <c r="AX26" i="3"/>
  <c r="AX59" i="3"/>
  <c r="AX41" i="3"/>
  <c r="AX27" i="3"/>
  <c r="AX12" i="3"/>
  <c r="AX54" i="3"/>
  <c r="AX32" i="3"/>
  <c r="AX15" i="3"/>
  <c r="AX69" i="3"/>
  <c r="AX47" i="3"/>
  <c r="AX28" i="3"/>
  <c r="AX9" i="3"/>
  <c r="AX46" i="3"/>
  <c r="AX35" i="3"/>
  <c r="AX6" i="3"/>
  <c r="AX55" i="3"/>
  <c r="AX36" i="3"/>
  <c r="AX20" i="3"/>
  <c r="AX63" i="3"/>
  <c r="AX45" i="3"/>
  <c r="AX34" i="3"/>
  <c r="AX14" i="3"/>
  <c r="AX65" i="3"/>
  <c r="AX33" i="3"/>
  <c r="AX30" i="3"/>
  <c r="AX62" i="3"/>
  <c r="AX48" i="3"/>
  <c r="AX25" i="3"/>
  <c r="AX57" i="3"/>
  <c r="AX68" i="3"/>
  <c r="AX49" i="3"/>
  <c r="AX38" i="3"/>
  <c r="AX18" i="3"/>
  <c r="AX64" i="3"/>
  <c r="AX51" i="3"/>
  <c r="AX31" i="3"/>
  <c r="AX13" i="3"/>
  <c r="AX50" i="3"/>
  <c r="AX39" i="3"/>
  <c r="AX11" i="3"/>
  <c r="AX60" i="3"/>
  <c r="AX42" i="3"/>
  <c r="AX24" i="3"/>
  <c r="AX16" i="3"/>
  <c r="AX70" i="3"/>
  <c r="AX43" i="3"/>
  <c r="AX19" i="3"/>
  <c r="AX17" i="3"/>
  <c r="AX53" i="3"/>
  <c r="AX37" i="3"/>
  <c r="AX21" i="3"/>
  <c r="AX7" i="3"/>
  <c r="AX66" i="3"/>
  <c r="AX52" i="3"/>
  <c r="AX29" i="3"/>
  <c r="AX10" i="3"/>
  <c r="AX72" i="3"/>
  <c r="AX76" i="3"/>
  <c r="AX80" i="3"/>
  <c r="AX84" i="3"/>
  <c r="AX86" i="3"/>
  <c r="AX92" i="3"/>
  <c r="AX94" i="3"/>
  <c r="AX73" i="3"/>
  <c r="AX77" i="3"/>
  <c r="AX81" i="3"/>
  <c r="AX87" i="3"/>
  <c r="AX89" i="3"/>
  <c r="AX93" i="3"/>
  <c r="AX95" i="3"/>
  <c r="AX74" i="3"/>
  <c r="AX78" i="3"/>
  <c r="AX82" i="3"/>
  <c r="AX90" i="3"/>
  <c r="AX96" i="3"/>
  <c r="AX75" i="3"/>
  <c r="AX79" i="3"/>
  <c r="AX83" i="3"/>
  <c r="AX97" i="3"/>
  <c r="AX98" i="3"/>
  <c r="AX102" i="3"/>
  <c r="AX106" i="3"/>
  <c r="AX108" i="3"/>
  <c r="AX118" i="3"/>
  <c r="AX122" i="3"/>
  <c r="AX101" i="3"/>
  <c r="AX105" i="3"/>
  <c r="AX107" i="3"/>
  <c r="AX109" i="3"/>
  <c r="AX113" i="3"/>
  <c r="AX121" i="3"/>
  <c r="AX123" i="3"/>
  <c r="AX125" i="3"/>
  <c r="AX104" i="3"/>
  <c r="AX110" i="3"/>
  <c r="AX114" i="3"/>
  <c r="AX116" i="3"/>
  <c r="AX120" i="3"/>
  <c r="AX124" i="3"/>
  <c r="AX126" i="3"/>
  <c r="AX128" i="3"/>
  <c r="AX103" i="3"/>
  <c r="AX117" i="3"/>
  <c r="AX119" i="3"/>
  <c r="AX127" i="3"/>
  <c r="AX130" i="3"/>
  <c r="AX134" i="3"/>
  <c r="AX138" i="3"/>
  <c r="AX131" i="3"/>
  <c r="AX135" i="3"/>
  <c r="AX132" i="3"/>
  <c r="AX136" i="3"/>
  <c r="AX129" i="3"/>
  <c r="AX133" i="3"/>
  <c r="AX137" i="3"/>
  <c r="BA64" i="3"/>
  <c r="BA42" i="3"/>
  <c r="BA31" i="3"/>
  <c r="BA11" i="3"/>
  <c r="BA52" i="3"/>
  <c r="BA36" i="3"/>
  <c r="BA12" i="3"/>
  <c r="BA63" i="3"/>
  <c r="BA46" i="3"/>
  <c r="BA30" i="3"/>
  <c r="BA18" i="3"/>
  <c r="BA58" i="3"/>
  <c r="BA33" i="3"/>
  <c r="BA21" i="3"/>
  <c r="BA66" i="3"/>
  <c r="BA45" i="3"/>
  <c r="BA20" i="3"/>
  <c r="BA10" i="3"/>
  <c r="BA68" i="3"/>
  <c r="BA50" i="3"/>
  <c r="BA32" i="3"/>
  <c r="BA6" i="3"/>
  <c r="BA54" i="3"/>
  <c r="BA43" i="3"/>
  <c r="BA25" i="3"/>
  <c r="BA17" i="3"/>
  <c r="BA69" i="3"/>
  <c r="BA47" i="3"/>
  <c r="BA35" i="3"/>
  <c r="BA15" i="3"/>
  <c r="BA60" i="3"/>
  <c r="BA34" i="3"/>
  <c r="BA28" i="3"/>
  <c r="BA9" i="3"/>
  <c r="BA65" i="3"/>
  <c r="BA48" i="3"/>
  <c r="BA29" i="3"/>
  <c r="BA57" i="3"/>
  <c r="BA53" i="3"/>
  <c r="BA37" i="3"/>
  <c r="BA27" i="3"/>
  <c r="BA70" i="3"/>
  <c r="BA49" i="3"/>
  <c r="BA26" i="3"/>
  <c r="BA14" i="3"/>
  <c r="BA55" i="3"/>
  <c r="BA40" i="3"/>
  <c r="BA16" i="3"/>
  <c r="BA59" i="3"/>
  <c r="BA41" i="3"/>
  <c r="BA24" i="3"/>
  <c r="BA51" i="3"/>
  <c r="BA39" i="3"/>
  <c r="BA7" i="3"/>
  <c r="BA62" i="3"/>
  <c r="BA38" i="3"/>
  <c r="BA19" i="3"/>
  <c r="BA13" i="3"/>
  <c r="BA73" i="3"/>
  <c r="BA77" i="3"/>
  <c r="BA81" i="3"/>
  <c r="BA87" i="3"/>
  <c r="BA89" i="3"/>
  <c r="BA93" i="3"/>
  <c r="BA95" i="3"/>
  <c r="BA74" i="3"/>
  <c r="BA78" i="3"/>
  <c r="BA82" i="3"/>
  <c r="BA90" i="3"/>
  <c r="BA96" i="3"/>
  <c r="BA75" i="3"/>
  <c r="BA79" i="3"/>
  <c r="BA83" i="3"/>
  <c r="BA97" i="3"/>
  <c r="BA72" i="3"/>
  <c r="BA76" i="3"/>
  <c r="BA80" i="3"/>
  <c r="BA84" i="3"/>
  <c r="BA86" i="3"/>
  <c r="BA92" i="3"/>
  <c r="BA94" i="3"/>
  <c r="BA101" i="3"/>
  <c r="BA105" i="3"/>
  <c r="BA107" i="3"/>
  <c r="BA109" i="3"/>
  <c r="BA113" i="3"/>
  <c r="BA121" i="3"/>
  <c r="BA123" i="3"/>
  <c r="BA125" i="3"/>
  <c r="BA104" i="3"/>
  <c r="BA110" i="3"/>
  <c r="BA114" i="3"/>
  <c r="BA116" i="3"/>
  <c r="BA120" i="3"/>
  <c r="BA124" i="3"/>
  <c r="BA126" i="3"/>
  <c r="BA128" i="3"/>
  <c r="BA129" i="3"/>
  <c r="BA103" i="3"/>
  <c r="BA117" i="3"/>
  <c r="BA119" i="3"/>
  <c r="BA127" i="3"/>
  <c r="BA98" i="3"/>
  <c r="BA102" i="3"/>
  <c r="BA106" i="3"/>
  <c r="BA108" i="3"/>
  <c r="BA118" i="3"/>
  <c r="BA122" i="3"/>
  <c r="BA131" i="3"/>
  <c r="BA135" i="3"/>
  <c r="BA132" i="3"/>
  <c r="BA136" i="3"/>
  <c r="BA133" i="3"/>
  <c r="BA137" i="3"/>
  <c r="BA130" i="3"/>
  <c r="BA134" i="3"/>
  <c r="BA138" i="3"/>
  <c r="BB62" i="3"/>
  <c r="BB43" i="3"/>
  <c r="BB25" i="3"/>
  <c r="BB57" i="3"/>
  <c r="BB68" i="3"/>
  <c r="BB49" i="3"/>
  <c r="BB38" i="3"/>
  <c r="BB18" i="3"/>
  <c r="BB69" i="3"/>
  <c r="BB51" i="3"/>
  <c r="BB28" i="3"/>
  <c r="BB13" i="3"/>
  <c r="BB50" i="3"/>
  <c r="BB39" i="3"/>
  <c r="BB11" i="3"/>
  <c r="BB64" i="3"/>
  <c r="BB42" i="3"/>
  <c r="BB27" i="3"/>
  <c r="BB16" i="3"/>
  <c r="BB70" i="3"/>
  <c r="BB52" i="3"/>
  <c r="BB19" i="3"/>
  <c r="BB17" i="3"/>
  <c r="BB59" i="3"/>
  <c r="BB37" i="3"/>
  <c r="BB31" i="3"/>
  <c r="BB7" i="3"/>
  <c r="BB66" i="3"/>
  <c r="BB48" i="3"/>
  <c r="BB29" i="3"/>
  <c r="BB10" i="3"/>
  <c r="BB58" i="3"/>
  <c r="BB40" i="3"/>
  <c r="BB26" i="3"/>
  <c r="BB60" i="3"/>
  <c r="BB41" i="3"/>
  <c r="BB21" i="3"/>
  <c r="BB12" i="3"/>
  <c r="BB54" i="3"/>
  <c r="BB32" i="3"/>
  <c r="BB15" i="3"/>
  <c r="BB65" i="3"/>
  <c r="BB47" i="3"/>
  <c r="BB24" i="3"/>
  <c r="BB9" i="3"/>
  <c r="BB46" i="3"/>
  <c r="BB35" i="3"/>
  <c r="BB6" i="3"/>
  <c r="BB55" i="3"/>
  <c r="BB36" i="3"/>
  <c r="BB20" i="3"/>
  <c r="BB63" i="3"/>
  <c r="BB45" i="3"/>
  <c r="BB34" i="3"/>
  <c r="BB14" i="3"/>
  <c r="BB53" i="3"/>
  <c r="BB33" i="3"/>
  <c r="BB30" i="3"/>
  <c r="BB72" i="3"/>
  <c r="BB76" i="3"/>
  <c r="BB80" i="3"/>
  <c r="BB84" i="3"/>
  <c r="BB86" i="3"/>
  <c r="BB92" i="3"/>
  <c r="BB94" i="3"/>
  <c r="BB73" i="3"/>
  <c r="BB77" i="3"/>
  <c r="BB81" i="3"/>
  <c r="BB87" i="3"/>
  <c r="BB89" i="3"/>
  <c r="BB93" i="3"/>
  <c r="BB95" i="3"/>
  <c r="BB74" i="3"/>
  <c r="BB78" i="3"/>
  <c r="BB82" i="3"/>
  <c r="BB90" i="3"/>
  <c r="BB96" i="3"/>
  <c r="BB75" i="3"/>
  <c r="BB79" i="3"/>
  <c r="BB83" i="3"/>
  <c r="BB97" i="3"/>
  <c r="BB98" i="3"/>
  <c r="BB102" i="3"/>
  <c r="BB106" i="3"/>
  <c r="BB108" i="3"/>
  <c r="BB118" i="3"/>
  <c r="BB122" i="3"/>
  <c r="BB101" i="3"/>
  <c r="BB105" i="3"/>
  <c r="BB107" i="3"/>
  <c r="BB109" i="3"/>
  <c r="BB113" i="3"/>
  <c r="BB121" i="3"/>
  <c r="BB123" i="3"/>
  <c r="BB125" i="3"/>
  <c r="BB104" i="3"/>
  <c r="BB110" i="3"/>
  <c r="BB114" i="3"/>
  <c r="BB116" i="3"/>
  <c r="BB120" i="3"/>
  <c r="BB124" i="3"/>
  <c r="BB126" i="3"/>
  <c r="BB128" i="3"/>
  <c r="BB103" i="3"/>
  <c r="BB117" i="3"/>
  <c r="BB119" i="3"/>
  <c r="BB127" i="3"/>
  <c r="BB130" i="3"/>
  <c r="BB134" i="3"/>
  <c r="BB138" i="3"/>
  <c r="BB131" i="3"/>
  <c r="BB135" i="3"/>
  <c r="BB132" i="3"/>
  <c r="BB136" i="3"/>
  <c r="BB129" i="3"/>
  <c r="BB133" i="3"/>
  <c r="BB137" i="3"/>
  <c r="AE63" i="3"/>
  <c r="AE46" i="3"/>
  <c r="AE30" i="3"/>
  <c r="AE15" i="3"/>
  <c r="AE68" i="3"/>
  <c r="AE47" i="3"/>
  <c r="AE31" i="3"/>
  <c r="AE16" i="3"/>
  <c r="AE52" i="3"/>
  <c r="AE36" i="3"/>
  <c r="AE20" i="3"/>
  <c r="AE6" i="3"/>
  <c r="AE65" i="3"/>
  <c r="AE43" i="3"/>
  <c r="AE28" i="3"/>
  <c r="AE13" i="3"/>
  <c r="AE55" i="3"/>
  <c r="AE39" i="3"/>
  <c r="AE25" i="3"/>
  <c r="AE58" i="3"/>
  <c r="AE40" i="3"/>
  <c r="AE26" i="3"/>
  <c r="AE11" i="3"/>
  <c r="AE59" i="3"/>
  <c r="AE38" i="3"/>
  <c r="AE18" i="3"/>
  <c r="AE60" i="3"/>
  <c r="AE50" i="3"/>
  <c r="AE21" i="3"/>
  <c r="AE7" i="3"/>
  <c r="AE49" i="3"/>
  <c r="AE41" i="3"/>
  <c r="AE10" i="3"/>
  <c r="AE54" i="3"/>
  <c r="AE35" i="3"/>
  <c r="AE19" i="3"/>
  <c r="AE70" i="3"/>
  <c r="AE48" i="3"/>
  <c r="AE33" i="3"/>
  <c r="AE17" i="3"/>
  <c r="AE62" i="3"/>
  <c r="AE32" i="3"/>
  <c r="AE29" i="3"/>
  <c r="AE69" i="3"/>
  <c r="AE51" i="3"/>
  <c r="AE24" i="3"/>
  <c r="AE9" i="3"/>
  <c r="AE66" i="3"/>
  <c r="AE45" i="3"/>
  <c r="AE37" i="3"/>
  <c r="AE57" i="3"/>
  <c r="AE64" i="3"/>
  <c r="AE42" i="3"/>
  <c r="AE27" i="3"/>
  <c r="AE12" i="3"/>
  <c r="AE53" i="3"/>
  <c r="AE34" i="3"/>
  <c r="AE14" i="3"/>
  <c r="AE75" i="3"/>
  <c r="AE79" i="3"/>
  <c r="AE83" i="3"/>
  <c r="AE97" i="3"/>
  <c r="AE72" i="3"/>
  <c r="AE76" i="3"/>
  <c r="AE80" i="3"/>
  <c r="AE84" i="3"/>
  <c r="AE86" i="3"/>
  <c r="AE92" i="3"/>
  <c r="AE94" i="3"/>
  <c r="AE98" i="3"/>
  <c r="AE73" i="3"/>
  <c r="AE77" i="3"/>
  <c r="AE81" i="3"/>
  <c r="AE87" i="3"/>
  <c r="AE89" i="3"/>
  <c r="AE93" i="3"/>
  <c r="AE95" i="3"/>
  <c r="AE74" i="3"/>
  <c r="AE78" i="3"/>
  <c r="AE82" i="3"/>
  <c r="AE90" i="3"/>
  <c r="AE96" i="3"/>
  <c r="AE103" i="3"/>
  <c r="AE117" i="3"/>
  <c r="AE119" i="3"/>
  <c r="AE127" i="3"/>
  <c r="AE129" i="3"/>
  <c r="AE102" i="3"/>
  <c r="AE106" i="3"/>
  <c r="AE108" i="3"/>
  <c r="AE118" i="3"/>
  <c r="AE122" i="3"/>
  <c r="AE101" i="3"/>
  <c r="AE105" i="3"/>
  <c r="AE107" i="3"/>
  <c r="AE109" i="3"/>
  <c r="AE113" i="3"/>
  <c r="AE121" i="3"/>
  <c r="AE123" i="3"/>
  <c r="AE125" i="3"/>
  <c r="AE104" i="3"/>
  <c r="AE110" i="3"/>
  <c r="AE114" i="3"/>
  <c r="AE116" i="3"/>
  <c r="AE120" i="3"/>
  <c r="AE124" i="3"/>
  <c r="AE126" i="3"/>
  <c r="AE128" i="3"/>
  <c r="AE133" i="3"/>
  <c r="AE137" i="3"/>
  <c r="AE130" i="3"/>
  <c r="AE134" i="3"/>
  <c r="AE138" i="3"/>
  <c r="AE131" i="3"/>
  <c r="AE135" i="3"/>
  <c r="AE132" i="3"/>
  <c r="AE136" i="3"/>
  <c r="BK55" i="3"/>
  <c r="BK32" i="3"/>
  <c r="BK25" i="3"/>
  <c r="BK63" i="3"/>
  <c r="BK41" i="3"/>
  <c r="BK26" i="3"/>
  <c r="BK11" i="3"/>
  <c r="BK59" i="3"/>
  <c r="BK35" i="3"/>
  <c r="BK18" i="3"/>
  <c r="BK64" i="3"/>
  <c r="BK50" i="3"/>
  <c r="BK31" i="3"/>
  <c r="BK7" i="3"/>
  <c r="BK49" i="3"/>
  <c r="BK34" i="3"/>
  <c r="BK10" i="3"/>
  <c r="BK54" i="3"/>
  <c r="BK39" i="3"/>
  <c r="BK19" i="3"/>
  <c r="BK62" i="3"/>
  <c r="BK48" i="3"/>
  <c r="BK33" i="3"/>
  <c r="BK17" i="3"/>
  <c r="BK52" i="3"/>
  <c r="BK36" i="3"/>
  <c r="BK29" i="3"/>
  <c r="BK65" i="3"/>
  <c r="BK51" i="3"/>
  <c r="BK24" i="3"/>
  <c r="BK9" i="3"/>
  <c r="BK66" i="3"/>
  <c r="BK45" i="3"/>
  <c r="BK37" i="3"/>
  <c r="BK57" i="3"/>
  <c r="BK68" i="3"/>
  <c r="BK42" i="3"/>
  <c r="BK21" i="3"/>
  <c r="BK12" i="3"/>
  <c r="BK53" i="3"/>
  <c r="BK38" i="3"/>
  <c r="BK14" i="3"/>
  <c r="BK60" i="3"/>
  <c r="BK46" i="3"/>
  <c r="BK30" i="3"/>
  <c r="BK15" i="3"/>
  <c r="BK69" i="3"/>
  <c r="BK47" i="3"/>
  <c r="BK27" i="3"/>
  <c r="BK16" i="3"/>
  <c r="BK58" i="3"/>
  <c r="BK40" i="3"/>
  <c r="BK20" i="3"/>
  <c r="BK6" i="3"/>
  <c r="BK70" i="3"/>
  <c r="BK43" i="3"/>
  <c r="BK28" i="3"/>
  <c r="BK13" i="3"/>
  <c r="BK75" i="3"/>
  <c r="BK79" i="3"/>
  <c r="BK83" i="3"/>
  <c r="BK97" i="3"/>
  <c r="BK72" i="3"/>
  <c r="BK76" i="3"/>
  <c r="BK80" i="3"/>
  <c r="BK84" i="3"/>
  <c r="BK86" i="3"/>
  <c r="BK92" i="3"/>
  <c r="BK94" i="3"/>
  <c r="BK73" i="3"/>
  <c r="BK77" i="3"/>
  <c r="BK81" i="3"/>
  <c r="BK87" i="3"/>
  <c r="BK89" i="3"/>
  <c r="BK93" i="3"/>
  <c r="BK95" i="3"/>
  <c r="BK74" i="3"/>
  <c r="BK78" i="3"/>
  <c r="BK82" i="3"/>
  <c r="BK90" i="3"/>
  <c r="BK96" i="3"/>
  <c r="BK103" i="3"/>
  <c r="BK117" i="3"/>
  <c r="BK119" i="3"/>
  <c r="BK127" i="3"/>
  <c r="BK98" i="3"/>
  <c r="BK102" i="3"/>
  <c r="BK106" i="3"/>
  <c r="BK108" i="3"/>
  <c r="BK118" i="3"/>
  <c r="BK122" i="3"/>
  <c r="BK101" i="3"/>
  <c r="BK105" i="3"/>
  <c r="BK107" i="3"/>
  <c r="BK109" i="3"/>
  <c r="BK113" i="3"/>
  <c r="BK121" i="3"/>
  <c r="BK123" i="3"/>
  <c r="BK125" i="3"/>
  <c r="BK104" i="3"/>
  <c r="BK110" i="3"/>
  <c r="BK114" i="3"/>
  <c r="BK116" i="3"/>
  <c r="BK120" i="3"/>
  <c r="BK124" i="3"/>
  <c r="BK126" i="3"/>
  <c r="BK128" i="3"/>
  <c r="BK129" i="3"/>
  <c r="BK133" i="3"/>
  <c r="BK137" i="3"/>
  <c r="BK130" i="3"/>
  <c r="BK134" i="3"/>
  <c r="BK138" i="3"/>
  <c r="BK131" i="3"/>
  <c r="BK135" i="3"/>
  <c r="BK132" i="3"/>
  <c r="BK136" i="3"/>
  <c r="AJ63" i="3"/>
  <c r="AJ34" i="3"/>
  <c r="AJ24" i="3"/>
  <c r="AJ54" i="3"/>
  <c r="AJ39" i="3"/>
  <c r="AJ29" i="3"/>
  <c r="AJ10" i="3"/>
  <c r="AJ48" i="3"/>
  <c r="AJ37" i="3"/>
  <c r="AJ13" i="3"/>
  <c r="AJ62" i="3"/>
  <c r="AJ49" i="3"/>
  <c r="AJ26" i="3"/>
  <c r="AJ18" i="3"/>
  <c r="AJ53" i="3"/>
  <c r="AJ40" i="3"/>
  <c r="AJ16" i="3"/>
  <c r="AJ58" i="3"/>
  <c r="AJ41" i="3"/>
  <c r="AJ17" i="3"/>
  <c r="AJ65" i="3"/>
  <c r="AJ51" i="3"/>
  <c r="AJ32" i="3"/>
  <c r="AJ7" i="3"/>
  <c r="AJ59" i="3"/>
  <c r="AJ38" i="3"/>
  <c r="AJ28" i="3"/>
  <c r="AJ64" i="3"/>
  <c r="AJ42" i="3"/>
  <c r="AJ27" i="3"/>
  <c r="AJ11" i="3"/>
  <c r="AJ70" i="3"/>
  <c r="AJ52" i="3"/>
  <c r="AJ36" i="3"/>
  <c r="AJ12" i="3"/>
  <c r="AJ66" i="3"/>
  <c r="AJ46" i="3"/>
  <c r="AJ30" i="3"/>
  <c r="AJ19" i="3"/>
  <c r="AJ43" i="3"/>
  <c r="AJ33" i="3"/>
  <c r="AJ9" i="3"/>
  <c r="AJ55" i="3"/>
  <c r="AJ45" i="3"/>
  <c r="AJ20" i="3"/>
  <c r="AJ14" i="3"/>
  <c r="AJ68" i="3"/>
  <c r="AJ50" i="3"/>
  <c r="AJ21" i="3"/>
  <c r="AJ6" i="3"/>
  <c r="AJ60" i="3"/>
  <c r="AJ35" i="3"/>
  <c r="AJ25" i="3"/>
  <c r="AJ57" i="3"/>
  <c r="AJ69" i="3"/>
  <c r="AJ47" i="3"/>
  <c r="AJ31" i="3"/>
  <c r="AJ15" i="3"/>
  <c r="AJ74" i="3"/>
  <c r="AJ78" i="3"/>
  <c r="AJ82" i="3"/>
  <c r="AJ90" i="3"/>
  <c r="AJ96" i="3"/>
  <c r="AJ75" i="3"/>
  <c r="AJ79" i="3"/>
  <c r="AJ83" i="3"/>
  <c r="AJ97" i="3"/>
  <c r="AJ98" i="3"/>
  <c r="AJ72" i="3"/>
  <c r="AJ76" i="3"/>
  <c r="AJ80" i="3"/>
  <c r="AJ84" i="3"/>
  <c r="AJ86" i="3"/>
  <c r="AJ92" i="3"/>
  <c r="AJ94" i="3"/>
  <c r="AJ73" i="3"/>
  <c r="AJ77" i="3"/>
  <c r="AJ81" i="3"/>
  <c r="AJ87" i="3"/>
  <c r="AJ89" i="3"/>
  <c r="AJ93" i="3"/>
  <c r="AJ95" i="3"/>
  <c r="AJ104" i="3"/>
  <c r="AJ110" i="3"/>
  <c r="AJ114" i="3"/>
  <c r="AJ116" i="3"/>
  <c r="AJ120" i="3"/>
  <c r="AJ124" i="3"/>
  <c r="AJ126" i="3"/>
  <c r="AJ128" i="3"/>
  <c r="AJ103" i="3"/>
  <c r="AJ117" i="3"/>
  <c r="AJ119" i="3"/>
  <c r="AJ127" i="3"/>
  <c r="AJ129" i="3"/>
  <c r="AJ102" i="3"/>
  <c r="AJ106" i="3"/>
  <c r="AJ108" i="3"/>
  <c r="AJ118" i="3"/>
  <c r="AJ122" i="3"/>
  <c r="AJ101" i="3"/>
  <c r="AJ105" i="3"/>
  <c r="AJ107" i="3"/>
  <c r="AJ109" i="3"/>
  <c r="AJ113" i="3"/>
  <c r="AJ121" i="3"/>
  <c r="AJ123" i="3"/>
  <c r="AJ125" i="3"/>
  <c r="AJ132" i="3"/>
  <c r="AJ136" i="3"/>
  <c r="AJ133" i="3"/>
  <c r="AJ137" i="3"/>
  <c r="AJ130" i="3"/>
  <c r="AJ134" i="3"/>
  <c r="AJ138" i="3"/>
  <c r="AJ131" i="3"/>
  <c r="AJ135" i="3"/>
  <c r="I47" i="3"/>
  <c r="I39" i="3"/>
  <c r="I7" i="3"/>
  <c r="I58" i="3"/>
  <c r="I33" i="3"/>
  <c r="I19" i="3"/>
  <c r="I64" i="3"/>
  <c r="I50" i="3"/>
  <c r="I30" i="3"/>
  <c r="I11" i="3"/>
  <c r="I53" i="3"/>
  <c r="I41" i="3"/>
  <c r="I27" i="3"/>
  <c r="I63" i="3"/>
  <c r="I49" i="3"/>
  <c r="I20" i="3"/>
  <c r="I18" i="3"/>
  <c r="I69" i="3"/>
  <c r="I52" i="3"/>
  <c r="I35" i="3"/>
  <c r="I15" i="3"/>
  <c r="I65" i="3"/>
  <c r="I48" i="3"/>
  <c r="I25" i="3"/>
  <c r="I10" i="3"/>
  <c r="I51" i="3"/>
  <c r="I36" i="3"/>
  <c r="I12" i="3"/>
  <c r="I54" i="3"/>
  <c r="I42" i="3"/>
  <c r="I24" i="3"/>
  <c r="I17" i="3"/>
  <c r="I70" i="3"/>
  <c r="I45" i="3"/>
  <c r="I29" i="3"/>
  <c r="I14" i="3"/>
  <c r="I59" i="3"/>
  <c r="I34" i="3"/>
  <c r="I31" i="3"/>
  <c r="I9" i="3"/>
  <c r="I68" i="3"/>
  <c r="I46" i="3"/>
  <c r="I26" i="3"/>
  <c r="I6" i="3"/>
  <c r="I66" i="3"/>
  <c r="I37" i="3"/>
  <c r="I21" i="3"/>
  <c r="I62" i="3"/>
  <c r="I38" i="3"/>
  <c r="I32" i="3"/>
  <c r="I13" i="3"/>
  <c r="I55" i="3"/>
  <c r="I40" i="3"/>
  <c r="I16" i="3"/>
  <c r="I60" i="3"/>
  <c r="I43" i="3"/>
  <c r="I28" i="3"/>
  <c r="I57" i="3"/>
  <c r="I73" i="3"/>
  <c r="I77" i="3"/>
  <c r="I81" i="3"/>
  <c r="I87" i="3"/>
  <c r="I89" i="3"/>
  <c r="I93" i="3"/>
  <c r="I95" i="3"/>
  <c r="I74" i="3"/>
  <c r="I78" i="3"/>
  <c r="I82" i="3"/>
  <c r="I90" i="3"/>
  <c r="I96" i="3"/>
  <c r="I75" i="3"/>
  <c r="I79" i="3"/>
  <c r="I83" i="3"/>
  <c r="I97" i="3"/>
  <c r="I72" i="3"/>
  <c r="I76" i="3"/>
  <c r="I80" i="3"/>
  <c r="I84" i="3"/>
  <c r="I86" i="3"/>
  <c r="I92" i="3"/>
  <c r="I94" i="3"/>
  <c r="I98" i="3"/>
  <c r="I101" i="3"/>
  <c r="I105" i="3"/>
  <c r="I107" i="3"/>
  <c r="I109" i="3"/>
  <c r="I113" i="3"/>
  <c r="I121" i="3"/>
  <c r="I123" i="3"/>
  <c r="I125" i="3"/>
  <c r="I104" i="3"/>
  <c r="I110" i="3"/>
  <c r="I114" i="3"/>
  <c r="I116" i="3"/>
  <c r="I120" i="3"/>
  <c r="I124" i="3"/>
  <c r="I126" i="3"/>
  <c r="I128" i="3"/>
  <c r="I103" i="3"/>
  <c r="I117" i="3"/>
  <c r="I119" i="3"/>
  <c r="I127" i="3"/>
  <c r="I129" i="3"/>
  <c r="I102" i="3"/>
  <c r="I106" i="3"/>
  <c r="I108" i="3"/>
  <c r="I118" i="3"/>
  <c r="I122" i="3"/>
  <c r="I131" i="3"/>
  <c r="I135" i="3"/>
  <c r="I132" i="3"/>
  <c r="I136" i="3"/>
  <c r="I133" i="3"/>
  <c r="I137" i="3"/>
  <c r="I130" i="3"/>
  <c r="I134" i="3"/>
  <c r="I138" i="3"/>
  <c r="Z69" i="3"/>
  <c r="Z51" i="3"/>
  <c r="Z28" i="3"/>
  <c r="Z13" i="3"/>
  <c r="Z66" i="3"/>
  <c r="Z45" i="3"/>
  <c r="Z29" i="3"/>
  <c r="Z10" i="3"/>
  <c r="Z60" i="3"/>
  <c r="Z42" i="3"/>
  <c r="Z31" i="3"/>
  <c r="Z16" i="3"/>
  <c r="Z68" i="3"/>
  <c r="Z46" i="3"/>
  <c r="Z38" i="3"/>
  <c r="Z18" i="3"/>
  <c r="Z59" i="3"/>
  <c r="Z37" i="3"/>
  <c r="Z21" i="3"/>
  <c r="Z7" i="3"/>
  <c r="Z64" i="3"/>
  <c r="Z47" i="3"/>
  <c r="Z24" i="3"/>
  <c r="Z9" i="3"/>
  <c r="Z58" i="3"/>
  <c r="Z40" i="3"/>
  <c r="Z26" i="3"/>
  <c r="Z70" i="3"/>
  <c r="Z43" i="3"/>
  <c r="Z19" i="3"/>
  <c r="Z17" i="3"/>
  <c r="Z54" i="3"/>
  <c r="Z32" i="3"/>
  <c r="Z15" i="3"/>
  <c r="Z53" i="3"/>
  <c r="Z33" i="3"/>
  <c r="Z30" i="3"/>
  <c r="Z50" i="3"/>
  <c r="Z35" i="3"/>
  <c r="Z6" i="3"/>
  <c r="Z65" i="3"/>
  <c r="Z41" i="3"/>
  <c r="Z27" i="3"/>
  <c r="Z12" i="3"/>
  <c r="Z63" i="3"/>
  <c r="Z49" i="3"/>
  <c r="Z34" i="3"/>
  <c r="Z14" i="3"/>
  <c r="Z52" i="3"/>
  <c r="Z39" i="3"/>
  <c r="Z11" i="3"/>
  <c r="Z62" i="3"/>
  <c r="Z48" i="3"/>
  <c r="Z25" i="3"/>
  <c r="Z57" i="3"/>
  <c r="Z55" i="3"/>
  <c r="Z36" i="3"/>
  <c r="Z20" i="3"/>
  <c r="Z72" i="3"/>
  <c r="Z76" i="3"/>
  <c r="Z80" i="3"/>
  <c r="Z84" i="3"/>
  <c r="Z86" i="3"/>
  <c r="Z92" i="3"/>
  <c r="Z94" i="3"/>
  <c r="Z98" i="3"/>
  <c r="Z73" i="3"/>
  <c r="Z77" i="3"/>
  <c r="Z81" i="3"/>
  <c r="Z87" i="3"/>
  <c r="Z89" i="3"/>
  <c r="Z93" i="3"/>
  <c r="Z95" i="3"/>
  <c r="Z74" i="3"/>
  <c r="Z78" i="3"/>
  <c r="Z82" i="3"/>
  <c r="Z90" i="3"/>
  <c r="Z96" i="3"/>
  <c r="Z75" i="3"/>
  <c r="Z79" i="3"/>
  <c r="Z83" i="3"/>
  <c r="Z97" i="3"/>
  <c r="Z102" i="3"/>
  <c r="Z106" i="3"/>
  <c r="Z108" i="3"/>
  <c r="Z118" i="3"/>
  <c r="Z122" i="3"/>
  <c r="Z101" i="3"/>
  <c r="Z105" i="3"/>
  <c r="Z107" i="3"/>
  <c r="Z109" i="3"/>
  <c r="Z113" i="3"/>
  <c r="Z121" i="3"/>
  <c r="Z123" i="3"/>
  <c r="Z125" i="3"/>
  <c r="Z104" i="3"/>
  <c r="Z110" i="3"/>
  <c r="Z114" i="3"/>
  <c r="Z116" i="3"/>
  <c r="Z120" i="3"/>
  <c r="Z124" i="3"/>
  <c r="Z126" i="3"/>
  <c r="Z128" i="3"/>
  <c r="Z103" i="3"/>
  <c r="Z117" i="3"/>
  <c r="Z119" i="3"/>
  <c r="Z127" i="3"/>
  <c r="Z129" i="3"/>
  <c r="Z130" i="3"/>
  <c r="Z134" i="3"/>
  <c r="Z138" i="3"/>
  <c r="Z131" i="3"/>
  <c r="Z135" i="3"/>
  <c r="Z132" i="3"/>
  <c r="Z136" i="3"/>
  <c r="Z133" i="3"/>
  <c r="Z137" i="3"/>
  <c r="AC60" i="3"/>
  <c r="AC34" i="3"/>
  <c r="AC31" i="3"/>
  <c r="AC9" i="3"/>
  <c r="AC65" i="3"/>
  <c r="AC48" i="3"/>
  <c r="AC32" i="3"/>
  <c r="AC57" i="3"/>
  <c r="AC53" i="3"/>
  <c r="AC37" i="3"/>
  <c r="AC21" i="3"/>
  <c r="AC62" i="3"/>
  <c r="AC49" i="3"/>
  <c r="AC29" i="3"/>
  <c r="AC14" i="3"/>
  <c r="AC55" i="3"/>
  <c r="AC40" i="3"/>
  <c r="AC12" i="3"/>
  <c r="AC59" i="3"/>
  <c r="AC41" i="3"/>
  <c r="AC27" i="3"/>
  <c r="AC47" i="3"/>
  <c r="AC39" i="3"/>
  <c r="AC15" i="3"/>
  <c r="AC70" i="3"/>
  <c r="AC38" i="3"/>
  <c r="AC24" i="3"/>
  <c r="AC13" i="3"/>
  <c r="AC64" i="3"/>
  <c r="AC50" i="3"/>
  <c r="AC30" i="3"/>
  <c r="AC6" i="3"/>
  <c r="AC51" i="3"/>
  <c r="AC36" i="3"/>
  <c r="AC7" i="3"/>
  <c r="AC63" i="3"/>
  <c r="AC52" i="3"/>
  <c r="AC20" i="3"/>
  <c r="AC18" i="3"/>
  <c r="AC58" i="3"/>
  <c r="AC33" i="3"/>
  <c r="AC16" i="3"/>
  <c r="AC66" i="3"/>
  <c r="AC45" i="3"/>
  <c r="AC25" i="3"/>
  <c r="AC10" i="3"/>
  <c r="AC68" i="3"/>
  <c r="AC46" i="3"/>
  <c r="AC26" i="3"/>
  <c r="AC19" i="3"/>
  <c r="AC54" i="3"/>
  <c r="AC43" i="3"/>
  <c r="AC28" i="3"/>
  <c r="AC17" i="3"/>
  <c r="AC69" i="3"/>
  <c r="AC42" i="3"/>
  <c r="AC35" i="3"/>
  <c r="AC11" i="3"/>
  <c r="AC73" i="3"/>
  <c r="AC77" i="3"/>
  <c r="AC81" i="3"/>
  <c r="AC87" i="3"/>
  <c r="AC89" i="3"/>
  <c r="AC93" i="3"/>
  <c r="AC95" i="3"/>
  <c r="AC74" i="3"/>
  <c r="AC78" i="3"/>
  <c r="AC82" i="3"/>
  <c r="AC90" i="3"/>
  <c r="AC96" i="3"/>
  <c r="AC75" i="3"/>
  <c r="AC79" i="3"/>
  <c r="AC83" i="3"/>
  <c r="AC97" i="3"/>
  <c r="AC72" i="3"/>
  <c r="AC76" i="3"/>
  <c r="AC80" i="3"/>
  <c r="AC84" i="3"/>
  <c r="AC86" i="3"/>
  <c r="AC92" i="3"/>
  <c r="AC94" i="3"/>
  <c r="AC98" i="3"/>
  <c r="AC101" i="3"/>
  <c r="AC105" i="3"/>
  <c r="AC107" i="3"/>
  <c r="AC109" i="3"/>
  <c r="AC113" i="3"/>
  <c r="AC121" i="3"/>
  <c r="AC123" i="3"/>
  <c r="AC125" i="3"/>
  <c r="AC104" i="3"/>
  <c r="AC110" i="3"/>
  <c r="AC114" i="3"/>
  <c r="AC116" i="3"/>
  <c r="AC120" i="3"/>
  <c r="AC124" i="3"/>
  <c r="AC126" i="3"/>
  <c r="AC128" i="3"/>
  <c r="AC103" i="3"/>
  <c r="AC117" i="3"/>
  <c r="AC119" i="3"/>
  <c r="AC127" i="3"/>
  <c r="AC129" i="3"/>
  <c r="AC102" i="3"/>
  <c r="AC106" i="3"/>
  <c r="AC108" i="3"/>
  <c r="AC118" i="3"/>
  <c r="AC122" i="3"/>
  <c r="AC131" i="3"/>
  <c r="AC135" i="3"/>
  <c r="AC132" i="3"/>
  <c r="AC136" i="3"/>
  <c r="AC133" i="3"/>
  <c r="AC137" i="3"/>
  <c r="AC130" i="3"/>
  <c r="AC134" i="3"/>
  <c r="AC138" i="3"/>
  <c r="AD63" i="3"/>
  <c r="AD49" i="3"/>
  <c r="AD34" i="3"/>
  <c r="AD14" i="3"/>
  <c r="AD50" i="3"/>
  <c r="AD39" i="3"/>
  <c r="AD11" i="3"/>
  <c r="AD62" i="3"/>
  <c r="AD48" i="3"/>
  <c r="AD25" i="3"/>
  <c r="AD57" i="3"/>
  <c r="AD55" i="3"/>
  <c r="AD36" i="3"/>
  <c r="AD20" i="3"/>
  <c r="AD65" i="3"/>
  <c r="AD51" i="3"/>
  <c r="AD28" i="3"/>
  <c r="AD13" i="3"/>
  <c r="AD66" i="3"/>
  <c r="AD45" i="3"/>
  <c r="AD29" i="3"/>
  <c r="AD10" i="3"/>
  <c r="AD60" i="3"/>
  <c r="AD42" i="3"/>
  <c r="AD31" i="3"/>
  <c r="AD16" i="3"/>
  <c r="AD68" i="3"/>
  <c r="AD52" i="3"/>
  <c r="AD38" i="3"/>
  <c r="AD18" i="3"/>
  <c r="AD53" i="3"/>
  <c r="AD37" i="3"/>
  <c r="AD21" i="3"/>
  <c r="AD7" i="3"/>
  <c r="AD64" i="3"/>
  <c r="AD47" i="3"/>
  <c r="AD24" i="3"/>
  <c r="AD9" i="3"/>
  <c r="AD58" i="3"/>
  <c r="AD40" i="3"/>
  <c r="AD26" i="3"/>
  <c r="AD70" i="3"/>
  <c r="AD43" i="3"/>
  <c r="AD19" i="3"/>
  <c r="AD17" i="3"/>
  <c r="AD54" i="3"/>
  <c r="AD32" i="3"/>
  <c r="AD15" i="3"/>
  <c r="AD69" i="3"/>
  <c r="AD33" i="3"/>
  <c r="AD30" i="3"/>
  <c r="AD46" i="3"/>
  <c r="AD35" i="3"/>
  <c r="AD6" i="3"/>
  <c r="AD59" i="3"/>
  <c r="AD41" i="3"/>
  <c r="AD27" i="3"/>
  <c r="AD12" i="3"/>
  <c r="AD72" i="3"/>
  <c r="AD76" i="3"/>
  <c r="AD80" i="3"/>
  <c r="AD84" i="3"/>
  <c r="AD86" i="3"/>
  <c r="AD92" i="3"/>
  <c r="AD94" i="3"/>
  <c r="AD98" i="3"/>
  <c r="AD73" i="3"/>
  <c r="AD77" i="3"/>
  <c r="AD81" i="3"/>
  <c r="AD87" i="3"/>
  <c r="AD89" i="3"/>
  <c r="AD93" i="3"/>
  <c r="AD95" i="3"/>
  <c r="AD74" i="3"/>
  <c r="AD78" i="3"/>
  <c r="AD82" i="3"/>
  <c r="AD90" i="3"/>
  <c r="AD96" i="3"/>
  <c r="AD75" i="3"/>
  <c r="AD79" i="3"/>
  <c r="AD83" i="3"/>
  <c r="AD97" i="3"/>
  <c r="AD102" i="3"/>
  <c r="AD106" i="3"/>
  <c r="AD108" i="3"/>
  <c r="AD118" i="3"/>
  <c r="AD122" i="3"/>
  <c r="AD101" i="3"/>
  <c r="AD105" i="3"/>
  <c r="AD107" i="3"/>
  <c r="AD109" i="3"/>
  <c r="AD113" i="3"/>
  <c r="AD121" i="3"/>
  <c r="AD123" i="3"/>
  <c r="AD125" i="3"/>
  <c r="AD104" i="3"/>
  <c r="AD110" i="3"/>
  <c r="AD114" i="3"/>
  <c r="AD116" i="3"/>
  <c r="AD120" i="3"/>
  <c r="AD124" i="3"/>
  <c r="AD126" i="3"/>
  <c r="AD128" i="3"/>
  <c r="AD103" i="3"/>
  <c r="AD117" i="3"/>
  <c r="AD119" i="3"/>
  <c r="AD127" i="3"/>
  <c r="AD129" i="3"/>
  <c r="AD130" i="3"/>
  <c r="AD134" i="3"/>
  <c r="AD138" i="3"/>
  <c r="AD131" i="3"/>
  <c r="AD135" i="3"/>
  <c r="AD132" i="3"/>
  <c r="AD136" i="3"/>
  <c r="AD133" i="3"/>
  <c r="AD137" i="3"/>
  <c r="S69" i="3"/>
  <c r="S51" i="3"/>
  <c r="S24" i="3"/>
  <c r="S9" i="3"/>
  <c r="S66" i="3"/>
  <c r="S48" i="3"/>
  <c r="S37" i="3"/>
  <c r="S57" i="3"/>
  <c r="S62" i="3"/>
  <c r="S42" i="3"/>
  <c r="S27" i="3"/>
  <c r="S12" i="3"/>
  <c r="S49" i="3"/>
  <c r="S34" i="3"/>
  <c r="S14" i="3"/>
  <c r="S58" i="3"/>
  <c r="S46" i="3"/>
  <c r="S30" i="3"/>
  <c r="S15" i="3"/>
  <c r="S63" i="3"/>
  <c r="S47" i="3"/>
  <c r="S31" i="3"/>
  <c r="S16" i="3"/>
  <c r="S64" i="3"/>
  <c r="S36" i="3"/>
  <c r="S20" i="3"/>
  <c r="S6" i="3"/>
  <c r="S65" i="3"/>
  <c r="S53" i="3"/>
  <c r="S28" i="3"/>
  <c r="S13" i="3"/>
  <c r="S55" i="3"/>
  <c r="S39" i="3"/>
  <c r="S25" i="3"/>
  <c r="S52" i="3"/>
  <c r="S40" i="3"/>
  <c r="S26" i="3"/>
  <c r="S11" i="3"/>
  <c r="S59" i="3"/>
  <c r="S38" i="3"/>
  <c r="S18" i="3"/>
  <c r="S68" i="3"/>
  <c r="S50" i="3"/>
  <c r="S21" i="3"/>
  <c r="S7" i="3"/>
  <c r="S45" i="3"/>
  <c r="S41" i="3"/>
  <c r="S10" i="3"/>
  <c r="S54" i="3"/>
  <c r="S35" i="3"/>
  <c r="S19" i="3"/>
  <c r="S70" i="3"/>
  <c r="S43" i="3"/>
  <c r="S33" i="3"/>
  <c r="S17" i="3"/>
  <c r="S60" i="3"/>
  <c r="S32" i="3"/>
  <c r="S29" i="3"/>
  <c r="S75" i="3"/>
  <c r="S79" i="3"/>
  <c r="S83" i="3"/>
  <c r="S97" i="3"/>
  <c r="S72" i="3"/>
  <c r="S76" i="3"/>
  <c r="S80" i="3"/>
  <c r="S84" i="3"/>
  <c r="S86" i="3"/>
  <c r="S92" i="3"/>
  <c r="S94" i="3"/>
  <c r="S98" i="3"/>
  <c r="S73" i="3"/>
  <c r="S77" i="3"/>
  <c r="S81" i="3"/>
  <c r="S87" i="3"/>
  <c r="S89" i="3"/>
  <c r="S93" i="3"/>
  <c r="S95" i="3"/>
  <c r="S74" i="3"/>
  <c r="S78" i="3"/>
  <c r="S82" i="3"/>
  <c r="S90" i="3"/>
  <c r="S96" i="3"/>
  <c r="S103" i="3"/>
  <c r="S117" i="3"/>
  <c r="S119" i="3"/>
  <c r="S127" i="3"/>
  <c r="S129" i="3"/>
  <c r="S102" i="3"/>
  <c r="S106" i="3"/>
  <c r="S108" i="3"/>
  <c r="S118" i="3"/>
  <c r="S122" i="3"/>
  <c r="S101" i="3"/>
  <c r="S105" i="3"/>
  <c r="S107" i="3"/>
  <c r="S109" i="3"/>
  <c r="S113" i="3"/>
  <c r="S121" i="3"/>
  <c r="S123" i="3"/>
  <c r="S125" i="3"/>
  <c r="S104" i="3"/>
  <c r="S110" i="3"/>
  <c r="S114" i="3"/>
  <c r="S116" i="3"/>
  <c r="S120" i="3"/>
  <c r="S124" i="3"/>
  <c r="S126" i="3"/>
  <c r="S128" i="3"/>
  <c r="S133" i="3"/>
  <c r="S137" i="3"/>
  <c r="S130" i="3"/>
  <c r="S134" i="3"/>
  <c r="S138" i="3"/>
  <c r="S131" i="3"/>
  <c r="S135" i="3"/>
  <c r="S132" i="3"/>
  <c r="S136" i="3"/>
  <c r="AY68" i="3"/>
  <c r="AY46" i="3"/>
  <c r="AY30" i="3"/>
  <c r="AY15" i="3"/>
  <c r="AY69" i="3"/>
  <c r="AY47" i="3"/>
  <c r="AY24" i="3"/>
  <c r="AY16" i="3"/>
  <c r="AY52" i="3"/>
  <c r="AY36" i="3"/>
  <c r="AY20" i="3"/>
  <c r="AY6" i="3"/>
  <c r="AY70" i="3"/>
  <c r="AY53" i="3"/>
  <c r="AY31" i="3"/>
  <c r="AY13" i="3"/>
  <c r="AY55" i="3"/>
  <c r="AY39" i="3"/>
  <c r="AY25" i="3"/>
  <c r="AY58" i="3"/>
  <c r="AY40" i="3"/>
  <c r="AY26" i="3"/>
  <c r="AY11" i="3"/>
  <c r="AY59" i="3"/>
  <c r="AY38" i="3"/>
  <c r="AY18" i="3"/>
  <c r="AY60" i="3"/>
  <c r="AY50" i="3"/>
  <c r="AY21" i="3"/>
  <c r="AY7" i="3"/>
  <c r="AY45" i="3"/>
  <c r="AY41" i="3"/>
  <c r="AY10" i="3"/>
  <c r="AY54" i="3"/>
  <c r="AY35" i="3"/>
  <c r="AY19" i="3"/>
  <c r="AY62" i="3"/>
  <c r="AY43" i="3"/>
  <c r="AY33" i="3"/>
  <c r="AY17" i="3"/>
  <c r="AY64" i="3"/>
  <c r="AY32" i="3"/>
  <c r="AY29" i="3"/>
  <c r="AY65" i="3"/>
  <c r="AY51" i="3"/>
  <c r="AY28" i="3"/>
  <c r="AY9" i="3"/>
  <c r="AY66" i="3"/>
  <c r="AY48" i="3"/>
  <c r="AY37" i="3"/>
  <c r="AY57" i="3"/>
  <c r="AY63" i="3"/>
  <c r="AY42" i="3"/>
  <c r="AY27" i="3"/>
  <c r="AY12" i="3"/>
  <c r="AY49" i="3"/>
  <c r="AY34" i="3"/>
  <c r="AY14" i="3"/>
  <c r="AY75" i="3"/>
  <c r="AY79" i="3"/>
  <c r="AY83" i="3"/>
  <c r="AY97" i="3"/>
  <c r="AY72" i="3"/>
  <c r="AY76" i="3"/>
  <c r="AY80" i="3"/>
  <c r="AY84" i="3"/>
  <c r="AY86" i="3"/>
  <c r="AY92" i="3"/>
  <c r="AY94" i="3"/>
  <c r="AY73" i="3"/>
  <c r="AY77" i="3"/>
  <c r="AY81" i="3"/>
  <c r="AY87" i="3"/>
  <c r="AY89" i="3"/>
  <c r="AY93" i="3"/>
  <c r="AY95" i="3"/>
  <c r="AY74" i="3"/>
  <c r="AY78" i="3"/>
  <c r="AY82" i="3"/>
  <c r="AY90" i="3"/>
  <c r="AY96" i="3"/>
  <c r="AY103" i="3"/>
  <c r="AY117" i="3"/>
  <c r="AY119" i="3"/>
  <c r="AY127" i="3"/>
  <c r="AY98" i="3"/>
  <c r="AY102" i="3"/>
  <c r="AY106" i="3"/>
  <c r="AY108" i="3"/>
  <c r="AY118" i="3"/>
  <c r="AY122" i="3"/>
  <c r="AY101" i="3"/>
  <c r="AY105" i="3"/>
  <c r="AY107" i="3"/>
  <c r="AY109" i="3"/>
  <c r="AY113" i="3"/>
  <c r="AY121" i="3"/>
  <c r="AY123" i="3"/>
  <c r="AY125" i="3"/>
  <c r="AY104" i="3"/>
  <c r="AY110" i="3"/>
  <c r="AY114" i="3"/>
  <c r="AY116" i="3"/>
  <c r="AY120" i="3"/>
  <c r="AY124" i="3"/>
  <c r="AY126" i="3"/>
  <c r="AY128" i="3"/>
  <c r="AY129" i="3"/>
  <c r="AY133" i="3"/>
  <c r="AY137" i="3"/>
  <c r="AY130" i="3"/>
  <c r="AY134" i="3"/>
  <c r="AY138" i="3"/>
  <c r="AY131" i="3"/>
  <c r="AY135" i="3"/>
  <c r="AY132" i="3"/>
  <c r="AY136" i="3"/>
  <c r="X65" i="3"/>
  <c r="X42" i="3"/>
  <c r="X32" i="3"/>
  <c r="X12" i="3"/>
  <c r="X43" i="3"/>
  <c r="X33" i="3"/>
  <c r="X9" i="3"/>
  <c r="X64" i="3"/>
  <c r="X50" i="3"/>
  <c r="X27" i="3"/>
  <c r="X15" i="3"/>
  <c r="X58" i="3"/>
  <c r="X41" i="3"/>
  <c r="X17" i="3"/>
  <c r="X62" i="3"/>
  <c r="X53" i="3"/>
  <c r="X30" i="3"/>
  <c r="X6" i="3"/>
  <c r="X69" i="3"/>
  <c r="X52" i="3"/>
  <c r="X31" i="3"/>
  <c r="X7" i="3"/>
  <c r="X68" i="3"/>
  <c r="X45" i="3"/>
  <c r="X20" i="3"/>
  <c r="X14" i="3"/>
  <c r="X70" i="3"/>
  <c r="X47" i="3"/>
  <c r="X36" i="3"/>
  <c r="X16" i="3"/>
  <c r="X60" i="3"/>
  <c r="X35" i="3"/>
  <c r="X25" i="3"/>
  <c r="X57" i="3"/>
  <c r="X63" i="3"/>
  <c r="X49" i="3"/>
  <c r="X26" i="3"/>
  <c r="X18" i="3"/>
  <c r="X59" i="3"/>
  <c r="X34" i="3"/>
  <c r="X24" i="3"/>
  <c r="X66" i="3"/>
  <c r="X46" i="3"/>
  <c r="X21" i="3"/>
  <c r="X11" i="3"/>
  <c r="X48" i="3"/>
  <c r="X37" i="3"/>
  <c r="X13" i="3"/>
  <c r="X54" i="3"/>
  <c r="X38" i="3"/>
  <c r="X28" i="3"/>
  <c r="X51" i="3"/>
  <c r="X40" i="3"/>
  <c r="X19" i="3"/>
  <c r="X55" i="3"/>
  <c r="X39" i="3"/>
  <c r="X29" i="3"/>
  <c r="X10" i="3"/>
  <c r="X74" i="3"/>
  <c r="X78" i="3"/>
  <c r="X82" i="3"/>
  <c r="X90" i="3"/>
  <c r="X96" i="3"/>
  <c r="X75" i="3"/>
  <c r="X79" i="3"/>
  <c r="X83" i="3"/>
  <c r="X97" i="3"/>
  <c r="X72" i="3"/>
  <c r="X76" i="3"/>
  <c r="X80" i="3"/>
  <c r="X84" i="3"/>
  <c r="X86" i="3"/>
  <c r="X92" i="3"/>
  <c r="X94" i="3"/>
  <c r="X98" i="3"/>
  <c r="X73" i="3"/>
  <c r="X77" i="3"/>
  <c r="X81" i="3"/>
  <c r="X87" i="3"/>
  <c r="X89" i="3"/>
  <c r="X93" i="3"/>
  <c r="X95" i="3"/>
  <c r="X104" i="3"/>
  <c r="X110" i="3"/>
  <c r="X114" i="3"/>
  <c r="X116" i="3"/>
  <c r="X120" i="3"/>
  <c r="X124" i="3"/>
  <c r="X126" i="3"/>
  <c r="X128" i="3"/>
  <c r="X103" i="3"/>
  <c r="X117" i="3"/>
  <c r="X119" i="3"/>
  <c r="X127" i="3"/>
  <c r="X129" i="3"/>
  <c r="X102" i="3"/>
  <c r="X106" i="3"/>
  <c r="X108" i="3"/>
  <c r="X118" i="3"/>
  <c r="X122" i="3"/>
  <c r="X101" i="3"/>
  <c r="X105" i="3"/>
  <c r="X107" i="3"/>
  <c r="X109" i="3"/>
  <c r="X113" i="3"/>
  <c r="X121" i="3"/>
  <c r="X123" i="3"/>
  <c r="X125" i="3"/>
  <c r="X132" i="3"/>
  <c r="X136" i="3"/>
  <c r="X133" i="3"/>
  <c r="X137" i="3"/>
  <c r="X130" i="3"/>
  <c r="X134" i="3"/>
  <c r="X138" i="3"/>
  <c r="X131" i="3"/>
  <c r="X135" i="3"/>
  <c r="BD63" i="3"/>
  <c r="BD53" i="3"/>
  <c r="BD30" i="3"/>
  <c r="BD6" i="3"/>
  <c r="BD69" i="3"/>
  <c r="BD52" i="3"/>
  <c r="BD32" i="3"/>
  <c r="BD7" i="3"/>
  <c r="BD68" i="3"/>
  <c r="BD45" i="3"/>
  <c r="BD20" i="3"/>
  <c r="BD14" i="3"/>
  <c r="BD70" i="3"/>
  <c r="BD47" i="3"/>
  <c r="BD40" i="3"/>
  <c r="BD16" i="3"/>
  <c r="BD55" i="3"/>
  <c r="BD35" i="3"/>
  <c r="BD25" i="3"/>
  <c r="BD57" i="3"/>
  <c r="BD62" i="3"/>
  <c r="BD49" i="3"/>
  <c r="BD26" i="3"/>
  <c r="BD18" i="3"/>
  <c r="BD59" i="3"/>
  <c r="BD38" i="3"/>
  <c r="BD28" i="3"/>
  <c r="BD66" i="3"/>
  <c r="BD46" i="3"/>
  <c r="BD21" i="3"/>
  <c r="BD11" i="3"/>
  <c r="BD48" i="3"/>
  <c r="BD41" i="3"/>
  <c r="BD17" i="3"/>
  <c r="BD54" i="3"/>
  <c r="BD31" i="3"/>
  <c r="BD19" i="3"/>
  <c r="BD51" i="3"/>
  <c r="BD33" i="3"/>
  <c r="BD9" i="3"/>
  <c r="BD60" i="3"/>
  <c r="BD39" i="3"/>
  <c r="BD29" i="3"/>
  <c r="BD10" i="3"/>
  <c r="BD65" i="3"/>
  <c r="BD42" i="3"/>
  <c r="BD36" i="3"/>
  <c r="BD12" i="3"/>
  <c r="BD43" i="3"/>
  <c r="BD37" i="3"/>
  <c r="BD13" i="3"/>
  <c r="BD64" i="3"/>
  <c r="BD50" i="3"/>
  <c r="BD27" i="3"/>
  <c r="BD15" i="3"/>
  <c r="BD58" i="3"/>
  <c r="BD34" i="3"/>
  <c r="BD24" i="3"/>
  <c r="BD74" i="3"/>
  <c r="BD78" i="3"/>
  <c r="BD82" i="3"/>
  <c r="BD90" i="3"/>
  <c r="BD96" i="3"/>
  <c r="BD75" i="3"/>
  <c r="BD79" i="3"/>
  <c r="BD83" i="3"/>
  <c r="BD97" i="3"/>
  <c r="BD72" i="3"/>
  <c r="BD76" i="3"/>
  <c r="BD80" i="3"/>
  <c r="BD84" i="3"/>
  <c r="BD86" i="3"/>
  <c r="BD92" i="3"/>
  <c r="BD94" i="3"/>
  <c r="BD73" i="3"/>
  <c r="BD77" i="3"/>
  <c r="BD81" i="3"/>
  <c r="BD87" i="3"/>
  <c r="BD89" i="3"/>
  <c r="BD93" i="3"/>
  <c r="BD95" i="3"/>
  <c r="BD104" i="3"/>
  <c r="BD110" i="3"/>
  <c r="BD114" i="3"/>
  <c r="BD116" i="3"/>
  <c r="BD120" i="3"/>
  <c r="BD124" i="3"/>
  <c r="BD126" i="3"/>
  <c r="BD128" i="3"/>
  <c r="BD103" i="3"/>
  <c r="BD117" i="3"/>
  <c r="BD119" i="3"/>
  <c r="BD127" i="3"/>
  <c r="BD98" i="3"/>
  <c r="BD102" i="3"/>
  <c r="BD106" i="3"/>
  <c r="BD108" i="3"/>
  <c r="BD118" i="3"/>
  <c r="BD122" i="3"/>
  <c r="BD129" i="3"/>
  <c r="BD101" i="3"/>
  <c r="BD105" i="3"/>
  <c r="BD107" i="3"/>
  <c r="BD109" i="3"/>
  <c r="BD113" i="3"/>
  <c r="BD121" i="3"/>
  <c r="BD123" i="3"/>
  <c r="BD125" i="3"/>
  <c r="BD132" i="3"/>
  <c r="BD136" i="3"/>
  <c r="BD133" i="3"/>
  <c r="BD137" i="3"/>
  <c r="BD130" i="3"/>
  <c r="BD134" i="3"/>
  <c r="BD138" i="3"/>
  <c r="BD131" i="3"/>
  <c r="BD135" i="3"/>
  <c r="BE55" i="3"/>
  <c r="BE40" i="3"/>
  <c r="BE16" i="3"/>
  <c r="BE53" i="3"/>
  <c r="BE41" i="3"/>
  <c r="BE32" i="3"/>
  <c r="BE47" i="3"/>
  <c r="BE39" i="3"/>
  <c r="BE7" i="3"/>
  <c r="BE54" i="3"/>
  <c r="BE38" i="3"/>
  <c r="BE28" i="3"/>
  <c r="BE13" i="3"/>
  <c r="BE64" i="3"/>
  <c r="BE52" i="3"/>
  <c r="BE31" i="3"/>
  <c r="BE11" i="3"/>
  <c r="BE51" i="3"/>
  <c r="BE36" i="3"/>
  <c r="BE12" i="3"/>
  <c r="BE63" i="3"/>
  <c r="BE46" i="3"/>
  <c r="BE26" i="3"/>
  <c r="BE18" i="3"/>
  <c r="BE60" i="3"/>
  <c r="BE33" i="3"/>
  <c r="BE21" i="3"/>
  <c r="BE65" i="3"/>
  <c r="BE45" i="3"/>
  <c r="BE29" i="3"/>
  <c r="BE10" i="3"/>
  <c r="BE68" i="3"/>
  <c r="BE50" i="3"/>
  <c r="BE30" i="3"/>
  <c r="BE6" i="3"/>
  <c r="BE66" i="3"/>
  <c r="BE43" i="3"/>
  <c r="BE19" i="3"/>
  <c r="BE17" i="3"/>
  <c r="BE69" i="3"/>
  <c r="BE42" i="3"/>
  <c r="BE35" i="3"/>
  <c r="BE15" i="3"/>
  <c r="BE59" i="3"/>
  <c r="BE34" i="3"/>
  <c r="BE24" i="3"/>
  <c r="BE9" i="3"/>
  <c r="BE62" i="3"/>
  <c r="BE48" i="3"/>
  <c r="BE25" i="3"/>
  <c r="BE57" i="3"/>
  <c r="BE58" i="3"/>
  <c r="BE37" i="3"/>
  <c r="BE27" i="3"/>
  <c r="BE70" i="3"/>
  <c r="BE49" i="3"/>
  <c r="BE20" i="3"/>
  <c r="BE14" i="3"/>
  <c r="BE73" i="3"/>
  <c r="BE77" i="3"/>
  <c r="BE81" i="3"/>
  <c r="BE87" i="3"/>
  <c r="BE89" i="3"/>
  <c r="BE93" i="3"/>
  <c r="BE95" i="3"/>
  <c r="BE74" i="3"/>
  <c r="BE78" i="3"/>
  <c r="BE82" i="3"/>
  <c r="BE90" i="3"/>
  <c r="BE96" i="3"/>
  <c r="BE75" i="3"/>
  <c r="BE79" i="3"/>
  <c r="BE83" i="3"/>
  <c r="BE97" i="3"/>
  <c r="BE72" i="3"/>
  <c r="BE76" i="3"/>
  <c r="BE80" i="3"/>
  <c r="BE84" i="3"/>
  <c r="BE86" i="3"/>
  <c r="BE92" i="3"/>
  <c r="BE94" i="3"/>
  <c r="BE101" i="3"/>
  <c r="BE105" i="3"/>
  <c r="BE107" i="3"/>
  <c r="BE109" i="3"/>
  <c r="BE113" i="3"/>
  <c r="BE121" i="3"/>
  <c r="BE123" i="3"/>
  <c r="BE125" i="3"/>
  <c r="BE104" i="3"/>
  <c r="BE110" i="3"/>
  <c r="BE114" i="3"/>
  <c r="BE116" i="3"/>
  <c r="BE120" i="3"/>
  <c r="BE124" i="3"/>
  <c r="BE126" i="3"/>
  <c r="BE128" i="3"/>
  <c r="BE103" i="3"/>
  <c r="BE117" i="3"/>
  <c r="BE119" i="3"/>
  <c r="BE127" i="3"/>
  <c r="BE98" i="3"/>
  <c r="BE102" i="3"/>
  <c r="BE106" i="3"/>
  <c r="BE108" i="3"/>
  <c r="BE118" i="3"/>
  <c r="BE122" i="3"/>
  <c r="BE129" i="3"/>
  <c r="BE131" i="3"/>
  <c r="BE135" i="3"/>
  <c r="BE132" i="3"/>
  <c r="BE136" i="3"/>
  <c r="BE133" i="3"/>
  <c r="BE137" i="3"/>
  <c r="BE130" i="3"/>
  <c r="BE134" i="3"/>
  <c r="BE138" i="3"/>
  <c r="AK62" i="3"/>
  <c r="AK43" i="3"/>
  <c r="AK28" i="3"/>
  <c r="AK17" i="3"/>
  <c r="AK70" i="3"/>
  <c r="AK49" i="3"/>
  <c r="AK20" i="3"/>
  <c r="AK14" i="3"/>
  <c r="AK60" i="3"/>
  <c r="AK34" i="3"/>
  <c r="AK31" i="3"/>
  <c r="AK9" i="3"/>
  <c r="AK68" i="3"/>
  <c r="AK50" i="3"/>
  <c r="AK30" i="3"/>
  <c r="AK19" i="3"/>
  <c r="AK53" i="3"/>
  <c r="AK37" i="3"/>
  <c r="AK21" i="3"/>
  <c r="AK54" i="3"/>
  <c r="AK38" i="3"/>
  <c r="AK24" i="3"/>
  <c r="AK13" i="3"/>
  <c r="AK55" i="3"/>
  <c r="AK40" i="3"/>
  <c r="AK12" i="3"/>
  <c r="AK65" i="3"/>
  <c r="AK48" i="3"/>
  <c r="AK25" i="3"/>
  <c r="AK57" i="3"/>
  <c r="AK51" i="3"/>
  <c r="AK39" i="3"/>
  <c r="AK15" i="3"/>
  <c r="AK58" i="3"/>
  <c r="AK33" i="3"/>
  <c r="AK16" i="3"/>
  <c r="AK64" i="3"/>
  <c r="AK42" i="3"/>
  <c r="AK32" i="3"/>
  <c r="AK6" i="3"/>
  <c r="AK59" i="3"/>
  <c r="AK41" i="3"/>
  <c r="AK27" i="3"/>
  <c r="AK63" i="3"/>
  <c r="AK46" i="3"/>
  <c r="AK26" i="3"/>
  <c r="AK18" i="3"/>
  <c r="AK69" i="3"/>
  <c r="AK47" i="3"/>
  <c r="AK35" i="3"/>
  <c r="AK11" i="3"/>
  <c r="AK66" i="3"/>
  <c r="AK45" i="3"/>
  <c r="AK29" i="3"/>
  <c r="AK10" i="3"/>
  <c r="AK52" i="3"/>
  <c r="AK36" i="3"/>
  <c r="AK7" i="3"/>
  <c r="AK73" i="3"/>
  <c r="AK77" i="3"/>
  <c r="AK81" i="3"/>
  <c r="AK87" i="3"/>
  <c r="AK89" i="3"/>
  <c r="AK93" i="3"/>
  <c r="AK95" i="3"/>
  <c r="AK74" i="3"/>
  <c r="AK78" i="3"/>
  <c r="AK82" i="3"/>
  <c r="AK90" i="3"/>
  <c r="AK96" i="3"/>
  <c r="AK75" i="3"/>
  <c r="AK79" i="3"/>
  <c r="AK83" i="3"/>
  <c r="AK97" i="3"/>
  <c r="AK98" i="3"/>
  <c r="AK72" i="3"/>
  <c r="AK76" i="3"/>
  <c r="AK80" i="3"/>
  <c r="AK84" i="3"/>
  <c r="AK86" i="3"/>
  <c r="AK92" i="3"/>
  <c r="AK94" i="3"/>
  <c r="AK101" i="3"/>
  <c r="AK105" i="3"/>
  <c r="AK107" i="3"/>
  <c r="AK109" i="3"/>
  <c r="AK113" i="3"/>
  <c r="AK121" i="3"/>
  <c r="AK123" i="3"/>
  <c r="AK125" i="3"/>
  <c r="AK104" i="3"/>
  <c r="AK110" i="3"/>
  <c r="AK114" i="3"/>
  <c r="AK116" i="3"/>
  <c r="AK120" i="3"/>
  <c r="AK124" i="3"/>
  <c r="AK126" i="3"/>
  <c r="AK128" i="3"/>
  <c r="AK103" i="3"/>
  <c r="AK117" i="3"/>
  <c r="AK119" i="3"/>
  <c r="AK127" i="3"/>
  <c r="AK129" i="3"/>
  <c r="AK102" i="3"/>
  <c r="AK106" i="3"/>
  <c r="AK108" i="3"/>
  <c r="AK118" i="3"/>
  <c r="AK122" i="3"/>
  <c r="AK131" i="3"/>
  <c r="AK135" i="3"/>
  <c r="AK132" i="3"/>
  <c r="AK136" i="3"/>
  <c r="AK133" i="3"/>
  <c r="AK137" i="3"/>
  <c r="AK130" i="3"/>
  <c r="AK134" i="3"/>
  <c r="AK138" i="3"/>
  <c r="AL59" i="3"/>
  <c r="AL37" i="3"/>
  <c r="AL21" i="3"/>
  <c r="AL7" i="3"/>
  <c r="AL65" i="3"/>
  <c r="AL47" i="3"/>
  <c r="AL24" i="3"/>
  <c r="AL9" i="3"/>
  <c r="AL58" i="3"/>
  <c r="AL40" i="3"/>
  <c r="AL26" i="3"/>
  <c r="AL70" i="3"/>
  <c r="AL52" i="3"/>
  <c r="AL19" i="3"/>
  <c r="AL17" i="3"/>
  <c r="AL54" i="3"/>
  <c r="AL32" i="3"/>
  <c r="AL15" i="3"/>
  <c r="AL53" i="3"/>
  <c r="AL33" i="3"/>
  <c r="AL30" i="3"/>
  <c r="AL46" i="3"/>
  <c r="AL35" i="3"/>
  <c r="AL6" i="3"/>
  <c r="AL60" i="3"/>
  <c r="AL41" i="3"/>
  <c r="AL27" i="3"/>
  <c r="AL12" i="3"/>
  <c r="AL63" i="3"/>
  <c r="AL45" i="3"/>
  <c r="AL34" i="3"/>
  <c r="AL14" i="3"/>
  <c r="AL50" i="3"/>
  <c r="AL39" i="3"/>
  <c r="AL11" i="3"/>
  <c r="AL62" i="3"/>
  <c r="AL43" i="3"/>
  <c r="AL25" i="3"/>
  <c r="AL57" i="3"/>
  <c r="AL55" i="3"/>
  <c r="AL36" i="3"/>
  <c r="AL20" i="3"/>
  <c r="AL69" i="3"/>
  <c r="AL51" i="3"/>
  <c r="AL28" i="3"/>
  <c r="AL13" i="3"/>
  <c r="AL66" i="3"/>
  <c r="AL48" i="3"/>
  <c r="AL29" i="3"/>
  <c r="AL10" i="3"/>
  <c r="AL64" i="3"/>
  <c r="AL42" i="3"/>
  <c r="AL31" i="3"/>
  <c r="AL16" i="3"/>
  <c r="AL68" i="3"/>
  <c r="AL49" i="3"/>
  <c r="AL38" i="3"/>
  <c r="AL18" i="3"/>
  <c r="AL72" i="3"/>
  <c r="AL76" i="3"/>
  <c r="AL80" i="3"/>
  <c r="AL84" i="3"/>
  <c r="AL86" i="3"/>
  <c r="AL92" i="3"/>
  <c r="AL94" i="3"/>
  <c r="AL73" i="3"/>
  <c r="AL77" i="3"/>
  <c r="AL81" i="3"/>
  <c r="AL87" i="3"/>
  <c r="AL89" i="3"/>
  <c r="AL93" i="3"/>
  <c r="AL95" i="3"/>
  <c r="AL74" i="3"/>
  <c r="AL78" i="3"/>
  <c r="AL82" i="3"/>
  <c r="AL90" i="3"/>
  <c r="AL96" i="3"/>
  <c r="AL75" i="3"/>
  <c r="AL79" i="3"/>
  <c r="AL83" i="3"/>
  <c r="AL97" i="3"/>
  <c r="AL98" i="3"/>
  <c r="AL102" i="3"/>
  <c r="AL106" i="3"/>
  <c r="AL108" i="3"/>
  <c r="AL118" i="3"/>
  <c r="AL122" i="3"/>
  <c r="AL101" i="3"/>
  <c r="AL105" i="3"/>
  <c r="AL107" i="3"/>
  <c r="AL109" i="3"/>
  <c r="AL113" i="3"/>
  <c r="AL121" i="3"/>
  <c r="AL123" i="3"/>
  <c r="AL125" i="3"/>
  <c r="AL104" i="3"/>
  <c r="AL110" i="3"/>
  <c r="AL114" i="3"/>
  <c r="AL116" i="3"/>
  <c r="AL120" i="3"/>
  <c r="AL124" i="3"/>
  <c r="AL126" i="3"/>
  <c r="AL128" i="3"/>
  <c r="AL103" i="3"/>
  <c r="AL117" i="3"/>
  <c r="AL119" i="3"/>
  <c r="AL127" i="3"/>
  <c r="AL129" i="3"/>
  <c r="AL130" i="3"/>
  <c r="AL134" i="3"/>
  <c r="AL138" i="3"/>
  <c r="AL131" i="3"/>
  <c r="AL135" i="3"/>
  <c r="AL132" i="3"/>
  <c r="AL136" i="3"/>
  <c r="AL133" i="3"/>
  <c r="AL137" i="3"/>
  <c r="W52" i="3"/>
  <c r="W36" i="3"/>
  <c r="W20" i="3"/>
  <c r="W6" i="3"/>
  <c r="W62" i="3"/>
  <c r="W50" i="3"/>
  <c r="W21" i="3"/>
  <c r="W7" i="3"/>
  <c r="W60" i="3"/>
  <c r="W39" i="3"/>
  <c r="W25" i="3"/>
  <c r="W68" i="3"/>
  <c r="W47" i="3"/>
  <c r="W31" i="3"/>
  <c r="W16" i="3"/>
  <c r="W59" i="3"/>
  <c r="W38" i="3"/>
  <c r="W18" i="3"/>
  <c r="W55" i="3"/>
  <c r="W32" i="3"/>
  <c r="W29" i="3"/>
  <c r="W49" i="3"/>
  <c r="W41" i="3"/>
  <c r="W10" i="3"/>
  <c r="W58" i="3"/>
  <c r="W40" i="3"/>
  <c r="W26" i="3"/>
  <c r="W11" i="3"/>
  <c r="W70" i="3"/>
  <c r="W48" i="3"/>
  <c r="W33" i="3"/>
  <c r="W17" i="3"/>
  <c r="W53" i="3"/>
  <c r="W34" i="3"/>
  <c r="W14" i="3"/>
  <c r="W69" i="3"/>
  <c r="W51" i="3"/>
  <c r="W24" i="3"/>
  <c r="W9" i="3"/>
  <c r="W54" i="3"/>
  <c r="W35" i="3"/>
  <c r="W19" i="3"/>
  <c r="W64" i="3"/>
  <c r="W42" i="3"/>
  <c r="W27" i="3"/>
  <c r="W12" i="3"/>
  <c r="W65" i="3"/>
  <c r="W43" i="3"/>
  <c r="W28" i="3"/>
  <c r="W13" i="3"/>
  <c r="W63" i="3"/>
  <c r="W46" i="3"/>
  <c r="W30" i="3"/>
  <c r="W15" i="3"/>
  <c r="W66" i="3"/>
  <c r="W45" i="3"/>
  <c r="W37" i="3"/>
  <c r="W57" i="3"/>
  <c r="W75" i="3"/>
  <c r="W79" i="3"/>
  <c r="W83" i="3"/>
  <c r="W97" i="3"/>
  <c r="W72" i="3"/>
  <c r="W76" i="3"/>
  <c r="W80" i="3"/>
  <c r="W84" i="3"/>
  <c r="W86" i="3"/>
  <c r="W92" i="3"/>
  <c r="W94" i="3"/>
  <c r="W98" i="3"/>
  <c r="W73" i="3"/>
  <c r="W77" i="3"/>
  <c r="W81" i="3"/>
  <c r="W87" i="3"/>
  <c r="W89" i="3"/>
  <c r="W93" i="3"/>
  <c r="W95" i="3"/>
  <c r="W74" i="3"/>
  <c r="W78" i="3"/>
  <c r="W82" i="3"/>
  <c r="W90" i="3"/>
  <c r="W96" i="3"/>
  <c r="W103" i="3"/>
  <c r="W117" i="3"/>
  <c r="W119" i="3"/>
  <c r="W127" i="3"/>
  <c r="W129" i="3"/>
  <c r="W102" i="3"/>
  <c r="W106" i="3"/>
  <c r="W108" i="3"/>
  <c r="W118" i="3"/>
  <c r="W122" i="3"/>
  <c r="W101" i="3"/>
  <c r="W105" i="3"/>
  <c r="W107" i="3"/>
  <c r="W109" i="3"/>
  <c r="W113" i="3"/>
  <c r="W121" i="3"/>
  <c r="W123" i="3"/>
  <c r="W125" i="3"/>
  <c r="W104" i="3"/>
  <c r="W110" i="3"/>
  <c r="W114" i="3"/>
  <c r="W116" i="3"/>
  <c r="W120" i="3"/>
  <c r="W124" i="3"/>
  <c r="W126" i="3"/>
  <c r="W128" i="3"/>
  <c r="W133" i="3"/>
  <c r="W137" i="3"/>
  <c r="W130" i="3"/>
  <c r="W134" i="3"/>
  <c r="W138" i="3"/>
  <c r="W131" i="3"/>
  <c r="W135" i="3"/>
  <c r="W132" i="3"/>
  <c r="W136" i="3"/>
  <c r="BC59" i="3"/>
  <c r="BC38" i="3"/>
  <c r="BC18" i="3"/>
  <c r="BC52" i="3"/>
  <c r="BC32" i="3"/>
  <c r="BC29" i="3"/>
  <c r="BC49" i="3"/>
  <c r="BC41" i="3"/>
  <c r="BC10" i="3"/>
  <c r="BC63" i="3"/>
  <c r="BC40" i="3"/>
  <c r="BC26" i="3"/>
  <c r="BC11" i="3"/>
  <c r="BC62" i="3"/>
  <c r="BC48" i="3"/>
  <c r="BC33" i="3"/>
  <c r="BC17" i="3"/>
  <c r="BC53" i="3"/>
  <c r="BC34" i="3"/>
  <c r="BC14" i="3"/>
  <c r="BC65" i="3"/>
  <c r="BC51" i="3"/>
  <c r="BC24" i="3"/>
  <c r="BC9" i="3"/>
  <c r="BC54" i="3"/>
  <c r="BC35" i="3"/>
  <c r="BC19" i="3"/>
  <c r="BC68" i="3"/>
  <c r="BC42" i="3"/>
  <c r="BC21" i="3"/>
  <c r="BC12" i="3"/>
  <c r="BC70" i="3"/>
  <c r="BC43" i="3"/>
  <c r="BC28" i="3"/>
  <c r="BC13" i="3"/>
  <c r="BC60" i="3"/>
  <c r="BC46" i="3"/>
  <c r="BC30" i="3"/>
  <c r="BC15" i="3"/>
  <c r="BC66" i="3"/>
  <c r="BC45" i="3"/>
  <c r="BC37" i="3"/>
  <c r="BC57" i="3"/>
  <c r="BC58" i="3"/>
  <c r="BC36" i="3"/>
  <c r="BC20" i="3"/>
  <c r="BC6" i="3"/>
  <c r="BC64" i="3"/>
  <c r="BC50" i="3"/>
  <c r="BC31" i="3"/>
  <c r="BC7" i="3"/>
  <c r="BC55" i="3"/>
  <c r="BC39" i="3"/>
  <c r="BC25" i="3"/>
  <c r="BC69" i="3"/>
  <c r="BC47" i="3"/>
  <c r="BC27" i="3"/>
  <c r="BC16" i="3"/>
  <c r="BC75" i="3"/>
  <c r="BC79" i="3"/>
  <c r="BC83" i="3"/>
  <c r="BC97" i="3"/>
  <c r="BC72" i="3"/>
  <c r="BC76" i="3"/>
  <c r="BC80" i="3"/>
  <c r="BC84" i="3"/>
  <c r="BC86" i="3"/>
  <c r="BC92" i="3"/>
  <c r="BC94" i="3"/>
  <c r="BC73" i="3"/>
  <c r="BC77" i="3"/>
  <c r="BC81" i="3"/>
  <c r="BC87" i="3"/>
  <c r="BC89" i="3"/>
  <c r="BC93" i="3"/>
  <c r="BC95" i="3"/>
  <c r="BC74" i="3"/>
  <c r="BC78" i="3"/>
  <c r="BC82" i="3"/>
  <c r="BC90" i="3"/>
  <c r="BC96" i="3"/>
  <c r="BC103" i="3"/>
  <c r="BC117" i="3"/>
  <c r="BC119" i="3"/>
  <c r="BC127" i="3"/>
  <c r="BC98" i="3"/>
  <c r="BC102" i="3"/>
  <c r="BC106" i="3"/>
  <c r="BC108" i="3"/>
  <c r="BC118" i="3"/>
  <c r="BC122" i="3"/>
  <c r="BC101" i="3"/>
  <c r="BC105" i="3"/>
  <c r="BC107" i="3"/>
  <c r="BC109" i="3"/>
  <c r="BC113" i="3"/>
  <c r="BC121" i="3"/>
  <c r="BC123" i="3"/>
  <c r="BC125" i="3"/>
  <c r="BC104" i="3"/>
  <c r="BC110" i="3"/>
  <c r="BC114" i="3"/>
  <c r="BC116" i="3"/>
  <c r="BC120" i="3"/>
  <c r="BC124" i="3"/>
  <c r="BC126" i="3"/>
  <c r="BC128" i="3"/>
  <c r="BC129" i="3"/>
  <c r="BC133" i="3"/>
  <c r="BC137" i="3"/>
  <c r="BC130" i="3"/>
  <c r="BC134" i="3"/>
  <c r="BC138" i="3"/>
  <c r="BC131" i="3"/>
  <c r="BC135" i="3"/>
  <c r="BC132" i="3"/>
  <c r="BC136" i="3"/>
  <c r="AB53" i="3"/>
  <c r="AB40" i="3"/>
  <c r="AB16" i="3"/>
  <c r="AB42" i="3"/>
  <c r="AB58" i="3"/>
  <c r="AB41" i="3"/>
  <c r="AB17" i="3"/>
  <c r="AB43" i="3"/>
  <c r="AB65" i="3"/>
  <c r="AB47" i="3"/>
  <c r="AB32" i="3"/>
  <c r="AB7" i="3"/>
  <c r="AB28" i="3"/>
  <c r="AB26" i="3"/>
  <c r="AB64" i="3"/>
  <c r="AB50" i="3"/>
  <c r="AB27" i="3"/>
  <c r="AB11" i="3"/>
  <c r="AB31" i="3"/>
  <c r="AB70" i="3"/>
  <c r="AB51" i="3"/>
  <c r="AB36" i="3"/>
  <c r="AB12" i="3"/>
  <c r="AB33" i="3"/>
  <c r="AB62" i="3"/>
  <c r="AB52" i="3"/>
  <c r="AB30" i="3"/>
  <c r="AB19" i="3"/>
  <c r="AB18" i="3"/>
  <c r="AB63" i="3"/>
  <c r="AB45" i="3"/>
  <c r="AB20" i="3"/>
  <c r="AB14" i="3"/>
  <c r="AB9" i="3"/>
  <c r="AB68" i="3"/>
  <c r="AB46" i="3"/>
  <c r="AB21" i="3"/>
  <c r="AB6" i="3"/>
  <c r="AB15" i="3"/>
  <c r="AB54" i="3"/>
  <c r="AB35" i="3"/>
  <c r="AB25" i="3"/>
  <c r="AB57" i="3"/>
  <c r="AB60" i="3"/>
  <c r="AB66" i="3"/>
  <c r="AB59" i="3"/>
  <c r="AB34" i="3"/>
  <c r="AB24" i="3"/>
  <c r="AB69" i="3"/>
  <c r="AB55" i="3"/>
  <c r="AB39" i="3"/>
  <c r="AB29" i="3"/>
  <c r="AB10" i="3"/>
  <c r="AB48" i="3"/>
  <c r="AB37" i="3"/>
  <c r="AB13" i="3"/>
  <c r="AB38" i="3"/>
  <c r="AB49" i="3"/>
  <c r="AB74" i="3"/>
  <c r="AB78" i="3"/>
  <c r="AB82" i="3"/>
  <c r="AB90" i="3"/>
  <c r="AB96" i="3"/>
  <c r="AB75" i="3"/>
  <c r="AB79" i="3"/>
  <c r="AB83" i="3"/>
  <c r="AB97" i="3"/>
  <c r="AB72" i="3"/>
  <c r="AB76" i="3"/>
  <c r="AB80" i="3"/>
  <c r="AB84" i="3"/>
  <c r="AB86" i="3"/>
  <c r="AB92" i="3"/>
  <c r="AB94" i="3"/>
  <c r="AB98" i="3"/>
  <c r="AB73" i="3"/>
  <c r="AB77" i="3"/>
  <c r="AB81" i="3"/>
  <c r="AB87" i="3"/>
  <c r="AB89" i="3"/>
  <c r="AB93" i="3"/>
  <c r="AB95" i="3"/>
  <c r="AB104" i="3"/>
  <c r="AB110" i="3"/>
  <c r="AB114" i="3"/>
  <c r="AB116" i="3"/>
  <c r="AB120" i="3"/>
  <c r="AB124" i="3"/>
  <c r="AB126" i="3"/>
  <c r="AB128" i="3"/>
  <c r="AB103" i="3"/>
  <c r="AB117" i="3"/>
  <c r="AB119" i="3"/>
  <c r="AB127" i="3"/>
  <c r="AB129" i="3"/>
  <c r="AB102" i="3"/>
  <c r="AB106" i="3"/>
  <c r="AB108" i="3"/>
  <c r="AB118" i="3"/>
  <c r="AB122" i="3"/>
  <c r="AB101" i="3"/>
  <c r="AB105" i="3"/>
  <c r="AB107" i="3"/>
  <c r="AB109" i="3"/>
  <c r="AB113" i="3"/>
  <c r="AB121" i="3"/>
  <c r="AB123" i="3"/>
  <c r="AB125" i="3"/>
  <c r="AB132" i="3"/>
  <c r="AB136" i="3"/>
  <c r="AB133" i="3"/>
  <c r="AB137" i="3"/>
  <c r="AB130" i="3"/>
  <c r="AB134" i="3"/>
  <c r="AB138" i="3"/>
  <c r="AB131" i="3"/>
  <c r="AB135" i="3"/>
  <c r="BH64" i="3"/>
  <c r="BH50" i="3"/>
  <c r="BH27" i="3"/>
  <c r="BH15" i="3"/>
  <c r="BH70" i="3"/>
  <c r="BH51" i="3"/>
  <c r="BH40" i="3"/>
  <c r="BH16" i="3"/>
  <c r="BH68" i="3"/>
  <c r="BH52" i="3"/>
  <c r="BH30" i="3"/>
  <c r="BH6" i="3"/>
  <c r="BH26" i="3"/>
  <c r="BH60" i="3"/>
  <c r="BH63" i="3"/>
  <c r="BH45" i="3"/>
  <c r="BH20" i="3"/>
  <c r="BH14" i="3"/>
  <c r="BH49" i="3"/>
  <c r="BH62" i="3"/>
  <c r="BH46" i="3"/>
  <c r="BH21" i="3"/>
  <c r="BH11" i="3"/>
  <c r="BH31" i="3"/>
  <c r="BH54" i="3"/>
  <c r="BH35" i="3"/>
  <c r="BH25" i="3"/>
  <c r="BH57" i="3"/>
  <c r="BH69" i="3"/>
  <c r="BH7" i="3"/>
  <c r="BH42" i="3"/>
  <c r="BH59" i="3"/>
  <c r="BH38" i="3"/>
  <c r="BH28" i="3"/>
  <c r="BH19" i="3"/>
  <c r="BH55" i="3"/>
  <c r="BH39" i="3"/>
  <c r="BH29" i="3"/>
  <c r="BH10" i="3"/>
  <c r="BH13" i="3"/>
  <c r="BH48" i="3"/>
  <c r="BH37" i="3"/>
  <c r="BH17" i="3"/>
  <c r="BH43" i="3"/>
  <c r="BH32" i="3"/>
  <c r="BH53" i="3"/>
  <c r="BH41" i="3"/>
  <c r="BH9" i="3"/>
  <c r="BH18" i="3"/>
  <c r="BH58" i="3"/>
  <c r="BH34" i="3"/>
  <c r="BH24" i="3"/>
  <c r="BH65" i="3"/>
  <c r="BH47" i="3"/>
  <c r="BH36" i="3"/>
  <c r="BH12" i="3"/>
  <c r="BH33" i="3"/>
  <c r="BH66" i="3"/>
  <c r="BH74" i="3"/>
  <c r="BH78" i="3"/>
  <c r="BH82" i="3"/>
  <c r="BH90" i="3"/>
  <c r="BH96" i="3"/>
  <c r="BH75" i="3"/>
  <c r="BH79" i="3"/>
  <c r="BH83" i="3"/>
  <c r="BH97" i="3"/>
  <c r="BH72" i="3"/>
  <c r="BH76" i="3"/>
  <c r="BH80" i="3"/>
  <c r="BH84" i="3"/>
  <c r="BH86" i="3"/>
  <c r="BH92" i="3"/>
  <c r="BH94" i="3"/>
  <c r="BH73" i="3"/>
  <c r="BH77" i="3"/>
  <c r="BH81" i="3"/>
  <c r="BH87" i="3"/>
  <c r="BH89" i="3"/>
  <c r="BH93" i="3"/>
  <c r="BH95" i="3"/>
  <c r="BH104" i="3"/>
  <c r="BH110" i="3"/>
  <c r="BH114" i="3"/>
  <c r="BH116" i="3"/>
  <c r="BH120" i="3"/>
  <c r="BH124" i="3"/>
  <c r="BH126" i="3"/>
  <c r="BH128" i="3"/>
  <c r="BH129" i="3"/>
  <c r="BH103" i="3"/>
  <c r="BH117" i="3"/>
  <c r="BH119" i="3"/>
  <c r="BH127" i="3"/>
  <c r="BH98" i="3"/>
  <c r="BH102" i="3"/>
  <c r="BH106" i="3"/>
  <c r="BH108" i="3"/>
  <c r="BH118" i="3"/>
  <c r="BH122" i="3"/>
  <c r="BH101" i="3"/>
  <c r="BH105" i="3"/>
  <c r="BH107" i="3"/>
  <c r="BH109" i="3"/>
  <c r="BH113" i="3"/>
  <c r="BH121" i="3"/>
  <c r="BH123" i="3"/>
  <c r="BH125" i="3"/>
  <c r="BH132" i="3"/>
  <c r="BH136" i="3"/>
  <c r="BH133" i="3"/>
  <c r="BH137" i="3"/>
  <c r="BH130" i="3"/>
  <c r="BH134" i="3"/>
  <c r="BH138" i="3"/>
  <c r="BH131" i="3"/>
  <c r="BH135" i="3"/>
  <c r="Q55" i="3"/>
  <c r="Q40" i="3"/>
  <c r="Q16" i="3"/>
  <c r="Q14" i="3"/>
  <c r="Q53" i="3"/>
  <c r="Q37" i="3"/>
  <c r="Q27" i="3"/>
  <c r="Q15" i="3"/>
  <c r="Q47" i="3"/>
  <c r="Q39" i="3"/>
  <c r="Q7" i="3"/>
  <c r="Q66" i="3"/>
  <c r="Q34" i="3"/>
  <c r="Q24" i="3"/>
  <c r="Q64" i="3"/>
  <c r="Q46" i="3"/>
  <c r="Q30" i="3"/>
  <c r="Q11" i="3"/>
  <c r="Q51" i="3"/>
  <c r="Q36" i="3"/>
  <c r="Q12" i="3"/>
  <c r="Q63" i="3"/>
  <c r="Q45" i="3"/>
  <c r="Q20" i="3"/>
  <c r="Q18" i="3"/>
  <c r="Q58" i="3"/>
  <c r="Q42" i="3"/>
  <c r="Q19" i="3"/>
  <c r="Q62" i="3"/>
  <c r="Q48" i="3"/>
  <c r="Q29" i="3"/>
  <c r="Q10" i="3"/>
  <c r="Q68" i="3"/>
  <c r="Q49" i="3"/>
  <c r="Q26" i="3"/>
  <c r="Q6" i="3"/>
  <c r="Q54" i="3"/>
  <c r="Q38" i="3"/>
  <c r="Q28" i="3"/>
  <c r="Q17" i="3"/>
  <c r="Q69" i="3"/>
  <c r="Q50" i="3"/>
  <c r="Q35" i="3"/>
  <c r="Q13" i="3"/>
  <c r="Q59" i="3"/>
  <c r="Q41" i="3"/>
  <c r="Q31" i="3"/>
  <c r="Q9" i="3"/>
  <c r="Q70" i="3"/>
  <c r="Q43" i="3"/>
  <c r="Q25" i="3"/>
  <c r="Q57" i="3"/>
  <c r="Q60" i="3"/>
  <c r="Q33" i="3"/>
  <c r="Q21" i="3"/>
  <c r="Q65" i="3"/>
  <c r="Q52" i="3"/>
  <c r="Q32" i="3"/>
  <c r="Q73" i="3"/>
  <c r="Q77" i="3"/>
  <c r="Q81" i="3"/>
  <c r="Q87" i="3"/>
  <c r="Q89" i="3"/>
  <c r="Q93" i="3"/>
  <c r="Q95" i="3"/>
  <c r="Q74" i="3"/>
  <c r="Q78" i="3"/>
  <c r="Q82" i="3"/>
  <c r="Q90" i="3"/>
  <c r="Q96" i="3"/>
  <c r="Q75" i="3"/>
  <c r="Q79" i="3"/>
  <c r="Q83" i="3"/>
  <c r="Q97" i="3"/>
  <c r="Q72" i="3"/>
  <c r="Q76" i="3"/>
  <c r="Q80" i="3"/>
  <c r="Q84" i="3"/>
  <c r="Q86" i="3"/>
  <c r="Q92" i="3"/>
  <c r="Q94" i="3"/>
  <c r="Q98" i="3"/>
  <c r="Q101" i="3"/>
  <c r="Q105" i="3"/>
  <c r="Q107" i="3"/>
  <c r="Q109" i="3"/>
  <c r="Q113" i="3"/>
  <c r="Q121" i="3"/>
  <c r="Q123" i="3"/>
  <c r="Q125" i="3"/>
  <c r="Q104" i="3"/>
  <c r="Q110" i="3"/>
  <c r="Q114" i="3"/>
  <c r="Q116" i="3"/>
  <c r="Q120" i="3"/>
  <c r="Q124" i="3"/>
  <c r="Q126" i="3"/>
  <c r="Q128" i="3"/>
  <c r="Q103" i="3"/>
  <c r="Q117" i="3"/>
  <c r="Q119" i="3"/>
  <c r="Q127" i="3"/>
  <c r="Q129" i="3"/>
  <c r="Q102" i="3"/>
  <c r="Q106" i="3"/>
  <c r="Q108" i="3"/>
  <c r="Q118" i="3"/>
  <c r="Q122" i="3"/>
  <c r="Q131" i="3"/>
  <c r="Q135" i="3"/>
  <c r="Q132" i="3"/>
  <c r="Q136" i="3"/>
  <c r="Q133" i="3"/>
  <c r="Q137" i="3"/>
  <c r="Q130" i="3"/>
  <c r="Q134" i="3"/>
  <c r="Q138" i="3"/>
  <c r="AP50" i="3"/>
  <c r="AP35" i="3"/>
  <c r="AP6" i="3"/>
  <c r="AP55" i="3"/>
  <c r="AP36" i="3"/>
  <c r="AP20" i="3"/>
  <c r="AP63" i="3"/>
  <c r="AP49" i="3"/>
  <c r="AP34" i="3"/>
  <c r="AP14" i="3"/>
  <c r="AP58" i="3"/>
  <c r="AP33" i="3"/>
  <c r="AP30" i="3"/>
  <c r="AP62" i="3"/>
  <c r="AP48" i="3"/>
  <c r="AP25" i="3"/>
  <c r="AP57" i="3"/>
  <c r="AP68" i="3"/>
  <c r="AP46" i="3"/>
  <c r="AP38" i="3"/>
  <c r="AP18" i="3"/>
  <c r="AP69" i="3"/>
  <c r="AP51" i="3"/>
  <c r="AP28" i="3"/>
  <c r="AP13" i="3"/>
  <c r="AP52" i="3"/>
  <c r="AP39" i="3"/>
  <c r="AP11" i="3"/>
  <c r="AP60" i="3"/>
  <c r="AP42" i="3"/>
  <c r="AP27" i="3"/>
  <c r="AP16" i="3"/>
  <c r="AP70" i="3"/>
  <c r="AP43" i="3"/>
  <c r="AP19" i="3"/>
  <c r="AP17" i="3"/>
  <c r="AP53" i="3"/>
  <c r="AP37" i="3"/>
  <c r="AP31" i="3"/>
  <c r="AP7" i="3"/>
  <c r="AP66" i="3"/>
  <c r="AP45" i="3"/>
  <c r="AP29" i="3"/>
  <c r="AP10" i="3"/>
  <c r="AP65" i="3"/>
  <c r="AP40" i="3"/>
  <c r="AP26" i="3"/>
  <c r="AP59" i="3"/>
  <c r="AP41" i="3"/>
  <c r="AP21" i="3"/>
  <c r="AP12" i="3"/>
  <c r="AP54" i="3"/>
  <c r="AP32" i="3"/>
  <c r="AP15" i="3"/>
  <c r="AP64" i="3"/>
  <c r="AP47" i="3"/>
  <c r="AP24" i="3"/>
  <c r="AP9" i="3"/>
  <c r="AP72" i="3"/>
  <c r="AP76" i="3"/>
  <c r="AP80" i="3"/>
  <c r="AP84" i="3"/>
  <c r="AP86" i="3"/>
  <c r="AP92" i="3"/>
  <c r="AP94" i="3"/>
  <c r="AP73" i="3"/>
  <c r="AP77" i="3"/>
  <c r="AP81" i="3"/>
  <c r="AP87" i="3"/>
  <c r="AP89" i="3"/>
  <c r="AP93" i="3"/>
  <c r="AP95" i="3"/>
  <c r="AP74" i="3"/>
  <c r="AP78" i="3"/>
  <c r="AP82" i="3"/>
  <c r="AP90" i="3"/>
  <c r="AP96" i="3"/>
  <c r="AP75" i="3"/>
  <c r="AP79" i="3"/>
  <c r="AP83" i="3"/>
  <c r="AP97" i="3"/>
  <c r="AP98" i="3"/>
  <c r="AP102" i="3"/>
  <c r="AP106" i="3"/>
  <c r="AP108" i="3"/>
  <c r="AP118" i="3"/>
  <c r="AP122" i="3"/>
  <c r="AP101" i="3"/>
  <c r="AP105" i="3"/>
  <c r="AP107" i="3"/>
  <c r="AP109" i="3"/>
  <c r="AP113" i="3"/>
  <c r="AP121" i="3"/>
  <c r="AP123" i="3"/>
  <c r="AP125" i="3"/>
  <c r="AP104" i="3"/>
  <c r="AP110" i="3"/>
  <c r="AP114" i="3"/>
  <c r="AP116" i="3"/>
  <c r="AP120" i="3"/>
  <c r="AP124" i="3"/>
  <c r="AP126" i="3"/>
  <c r="AP128" i="3"/>
  <c r="AP103" i="3"/>
  <c r="AP117" i="3"/>
  <c r="AP119" i="3"/>
  <c r="AP127" i="3"/>
  <c r="AP129" i="3"/>
  <c r="AP130" i="3"/>
  <c r="AP134" i="3"/>
  <c r="AP138" i="3"/>
  <c r="AP131" i="3"/>
  <c r="AP135" i="3"/>
  <c r="AP132" i="3"/>
  <c r="AP136" i="3"/>
  <c r="AP133" i="3"/>
  <c r="AP137" i="3"/>
  <c r="AS63" i="3"/>
  <c r="AS52" i="3"/>
  <c r="AS20" i="3"/>
  <c r="AS18" i="3"/>
  <c r="AS69" i="3"/>
  <c r="AS42" i="3"/>
  <c r="AS35" i="3"/>
  <c r="AS15" i="3"/>
  <c r="AS66" i="3"/>
  <c r="AS45" i="3"/>
  <c r="AS29" i="3"/>
  <c r="AS10" i="3"/>
  <c r="AS51" i="3"/>
  <c r="AS36" i="3"/>
  <c r="AS12" i="3"/>
  <c r="AS70" i="3"/>
  <c r="AS43" i="3"/>
  <c r="AS19" i="3"/>
  <c r="AS17" i="3"/>
  <c r="AS62" i="3"/>
  <c r="AS49" i="3"/>
  <c r="AS31" i="3"/>
  <c r="AS14" i="3"/>
  <c r="AS60" i="3"/>
  <c r="AS34" i="3"/>
  <c r="AS28" i="3"/>
  <c r="AS9" i="3"/>
  <c r="AS68" i="3"/>
  <c r="AS46" i="3"/>
  <c r="AS26" i="3"/>
  <c r="AS6" i="3"/>
  <c r="AS53" i="3"/>
  <c r="AS37" i="3"/>
  <c r="AS27" i="3"/>
  <c r="AS54" i="3"/>
  <c r="AS38" i="3"/>
  <c r="AS32" i="3"/>
  <c r="AS13" i="3"/>
  <c r="AS55" i="3"/>
  <c r="AS40" i="3"/>
  <c r="AS16" i="3"/>
  <c r="AS65" i="3"/>
  <c r="AS48" i="3"/>
  <c r="AS25" i="3"/>
  <c r="AS57" i="3"/>
  <c r="AS47" i="3"/>
  <c r="AS39" i="3"/>
  <c r="AS7" i="3"/>
  <c r="AS58" i="3"/>
  <c r="AS33" i="3"/>
  <c r="AS21" i="3"/>
  <c r="AS64" i="3"/>
  <c r="AS50" i="3"/>
  <c r="AS30" i="3"/>
  <c r="AS11" i="3"/>
  <c r="AS59" i="3"/>
  <c r="AS41" i="3"/>
  <c r="AS24" i="3"/>
  <c r="AS73" i="3"/>
  <c r="AS77" i="3"/>
  <c r="AS81" i="3"/>
  <c r="AS87" i="3"/>
  <c r="AS89" i="3"/>
  <c r="AS93" i="3"/>
  <c r="AS95" i="3"/>
  <c r="AS74" i="3"/>
  <c r="AS78" i="3"/>
  <c r="AS82" i="3"/>
  <c r="AS90" i="3"/>
  <c r="AS96" i="3"/>
  <c r="AS75" i="3"/>
  <c r="AS79" i="3"/>
  <c r="AS83" i="3"/>
  <c r="AS97" i="3"/>
  <c r="AS72" i="3"/>
  <c r="AS76" i="3"/>
  <c r="AS80" i="3"/>
  <c r="AS84" i="3"/>
  <c r="AS86" i="3"/>
  <c r="AS92" i="3"/>
  <c r="AS94" i="3"/>
  <c r="AS101" i="3"/>
  <c r="AS105" i="3"/>
  <c r="AS107" i="3"/>
  <c r="AS109" i="3"/>
  <c r="AS113" i="3"/>
  <c r="AS121" i="3"/>
  <c r="AS123" i="3"/>
  <c r="AS125" i="3"/>
  <c r="AS104" i="3"/>
  <c r="AS110" i="3"/>
  <c r="AS114" i="3"/>
  <c r="AS116" i="3"/>
  <c r="AS120" i="3"/>
  <c r="AS124" i="3"/>
  <c r="AS126" i="3"/>
  <c r="AS128" i="3"/>
  <c r="AS129" i="3"/>
  <c r="AS103" i="3"/>
  <c r="AS117" i="3"/>
  <c r="AS119" i="3"/>
  <c r="AS127" i="3"/>
  <c r="AS98" i="3"/>
  <c r="AS102" i="3"/>
  <c r="AS106" i="3"/>
  <c r="AS108" i="3"/>
  <c r="AS118" i="3"/>
  <c r="AS122" i="3"/>
  <c r="AS131" i="3"/>
  <c r="AS135" i="3"/>
  <c r="AS132" i="3"/>
  <c r="AS136" i="3"/>
  <c r="AS133" i="3"/>
  <c r="AS137" i="3"/>
  <c r="AS130" i="3"/>
  <c r="AS134" i="3"/>
  <c r="AS138" i="3"/>
  <c r="AT58" i="3"/>
  <c r="AT40" i="3"/>
  <c r="AT26" i="3"/>
  <c r="AT69" i="3"/>
  <c r="AT41" i="3"/>
  <c r="AT27" i="3"/>
  <c r="AT12" i="3"/>
  <c r="AT54" i="3"/>
  <c r="AT32" i="3"/>
  <c r="AT15" i="3"/>
  <c r="AT64" i="3"/>
  <c r="AT47" i="3"/>
  <c r="AT28" i="3"/>
  <c r="AT9" i="3"/>
  <c r="AT46" i="3"/>
  <c r="AT35" i="3"/>
  <c r="AT6" i="3"/>
  <c r="AT55" i="3"/>
  <c r="AT36" i="3"/>
  <c r="AT20" i="3"/>
  <c r="AT63" i="3"/>
  <c r="AT49" i="3"/>
  <c r="AT34" i="3"/>
  <c r="AT14" i="3"/>
  <c r="AT53" i="3"/>
  <c r="AT33" i="3"/>
  <c r="AT30" i="3"/>
  <c r="AT62" i="3"/>
  <c r="AT48" i="3"/>
  <c r="AT29" i="3"/>
  <c r="AT57" i="3"/>
  <c r="AT68" i="3"/>
  <c r="AT52" i="3"/>
  <c r="AT38" i="3"/>
  <c r="AT18" i="3"/>
  <c r="AT65" i="3"/>
  <c r="AT51" i="3"/>
  <c r="AT19" i="3"/>
  <c r="AT13" i="3"/>
  <c r="AT50" i="3"/>
  <c r="AT39" i="3"/>
  <c r="AT11" i="3"/>
  <c r="AT60" i="3"/>
  <c r="AT42" i="3"/>
  <c r="AT24" i="3"/>
  <c r="AT16" i="3"/>
  <c r="AT70" i="3"/>
  <c r="AT43" i="3"/>
  <c r="AT25" i="3"/>
  <c r="AT17" i="3"/>
  <c r="AT59" i="3"/>
  <c r="AT37" i="3"/>
  <c r="AT21" i="3"/>
  <c r="AT7" i="3"/>
  <c r="AT66" i="3"/>
  <c r="AT45" i="3"/>
  <c r="AT31" i="3"/>
  <c r="AT10" i="3"/>
  <c r="AT72" i="3"/>
  <c r="AT76" i="3"/>
  <c r="AT80" i="3"/>
  <c r="AT84" i="3"/>
  <c r="AT86" i="3"/>
  <c r="AT92" i="3"/>
  <c r="AT94" i="3"/>
  <c r="AT73" i="3"/>
  <c r="AT77" i="3"/>
  <c r="AT81" i="3"/>
  <c r="AT87" i="3"/>
  <c r="AT89" i="3"/>
  <c r="AT93" i="3"/>
  <c r="AT95" i="3"/>
  <c r="AT74" i="3"/>
  <c r="AT78" i="3"/>
  <c r="AT82" i="3"/>
  <c r="AT90" i="3"/>
  <c r="AT96" i="3"/>
  <c r="AT75" i="3"/>
  <c r="AT79" i="3"/>
  <c r="AT83" i="3"/>
  <c r="AT97" i="3"/>
  <c r="AT98" i="3"/>
  <c r="AT102" i="3"/>
  <c r="AT106" i="3"/>
  <c r="AT108" i="3"/>
  <c r="AT118" i="3"/>
  <c r="AT122" i="3"/>
  <c r="AT101" i="3"/>
  <c r="AT105" i="3"/>
  <c r="AT107" i="3"/>
  <c r="AT109" i="3"/>
  <c r="AT113" i="3"/>
  <c r="AT121" i="3"/>
  <c r="AT123" i="3"/>
  <c r="AT125" i="3"/>
  <c r="AT104" i="3"/>
  <c r="AT110" i="3"/>
  <c r="AT114" i="3"/>
  <c r="AT116" i="3"/>
  <c r="AT120" i="3"/>
  <c r="AT124" i="3"/>
  <c r="AT126" i="3"/>
  <c r="AT128" i="3"/>
  <c r="AT103" i="3"/>
  <c r="AT117" i="3"/>
  <c r="AT119" i="3"/>
  <c r="AT127" i="3"/>
  <c r="AT130" i="3"/>
  <c r="AT134" i="3"/>
  <c r="AT138" i="3"/>
  <c r="AT131" i="3"/>
  <c r="AT135" i="3"/>
  <c r="AT132" i="3"/>
  <c r="AT136" i="3"/>
  <c r="AT129" i="3"/>
  <c r="AT133" i="3"/>
  <c r="AT137" i="3"/>
  <c r="AA45" i="3"/>
  <c r="AA41" i="3"/>
  <c r="AA10" i="3"/>
  <c r="AA60" i="3"/>
  <c r="AA35" i="3"/>
  <c r="AA19" i="3"/>
  <c r="AA70" i="3"/>
  <c r="AA43" i="3"/>
  <c r="AA33" i="3"/>
  <c r="AA17" i="3"/>
  <c r="AA55" i="3"/>
  <c r="AA32" i="3"/>
  <c r="AA29" i="3"/>
  <c r="AA69" i="3"/>
  <c r="AA51" i="3"/>
  <c r="AA24" i="3"/>
  <c r="AA9" i="3"/>
  <c r="AA66" i="3"/>
  <c r="AA48" i="3"/>
  <c r="AA37" i="3"/>
  <c r="AA57" i="3"/>
  <c r="AA68" i="3"/>
  <c r="AA42" i="3"/>
  <c r="AA27" i="3"/>
  <c r="AA12" i="3"/>
  <c r="AA49" i="3"/>
  <c r="AA34" i="3"/>
  <c r="AA14" i="3"/>
  <c r="AA64" i="3"/>
  <c r="AA46" i="3"/>
  <c r="AA30" i="3"/>
  <c r="AA15" i="3"/>
  <c r="AA63" i="3"/>
  <c r="AA47" i="3"/>
  <c r="AA31" i="3"/>
  <c r="AA16" i="3"/>
  <c r="AA52" i="3"/>
  <c r="AA36" i="3"/>
  <c r="AA20" i="3"/>
  <c r="AA6" i="3"/>
  <c r="AA65" i="3"/>
  <c r="AA53" i="3"/>
  <c r="AA28" i="3"/>
  <c r="AA13" i="3"/>
  <c r="AA54" i="3"/>
  <c r="AA39" i="3"/>
  <c r="AA25" i="3"/>
  <c r="AA58" i="3"/>
  <c r="AA40" i="3"/>
  <c r="AA26" i="3"/>
  <c r="AA11" i="3"/>
  <c r="AA59" i="3"/>
  <c r="AA38" i="3"/>
  <c r="AA18" i="3"/>
  <c r="AA62" i="3"/>
  <c r="AA50" i="3"/>
  <c r="AA21" i="3"/>
  <c r="AA7" i="3"/>
  <c r="AA75" i="3"/>
  <c r="AA79" i="3"/>
  <c r="AA83" i="3"/>
  <c r="AA97" i="3"/>
  <c r="AA72" i="3"/>
  <c r="AA76" i="3"/>
  <c r="AA80" i="3"/>
  <c r="AA84" i="3"/>
  <c r="AA86" i="3"/>
  <c r="AA92" i="3"/>
  <c r="AA94" i="3"/>
  <c r="AA98" i="3"/>
  <c r="AA73" i="3"/>
  <c r="AA77" i="3"/>
  <c r="AA81" i="3"/>
  <c r="AA87" i="3"/>
  <c r="AA89" i="3"/>
  <c r="AA93" i="3"/>
  <c r="AA95" i="3"/>
  <c r="AA74" i="3"/>
  <c r="AA78" i="3"/>
  <c r="AA82" i="3"/>
  <c r="AA90" i="3"/>
  <c r="AA96" i="3"/>
  <c r="AA103" i="3"/>
  <c r="AA117" i="3"/>
  <c r="AA119" i="3"/>
  <c r="AA127" i="3"/>
  <c r="AA129" i="3"/>
  <c r="AA102" i="3"/>
  <c r="AA106" i="3"/>
  <c r="AA108" i="3"/>
  <c r="AA118" i="3"/>
  <c r="AA122" i="3"/>
  <c r="AA101" i="3"/>
  <c r="AA105" i="3"/>
  <c r="AA107" i="3"/>
  <c r="AA109" i="3"/>
  <c r="AA113" i="3"/>
  <c r="AA121" i="3"/>
  <c r="AA123" i="3"/>
  <c r="AA125" i="3"/>
  <c r="AA104" i="3"/>
  <c r="AA110" i="3"/>
  <c r="AA114" i="3"/>
  <c r="AA116" i="3"/>
  <c r="AA120" i="3"/>
  <c r="AA124" i="3"/>
  <c r="AA126" i="3"/>
  <c r="AA128" i="3"/>
  <c r="AA133" i="3"/>
  <c r="AA137" i="3"/>
  <c r="AA130" i="3"/>
  <c r="AA134" i="3"/>
  <c r="AA138" i="3"/>
  <c r="AA131" i="3"/>
  <c r="AA135" i="3"/>
  <c r="AA132" i="3"/>
  <c r="AA136" i="3"/>
  <c r="BG65" i="3"/>
  <c r="BG51" i="3"/>
  <c r="BG28" i="3"/>
  <c r="BG9" i="3"/>
  <c r="BG66" i="3"/>
  <c r="BG48" i="3"/>
  <c r="BG37" i="3"/>
  <c r="BG57" i="3"/>
  <c r="BG63" i="3"/>
  <c r="BG42" i="3"/>
  <c r="BG27" i="3"/>
  <c r="BG12" i="3"/>
  <c r="BG49" i="3"/>
  <c r="BG38" i="3"/>
  <c r="BG14" i="3"/>
  <c r="BG68" i="3"/>
  <c r="BG46" i="3"/>
  <c r="BG30" i="3"/>
  <c r="BG15" i="3"/>
  <c r="BG69" i="3"/>
  <c r="BG47" i="3"/>
  <c r="BG24" i="3"/>
  <c r="BG16" i="3"/>
  <c r="BG58" i="3"/>
  <c r="BG40" i="3"/>
  <c r="BG20" i="3"/>
  <c r="BG6" i="3"/>
  <c r="BG70" i="3"/>
  <c r="BG53" i="3"/>
  <c r="BG31" i="3"/>
  <c r="BG13" i="3"/>
  <c r="BG55" i="3"/>
  <c r="BG32" i="3"/>
  <c r="BG25" i="3"/>
  <c r="BG64" i="3"/>
  <c r="BG41" i="3"/>
  <c r="BG26" i="3"/>
  <c r="BG11" i="3"/>
  <c r="BG59" i="3"/>
  <c r="BG35" i="3"/>
  <c r="BG18" i="3"/>
  <c r="BG60" i="3"/>
  <c r="BG50" i="3"/>
  <c r="BG21" i="3"/>
  <c r="BG7" i="3"/>
  <c r="BG45" i="3"/>
  <c r="BG34" i="3"/>
  <c r="BG10" i="3"/>
  <c r="BG54" i="3"/>
  <c r="BG39" i="3"/>
  <c r="BG19" i="3"/>
  <c r="BG62" i="3"/>
  <c r="BG43" i="3"/>
  <c r="BG33" i="3"/>
  <c r="BG17" i="3"/>
  <c r="BG52" i="3"/>
  <c r="BG36" i="3"/>
  <c r="BG29" i="3"/>
  <c r="BG75" i="3"/>
  <c r="BG79" i="3"/>
  <c r="BG83" i="3"/>
  <c r="BG97" i="3"/>
  <c r="BG72" i="3"/>
  <c r="BG76" i="3"/>
  <c r="BG80" i="3"/>
  <c r="BG84" i="3"/>
  <c r="BG86" i="3"/>
  <c r="BG92" i="3"/>
  <c r="BG94" i="3"/>
  <c r="BG73" i="3"/>
  <c r="BG77" i="3"/>
  <c r="BG81" i="3"/>
  <c r="BG87" i="3"/>
  <c r="BG89" i="3"/>
  <c r="BG93" i="3"/>
  <c r="BG95" i="3"/>
  <c r="BG74" i="3"/>
  <c r="BG78" i="3"/>
  <c r="BG82" i="3"/>
  <c r="BG90" i="3"/>
  <c r="BG96" i="3"/>
  <c r="BG103" i="3"/>
  <c r="BG117" i="3"/>
  <c r="BG119" i="3"/>
  <c r="BG127" i="3"/>
  <c r="BG98" i="3"/>
  <c r="BG102" i="3"/>
  <c r="BG106" i="3"/>
  <c r="BG108" i="3"/>
  <c r="BG118" i="3"/>
  <c r="BG122" i="3"/>
  <c r="BG101" i="3"/>
  <c r="BG105" i="3"/>
  <c r="BG107" i="3"/>
  <c r="BG109" i="3"/>
  <c r="BG113" i="3"/>
  <c r="BG121" i="3"/>
  <c r="BG123" i="3"/>
  <c r="BG125" i="3"/>
  <c r="BG104" i="3"/>
  <c r="BG110" i="3"/>
  <c r="BG114" i="3"/>
  <c r="BG116" i="3"/>
  <c r="BG120" i="3"/>
  <c r="BG124" i="3"/>
  <c r="BG126" i="3"/>
  <c r="BG128" i="3"/>
  <c r="BG129" i="3"/>
  <c r="BG133" i="3"/>
  <c r="BG137" i="3"/>
  <c r="BG130" i="3"/>
  <c r="BG134" i="3"/>
  <c r="BG138" i="3"/>
  <c r="BG131" i="3"/>
  <c r="BG135" i="3"/>
  <c r="BG132" i="3"/>
  <c r="BG136" i="3"/>
  <c r="AF43" i="3"/>
  <c r="AF40" i="3"/>
  <c r="AF19" i="3"/>
  <c r="AF58" i="3"/>
  <c r="AF41" i="3"/>
  <c r="AF17" i="3"/>
  <c r="AF65" i="3"/>
  <c r="AF47" i="3"/>
  <c r="AF32" i="3"/>
  <c r="AF12" i="3"/>
  <c r="AF59" i="3"/>
  <c r="AF38" i="3"/>
  <c r="AF28" i="3"/>
  <c r="AF64" i="3"/>
  <c r="AF50" i="3"/>
  <c r="AF27" i="3"/>
  <c r="AF15" i="3"/>
  <c r="AF70" i="3"/>
  <c r="AF51" i="3"/>
  <c r="AF36" i="3"/>
  <c r="AF16" i="3"/>
  <c r="AF63" i="3"/>
  <c r="AF53" i="3"/>
  <c r="AF30" i="3"/>
  <c r="AF6" i="3"/>
  <c r="AF48" i="3"/>
  <c r="AF33" i="3"/>
  <c r="AF9" i="3"/>
  <c r="AF60" i="3"/>
  <c r="AF45" i="3"/>
  <c r="AF20" i="3"/>
  <c r="AF14" i="3"/>
  <c r="AF66" i="3"/>
  <c r="AF46" i="3"/>
  <c r="AF21" i="3"/>
  <c r="AF11" i="3"/>
  <c r="AF54" i="3"/>
  <c r="AF35" i="3"/>
  <c r="AF25" i="3"/>
  <c r="AF57" i="3"/>
  <c r="AF69" i="3"/>
  <c r="AF42" i="3"/>
  <c r="AF31" i="3"/>
  <c r="AF7" i="3"/>
  <c r="AF68" i="3"/>
  <c r="AF34" i="3"/>
  <c r="AF24" i="3"/>
  <c r="AF55" i="3"/>
  <c r="AF39" i="3"/>
  <c r="AF29" i="3"/>
  <c r="AF10" i="3"/>
  <c r="AF52" i="3"/>
  <c r="AF37" i="3"/>
  <c r="AF13" i="3"/>
  <c r="AF62" i="3"/>
  <c r="AF49" i="3"/>
  <c r="AF26" i="3"/>
  <c r="AF18" i="3"/>
  <c r="AF74" i="3"/>
  <c r="AF78" i="3"/>
  <c r="AF82" i="3"/>
  <c r="AF90" i="3"/>
  <c r="AF96" i="3"/>
  <c r="AF75" i="3"/>
  <c r="AF79" i="3"/>
  <c r="AF83" i="3"/>
  <c r="AF97" i="3"/>
  <c r="AF72" i="3"/>
  <c r="AF76" i="3"/>
  <c r="AF80" i="3"/>
  <c r="AF84" i="3"/>
  <c r="AF86" i="3"/>
  <c r="AF92" i="3"/>
  <c r="AF94" i="3"/>
  <c r="AF98" i="3"/>
  <c r="AF73" i="3"/>
  <c r="AF77" i="3"/>
  <c r="AF81" i="3"/>
  <c r="AF87" i="3"/>
  <c r="AF89" i="3"/>
  <c r="AF93" i="3"/>
  <c r="AF95" i="3"/>
  <c r="AF104" i="3"/>
  <c r="AF110" i="3"/>
  <c r="AF114" i="3"/>
  <c r="AF116" i="3"/>
  <c r="AF120" i="3"/>
  <c r="AF124" i="3"/>
  <c r="AF126" i="3"/>
  <c r="AF128" i="3"/>
  <c r="AF103" i="3"/>
  <c r="AF117" i="3"/>
  <c r="AF119" i="3"/>
  <c r="AF127" i="3"/>
  <c r="AF129" i="3"/>
  <c r="AF102" i="3"/>
  <c r="AF106" i="3"/>
  <c r="AF108" i="3"/>
  <c r="AF118" i="3"/>
  <c r="AF122" i="3"/>
  <c r="AF101" i="3"/>
  <c r="AF105" i="3"/>
  <c r="AF107" i="3"/>
  <c r="AF109" i="3"/>
  <c r="AF113" i="3"/>
  <c r="AF121" i="3"/>
  <c r="AF123" i="3"/>
  <c r="AF125" i="3"/>
  <c r="AF132" i="3"/>
  <c r="AF136" i="3"/>
  <c r="AF133" i="3"/>
  <c r="AF137" i="3"/>
  <c r="AF130" i="3"/>
  <c r="AF134" i="3"/>
  <c r="AF138" i="3"/>
  <c r="AF131" i="3"/>
  <c r="AF135" i="3"/>
  <c r="BL64" i="3"/>
  <c r="BL50" i="3"/>
  <c r="BL27" i="3"/>
  <c r="BL15" i="3"/>
  <c r="BL70" i="3"/>
  <c r="BL51" i="3"/>
  <c r="BL40" i="3"/>
  <c r="BL16" i="3"/>
  <c r="BL63" i="3"/>
  <c r="BL53" i="3"/>
  <c r="BL30" i="3"/>
  <c r="BL6" i="3"/>
  <c r="BL48" i="3"/>
  <c r="BL37" i="3"/>
  <c r="BL13" i="3"/>
  <c r="BL60" i="3"/>
  <c r="BL45" i="3"/>
  <c r="BL20" i="3"/>
  <c r="BL14" i="3"/>
  <c r="BL66" i="3"/>
  <c r="BL46" i="3"/>
  <c r="BL21" i="3"/>
  <c r="BL11" i="3"/>
  <c r="BL54" i="3"/>
  <c r="BL39" i="3"/>
  <c r="BL25" i="3"/>
  <c r="BL57" i="3"/>
  <c r="BL69" i="3"/>
  <c r="BL42" i="3"/>
  <c r="BL32" i="3"/>
  <c r="BL7" i="3"/>
  <c r="BL68" i="3"/>
  <c r="BL31" i="3"/>
  <c r="BL28" i="3"/>
  <c r="BL55" i="3"/>
  <c r="BL41" i="3"/>
  <c r="BL29" i="3"/>
  <c r="BL10" i="3"/>
  <c r="BL52" i="3"/>
  <c r="BL34" i="3"/>
  <c r="BL17" i="3"/>
  <c r="BL62" i="3"/>
  <c r="BL49" i="3"/>
  <c r="BL26" i="3"/>
  <c r="BL18" i="3"/>
  <c r="BL43" i="3"/>
  <c r="BL33" i="3"/>
  <c r="BL9" i="3"/>
  <c r="BL58" i="3"/>
  <c r="BL38" i="3"/>
  <c r="BL24" i="3"/>
  <c r="BL65" i="3"/>
  <c r="BL47" i="3"/>
  <c r="BL36" i="3"/>
  <c r="BL12" i="3"/>
  <c r="BL59" i="3"/>
  <c r="BL35" i="3"/>
  <c r="BL19" i="3"/>
  <c r="BL74" i="3"/>
  <c r="BL78" i="3"/>
  <c r="BL82" i="3"/>
  <c r="BL90" i="3"/>
  <c r="BL96" i="3"/>
  <c r="BL75" i="3"/>
  <c r="BL79" i="3"/>
  <c r="BL83" i="3"/>
  <c r="BL97" i="3"/>
  <c r="BL72" i="3"/>
  <c r="BL76" i="3"/>
  <c r="BL80" i="3"/>
  <c r="BL84" i="3"/>
  <c r="BL86" i="3"/>
  <c r="BL92" i="3"/>
  <c r="BL94" i="3"/>
  <c r="BL73" i="3"/>
  <c r="BL77" i="3"/>
  <c r="BL81" i="3"/>
  <c r="BL87" i="3"/>
  <c r="BL89" i="3"/>
  <c r="BL93" i="3"/>
  <c r="BL95" i="3"/>
  <c r="BL104" i="3"/>
  <c r="BL110" i="3"/>
  <c r="BL114" i="3"/>
  <c r="BL116" i="3"/>
  <c r="BL120" i="3"/>
  <c r="BL124" i="3"/>
  <c r="BL126" i="3"/>
  <c r="BL128" i="3"/>
  <c r="BL103" i="3"/>
  <c r="BL117" i="3"/>
  <c r="BL119" i="3"/>
  <c r="BL127" i="3"/>
  <c r="BL98" i="3"/>
  <c r="BL102" i="3"/>
  <c r="BL106" i="3"/>
  <c r="BL108" i="3"/>
  <c r="BL118" i="3"/>
  <c r="BL122" i="3"/>
  <c r="BL129" i="3"/>
  <c r="BL101" i="3"/>
  <c r="BL105" i="3"/>
  <c r="BL107" i="3"/>
  <c r="BL109" i="3"/>
  <c r="BL113" i="3"/>
  <c r="BL121" i="3"/>
  <c r="BL123" i="3"/>
  <c r="BL125" i="3"/>
  <c r="BL132" i="3"/>
  <c r="BL136" i="3"/>
  <c r="BL133" i="3"/>
  <c r="BL137" i="3"/>
  <c r="BL130" i="3"/>
  <c r="BL134" i="3"/>
  <c r="BL138" i="3"/>
  <c r="BL131" i="3"/>
  <c r="BL135" i="3"/>
  <c r="R60" i="3"/>
  <c r="R42" i="3"/>
  <c r="R31" i="3"/>
  <c r="R16" i="3"/>
  <c r="R70" i="3"/>
  <c r="R43" i="3"/>
  <c r="R19" i="3"/>
  <c r="R17" i="3"/>
  <c r="R53" i="3"/>
  <c r="R37" i="3"/>
  <c r="R21" i="3"/>
  <c r="R7" i="3"/>
  <c r="R66" i="3"/>
  <c r="R52" i="3"/>
  <c r="R29" i="3"/>
  <c r="R10" i="3"/>
  <c r="R58" i="3"/>
  <c r="R40" i="3"/>
  <c r="R26" i="3"/>
  <c r="R59" i="3"/>
  <c r="R41" i="3"/>
  <c r="R27" i="3"/>
  <c r="R12" i="3"/>
  <c r="R50" i="3"/>
  <c r="R32" i="3"/>
  <c r="R15" i="3"/>
  <c r="R69" i="3"/>
  <c r="R47" i="3"/>
  <c r="R24" i="3"/>
  <c r="R9" i="3"/>
  <c r="R49" i="3"/>
  <c r="R35" i="3"/>
  <c r="R6" i="3"/>
  <c r="R55" i="3"/>
  <c r="R36" i="3"/>
  <c r="R20" i="3"/>
  <c r="R63" i="3"/>
  <c r="R54" i="3"/>
  <c r="R34" i="3"/>
  <c r="R14" i="3"/>
  <c r="R65" i="3"/>
  <c r="R33" i="3"/>
  <c r="R30" i="3"/>
  <c r="R62" i="3"/>
  <c r="R48" i="3"/>
  <c r="R25" i="3"/>
  <c r="R57" i="3"/>
  <c r="R68" i="3"/>
  <c r="R45" i="3"/>
  <c r="R38" i="3"/>
  <c r="R18" i="3"/>
  <c r="R64" i="3"/>
  <c r="R51" i="3"/>
  <c r="R28" i="3"/>
  <c r="R13" i="3"/>
  <c r="R46" i="3"/>
  <c r="R39" i="3"/>
  <c r="R11" i="3"/>
  <c r="R72" i="3"/>
  <c r="R76" i="3"/>
  <c r="R80" i="3"/>
  <c r="R84" i="3"/>
  <c r="R86" i="3"/>
  <c r="R92" i="3"/>
  <c r="R94" i="3"/>
  <c r="R98" i="3"/>
  <c r="R73" i="3"/>
  <c r="R77" i="3"/>
  <c r="R81" i="3"/>
  <c r="R87" i="3"/>
  <c r="R89" i="3"/>
  <c r="R93" i="3"/>
  <c r="R95" i="3"/>
  <c r="R74" i="3"/>
  <c r="R78" i="3"/>
  <c r="R82" i="3"/>
  <c r="R90" i="3"/>
  <c r="R96" i="3"/>
  <c r="R75" i="3"/>
  <c r="R79" i="3"/>
  <c r="R83" i="3"/>
  <c r="R97" i="3"/>
  <c r="R102" i="3"/>
  <c r="R106" i="3"/>
  <c r="R108" i="3"/>
  <c r="R118" i="3"/>
  <c r="R122" i="3"/>
  <c r="R101" i="3"/>
  <c r="R105" i="3"/>
  <c r="R107" i="3"/>
  <c r="R109" i="3"/>
  <c r="R113" i="3"/>
  <c r="R121" i="3"/>
  <c r="R123" i="3"/>
  <c r="R125" i="3"/>
  <c r="R104" i="3"/>
  <c r="R110" i="3"/>
  <c r="R114" i="3"/>
  <c r="R116" i="3"/>
  <c r="R120" i="3"/>
  <c r="R124" i="3"/>
  <c r="R126" i="3"/>
  <c r="R128" i="3"/>
  <c r="R103" i="3"/>
  <c r="R117" i="3"/>
  <c r="R119" i="3"/>
  <c r="R127" i="3"/>
  <c r="R129" i="3"/>
  <c r="R130" i="3"/>
  <c r="R134" i="3"/>
  <c r="R138" i="3"/>
  <c r="R131" i="3"/>
  <c r="R135" i="3"/>
  <c r="R132" i="3"/>
  <c r="R136" i="3"/>
  <c r="R133" i="3"/>
  <c r="R137" i="3"/>
  <c r="U55" i="3"/>
  <c r="U40" i="3"/>
  <c r="U12" i="3"/>
  <c r="U53" i="3"/>
  <c r="U41" i="3"/>
  <c r="U27" i="3"/>
  <c r="U51" i="3"/>
  <c r="U39" i="3"/>
  <c r="U15" i="3"/>
  <c r="U54" i="3"/>
  <c r="U34" i="3"/>
  <c r="U24" i="3"/>
  <c r="U13" i="3"/>
  <c r="U64" i="3"/>
  <c r="U50" i="3"/>
  <c r="U32" i="3"/>
  <c r="U6" i="3"/>
  <c r="U52" i="3"/>
  <c r="U36" i="3"/>
  <c r="U7" i="3"/>
  <c r="U63" i="3"/>
  <c r="U49" i="3"/>
  <c r="U26" i="3"/>
  <c r="U18" i="3"/>
  <c r="U60" i="3"/>
  <c r="U33" i="3"/>
  <c r="U16" i="3"/>
  <c r="U66" i="3"/>
  <c r="U48" i="3"/>
  <c r="U29" i="3"/>
  <c r="U10" i="3"/>
  <c r="U68" i="3"/>
  <c r="U46" i="3"/>
  <c r="U30" i="3"/>
  <c r="U19" i="3"/>
  <c r="U62" i="3"/>
  <c r="U38" i="3"/>
  <c r="U28" i="3"/>
  <c r="U17" i="3"/>
  <c r="U69" i="3"/>
  <c r="U47" i="3"/>
  <c r="U35" i="3"/>
  <c r="U11" i="3"/>
  <c r="U59" i="3"/>
  <c r="U42" i="3"/>
  <c r="U31" i="3"/>
  <c r="U9" i="3"/>
  <c r="U65" i="3"/>
  <c r="U43" i="3"/>
  <c r="U25" i="3"/>
  <c r="U57" i="3"/>
  <c r="U58" i="3"/>
  <c r="U37" i="3"/>
  <c r="U21" i="3"/>
  <c r="U70" i="3"/>
  <c r="U45" i="3"/>
  <c r="U20" i="3"/>
  <c r="U14" i="3"/>
  <c r="U73" i="3"/>
  <c r="U77" i="3"/>
  <c r="U81" i="3"/>
  <c r="U87" i="3"/>
  <c r="U89" i="3"/>
  <c r="U93" i="3"/>
  <c r="U95" i="3"/>
  <c r="U74" i="3"/>
  <c r="U78" i="3"/>
  <c r="U82" i="3"/>
  <c r="U90" i="3"/>
  <c r="U96" i="3"/>
  <c r="U75" i="3"/>
  <c r="U79" i="3"/>
  <c r="U83" i="3"/>
  <c r="U97" i="3"/>
  <c r="U72" i="3"/>
  <c r="U76" i="3"/>
  <c r="U80" i="3"/>
  <c r="U84" i="3"/>
  <c r="U86" i="3"/>
  <c r="U92" i="3"/>
  <c r="U94" i="3"/>
  <c r="U98" i="3"/>
  <c r="U101" i="3"/>
  <c r="U105" i="3"/>
  <c r="U107" i="3"/>
  <c r="U109" i="3"/>
  <c r="U113" i="3"/>
  <c r="U121" i="3"/>
  <c r="U123" i="3"/>
  <c r="U125" i="3"/>
  <c r="U104" i="3"/>
  <c r="U110" i="3"/>
  <c r="U114" i="3"/>
  <c r="U116" i="3"/>
  <c r="U120" i="3"/>
  <c r="U124" i="3"/>
  <c r="U126" i="3"/>
  <c r="U128" i="3"/>
  <c r="U103" i="3"/>
  <c r="U117" i="3"/>
  <c r="U119" i="3"/>
  <c r="U127" i="3"/>
  <c r="U129" i="3"/>
  <c r="U102" i="3"/>
  <c r="U106" i="3"/>
  <c r="U108" i="3"/>
  <c r="U118" i="3"/>
  <c r="U122" i="3"/>
  <c r="U131" i="3"/>
  <c r="U135" i="3"/>
  <c r="U132" i="3"/>
  <c r="U136" i="3"/>
  <c r="U133" i="3"/>
  <c r="U137" i="3"/>
  <c r="U130" i="3"/>
  <c r="U134" i="3"/>
  <c r="U138" i="3"/>
  <c r="O59" i="3"/>
  <c r="O38" i="3"/>
  <c r="O18" i="3"/>
  <c r="O52" i="3"/>
  <c r="O32" i="3"/>
  <c r="O29" i="3"/>
  <c r="O49" i="3"/>
  <c r="O41" i="3"/>
  <c r="O10" i="3"/>
  <c r="O60" i="3"/>
  <c r="O40" i="3"/>
  <c r="O26" i="3"/>
  <c r="O11" i="3"/>
  <c r="O70" i="3"/>
  <c r="O48" i="3"/>
  <c r="O33" i="3"/>
  <c r="O17" i="3"/>
  <c r="O53" i="3"/>
  <c r="O34" i="3"/>
  <c r="O14" i="3"/>
  <c r="O69" i="3"/>
  <c r="O51" i="3"/>
  <c r="O24" i="3"/>
  <c r="O9" i="3"/>
  <c r="O54" i="3"/>
  <c r="O35" i="3"/>
  <c r="O19" i="3"/>
  <c r="O64" i="3"/>
  <c r="O42" i="3"/>
  <c r="O27" i="3"/>
  <c r="O12" i="3"/>
  <c r="O65" i="3"/>
  <c r="O43" i="3"/>
  <c r="O28" i="3"/>
  <c r="O13" i="3"/>
  <c r="O62" i="3"/>
  <c r="O46" i="3"/>
  <c r="O30" i="3"/>
  <c r="O15" i="3"/>
  <c r="O66" i="3"/>
  <c r="O45" i="3"/>
  <c r="O37" i="3"/>
  <c r="O57" i="3"/>
  <c r="O58" i="3"/>
  <c r="O36" i="3"/>
  <c r="O20" i="3"/>
  <c r="O6" i="3"/>
  <c r="O63" i="3"/>
  <c r="O50" i="3"/>
  <c r="O21" i="3"/>
  <c r="O7" i="3"/>
  <c r="O55" i="3"/>
  <c r="O39" i="3"/>
  <c r="O25" i="3"/>
  <c r="O68" i="3"/>
  <c r="O47" i="3"/>
  <c r="O31" i="3"/>
  <c r="O16" i="3"/>
  <c r="O75" i="3"/>
  <c r="O79" i="3"/>
  <c r="O83" i="3"/>
  <c r="O97" i="3"/>
  <c r="O72" i="3"/>
  <c r="O76" i="3"/>
  <c r="O80" i="3"/>
  <c r="O84" i="3"/>
  <c r="O86" i="3"/>
  <c r="O92" i="3"/>
  <c r="O94" i="3"/>
  <c r="O98" i="3"/>
  <c r="O73" i="3"/>
  <c r="O77" i="3"/>
  <c r="O81" i="3"/>
  <c r="O87" i="3"/>
  <c r="O89" i="3"/>
  <c r="O93" i="3"/>
  <c r="O95" i="3"/>
  <c r="O74" i="3"/>
  <c r="O78" i="3"/>
  <c r="O82" i="3"/>
  <c r="O90" i="3"/>
  <c r="O96" i="3"/>
  <c r="O103" i="3"/>
  <c r="O117" i="3"/>
  <c r="O119" i="3"/>
  <c r="O127" i="3"/>
  <c r="O129" i="3"/>
  <c r="O102" i="3"/>
  <c r="O106" i="3"/>
  <c r="O108" i="3"/>
  <c r="O118" i="3"/>
  <c r="O122" i="3"/>
  <c r="O130" i="3"/>
  <c r="O101" i="3"/>
  <c r="O105" i="3"/>
  <c r="O107" i="3"/>
  <c r="O109" i="3"/>
  <c r="O113" i="3"/>
  <c r="O121" i="3"/>
  <c r="O123" i="3"/>
  <c r="O125" i="3"/>
  <c r="O104" i="3"/>
  <c r="O110" i="3"/>
  <c r="O114" i="3"/>
  <c r="O116" i="3"/>
  <c r="O120" i="3"/>
  <c r="O124" i="3"/>
  <c r="O126" i="3"/>
  <c r="O128" i="3"/>
  <c r="O133" i="3"/>
  <c r="O137" i="3"/>
  <c r="O134" i="3"/>
  <c r="O138" i="3"/>
  <c r="O131" i="3"/>
  <c r="O135" i="3"/>
  <c r="O132" i="3"/>
  <c r="O136" i="3"/>
  <c r="T65" i="3"/>
  <c r="T51" i="3"/>
  <c r="T32" i="3"/>
  <c r="T7" i="3"/>
  <c r="T43" i="3"/>
  <c r="T33" i="3"/>
  <c r="T9" i="3"/>
  <c r="T64" i="3"/>
  <c r="T42" i="3"/>
  <c r="T27" i="3"/>
  <c r="T11" i="3"/>
  <c r="T58" i="3"/>
  <c r="T41" i="3"/>
  <c r="T17" i="3"/>
  <c r="T66" i="3"/>
  <c r="T46" i="3"/>
  <c r="T30" i="3"/>
  <c r="T19" i="3"/>
  <c r="T69" i="3"/>
  <c r="T47" i="3"/>
  <c r="T31" i="3"/>
  <c r="T15" i="3"/>
  <c r="T55" i="3"/>
  <c r="T45" i="3"/>
  <c r="T20" i="3"/>
  <c r="T14" i="3"/>
  <c r="T70" i="3"/>
  <c r="T52" i="3"/>
  <c r="T36" i="3"/>
  <c r="T12" i="3"/>
  <c r="T54" i="3"/>
  <c r="T35" i="3"/>
  <c r="T25" i="3"/>
  <c r="T57" i="3"/>
  <c r="T60" i="3"/>
  <c r="T49" i="3"/>
  <c r="T26" i="3"/>
  <c r="T18" i="3"/>
  <c r="T62" i="3"/>
  <c r="T34" i="3"/>
  <c r="T24" i="3"/>
  <c r="T68" i="3"/>
  <c r="T50" i="3"/>
  <c r="T21" i="3"/>
  <c r="T6" i="3"/>
  <c r="T48" i="3"/>
  <c r="T37" i="3"/>
  <c r="T13" i="3"/>
  <c r="T59" i="3"/>
  <c r="T38" i="3"/>
  <c r="T28" i="3"/>
  <c r="T53" i="3"/>
  <c r="T40" i="3"/>
  <c r="T16" i="3"/>
  <c r="T63" i="3"/>
  <c r="T39" i="3"/>
  <c r="T29" i="3"/>
  <c r="T10" i="3"/>
  <c r="T74" i="3"/>
  <c r="T78" i="3"/>
  <c r="T82" i="3"/>
  <c r="T90" i="3"/>
  <c r="T96" i="3"/>
  <c r="T75" i="3"/>
  <c r="T79" i="3"/>
  <c r="T83" i="3"/>
  <c r="T97" i="3"/>
  <c r="T72" i="3"/>
  <c r="T76" i="3"/>
  <c r="T80" i="3"/>
  <c r="T84" i="3"/>
  <c r="T86" i="3"/>
  <c r="T92" i="3"/>
  <c r="T94" i="3"/>
  <c r="T98" i="3"/>
  <c r="T73" i="3"/>
  <c r="T77" i="3"/>
  <c r="T81" i="3"/>
  <c r="T87" i="3"/>
  <c r="T89" i="3"/>
  <c r="T93" i="3"/>
  <c r="T95" i="3"/>
  <c r="T104" i="3"/>
  <c r="T110" i="3"/>
  <c r="T114" i="3"/>
  <c r="T116" i="3"/>
  <c r="T120" i="3"/>
  <c r="T124" i="3"/>
  <c r="T126" i="3"/>
  <c r="T128" i="3"/>
  <c r="T103" i="3"/>
  <c r="T117" i="3"/>
  <c r="T119" i="3"/>
  <c r="T127" i="3"/>
  <c r="T129" i="3"/>
  <c r="T102" i="3"/>
  <c r="T106" i="3"/>
  <c r="T108" i="3"/>
  <c r="T118" i="3"/>
  <c r="T122" i="3"/>
  <c r="T101" i="3"/>
  <c r="T105" i="3"/>
  <c r="T107" i="3"/>
  <c r="T109" i="3"/>
  <c r="T113" i="3"/>
  <c r="T121" i="3"/>
  <c r="T123" i="3"/>
  <c r="T125" i="3"/>
  <c r="T130" i="3"/>
  <c r="T132" i="3"/>
  <c r="T136" i="3"/>
  <c r="T133" i="3"/>
  <c r="T137" i="3"/>
  <c r="T134" i="3"/>
  <c r="T138" i="3"/>
  <c r="T131" i="3"/>
  <c r="T135" i="3"/>
  <c r="Y59" i="3"/>
  <c r="Y34" i="3"/>
  <c r="Y31" i="3"/>
  <c r="Y9" i="3"/>
  <c r="Y66" i="3"/>
  <c r="Y48" i="3"/>
  <c r="Y28" i="3"/>
  <c r="Y57" i="3"/>
  <c r="Y62" i="3"/>
  <c r="Y37" i="3"/>
  <c r="Y21" i="3"/>
  <c r="Y70" i="3"/>
  <c r="Y49" i="3"/>
  <c r="Y29" i="3"/>
  <c r="Y14" i="3"/>
  <c r="Y55" i="3"/>
  <c r="Y40" i="3"/>
  <c r="Y16" i="3"/>
  <c r="Y53" i="3"/>
  <c r="Y41" i="3"/>
  <c r="Y27" i="3"/>
  <c r="Y47" i="3"/>
  <c r="Y39" i="3"/>
  <c r="Y7" i="3"/>
  <c r="Y54" i="3"/>
  <c r="Y38" i="3"/>
  <c r="Y32" i="3"/>
  <c r="Y13" i="3"/>
  <c r="Y64" i="3"/>
  <c r="Y52" i="3"/>
  <c r="Y30" i="3"/>
  <c r="Y11" i="3"/>
  <c r="Y51" i="3"/>
  <c r="Y36" i="3"/>
  <c r="Y12" i="3"/>
  <c r="Y63" i="3"/>
  <c r="Y46" i="3"/>
  <c r="Y20" i="3"/>
  <c r="Y18" i="3"/>
  <c r="Y58" i="3"/>
  <c r="Y33" i="3"/>
  <c r="Y19" i="3"/>
  <c r="Y65" i="3"/>
  <c r="Y45" i="3"/>
  <c r="Y25" i="3"/>
  <c r="Y10" i="3"/>
  <c r="Y68" i="3"/>
  <c r="Y50" i="3"/>
  <c r="Y26" i="3"/>
  <c r="Y6" i="3"/>
  <c r="Y60" i="3"/>
  <c r="Y43" i="3"/>
  <c r="Y24" i="3"/>
  <c r="Y17" i="3"/>
  <c r="Y69" i="3"/>
  <c r="Y42" i="3"/>
  <c r="Y35" i="3"/>
  <c r="Y15" i="3"/>
  <c r="Y73" i="3"/>
  <c r="Y77" i="3"/>
  <c r="Y81" i="3"/>
  <c r="Y87" i="3"/>
  <c r="Y89" i="3"/>
  <c r="Y93" i="3"/>
  <c r="Y95" i="3"/>
  <c r="Y74" i="3"/>
  <c r="Y78" i="3"/>
  <c r="Y82" i="3"/>
  <c r="Y90" i="3"/>
  <c r="Y96" i="3"/>
  <c r="Y75" i="3"/>
  <c r="Y79" i="3"/>
  <c r="Y83" i="3"/>
  <c r="Y97" i="3"/>
  <c r="Y72" i="3"/>
  <c r="Y76" i="3"/>
  <c r="Y80" i="3"/>
  <c r="Y84" i="3"/>
  <c r="Y86" i="3"/>
  <c r="Y92" i="3"/>
  <c r="Y94" i="3"/>
  <c r="Y98" i="3"/>
  <c r="Y101" i="3"/>
  <c r="Y105" i="3"/>
  <c r="Y107" i="3"/>
  <c r="Y109" i="3"/>
  <c r="Y113" i="3"/>
  <c r="Y121" i="3"/>
  <c r="Y123" i="3"/>
  <c r="Y125" i="3"/>
  <c r="Y104" i="3"/>
  <c r="Y110" i="3"/>
  <c r="Y114" i="3"/>
  <c r="Y116" i="3"/>
  <c r="Y120" i="3"/>
  <c r="Y124" i="3"/>
  <c r="Y126" i="3"/>
  <c r="Y128" i="3"/>
  <c r="Y103" i="3"/>
  <c r="Y117" i="3"/>
  <c r="Y119" i="3"/>
  <c r="Y127" i="3"/>
  <c r="Y129" i="3"/>
  <c r="Y102" i="3"/>
  <c r="Y106" i="3"/>
  <c r="Y108" i="3"/>
  <c r="Y118" i="3"/>
  <c r="Y122" i="3"/>
  <c r="Y131" i="3"/>
  <c r="Y135" i="3"/>
  <c r="Y132" i="3"/>
  <c r="Y136" i="3"/>
  <c r="Y133" i="3"/>
  <c r="Y137" i="3"/>
  <c r="Y130" i="3"/>
  <c r="Y134" i="3"/>
  <c r="Y138" i="3"/>
  <c r="BI55" i="3"/>
  <c r="BI40" i="3"/>
  <c r="BI16" i="3"/>
  <c r="BI53" i="3"/>
  <c r="BI37" i="3"/>
  <c r="BI24" i="3"/>
  <c r="BI47" i="3"/>
  <c r="BI39" i="3"/>
  <c r="BI7" i="3"/>
  <c r="BI60" i="3"/>
  <c r="BI38" i="3"/>
  <c r="BI32" i="3"/>
  <c r="BI13" i="3"/>
  <c r="BI64" i="3"/>
  <c r="BI50" i="3"/>
  <c r="BI31" i="3"/>
  <c r="BI11" i="3"/>
  <c r="BI51" i="3"/>
  <c r="BI36" i="3"/>
  <c r="BI12" i="3"/>
  <c r="BI63" i="3"/>
  <c r="BI52" i="3"/>
  <c r="BI26" i="3"/>
  <c r="BI18" i="3"/>
  <c r="BI70" i="3"/>
  <c r="BI41" i="3"/>
  <c r="BI21" i="3"/>
  <c r="BI65" i="3"/>
  <c r="BI45" i="3"/>
  <c r="BI29" i="3"/>
  <c r="BI10" i="3"/>
  <c r="BI68" i="3"/>
  <c r="BI46" i="3"/>
  <c r="BI30" i="3"/>
  <c r="BI6" i="3"/>
  <c r="BI54" i="3"/>
  <c r="BI43" i="3"/>
  <c r="BI19" i="3"/>
  <c r="BI17" i="3"/>
  <c r="BI69" i="3"/>
  <c r="BI42" i="3"/>
  <c r="BI35" i="3"/>
  <c r="BI15" i="3"/>
  <c r="BI59" i="3"/>
  <c r="BI34" i="3"/>
  <c r="BI28" i="3"/>
  <c r="BI9" i="3"/>
  <c r="BI62" i="3"/>
  <c r="BI48" i="3"/>
  <c r="BI25" i="3"/>
  <c r="BI57" i="3"/>
  <c r="BI58" i="3"/>
  <c r="BI33" i="3"/>
  <c r="BI27" i="3"/>
  <c r="BI66" i="3"/>
  <c r="BI49" i="3"/>
  <c r="BI20" i="3"/>
  <c r="BI14" i="3"/>
  <c r="BI73" i="3"/>
  <c r="BI77" i="3"/>
  <c r="BI81" i="3"/>
  <c r="BI87" i="3"/>
  <c r="BI89" i="3"/>
  <c r="BI93" i="3"/>
  <c r="BI95" i="3"/>
  <c r="BI74" i="3"/>
  <c r="BI78" i="3"/>
  <c r="BI82" i="3"/>
  <c r="BI90" i="3"/>
  <c r="BI96" i="3"/>
  <c r="BI75" i="3"/>
  <c r="BI79" i="3"/>
  <c r="BI83" i="3"/>
  <c r="BI97" i="3"/>
  <c r="BI72" i="3"/>
  <c r="BI76" i="3"/>
  <c r="BI80" i="3"/>
  <c r="BI84" i="3"/>
  <c r="BI86" i="3"/>
  <c r="BI92" i="3"/>
  <c r="BI94" i="3"/>
  <c r="BI101" i="3"/>
  <c r="BI105" i="3"/>
  <c r="BI107" i="3"/>
  <c r="BI109" i="3"/>
  <c r="BI113" i="3"/>
  <c r="BI121" i="3"/>
  <c r="BI123" i="3"/>
  <c r="BI125" i="3"/>
  <c r="BI104" i="3"/>
  <c r="BI110" i="3"/>
  <c r="BI114" i="3"/>
  <c r="BI116" i="3"/>
  <c r="BI120" i="3"/>
  <c r="BI124" i="3"/>
  <c r="BI126" i="3"/>
  <c r="BI128" i="3"/>
  <c r="BI129" i="3"/>
  <c r="BI103" i="3"/>
  <c r="BI117" i="3"/>
  <c r="BI119" i="3"/>
  <c r="BI127" i="3"/>
  <c r="BI98" i="3"/>
  <c r="BI102" i="3"/>
  <c r="BI106" i="3"/>
  <c r="BI108" i="3"/>
  <c r="BI118" i="3"/>
  <c r="BI122" i="3"/>
  <c r="BI131" i="3"/>
  <c r="BI135" i="3"/>
  <c r="BI132" i="3"/>
  <c r="BI136" i="3"/>
  <c r="BI133" i="3"/>
  <c r="BI137" i="3"/>
  <c r="BI130" i="3"/>
  <c r="BI134" i="3"/>
  <c r="BI138" i="3"/>
  <c r="AI59" i="3"/>
  <c r="AI38" i="3"/>
  <c r="AI18" i="3"/>
  <c r="AI55" i="3"/>
  <c r="AI32" i="3"/>
  <c r="AI29" i="3"/>
  <c r="AI45" i="3"/>
  <c r="AI41" i="3"/>
  <c r="AI10" i="3"/>
  <c r="AI58" i="3"/>
  <c r="AI40" i="3"/>
  <c r="AI26" i="3"/>
  <c r="AI11" i="3"/>
  <c r="AI70" i="3"/>
  <c r="AI43" i="3"/>
  <c r="AI33" i="3"/>
  <c r="AI17" i="3"/>
  <c r="AI49" i="3"/>
  <c r="AI34" i="3"/>
  <c r="AI14" i="3"/>
  <c r="AI69" i="3"/>
  <c r="AI51" i="3"/>
  <c r="AI24" i="3"/>
  <c r="AI9" i="3"/>
  <c r="AI64" i="3"/>
  <c r="AI35" i="3"/>
  <c r="AI19" i="3"/>
  <c r="AI62" i="3"/>
  <c r="AI42" i="3"/>
  <c r="AI27" i="3"/>
  <c r="AI12" i="3"/>
  <c r="AI65" i="3"/>
  <c r="AI53" i="3"/>
  <c r="AI28" i="3"/>
  <c r="AI13" i="3"/>
  <c r="AI68" i="3"/>
  <c r="AI46" i="3"/>
  <c r="AI30" i="3"/>
  <c r="AI15" i="3"/>
  <c r="AI66" i="3"/>
  <c r="AI48" i="3"/>
  <c r="AI37" i="3"/>
  <c r="AI57" i="3"/>
  <c r="AI52" i="3"/>
  <c r="AI36" i="3"/>
  <c r="AI20" i="3"/>
  <c r="AI6" i="3"/>
  <c r="AI60" i="3"/>
  <c r="AI50" i="3"/>
  <c r="AI21" i="3"/>
  <c r="AI7" i="3"/>
  <c r="AI54" i="3"/>
  <c r="AI39" i="3"/>
  <c r="AI25" i="3"/>
  <c r="AI63" i="3"/>
  <c r="AI47" i="3"/>
  <c r="AI31" i="3"/>
  <c r="AI16" i="3"/>
  <c r="AI75" i="3"/>
  <c r="AI79" i="3"/>
  <c r="AI83" i="3"/>
  <c r="AI97" i="3"/>
  <c r="AI72" i="3"/>
  <c r="AI76" i="3"/>
  <c r="AI80" i="3"/>
  <c r="AI84" i="3"/>
  <c r="AI86" i="3"/>
  <c r="AI92" i="3"/>
  <c r="AI94" i="3"/>
  <c r="AI73" i="3"/>
  <c r="AI77" i="3"/>
  <c r="AI81" i="3"/>
  <c r="AI87" i="3"/>
  <c r="AI89" i="3"/>
  <c r="AI93" i="3"/>
  <c r="AI95" i="3"/>
  <c r="AI74" i="3"/>
  <c r="AI78" i="3"/>
  <c r="AI82" i="3"/>
  <c r="AI90" i="3"/>
  <c r="AI96" i="3"/>
  <c r="AI103" i="3"/>
  <c r="AI117" i="3"/>
  <c r="AI119" i="3"/>
  <c r="AI127" i="3"/>
  <c r="AI129" i="3"/>
  <c r="AI98" i="3"/>
  <c r="AI102" i="3"/>
  <c r="AI106" i="3"/>
  <c r="AI108" i="3"/>
  <c r="AI118" i="3"/>
  <c r="AI122" i="3"/>
  <c r="AI101" i="3"/>
  <c r="AI105" i="3"/>
  <c r="AI107" i="3"/>
  <c r="AI109" i="3"/>
  <c r="AI113" i="3"/>
  <c r="AI121" i="3"/>
  <c r="AI123" i="3"/>
  <c r="AI125" i="3"/>
  <c r="AI104" i="3"/>
  <c r="AI110" i="3"/>
  <c r="AI114" i="3"/>
  <c r="AI116" i="3"/>
  <c r="AI120" i="3"/>
  <c r="AI124" i="3"/>
  <c r="AI126" i="3"/>
  <c r="AI128" i="3"/>
  <c r="AI133" i="3"/>
  <c r="AI137" i="3"/>
  <c r="AI130" i="3"/>
  <c r="AI134" i="3"/>
  <c r="AI138" i="3"/>
  <c r="AI131" i="3"/>
  <c r="AI135" i="3"/>
  <c r="AI132" i="3"/>
  <c r="AI136" i="3"/>
  <c r="AN59" i="3"/>
  <c r="AN38" i="3"/>
  <c r="AN24" i="3"/>
  <c r="AN55" i="3"/>
  <c r="AN39" i="3"/>
  <c r="AN29" i="3"/>
  <c r="AN10" i="3"/>
  <c r="AN48" i="3"/>
  <c r="AN41" i="3"/>
  <c r="AN13" i="3"/>
  <c r="AN63" i="3"/>
  <c r="AN49" i="3"/>
  <c r="AN26" i="3"/>
  <c r="AN18" i="3"/>
  <c r="AN51" i="3"/>
  <c r="AN33" i="3"/>
  <c r="AN19" i="3"/>
  <c r="AN58" i="3"/>
  <c r="AN34" i="3"/>
  <c r="AN17" i="3"/>
  <c r="AN65" i="3"/>
  <c r="AN42" i="3"/>
  <c r="AN36" i="3"/>
  <c r="AN12" i="3"/>
  <c r="AN68" i="3"/>
  <c r="AN31" i="3"/>
  <c r="AN28" i="3"/>
  <c r="AN64" i="3"/>
  <c r="AN50" i="3"/>
  <c r="AN27" i="3"/>
  <c r="AN15" i="3"/>
  <c r="AN70" i="3"/>
  <c r="AN47" i="3"/>
  <c r="AN40" i="3"/>
  <c r="AN16" i="3"/>
  <c r="AN62" i="3"/>
  <c r="AN53" i="3"/>
  <c r="AN30" i="3"/>
  <c r="AN6" i="3"/>
  <c r="AN43" i="3"/>
  <c r="AN37" i="3"/>
  <c r="AN9" i="3"/>
  <c r="AN60" i="3"/>
  <c r="AN45" i="3"/>
  <c r="AN20" i="3"/>
  <c r="AN14" i="3"/>
  <c r="AN66" i="3"/>
  <c r="AN46" i="3"/>
  <c r="AN21" i="3"/>
  <c r="AN11" i="3"/>
  <c r="AN54" i="3"/>
  <c r="AN35" i="3"/>
  <c r="AN25" i="3"/>
  <c r="AN57" i="3"/>
  <c r="AN69" i="3"/>
  <c r="AN52" i="3"/>
  <c r="AN32" i="3"/>
  <c r="AN7" i="3"/>
  <c r="AN74" i="3"/>
  <c r="AN78" i="3"/>
  <c r="AN82" i="3"/>
  <c r="AN90" i="3"/>
  <c r="AN96" i="3"/>
  <c r="AN75" i="3"/>
  <c r="AN79" i="3"/>
  <c r="AN83" i="3"/>
  <c r="AN97" i="3"/>
  <c r="AN72" i="3"/>
  <c r="AN76" i="3"/>
  <c r="AN80" i="3"/>
  <c r="AN84" i="3"/>
  <c r="AN86" i="3"/>
  <c r="AN92" i="3"/>
  <c r="AN94" i="3"/>
  <c r="AN73" i="3"/>
  <c r="AN77" i="3"/>
  <c r="AN81" i="3"/>
  <c r="AN87" i="3"/>
  <c r="AN89" i="3"/>
  <c r="AN93" i="3"/>
  <c r="AN95" i="3"/>
  <c r="AN104" i="3"/>
  <c r="AN110" i="3"/>
  <c r="AN114" i="3"/>
  <c r="AN116" i="3"/>
  <c r="AN120" i="3"/>
  <c r="AN124" i="3"/>
  <c r="AN126" i="3"/>
  <c r="AN128" i="3"/>
  <c r="AN103" i="3"/>
  <c r="AN117" i="3"/>
  <c r="AN119" i="3"/>
  <c r="AN127" i="3"/>
  <c r="AN129" i="3"/>
  <c r="AN98" i="3"/>
  <c r="AN102" i="3"/>
  <c r="AN106" i="3"/>
  <c r="AN108" i="3"/>
  <c r="AN118" i="3"/>
  <c r="AN122" i="3"/>
  <c r="AN101" i="3"/>
  <c r="AN105" i="3"/>
  <c r="AN107" i="3"/>
  <c r="AN109" i="3"/>
  <c r="AN113" i="3"/>
  <c r="AN121" i="3"/>
  <c r="AN123" i="3"/>
  <c r="AN125" i="3"/>
  <c r="AN132" i="3"/>
  <c r="AN136" i="3"/>
  <c r="AN133" i="3"/>
  <c r="AN137" i="3"/>
  <c r="AN130" i="3"/>
  <c r="AN134" i="3"/>
  <c r="AN138" i="3"/>
  <c r="AN131" i="3"/>
  <c r="AN135" i="3"/>
  <c r="AH63" i="3"/>
  <c r="AH45" i="3"/>
  <c r="AH34" i="3"/>
  <c r="AH14" i="3"/>
  <c r="AH50" i="3"/>
  <c r="AH39" i="3"/>
  <c r="AH11" i="3"/>
  <c r="AH62" i="3"/>
  <c r="AH48" i="3"/>
  <c r="AH25" i="3"/>
  <c r="AH57" i="3"/>
  <c r="AH65" i="3"/>
  <c r="AH36" i="3"/>
  <c r="AH20" i="3"/>
  <c r="AH64" i="3"/>
  <c r="AH51" i="3"/>
  <c r="AH28" i="3"/>
  <c r="AH13" i="3"/>
  <c r="AH66" i="3"/>
  <c r="AH52" i="3"/>
  <c r="AH29" i="3"/>
  <c r="AH10" i="3"/>
  <c r="AH60" i="3"/>
  <c r="AH42" i="3"/>
  <c r="AH31" i="3"/>
  <c r="AH16" i="3"/>
  <c r="AH68" i="3"/>
  <c r="AH49" i="3"/>
  <c r="AH38" i="3"/>
  <c r="AH18" i="3"/>
  <c r="AH53" i="3"/>
  <c r="AH37" i="3"/>
  <c r="AH21" i="3"/>
  <c r="AH7" i="3"/>
  <c r="AH69" i="3"/>
  <c r="AH47" i="3"/>
  <c r="AH24" i="3"/>
  <c r="AH9" i="3"/>
  <c r="AH55" i="3"/>
  <c r="AH40" i="3"/>
  <c r="AH26" i="3"/>
  <c r="AH70" i="3"/>
  <c r="AH43" i="3"/>
  <c r="AH19" i="3"/>
  <c r="AH17" i="3"/>
  <c r="AH54" i="3"/>
  <c r="AH32" i="3"/>
  <c r="AH15" i="3"/>
  <c r="AH58" i="3"/>
  <c r="AH33" i="3"/>
  <c r="AH30" i="3"/>
  <c r="AH46" i="3"/>
  <c r="AH35" i="3"/>
  <c r="AH6" i="3"/>
  <c r="AH59" i="3"/>
  <c r="AH41" i="3"/>
  <c r="AH27" i="3"/>
  <c r="AH12" i="3"/>
  <c r="AH72" i="3"/>
  <c r="AH76" i="3"/>
  <c r="AH80" i="3"/>
  <c r="AH84" i="3"/>
  <c r="AH86" i="3"/>
  <c r="AH92" i="3"/>
  <c r="AH94" i="3"/>
  <c r="AH98" i="3"/>
  <c r="AH73" i="3"/>
  <c r="AH77" i="3"/>
  <c r="AH81" i="3"/>
  <c r="AH87" i="3"/>
  <c r="AH89" i="3"/>
  <c r="AH93" i="3"/>
  <c r="AH95" i="3"/>
  <c r="AH74" i="3"/>
  <c r="AH78" i="3"/>
  <c r="AH82" i="3"/>
  <c r="AH90" i="3"/>
  <c r="AH96" i="3"/>
  <c r="AH75" i="3"/>
  <c r="AH79" i="3"/>
  <c r="AH83" i="3"/>
  <c r="AH97" i="3"/>
  <c r="AH102" i="3"/>
  <c r="AH106" i="3"/>
  <c r="AH108" i="3"/>
  <c r="AH118" i="3"/>
  <c r="AH122" i="3"/>
  <c r="AH101" i="3"/>
  <c r="AH105" i="3"/>
  <c r="AH107" i="3"/>
  <c r="AH109" i="3"/>
  <c r="AH113" i="3"/>
  <c r="AH121" i="3"/>
  <c r="AH123" i="3"/>
  <c r="AH125" i="3"/>
  <c r="AH104" i="3"/>
  <c r="AH110" i="3"/>
  <c r="AH114" i="3"/>
  <c r="AH116" i="3"/>
  <c r="AH120" i="3"/>
  <c r="AH124" i="3"/>
  <c r="AH126" i="3"/>
  <c r="AH128" i="3"/>
  <c r="AH103" i="3"/>
  <c r="AH117" i="3"/>
  <c r="AH119" i="3"/>
  <c r="AH127" i="3"/>
  <c r="AH129" i="3"/>
  <c r="AH130" i="3"/>
  <c r="AH134" i="3"/>
  <c r="AH138" i="3"/>
  <c r="AH131" i="3"/>
  <c r="AH135" i="3"/>
  <c r="AH132" i="3"/>
  <c r="AH136" i="3"/>
  <c r="AH133" i="3"/>
  <c r="AH137" i="3"/>
  <c r="G49" i="3"/>
  <c r="G41" i="3"/>
  <c r="G10" i="3"/>
  <c r="G54" i="3"/>
  <c r="G35" i="3"/>
  <c r="G19" i="3"/>
  <c r="G70" i="3"/>
  <c r="G48" i="3"/>
  <c r="G33" i="3"/>
  <c r="G17" i="3"/>
  <c r="G55" i="3"/>
  <c r="G32" i="3"/>
  <c r="G29" i="3"/>
  <c r="G69" i="3"/>
  <c r="G51" i="3"/>
  <c r="G24" i="3"/>
  <c r="G9" i="3"/>
  <c r="G66" i="3"/>
  <c r="G45" i="3"/>
  <c r="G37" i="3"/>
  <c r="G57" i="3"/>
  <c r="G64" i="3"/>
  <c r="G42" i="3"/>
  <c r="G27" i="3"/>
  <c r="G12" i="3"/>
  <c r="G53" i="3"/>
  <c r="G34" i="3"/>
  <c r="G14" i="3"/>
  <c r="G63" i="3"/>
  <c r="G46" i="3"/>
  <c r="G30" i="3"/>
  <c r="G15" i="3"/>
  <c r="G68" i="3"/>
  <c r="G47" i="3"/>
  <c r="G31" i="3"/>
  <c r="G16" i="3"/>
  <c r="G52" i="3"/>
  <c r="G36" i="3"/>
  <c r="G20" i="3"/>
  <c r="G6" i="3"/>
  <c r="G65" i="3"/>
  <c r="G43" i="3"/>
  <c r="G28" i="3"/>
  <c r="G13" i="3"/>
  <c r="G60" i="3"/>
  <c r="G39" i="3"/>
  <c r="G25" i="3"/>
  <c r="G58" i="3"/>
  <c r="G40" i="3"/>
  <c r="G26" i="3"/>
  <c r="G11" i="3"/>
  <c r="G59" i="3"/>
  <c r="G38" i="3"/>
  <c r="G18" i="3"/>
  <c r="G62" i="3"/>
  <c r="G50" i="3"/>
  <c r="G21" i="3"/>
  <c r="G7" i="3"/>
  <c r="G75" i="3"/>
  <c r="G79" i="3"/>
  <c r="G83" i="3"/>
  <c r="G97" i="3"/>
  <c r="G72" i="3"/>
  <c r="G76" i="3"/>
  <c r="G80" i="3"/>
  <c r="G84" i="3"/>
  <c r="G86" i="3"/>
  <c r="G92" i="3"/>
  <c r="G94" i="3"/>
  <c r="G98" i="3"/>
  <c r="G73" i="3"/>
  <c r="G77" i="3"/>
  <c r="G81" i="3"/>
  <c r="G87" i="3"/>
  <c r="G89" i="3"/>
  <c r="G93" i="3"/>
  <c r="G95" i="3"/>
  <c r="G74" i="3"/>
  <c r="G78" i="3"/>
  <c r="G82" i="3"/>
  <c r="G90" i="3"/>
  <c r="G96" i="3"/>
  <c r="G103" i="3"/>
  <c r="G117" i="3"/>
  <c r="G119" i="3"/>
  <c r="G127" i="3"/>
  <c r="G129" i="3"/>
  <c r="G102" i="3"/>
  <c r="G106" i="3"/>
  <c r="G108" i="3"/>
  <c r="G118" i="3"/>
  <c r="G122" i="3"/>
  <c r="G130" i="3"/>
  <c r="G101" i="3"/>
  <c r="G105" i="3"/>
  <c r="G107" i="3"/>
  <c r="G109" i="3"/>
  <c r="G113" i="3"/>
  <c r="G121" i="3"/>
  <c r="G123" i="3"/>
  <c r="G125" i="3"/>
  <c r="G104" i="3"/>
  <c r="G110" i="3"/>
  <c r="G114" i="3"/>
  <c r="G116" i="3"/>
  <c r="G120" i="3"/>
  <c r="G124" i="3"/>
  <c r="G126" i="3"/>
  <c r="G128" i="3"/>
  <c r="G133" i="3"/>
  <c r="G137" i="3"/>
  <c r="G134" i="3"/>
  <c r="G138" i="3"/>
  <c r="G131" i="3"/>
  <c r="G135" i="3"/>
  <c r="G132" i="3"/>
  <c r="G136" i="3"/>
  <c r="L62" i="3"/>
  <c r="L52" i="3"/>
  <c r="L30" i="3"/>
  <c r="L19" i="3"/>
  <c r="L53" i="3"/>
  <c r="L58" i="3"/>
  <c r="L69" i="3"/>
  <c r="L42" i="3"/>
  <c r="L31" i="3"/>
  <c r="L59" i="3"/>
  <c r="L46" i="3"/>
  <c r="L55" i="3"/>
  <c r="L14" i="3"/>
  <c r="L6" i="3"/>
  <c r="L63" i="3"/>
  <c r="L35" i="3"/>
  <c r="L25" i="3"/>
  <c r="L57" i="3"/>
  <c r="L34" i="3"/>
  <c r="L41" i="3"/>
  <c r="L66" i="3"/>
  <c r="L49" i="3"/>
  <c r="L26" i="3"/>
  <c r="L45" i="3"/>
  <c r="L36" i="3"/>
  <c r="L50" i="3"/>
  <c r="L68" i="3"/>
  <c r="L48" i="3"/>
  <c r="L37" i="3"/>
  <c r="L13" i="3"/>
  <c r="L9" i="3"/>
  <c r="L20" i="3"/>
  <c r="L17" i="3"/>
  <c r="L60" i="3"/>
  <c r="L38" i="3"/>
  <c r="L28" i="3"/>
  <c r="L27" i="3"/>
  <c r="L12" i="3"/>
  <c r="L40" i="3"/>
  <c r="L51" i="3"/>
  <c r="L39" i="3"/>
  <c r="L65" i="3"/>
  <c r="L47" i="3"/>
  <c r="L32" i="3"/>
  <c r="L7" i="3"/>
  <c r="L18" i="3"/>
  <c r="L11" i="3"/>
  <c r="L70" i="3"/>
  <c r="L10" i="3"/>
  <c r="L43" i="3"/>
  <c r="L33" i="3"/>
  <c r="L15" i="3"/>
  <c r="L16" i="3"/>
  <c r="L54" i="3"/>
  <c r="L64" i="3"/>
  <c r="L24" i="3"/>
  <c r="L21" i="3"/>
  <c r="L29" i="3"/>
  <c r="L74" i="3"/>
  <c r="L78" i="3"/>
  <c r="L82" i="3"/>
  <c r="L90" i="3"/>
  <c r="L96" i="3"/>
  <c r="L75" i="3"/>
  <c r="L79" i="3"/>
  <c r="L83" i="3"/>
  <c r="L97" i="3"/>
  <c r="L72" i="3"/>
  <c r="L76" i="3"/>
  <c r="L80" i="3"/>
  <c r="L84" i="3"/>
  <c r="L86" i="3"/>
  <c r="L92" i="3"/>
  <c r="L94" i="3"/>
  <c r="L98" i="3"/>
  <c r="L73" i="3"/>
  <c r="L77" i="3"/>
  <c r="L81" i="3"/>
  <c r="L87" i="3"/>
  <c r="L89" i="3"/>
  <c r="L93" i="3"/>
  <c r="L95" i="3"/>
  <c r="L104" i="3"/>
  <c r="L110" i="3"/>
  <c r="L114" i="3"/>
  <c r="L116" i="3"/>
  <c r="L120" i="3"/>
  <c r="L124" i="3"/>
  <c r="L126" i="3"/>
  <c r="L128" i="3"/>
  <c r="L130" i="3"/>
  <c r="L103" i="3"/>
  <c r="L117" i="3"/>
  <c r="L119" i="3"/>
  <c r="L127" i="3"/>
  <c r="L129" i="3"/>
  <c r="L102" i="3"/>
  <c r="L106" i="3"/>
  <c r="L108" i="3"/>
  <c r="L118" i="3"/>
  <c r="L122" i="3"/>
  <c r="L101" i="3"/>
  <c r="L105" i="3"/>
  <c r="L107" i="3"/>
  <c r="L109" i="3"/>
  <c r="L113" i="3"/>
  <c r="L121" i="3"/>
  <c r="L123" i="3"/>
  <c r="L125" i="3"/>
  <c r="L132" i="3"/>
  <c r="L136" i="3"/>
  <c r="L133" i="3"/>
  <c r="L137" i="3"/>
  <c r="L134" i="3"/>
  <c r="L138" i="3"/>
  <c r="L131" i="3"/>
  <c r="L135" i="3"/>
  <c r="J65" i="3"/>
  <c r="J40" i="3"/>
  <c r="J26" i="3"/>
  <c r="J59" i="3"/>
  <c r="J41" i="3"/>
  <c r="J27" i="3"/>
  <c r="J12" i="3"/>
  <c r="J54" i="3"/>
  <c r="J32" i="3"/>
  <c r="J15" i="3"/>
  <c r="J64" i="3"/>
  <c r="J47" i="3"/>
  <c r="J24" i="3"/>
  <c r="J9" i="3"/>
  <c r="J50" i="3"/>
  <c r="J35" i="3"/>
  <c r="J6" i="3"/>
  <c r="J55" i="3"/>
  <c r="J36" i="3"/>
  <c r="J20" i="3"/>
  <c r="J63" i="3"/>
  <c r="J49" i="3"/>
  <c r="J34" i="3"/>
  <c r="J14" i="3"/>
  <c r="J58" i="3"/>
  <c r="J33" i="3"/>
  <c r="J30" i="3"/>
  <c r="J62" i="3"/>
  <c r="J48" i="3"/>
  <c r="J25" i="3"/>
  <c r="J57" i="3"/>
  <c r="J68" i="3"/>
  <c r="J46" i="3"/>
  <c r="J38" i="3"/>
  <c r="J18" i="3"/>
  <c r="J69" i="3"/>
  <c r="J51" i="3"/>
  <c r="J28" i="3"/>
  <c r="J13" i="3"/>
  <c r="J52" i="3"/>
  <c r="J39" i="3"/>
  <c r="J11" i="3"/>
  <c r="J60" i="3"/>
  <c r="J42" i="3"/>
  <c r="J31" i="3"/>
  <c r="J16" i="3"/>
  <c r="J70" i="3"/>
  <c r="J43" i="3"/>
  <c r="J19" i="3"/>
  <c r="J17" i="3"/>
  <c r="J53" i="3"/>
  <c r="J37" i="3"/>
  <c r="J21" i="3"/>
  <c r="J7" i="3"/>
  <c r="J66" i="3"/>
  <c r="J45" i="3"/>
  <c r="J29" i="3"/>
  <c r="J10" i="3"/>
  <c r="J72" i="3"/>
  <c r="J76" i="3"/>
  <c r="J80" i="3"/>
  <c r="J84" i="3"/>
  <c r="J86" i="3"/>
  <c r="J92" i="3"/>
  <c r="J94" i="3"/>
  <c r="J98" i="3"/>
  <c r="J73" i="3"/>
  <c r="J77" i="3"/>
  <c r="J81" i="3"/>
  <c r="J87" i="3"/>
  <c r="J89" i="3"/>
  <c r="J93" i="3"/>
  <c r="J95" i="3"/>
  <c r="J74" i="3"/>
  <c r="J78" i="3"/>
  <c r="J82" i="3"/>
  <c r="J90" i="3"/>
  <c r="J96" i="3"/>
  <c r="J75" i="3"/>
  <c r="J79" i="3"/>
  <c r="J83" i="3"/>
  <c r="J97" i="3"/>
  <c r="J102" i="3"/>
  <c r="J106" i="3"/>
  <c r="J108" i="3"/>
  <c r="J118" i="3"/>
  <c r="J122" i="3"/>
  <c r="J101" i="3"/>
  <c r="J105" i="3"/>
  <c r="J107" i="3"/>
  <c r="J109" i="3"/>
  <c r="J113" i="3"/>
  <c r="J121" i="3"/>
  <c r="J123" i="3"/>
  <c r="J125" i="3"/>
  <c r="J104" i="3"/>
  <c r="J110" i="3"/>
  <c r="J114" i="3"/>
  <c r="J116" i="3"/>
  <c r="J120" i="3"/>
  <c r="J124" i="3"/>
  <c r="J126" i="3"/>
  <c r="J128" i="3"/>
  <c r="J103" i="3"/>
  <c r="J117" i="3"/>
  <c r="J119" i="3"/>
  <c r="J127" i="3"/>
  <c r="J129" i="3"/>
  <c r="J130" i="3"/>
  <c r="J134" i="3"/>
  <c r="J138" i="3"/>
  <c r="J131" i="3"/>
  <c r="J135" i="3"/>
  <c r="J132" i="3"/>
  <c r="J136" i="3"/>
  <c r="J133" i="3"/>
  <c r="J137" i="3"/>
  <c r="N60" i="3"/>
  <c r="N42" i="3"/>
  <c r="N31" i="3"/>
  <c r="N16" i="3"/>
  <c r="N70" i="3"/>
  <c r="N54" i="3"/>
  <c r="N19" i="3"/>
  <c r="N17" i="3"/>
  <c r="N53" i="3"/>
  <c r="N37" i="3"/>
  <c r="N21" i="3"/>
  <c r="N7" i="3"/>
  <c r="N66" i="3"/>
  <c r="N48" i="3"/>
  <c r="N29" i="3"/>
  <c r="N10" i="3"/>
  <c r="N69" i="3"/>
  <c r="N40" i="3"/>
  <c r="N26" i="3"/>
  <c r="N59" i="3"/>
  <c r="N41" i="3"/>
  <c r="N27" i="3"/>
  <c r="N12" i="3"/>
  <c r="N50" i="3"/>
  <c r="N32" i="3"/>
  <c r="N15" i="3"/>
  <c r="N64" i="3"/>
  <c r="N47" i="3"/>
  <c r="N24" i="3"/>
  <c r="N9" i="3"/>
  <c r="N52" i="3"/>
  <c r="N35" i="3"/>
  <c r="N6" i="3"/>
  <c r="N55" i="3"/>
  <c r="N36" i="3"/>
  <c r="N20" i="3"/>
  <c r="N63" i="3"/>
  <c r="N45" i="3"/>
  <c r="N34" i="3"/>
  <c r="N14" i="3"/>
  <c r="N58" i="3"/>
  <c r="N33" i="3"/>
  <c r="N30" i="3"/>
  <c r="N62" i="3"/>
  <c r="N43" i="3"/>
  <c r="N25" i="3"/>
  <c r="N57" i="3"/>
  <c r="N68" i="3"/>
  <c r="N49" i="3"/>
  <c r="N38" i="3"/>
  <c r="N18" i="3"/>
  <c r="N65" i="3"/>
  <c r="N51" i="3"/>
  <c r="N28" i="3"/>
  <c r="N13" i="3"/>
  <c r="N46" i="3"/>
  <c r="N39" i="3"/>
  <c r="N11" i="3"/>
  <c r="N72" i="3"/>
  <c r="N76" i="3"/>
  <c r="N80" i="3"/>
  <c r="N84" i="3"/>
  <c r="N86" i="3"/>
  <c r="N92" i="3"/>
  <c r="N94" i="3"/>
  <c r="N98" i="3"/>
  <c r="N73" i="3"/>
  <c r="N77" i="3"/>
  <c r="N81" i="3"/>
  <c r="N87" i="3"/>
  <c r="N89" i="3"/>
  <c r="N93" i="3"/>
  <c r="N95" i="3"/>
  <c r="N74" i="3"/>
  <c r="N78" i="3"/>
  <c r="N82" i="3"/>
  <c r="N90" i="3"/>
  <c r="N96" i="3"/>
  <c r="N75" i="3"/>
  <c r="N79" i="3"/>
  <c r="N83" i="3"/>
  <c r="N97" i="3"/>
  <c r="N102" i="3"/>
  <c r="N106" i="3"/>
  <c r="N108" i="3"/>
  <c r="N118" i="3"/>
  <c r="N122" i="3"/>
  <c r="N101" i="3"/>
  <c r="N105" i="3"/>
  <c r="N107" i="3"/>
  <c r="N109" i="3"/>
  <c r="N113" i="3"/>
  <c r="N121" i="3"/>
  <c r="N123" i="3"/>
  <c r="N125" i="3"/>
  <c r="N104" i="3"/>
  <c r="N110" i="3"/>
  <c r="N114" i="3"/>
  <c r="N116" i="3"/>
  <c r="N120" i="3"/>
  <c r="N124" i="3"/>
  <c r="N126" i="3"/>
  <c r="N128" i="3"/>
  <c r="N103" i="3"/>
  <c r="N117" i="3"/>
  <c r="N119" i="3"/>
  <c r="N127" i="3"/>
  <c r="N129" i="3"/>
  <c r="N130" i="3"/>
  <c r="N134" i="3"/>
  <c r="N138" i="3"/>
  <c r="N131" i="3"/>
  <c r="N135" i="3"/>
  <c r="N132" i="3"/>
  <c r="N136" i="3"/>
  <c r="N133" i="3"/>
  <c r="N137" i="3"/>
  <c r="K68" i="3"/>
  <c r="K42" i="3"/>
  <c r="K27" i="3"/>
  <c r="K12" i="3"/>
  <c r="K65" i="3"/>
  <c r="K53" i="3"/>
  <c r="K28" i="3"/>
  <c r="K13" i="3"/>
  <c r="K58" i="3"/>
  <c r="K46" i="3"/>
  <c r="K30" i="3"/>
  <c r="K15" i="3"/>
  <c r="K66" i="3"/>
  <c r="K48" i="3"/>
  <c r="K37" i="3"/>
  <c r="K57" i="3"/>
  <c r="K55" i="3"/>
  <c r="K36" i="3"/>
  <c r="K20" i="3"/>
  <c r="K6" i="3"/>
  <c r="K62" i="3"/>
  <c r="K50" i="3"/>
  <c r="K21" i="3"/>
  <c r="K7" i="3"/>
  <c r="K54" i="3"/>
  <c r="K39" i="3"/>
  <c r="K25" i="3"/>
  <c r="K63" i="3"/>
  <c r="K47" i="3"/>
  <c r="K31" i="3"/>
  <c r="K16" i="3"/>
  <c r="K59" i="3"/>
  <c r="K38" i="3"/>
  <c r="K18" i="3"/>
  <c r="K64" i="3"/>
  <c r="K32" i="3"/>
  <c r="K29" i="3"/>
  <c r="K45" i="3"/>
  <c r="K41" i="3"/>
  <c r="K10" i="3"/>
  <c r="K52" i="3"/>
  <c r="K40" i="3"/>
  <c r="K26" i="3"/>
  <c r="K11" i="3"/>
  <c r="K70" i="3"/>
  <c r="K43" i="3"/>
  <c r="K33" i="3"/>
  <c r="K17" i="3"/>
  <c r="K49" i="3"/>
  <c r="K34" i="3"/>
  <c r="K14" i="3"/>
  <c r="K69" i="3"/>
  <c r="K51" i="3"/>
  <c r="K24" i="3"/>
  <c r="K9" i="3"/>
  <c r="K60" i="3"/>
  <c r="K35" i="3"/>
  <c r="K19" i="3"/>
  <c r="K75" i="3"/>
  <c r="K79" i="3"/>
  <c r="K83" i="3"/>
  <c r="K97" i="3"/>
  <c r="K72" i="3"/>
  <c r="K76" i="3"/>
  <c r="K80" i="3"/>
  <c r="K84" i="3"/>
  <c r="K86" i="3"/>
  <c r="K92" i="3"/>
  <c r="K94" i="3"/>
  <c r="K98" i="3"/>
  <c r="K73" i="3"/>
  <c r="K77" i="3"/>
  <c r="K81" i="3"/>
  <c r="K87" i="3"/>
  <c r="K89" i="3"/>
  <c r="K93" i="3"/>
  <c r="K95" i="3"/>
  <c r="K74" i="3"/>
  <c r="K78" i="3"/>
  <c r="K82" i="3"/>
  <c r="K90" i="3"/>
  <c r="K96" i="3"/>
  <c r="K103" i="3"/>
  <c r="K117" i="3"/>
  <c r="K119" i="3"/>
  <c r="K127" i="3"/>
  <c r="K129" i="3"/>
  <c r="K102" i="3"/>
  <c r="K106" i="3"/>
  <c r="K108" i="3"/>
  <c r="K118" i="3"/>
  <c r="K122" i="3"/>
  <c r="K101" i="3"/>
  <c r="K105" i="3"/>
  <c r="K107" i="3"/>
  <c r="K109" i="3"/>
  <c r="K113" i="3"/>
  <c r="K121" i="3"/>
  <c r="K123" i="3"/>
  <c r="K125" i="3"/>
  <c r="K104" i="3"/>
  <c r="K110" i="3"/>
  <c r="K114" i="3"/>
  <c r="K116" i="3"/>
  <c r="K120" i="3"/>
  <c r="K124" i="3"/>
  <c r="K126" i="3"/>
  <c r="K128" i="3"/>
  <c r="K130" i="3"/>
  <c r="K133" i="3"/>
  <c r="K137" i="3"/>
  <c r="K134" i="3"/>
  <c r="K138" i="3"/>
  <c r="K131" i="3"/>
  <c r="K135" i="3"/>
  <c r="K132" i="3"/>
  <c r="K136" i="3"/>
  <c r="P63" i="3"/>
  <c r="P53" i="3"/>
  <c r="P30" i="3"/>
  <c r="P6" i="3"/>
  <c r="P69" i="3"/>
  <c r="P42" i="3"/>
  <c r="P31" i="3"/>
  <c r="P7" i="3"/>
  <c r="P55" i="3"/>
  <c r="P45" i="3"/>
  <c r="P20" i="3"/>
  <c r="P14" i="3"/>
  <c r="P70" i="3"/>
  <c r="P51" i="3"/>
  <c r="P36" i="3"/>
  <c r="P16" i="3"/>
  <c r="P54" i="3"/>
  <c r="P35" i="3"/>
  <c r="P25" i="3"/>
  <c r="P57" i="3"/>
  <c r="P62" i="3"/>
  <c r="P49" i="3"/>
  <c r="P26" i="3"/>
  <c r="P18" i="3"/>
  <c r="P60" i="3"/>
  <c r="P34" i="3"/>
  <c r="P24" i="3"/>
  <c r="P66" i="3"/>
  <c r="P46" i="3"/>
  <c r="P21" i="3"/>
  <c r="P11" i="3"/>
  <c r="P52" i="3"/>
  <c r="P37" i="3"/>
  <c r="P13" i="3"/>
  <c r="P59" i="3"/>
  <c r="P38" i="3"/>
  <c r="P28" i="3"/>
  <c r="P43" i="3"/>
  <c r="P40" i="3"/>
  <c r="P19" i="3"/>
  <c r="P68" i="3"/>
  <c r="P39" i="3"/>
  <c r="P29" i="3"/>
  <c r="P10" i="3"/>
  <c r="P65" i="3"/>
  <c r="P47" i="3"/>
  <c r="P32" i="3"/>
  <c r="P12" i="3"/>
  <c r="P48" i="3"/>
  <c r="P33" i="3"/>
  <c r="P9" i="3"/>
  <c r="P64" i="3"/>
  <c r="P50" i="3"/>
  <c r="P27" i="3"/>
  <c r="P15" i="3"/>
  <c r="P58" i="3"/>
  <c r="P41" i="3"/>
  <c r="P17" i="3"/>
  <c r="P74" i="3"/>
  <c r="P78" i="3"/>
  <c r="P82" i="3"/>
  <c r="P90" i="3"/>
  <c r="P96" i="3"/>
  <c r="P75" i="3"/>
  <c r="P79" i="3"/>
  <c r="P83" i="3"/>
  <c r="P97" i="3"/>
  <c r="P72" i="3"/>
  <c r="P76" i="3"/>
  <c r="P80" i="3"/>
  <c r="P84" i="3"/>
  <c r="P86" i="3"/>
  <c r="P92" i="3"/>
  <c r="P94" i="3"/>
  <c r="P98" i="3"/>
  <c r="P73" i="3"/>
  <c r="P77" i="3"/>
  <c r="P81" i="3"/>
  <c r="P87" i="3"/>
  <c r="P89" i="3"/>
  <c r="P93" i="3"/>
  <c r="P95" i="3"/>
  <c r="P104" i="3"/>
  <c r="P110" i="3"/>
  <c r="P114" i="3"/>
  <c r="P116" i="3"/>
  <c r="P120" i="3"/>
  <c r="P124" i="3"/>
  <c r="P126" i="3"/>
  <c r="P128" i="3"/>
  <c r="P103" i="3"/>
  <c r="P117" i="3"/>
  <c r="P119" i="3"/>
  <c r="P127" i="3"/>
  <c r="P129" i="3"/>
  <c r="P102" i="3"/>
  <c r="P106" i="3"/>
  <c r="P108" i="3"/>
  <c r="P118" i="3"/>
  <c r="P122" i="3"/>
  <c r="P130" i="3"/>
  <c r="P101" i="3"/>
  <c r="P105" i="3"/>
  <c r="P107" i="3"/>
  <c r="P109" i="3"/>
  <c r="P113" i="3"/>
  <c r="P121" i="3"/>
  <c r="P123" i="3"/>
  <c r="P125" i="3"/>
  <c r="P132" i="3"/>
  <c r="P136" i="3"/>
  <c r="P133" i="3"/>
  <c r="P137" i="3"/>
  <c r="P134" i="3"/>
  <c r="P138" i="3"/>
  <c r="P131" i="3"/>
  <c r="P135" i="3"/>
  <c r="P135" i="2" l="1"/>
  <c r="P131" i="2"/>
  <c r="P138" i="2"/>
  <c r="P134" i="2"/>
  <c r="P137" i="2"/>
  <c r="P133" i="2"/>
  <c r="P136" i="2"/>
  <c r="P132" i="2"/>
  <c r="P125" i="2"/>
  <c r="P123" i="2"/>
  <c r="P121" i="2"/>
  <c r="P112" i="3"/>
  <c r="P113" i="2"/>
  <c r="P109" i="2"/>
  <c r="P107" i="2"/>
  <c r="P105" i="2"/>
  <c r="P100" i="3"/>
  <c r="P101" i="2"/>
  <c r="P130" i="2"/>
  <c r="P122" i="2"/>
  <c r="P118" i="2"/>
  <c r="P108" i="2"/>
  <c r="P106" i="2"/>
  <c r="P102" i="2"/>
  <c r="P129" i="2"/>
  <c r="P127" i="2"/>
  <c r="P119" i="2"/>
  <c r="P117" i="2"/>
  <c r="P103" i="2"/>
  <c r="P128" i="2"/>
  <c r="P126" i="2"/>
  <c r="P124" i="2"/>
  <c r="P120" i="2"/>
  <c r="P115" i="3"/>
  <c r="P115" i="2" s="1"/>
  <c r="P116" i="2"/>
  <c r="P114" i="2"/>
  <c r="P110" i="2"/>
  <c r="P104" i="2"/>
  <c r="P95" i="2"/>
  <c r="P93" i="2"/>
  <c r="P88" i="3"/>
  <c r="P88" i="2" s="1"/>
  <c r="P89" i="2"/>
  <c r="P87" i="2"/>
  <c r="P81" i="2"/>
  <c r="P77" i="2"/>
  <c r="P73" i="2"/>
  <c r="P98" i="2"/>
  <c r="P94" i="2"/>
  <c r="P91" i="3"/>
  <c r="P91" i="2" s="1"/>
  <c r="P92" i="2"/>
  <c r="P85" i="3"/>
  <c r="P85" i="2" s="1"/>
  <c r="P86" i="2"/>
  <c r="P84" i="2"/>
  <c r="P80" i="2"/>
  <c r="P76" i="2"/>
  <c r="P72" i="2"/>
  <c r="P97" i="2"/>
  <c r="P83" i="2"/>
  <c r="P79" i="2"/>
  <c r="P75" i="2"/>
  <c r="P96" i="2"/>
  <c r="P90" i="2"/>
  <c r="P82" i="2"/>
  <c r="P78" i="2"/>
  <c r="P74" i="2"/>
  <c r="P17" i="2"/>
  <c r="P41" i="2"/>
  <c r="P58" i="2"/>
  <c r="P15" i="2"/>
  <c r="P27" i="2"/>
  <c r="P50" i="2"/>
  <c r="P64" i="2"/>
  <c r="P8" i="3"/>
  <c r="P8" i="2" s="1"/>
  <c r="P9" i="2"/>
  <c r="P33" i="2"/>
  <c r="P48" i="2"/>
  <c r="P12" i="2"/>
  <c r="P32" i="2"/>
  <c r="P47" i="2"/>
  <c r="P65" i="2"/>
  <c r="P10" i="2"/>
  <c r="P29" i="2"/>
  <c r="P39" i="2"/>
  <c r="P67" i="3"/>
  <c r="P67" i="2" s="1"/>
  <c r="P68" i="2"/>
  <c r="P19" i="2"/>
  <c r="P40" i="2"/>
  <c r="P43" i="2"/>
  <c r="P28" i="2"/>
  <c r="P38" i="2"/>
  <c r="P59" i="2"/>
  <c r="P13" i="2"/>
  <c r="P37" i="2"/>
  <c r="P52" i="2"/>
  <c r="P11" i="2"/>
  <c r="P21" i="2"/>
  <c r="P46" i="2"/>
  <c r="P66" i="2"/>
  <c r="P23" i="3"/>
  <c r="P24" i="2"/>
  <c r="P34" i="2"/>
  <c r="P60" i="2"/>
  <c r="P18" i="2"/>
  <c r="P26" i="2"/>
  <c r="P49" i="2"/>
  <c r="P61" i="3"/>
  <c r="P61" i="2" s="1"/>
  <c r="P62" i="2"/>
  <c r="P56" i="3"/>
  <c r="P56" i="2" s="1"/>
  <c r="P57" i="2"/>
  <c r="P25" i="2"/>
  <c r="P35" i="2"/>
  <c r="P54" i="2"/>
  <c r="P16" i="2"/>
  <c r="P36" i="2"/>
  <c r="P51" i="2"/>
  <c r="P70" i="2"/>
  <c r="P14" i="2"/>
  <c r="P20" i="2"/>
  <c r="P44" i="3"/>
  <c r="P44" i="2" s="1"/>
  <c r="P45" i="2"/>
  <c r="P55" i="2"/>
  <c r="P7" i="2"/>
  <c r="P31" i="2"/>
  <c r="P42" i="2"/>
  <c r="P69" i="2"/>
  <c r="P5" i="3"/>
  <c r="P6" i="2"/>
  <c r="P30" i="2"/>
  <c r="P53" i="2"/>
  <c r="P63" i="2"/>
  <c r="K136" i="2"/>
  <c r="K132" i="2"/>
  <c r="K135" i="2"/>
  <c r="K131" i="2"/>
  <c r="K138" i="2"/>
  <c r="K134" i="2"/>
  <c r="K137" i="2"/>
  <c r="K133" i="2"/>
  <c r="K130" i="2"/>
  <c r="K128" i="2"/>
  <c r="K126" i="2"/>
  <c r="K124" i="2"/>
  <c r="K120" i="2"/>
  <c r="K115" i="3"/>
  <c r="K115" i="2" s="1"/>
  <c r="K116" i="2"/>
  <c r="K114" i="2"/>
  <c r="K110" i="2"/>
  <c r="K104" i="2"/>
  <c r="K125" i="2"/>
  <c r="K123" i="2"/>
  <c r="K121" i="2"/>
  <c r="K112" i="3"/>
  <c r="K113" i="2"/>
  <c r="K109" i="2"/>
  <c r="K107" i="2"/>
  <c r="K105" i="2"/>
  <c r="K100" i="3"/>
  <c r="K101" i="2"/>
  <c r="K122" i="2"/>
  <c r="K118" i="2"/>
  <c r="K108" i="2"/>
  <c r="K106" i="2"/>
  <c r="K102" i="2"/>
  <c r="K129" i="2"/>
  <c r="K127" i="2"/>
  <c r="K119" i="2"/>
  <c r="K117" i="2"/>
  <c r="K103" i="2"/>
  <c r="K96" i="2"/>
  <c r="K90" i="2"/>
  <c r="K82" i="2"/>
  <c r="K78" i="2"/>
  <c r="K74" i="2"/>
  <c r="K95" i="2"/>
  <c r="K93" i="2"/>
  <c r="K88" i="3"/>
  <c r="K88" i="2" s="1"/>
  <c r="K89" i="2"/>
  <c r="K87" i="2"/>
  <c r="K81" i="2"/>
  <c r="K77" i="2"/>
  <c r="K73" i="2"/>
  <c r="K98" i="2"/>
  <c r="K94" i="2"/>
  <c r="K91" i="3"/>
  <c r="K91" i="2" s="1"/>
  <c r="K92" i="2"/>
  <c r="K85" i="3"/>
  <c r="K85" i="2" s="1"/>
  <c r="K86" i="2"/>
  <c r="K84" i="2"/>
  <c r="K80" i="2"/>
  <c r="K76" i="2"/>
  <c r="K72" i="2"/>
  <c r="K97" i="2"/>
  <c r="K83" i="2"/>
  <c r="K79" i="2"/>
  <c r="K75" i="2"/>
  <c r="K19" i="2"/>
  <c r="K35" i="2"/>
  <c r="K60" i="2"/>
  <c r="K8" i="3"/>
  <c r="K8" i="2" s="1"/>
  <c r="K9" i="2"/>
  <c r="K23" i="3"/>
  <c r="K24" i="2"/>
  <c r="K51" i="2"/>
  <c r="K69" i="2"/>
  <c r="K14" i="2"/>
  <c r="K34" i="2"/>
  <c r="K49" i="2"/>
  <c r="K17" i="2"/>
  <c r="K33" i="2"/>
  <c r="K43" i="2"/>
  <c r="K70" i="2"/>
  <c r="K11" i="2"/>
  <c r="K26" i="2"/>
  <c r="K40" i="2"/>
  <c r="K52" i="2"/>
  <c r="K10" i="2"/>
  <c r="K41" i="2"/>
  <c r="K44" i="3"/>
  <c r="K44" i="2" s="1"/>
  <c r="K45" i="2"/>
  <c r="K29" i="2"/>
  <c r="K32" i="2"/>
  <c r="K64" i="2"/>
  <c r="K18" i="2"/>
  <c r="K38" i="2"/>
  <c r="K59" i="2"/>
  <c r="K16" i="2"/>
  <c r="K31" i="2"/>
  <c r="K47" i="2"/>
  <c r="K63" i="2"/>
  <c r="K25" i="2"/>
  <c r="K39" i="2"/>
  <c r="K54" i="2"/>
  <c r="K7" i="2"/>
  <c r="K21" i="2"/>
  <c r="K50" i="2"/>
  <c r="K61" i="3"/>
  <c r="K61" i="2" s="1"/>
  <c r="K62" i="2"/>
  <c r="K6" i="2"/>
  <c r="K20" i="2"/>
  <c r="K36" i="2"/>
  <c r="K55" i="2"/>
  <c r="K56" i="3"/>
  <c r="K56" i="2" s="1"/>
  <c r="K57" i="2"/>
  <c r="K37" i="2"/>
  <c r="K48" i="2"/>
  <c r="K66" i="2"/>
  <c r="K15" i="2"/>
  <c r="K30" i="2"/>
  <c r="K46" i="2"/>
  <c r="K58" i="2"/>
  <c r="K13" i="2"/>
  <c r="K28" i="2"/>
  <c r="K53" i="2"/>
  <c r="K65" i="2"/>
  <c r="K12" i="2"/>
  <c r="K27" i="2"/>
  <c r="K42" i="2"/>
  <c r="K67" i="3"/>
  <c r="K67" i="2" s="1"/>
  <c r="K68" i="2"/>
  <c r="N137" i="2"/>
  <c r="N133" i="2"/>
  <c r="N136" i="2"/>
  <c r="N132" i="2"/>
  <c r="N135" i="2"/>
  <c r="N131" i="2"/>
  <c r="N138" i="2"/>
  <c r="N134" i="2"/>
  <c r="N130" i="2"/>
  <c r="N129" i="2"/>
  <c r="N127" i="2"/>
  <c r="N119" i="2"/>
  <c r="N117" i="2"/>
  <c r="N103" i="2"/>
  <c r="N128" i="2"/>
  <c r="N126" i="2"/>
  <c r="N124" i="2"/>
  <c r="N120" i="2"/>
  <c r="N115" i="3"/>
  <c r="N115" i="2" s="1"/>
  <c r="N116" i="2"/>
  <c r="N114" i="2"/>
  <c r="N110" i="2"/>
  <c r="N104" i="2"/>
  <c r="N125" i="2"/>
  <c r="N123" i="2"/>
  <c r="N121" i="2"/>
  <c r="N112" i="3"/>
  <c r="N113" i="2"/>
  <c r="N109" i="2"/>
  <c r="N107" i="2"/>
  <c r="N105" i="2"/>
  <c r="N100" i="3"/>
  <c r="N101" i="2"/>
  <c r="N122" i="2"/>
  <c r="N118" i="2"/>
  <c r="N108" i="2"/>
  <c r="N106" i="2"/>
  <c r="N102" i="2"/>
  <c r="N97" i="2"/>
  <c r="N83" i="2"/>
  <c r="N79" i="2"/>
  <c r="N75" i="2"/>
  <c r="N96" i="2"/>
  <c r="N90" i="2"/>
  <c r="N82" i="2"/>
  <c r="N78" i="2"/>
  <c r="N74" i="2"/>
  <c r="N95" i="2"/>
  <c r="N93" i="2"/>
  <c r="N88" i="3"/>
  <c r="N88" i="2" s="1"/>
  <c r="N89" i="2"/>
  <c r="N87" i="2"/>
  <c r="N81" i="2"/>
  <c r="N77" i="2"/>
  <c r="N73" i="2"/>
  <c r="N98" i="2"/>
  <c r="N94" i="2"/>
  <c r="N91" i="3"/>
  <c r="N91" i="2" s="1"/>
  <c r="N92" i="2"/>
  <c r="N85" i="3"/>
  <c r="N85" i="2" s="1"/>
  <c r="N86" i="2"/>
  <c r="N84" i="2"/>
  <c r="N80" i="2"/>
  <c r="N76" i="2"/>
  <c r="N72" i="2"/>
  <c r="N11" i="2"/>
  <c r="N39" i="2"/>
  <c r="N46" i="2"/>
  <c r="N13" i="2"/>
  <c r="N28" i="2"/>
  <c r="N51" i="2"/>
  <c r="N65" i="2"/>
  <c r="N18" i="2"/>
  <c r="N38" i="2"/>
  <c r="N49" i="2"/>
  <c r="N67" i="3"/>
  <c r="N67" i="2" s="1"/>
  <c r="N68" i="2"/>
  <c r="N56" i="3"/>
  <c r="N56" i="2" s="1"/>
  <c r="N57" i="2"/>
  <c r="N25" i="2"/>
  <c r="N43" i="2"/>
  <c r="N61" i="3"/>
  <c r="N61" i="2" s="1"/>
  <c r="N62" i="2"/>
  <c r="N30" i="2"/>
  <c r="N33" i="2"/>
  <c r="N58" i="2"/>
  <c r="N14" i="2"/>
  <c r="N34" i="2"/>
  <c r="N44" i="3"/>
  <c r="N44" i="2" s="1"/>
  <c r="N45" i="2"/>
  <c r="N63" i="2"/>
  <c r="N20" i="2"/>
  <c r="N36" i="2"/>
  <c r="N55" i="2"/>
  <c r="N6" i="2"/>
  <c r="N35" i="2"/>
  <c r="N52" i="2"/>
  <c r="N8" i="3"/>
  <c r="N8" i="2" s="1"/>
  <c r="N9" i="2"/>
  <c r="N23" i="3"/>
  <c r="N24" i="2"/>
  <c r="N47" i="2"/>
  <c r="N64" i="2"/>
  <c r="N15" i="2"/>
  <c r="N32" i="2"/>
  <c r="N50" i="2"/>
  <c r="N12" i="2"/>
  <c r="N27" i="2"/>
  <c r="N41" i="2"/>
  <c r="N59" i="2"/>
  <c r="N26" i="2"/>
  <c r="N40" i="2"/>
  <c r="N69" i="2"/>
  <c r="N10" i="2"/>
  <c r="N29" i="2"/>
  <c r="N48" i="2"/>
  <c r="N66" i="2"/>
  <c r="N7" i="2"/>
  <c r="N21" i="2"/>
  <c r="N37" i="2"/>
  <c r="N53" i="2"/>
  <c r="N17" i="2"/>
  <c r="N19" i="2"/>
  <c r="N54" i="2"/>
  <c r="N70" i="2"/>
  <c r="N16" i="2"/>
  <c r="N31" i="2"/>
  <c r="N42" i="2"/>
  <c r="N60" i="2"/>
  <c r="J137" i="2"/>
  <c r="J133" i="2"/>
  <c r="J136" i="2"/>
  <c r="J132" i="2"/>
  <c r="J135" i="2"/>
  <c r="J131" i="2"/>
  <c r="J138" i="2"/>
  <c r="J134" i="2"/>
  <c r="J130" i="2"/>
  <c r="J129" i="2"/>
  <c r="J127" i="2"/>
  <c r="J119" i="2"/>
  <c r="J117" i="2"/>
  <c r="J103" i="2"/>
  <c r="J128" i="2"/>
  <c r="J126" i="2"/>
  <c r="J124" i="2"/>
  <c r="J120" i="2"/>
  <c r="J115" i="3"/>
  <c r="J115" i="2" s="1"/>
  <c r="J116" i="2"/>
  <c r="J114" i="2"/>
  <c r="J110" i="2"/>
  <c r="J104" i="2"/>
  <c r="J125" i="2"/>
  <c r="J123" i="2"/>
  <c r="J121" i="2"/>
  <c r="J112" i="3"/>
  <c r="J113" i="2"/>
  <c r="J109" i="2"/>
  <c r="J107" i="2"/>
  <c r="J105" i="2"/>
  <c r="J100" i="3"/>
  <c r="J101" i="2"/>
  <c r="J122" i="2"/>
  <c r="J118" i="2"/>
  <c r="J108" i="2"/>
  <c r="J106" i="2"/>
  <c r="J102" i="2"/>
  <c r="J97" i="2"/>
  <c r="J83" i="2"/>
  <c r="J79" i="2"/>
  <c r="J75" i="2"/>
  <c r="J96" i="2"/>
  <c r="J90" i="2"/>
  <c r="J82" i="2"/>
  <c r="J78" i="2"/>
  <c r="J74" i="2"/>
  <c r="J95" i="2"/>
  <c r="J93" i="2"/>
  <c r="J88" i="3"/>
  <c r="J88" i="2" s="1"/>
  <c r="J89" i="2"/>
  <c r="J87" i="2"/>
  <c r="J81" i="2"/>
  <c r="J77" i="2"/>
  <c r="J73" i="2"/>
  <c r="J98" i="2"/>
  <c r="J94" i="2"/>
  <c r="J91" i="3"/>
  <c r="J91" i="2" s="1"/>
  <c r="J92" i="2"/>
  <c r="J85" i="3"/>
  <c r="J85" i="2" s="1"/>
  <c r="J86" i="2"/>
  <c r="J84" i="2"/>
  <c r="J80" i="2"/>
  <c r="J76" i="2"/>
  <c r="J72" i="2"/>
  <c r="J10" i="2"/>
  <c r="J29" i="2"/>
  <c r="J44" i="3"/>
  <c r="J44" i="2" s="1"/>
  <c r="J45" i="2"/>
  <c r="J66" i="2"/>
  <c r="J7" i="2"/>
  <c r="J21" i="2"/>
  <c r="J37" i="2"/>
  <c r="J53" i="2"/>
  <c r="J17" i="2"/>
  <c r="J19" i="2"/>
  <c r="J43" i="2"/>
  <c r="J70" i="2"/>
  <c r="J16" i="2"/>
  <c r="J31" i="2"/>
  <c r="J42" i="2"/>
  <c r="J60" i="2"/>
  <c r="J11" i="2"/>
  <c r="J39" i="2"/>
  <c r="J52" i="2"/>
  <c r="J13" i="2"/>
  <c r="J28" i="2"/>
  <c r="J51" i="2"/>
  <c r="J69" i="2"/>
  <c r="J18" i="2"/>
  <c r="J38" i="2"/>
  <c r="J46" i="2"/>
  <c r="J67" i="3"/>
  <c r="J67" i="2" s="1"/>
  <c r="J68" i="2"/>
  <c r="J56" i="3"/>
  <c r="J56" i="2" s="1"/>
  <c r="J57" i="2"/>
  <c r="J25" i="2"/>
  <c r="J48" i="2"/>
  <c r="J61" i="3"/>
  <c r="J61" i="2" s="1"/>
  <c r="J62" i="2"/>
  <c r="J30" i="2"/>
  <c r="J33" i="2"/>
  <c r="J58" i="2"/>
  <c r="J14" i="2"/>
  <c r="J34" i="2"/>
  <c r="J49" i="2"/>
  <c r="J63" i="2"/>
  <c r="J20" i="2"/>
  <c r="J36" i="2"/>
  <c r="J55" i="2"/>
  <c r="J6" i="2"/>
  <c r="J35" i="2"/>
  <c r="J50" i="2"/>
  <c r="J8" i="3"/>
  <c r="J8" i="2" s="1"/>
  <c r="J9" i="2"/>
  <c r="J23" i="3"/>
  <c r="J24" i="2"/>
  <c r="J47" i="2"/>
  <c r="J64" i="2"/>
  <c r="J15" i="2"/>
  <c r="J32" i="2"/>
  <c r="J54" i="2"/>
  <c r="J12" i="2"/>
  <c r="J27" i="2"/>
  <c r="J41" i="2"/>
  <c r="J59" i="2"/>
  <c r="J26" i="2"/>
  <c r="J40" i="2"/>
  <c r="J65" i="2"/>
  <c r="L135" i="2"/>
  <c r="L131" i="2"/>
  <c r="L138" i="2"/>
  <c r="L134" i="2"/>
  <c r="L137" i="2"/>
  <c r="L133" i="2"/>
  <c r="L136" i="2"/>
  <c r="L132" i="2"/>
  <c r="L125" i="2"/>
  <c r="L123" i="2"/>
  <c r="L121" i="2"/>
  <c r="L112" i="3"/>
  <c r="L113" i="2"/>
  <c r="L109" i="2"/>
  <c r="L107" i="2"/>
  <c r="L105" i="2"/>
  <c r="L100" i="3"/>
  <c r="L101" i="2"/>
  <c r="L122" i="2"/>
  <c r="L118" i="2"/>
  <c r="L108" i="2"/>
  <c r="L106" i="2"/>
  <c r="L102" i="2"/>
  <c r="L129" i="2"/>
  <c r="L127" i="2"/>
  <c r="L119" i="2"/>
  <c r="L117" i="2"/>
  <c r="L103" i="2"/>
  <c r="L130" i="2"/>
  <c r="L128" i="2"/>
  <c r="L126" i="2"/>
  <c r="L124" i="2"/>
  <c r="L120" i="2"/>
  <c r="L115" i="3"/>
  <c r="L115" i="2" s="1"/>
  <c r="L116" i="2"/>
  <c r="L114" i="2"/>
  <c r="L110" i="2"/>
  <c r="L104" i="2"/>
  <c r="L95" i="2"/>
  <c r="L93" i="2"/>
  <c r="L88" i="3"/>
  <c r="L88" i="2" s="1"/>
  <c r="L89" i="2"/>
  <c r="L87" i="2"/>
  <c r="L81" i="2"/>
  <c r="L77" i="2"/>
  <c r="L73" i="2"/>
  <c r="L98" i="2"/>
  <c r="L94" i="2"/>
  <c r="L91" i="3"/>
  <c r="L91" i="2" s="1"/>
  <c r="L92" i="2"/>
  <c r="L85" i="3"/>
  <c r="L85" i="2" s="1"/>
  <c r="L86" i="2"/>
  <c r="L84" i="2"/>
  <c r="L80" i="2"/>
  <c r="L76" i="2"/>
  <c r="L72" i="2"/>
  <c r="L97" i="2"/>
  <c r="L83" i="2"/>
  <c r="L79" i="2"/>
  <c r="L75" i="2"/>
  <c r="L96" i="2"/>
  <c r="L90" i="2"/>
  <c r="L82" i="2"/>
  <c r="L78" i="2"/>
  <c r="L74" i="2"/>
  <c r="L29" i="2"/>
  <c r="L21" i="2"/>
  <c r="L23" i="3"/>
  <c r="L24" i="2"/>
  <c r="L64" i="2"/>
  <c r="L54" i="2"/>
  <c r="L16" i="2"/>
  <c r="L15" i="2"/>
  <c r="L33" i="2"/>
  <c r="L43" i="2"/>
  <c r="L10" i="2"/>
  <c r="L70" i="2"/>
  <c r="L11" i="2"/>
  <c r="L18" i="2"/>
  <c r="L7" i="2"/>
  <c r="L32" i="2"/>
  <c r="L47" i="2"/>
  <c r="L65" i="2"/>
  <c r="L39" i="2"/>
  <c r="L51" i="2"/>
  <c r="L40" i="2"/>
  <c r="L12" i="2"/>
  <c r="L27" i="2"/>
  <c r="L28" i="2"/>
  <c r="L38" i="2"/>
  <c r="L60" i="2"/>
  <c r="L17" i="2"/>
  <c r="L20" i="2"/>
  <c r="L8" i="3"/>
  <c r="L8" i="2" s="1"/>
  <c r="L9" i="2"/>
  <c r="L13" i="2"/>
  <c r="L37" i="2"/>
  <c r="L48" i="2"/>
  <c r="L67" i="3"/>
  <c r="L67" i="2" s="1"/>
  <c r="L68" i="2"/>
  <c r="L50" i="2"/>
  <c r="L36" i="2"/>
  <c r="L44" i="3"/>
  <c r="L44" i="2" s="1"/>
  <c r="L45" i="2"/>
  <c r="L26" i="2"/>
  <c r="L49" i="2"/>
  <c r="L66" i="2"/>
  <c r="L41" i="2"/>
  <c r="L34" i="2"/>
  <c r="L56" i="3"/>
  <c r="L56" i="2" s="1"/>
  <c r="L57" i="2"/>
  <c r="L25" i="2"/>
  <c r="L35" i="2"/>
  <c r="L63" i="2"/>
  <c r="L6" i="2"/>
  <c r="L14" i="2"/>
  <c r="L55" i="2"/>
  <c r="L46" i="2"/>
  <c r="L59" i="2"/>
  <c r="L31" i="2"/>
  <c r="L42" i="2"/>
  <c r="L69" i="2"/>
  <c r="L58" i="2"/>
  <c r="L53" i="2"/>
  <c r="L19" i="2"/>
  <c r="L30" i="2"/>
  <c r="L52" i="2"/>
  <c r="L61" i="3"/>
  <c r="L61" i="2" s="1"/>
  <c r="L62" i="2"/>
  <c r="G136" i="2"/>
  <c r="G132" i="2"/>
  <c r="G135" i="2"/>
  <c r="G131" i="2"/>
  <c r="G138" i="2"/>
  <c r="G134" i="2"/>
  <c r="G137" i="2"/>
  <c r="G133" i="2"/>
  <c r="G128" i="2"/>
  <c r="G126" i="2"/>
  <c r="G124" i="2"/>
  <c r="G120" i="2"/>
  <c r="G115" i="3"/>
  <c r="G115" i="2" s="1"/>
  <c r="G116" i="2"/>
  <c r="G114" i="2"/>
  <c r="G110" i="2"/>
  <c r="G104" i="2"/>
  <c r="G125" i="2"/>
  <c r="G123" i="2"/>
  <c r="G121" i="2"/>
  <c r="G112" i="3"/>
  <c r="G113" i="2"/>
  <c r="G109" i="2"/>
  <c r="G107" i="2"/>
  <c r="G105" i="2"/>
  <c r="G100" i="3"/>
  <c r="G101" i="2"/>
  <c r="G130" i="2"/>
  <c r="G122" i="2"/>
  <c r="G118" i="2"/>
  <c r="G108" i="2"/>
  <c r="G106" i="2"/>
  <c r="G102" i="2"/>
  <c r="G129" i="2"/>
  <c r="G127" i="2"/>
  <c r="G119" i="2"/>
  <c r="G117" i="2"/>
  <c r="G103" i="2"/>
  <c r="G96" i="2"/>
  <c r="G90" i="2"/>
  <c r="G82" i="2"/>
  <c r="G78" i="2"/>
  <c r="G74" i="2"/>
  <c r="G95" i="2"/>
  <c r="G93" i="2"/>
  <c r="G88" i="3"/>
  <c r="G88" i="2" s="1"/>
  <c r="G89" i="2"/>
  <c r="G87" i="2"/>
  <c r="G81" i="2"/>
  <c r="G77" i="2"/>
  <c r="G73" i="2"/>
  <c r="G98" i="2"/>
  <c r="G94" i="2"/>
  <c r="G91" i="3"/>
  <c r="G91" i="2" s="1"/>
  <c r="G92" i="2"/>
  <c r="G85" i="3"/>
  <c r="G85" i="2" s="1"/>
  <c r="G86" i="2"/>
  <c r="G84" i="2"/>
  <c r="G80" i="2"/>
  <c r="G76" i="2"/>
  <c r="G72" i="2"/>
  <c r="G97" i="2"/>
  <c r="G83" i="2"/>
  <c r="G79" i="2"/>
  <c r="G75" i="2"/>
  <c r="G7" i="2"/>
  <c r="G21" i="2"/>
  <c r="G50" i="2"/>
  <c r="G61" i="3"/>
  <c r="G61" i="2" s="1"/>
  <c r="G62" i="2"/>
  <c r="G18" i="2"/>
  <c r="G38" i="2"/>
  <c r="G59" i="2"/>
  <c r="G11" i="2"/>
  <c r="G26" i="2"/>
  <c r="G40" i="2"/>
  <c r="G58" i="2"/>
  <c r="G25" i="2"/>
  <c r="G39" i="2"/>
  <c r="G60" i="2"/>
  <c r="G13" i="2"/>
  <c r="G28" i="2"/>
  <c r="G43" i="2"/>
  <c r="G65" i="2"/>
  <c r="G6" i="2"/>
  <c r="G20" i="2"/>
  <c r="G36" i="2"/>
  <c r="G52" i="2"/>
  <c r="G16" i="2"/>
  <c r="G31" i="2"/>
  <c r="G47" i="2"/>
  <c r="G67" i="3"/>
  <c r="G67" i="2" s="1"/>
  <c r="G68" i="2"/>
  <c r="G15" i="2"/>
  <c r="G30" i="2"/>
  <c r="G46" i="2"/>
  <c r="G63" i="2"/>
  <c r="G14" i="2"/>
  <c r="G34" i="2"/>
  <c r="G53" i="2"/>
  <c r="G12" i="2"/>
  <c r="G27" i="2"/>
  <c r="G42" i="2"/>
  <c r="G64" i="2"/>
  <c r="G56" i="3"/>
  <c r="G56" i="2" s="1"/>
  <c r="G57" i="2"/>
  <c r="G37" i="2"/>
  <c r="G44" i="3"/>
  <c r="G44" i="2" s="1"/>
  <c r="G45" i="2"/>
  <c r="G66" i="2"/>
  <c r="G8" i="3"/>
  <c r="G8" i="2" s="1"/>
  <c r="G9" i="2"/>
  <c r="G23" i="3"/>
  <c r="G24" i="2"/>
  <c r="G51" i="2"/>
  <c r="G69" i="2"/>
  <c r="G29" i="2"/>
  <c r="G32" i="2"/>
  <c r="G55" i="2"/>
  <c r="G17" i="2"/>
  <c r="G33" i="2"/>
  <c r="G48" i="2"/>
  <c r="G70" i="2"/>
  <c r="G19" i="2"/>
  <c r="G35" i="2"/>
  <c r="G54" i="2"/>
  <c r="G10" i="2"/>
  <c r="G41" i="2"/>
  <c r="G49" i="2"/>
  <c r="AH137" i="2"/>
  <c r="AH133" i="2"/>
  <c r="AH136" i="2"/>
  <c r="AH132" i="2"/>
  <c r="AH135" i="2"/>
  <c r="AH131" i="2"/>
  <c r="AH138" i="2"/>
  <c r="AH134" i="2"/>
  <c r="AH130" i="2"/>
  <c r="AH129" i="2"/>
  <c r="AH127" i="2"/>
  <c r="AH119" i="2"/>
  <c r="AH117" i="2"/>
  <c r="AH103" i="2"/>
  <c r="AH128" i="2"/>
  <c r="AH126" i="2"/>
  <c r="AH124" i="2"/>
  <c r="AH120" i="2"/>
  <c r="AH115" i="3"/>
  <c r="AH115" i="2" s="1"/>
  <c r="AH116" i="2"/>
  <c r="AH114" i="2"/>
  <c r="AH110" i="2"/>
  <c r="AH104" i="2"/>
  <c r="AH125" i="2"/>
  <c r="AH123" i="2"/>
  <c r="AH121" i="2"/>
  <c r="AH112" i="3"/>
  <c r="AH113" i="2"/>
  <c r="AH109" i="2"/>
  <c r="AH107" i="2"/>
  <c r="AH105" i="2"/>
  <c r="AH100" i="3"/>
  <c r="AH101" i="2"/>
  <c r="AH122" i="2"/>
  <c r="AH118" i="2"/>
  <c r="AH108" i="2"/>
  <c r="AH106" i="2"/>
  <c r="AH102" i="2"/>
  <c r="AH97" i="2"/>
  <c r="AH83" i="2"/>
  <c r="AH79" i="2"/>
  <c r="AH75" i="2"/>
  <c r="AH96" i="2"/>
  <c r="AH90" i="2"/>
  <c r="AH82" i="2"/>
  <c r="AH78" i="2"/>
  <c r="AH74" i="2"/>
  <c r="AH95" i="2"/>
  <c r="AH93" i="2"/>
  <c r="AH88" i="3"/>
  <c r="AH88" i="2" s="1"/>
  <c r="AH89" i="2"/>
  <c r="AH87" i="2"/>
  <c r="AH81" i="2"/>
  <c r="AH77" i="2"/>
  <c r="AH73" i="2"/>
  <c r="AH98" i="2"/>
  <c r="AH94" i="2"/>
  <c r="AH91" i="3"/>
  <c r="AH91" i="2" s="1"/>
  <c r="AH92" i="2"/>
  <c r="AH85" i="3"/>
  <c r="AH85" i="2" s="1"/>
  <c r="AH86" i="2"/>
  <c r="AH84" i="2"/>
  <c r="AH80" i="2"/>
  <c r="AH76" i="2"/>
  <c r="AH72" i="2"/>
  <c r="AH12" i="2"/>
  <c r="AH27" i="2"/>
  <c r="AH41" i="2"/>
  <c r="AH59" i="2"/>
  <c r="AH6" i="2"/>
  <c r="AH35" i="2"/>
  <c r="AH46" i="2"/>
  <c r="AH30" i="2"/>
  <c r="AH33" i="2"/>
  <c r="AH58" i="2"/>
  <c r="AH15" i="2"/>
  <c r="AH32" i="2"/>
  <c r="AH54" i="2"/>
  <c r="AH17" i="2"/>
  <c r="AH19" i="2"/>
  <c r="AH43" i="2"/>
  <c r="AH70" i="2"/>
  <c r="AH26" i="2"/>
  <c r="AH40" i="2"/>
  <c r="AH55" i="2"/>
  <c r="AH8" i="3"/>
  <c r="AH8" i="2" s="1"/>
  <c r="AH9" i="2"/>
  <c r="AH23" i="3"/>
  <c r="AH24" i="2"/>
  <c r="AH47" i="2"/>
  <c r="AH69" i="2"/>
  <c r="AH7" i="2"/>
  <c r="AH21" i="2"/>
  <c r="AH37" i="2"/>
  <c r="AH53" i="2"/>
  <c r="AH18" i="2"/>
  <c r="AH38" i="2"/>
  <c r="AH49" i="2"/>
  <c r="AH67" i="3"/>
  <c r="AH67" i="2" s="1"/>
  <c r="AH68" i="2"/>
  <c r="AH16" i="2"/>
  <c r="AH31" i="2"/>
  <c r="AH42" i="2"/>
  <c r="AH60" i="2"/>
  <c r="AH10" i="2"/>
  <c r="AH29" i="2"/>
  <c r="AH52" i="2"/>
  <c r="AH66" i="2"/>
  <c r="AH13" i="2"/>
  <c r="AH28" i="2"/>
  <c r="AH51" i="2"/>
  <c r="AH64" i="2"/>
  <c r="AH20" i="2"/>
  <c r="AH36" i="2"/>
  <c r="AH65" i="2"/>
  <c r="AH56" i="3"/>
  <c r="AH56" i="2" s="1"/>
  <c r="AH57" i="2"/>
  <c r="AH25" i="2"/>
  <c r="AH48" i="2"/>
  <c r="AH61" i="3"/>
  <c r="AH61" i="2" s="1"/>
  <c r="AH62" i="2"/>
  <c r="AH11" i="2"/>
  <c r="AH39" i="2"/>
  <c r="AH50" i="2"/>
  <c r="AH14" i="2"/>
  <c r="AH34" i="2"/>
  <c r="AH44" i="3"/>
  <c r="AH44" i="2" s="1"/>
  <c r="AH45" i="2"/>
  <c r="AH63" i="2"/>
  <c r="AN135" i="2"/>
  <c r="AN131" i="2"/>
  <c r="AN138" i="2"/>
  <c r="AN134" i="2"/>
  <c r="AN130" i="2"/>
  <c r="AN137" i="2"/>
  <c r="AN133" i="2"/>
  <c r="AN136" i="2"/>
  <c r="AN132" i="2"/>
  <c r="AN125" i="2"/>
  <c r="AN123" i="2"/>
  <c r="AN121" i="2"/>
  <c r="AN112" i="3"/>
  <c r="AN113" i="2"/>
  <c r="AN109" i="2"/>
  <c r="AN107" i="2"/>
  <c r="AN105" i="2"/>
  <c r="AN100" i="3"/>
  <c r="AN101" i="2"/>
  <c r="AN122" i="2"/>
  <c r="AN118" i="2"/>
  <c r="AN108" i="2"/>
  <c r="AN106" i="2"/>
  <c r="AN102" i="2"/>
  <c r="AN98" i="2"/>
  <c r="AN129" i="2"/>
  <c r="AN127" i="2"/>
  <c r="AN119" i="2"/>
  <c r="AN117" i="2"/>
  <c r="AN103" i="2"/>
  <c r="AN128" i="2"/>
  <c r="AN126" i="2"/>
  <c r="AN124" i="2"/>
  <c r="AN120" i="2"/>
  <c r="AN115" i="3"/>
  <c r="AN115" i="2" s="1"/>
  <c r="AN116" i="2"/>
  <c r="AN114" i="2"/>
  <c r="AN110" i="2"/>
  <c r="AN104" i="2"/>
  <c r="AN95" i="2"/>
  <c r="AN93" i="2"/>
  <c r="AN88" i="3"/>
  <c r="AN88" i="2" s="1"/>
  <c r="AN89" i="2"/>
  <c r="AN87" i="2"/>
  <c r="AN81" i="2"/>
  <c r="AN77" i="2"/>
  <c r="AN73" i="2"/>
  <c r="AN94" i="2"/>
  <c r="AN91" i="3"/>
  <c r="AN91" i="2" s="1"/>
  <c r="AN92" i="2"/>
  <c r="AN85" i="3"/>
  <c r="AN85" i="2" s="1"/>
  <c r="AN86" i="2"/>
  <c r="AN84" i="2"/>
  <c r="AN80" i="2"/>
  <c r="AN76" i="2"/>
  <c r="AN72" i="2"/>
  <c r="AN97" i="2"/>
  <c r="AN83" i="2"/>
  <c r="AN79" i="2"/>
  <c r="AN75" i="2"/>
  <c r="AN96" i="2"/>
  <c r="AN90" i="2"/>
  <c r="AN82" i="2"/>
  <c r="AN78" i="2"/>
  <c r="AN74" i="2"/>
  <c r="AN7" i="2"/>
  <c r="AN32" i="2"/>
  <c r="AN52" i="2"/>
  <c r="AN69" i="2"/>
  <c r="AN56" i="3"/>
  <c r="AN56" i="2" s="1"/>
  <c r="AN57" i="2"/>
  <c r="AN25" i="2"/>
  <c r="AN35" i="2"/>
  <c r="AN54" i="2"/>
  <c r="AN11" i="2"/>
  <c r="AN21" i="2"/>
  <c r="AN46" i="2"/>
  <c r="AN66" i="2"/>
  <c r="AN14" i="2"/>
  <c r="AN20" i="2"/>
  <c r="AN44" i="3"/>
  <c r="AN44" i="2" s="1"/>
  <c r="AN45" i="2"/>
  <c r="AN60" i="2"/>
  <c r="AN8" i="3"/>
  <c r="AN8" i="2" s="1"/>
  <c r="AN9" i="2"/>
  <c r="AN37" i="2"/>
  <c r="AN43" i="2"/>
  <c r="AN5" i="3"/>
  <c r="AN6" i="2"/>
  <c r="AN30" i="2"/>
  <c r="AN53" i="2"/>
  <c r="AN61" i="3"/>
  <c r="AN61" i="2" s="1"/>
  <c r="AN62" i="2"/>
  <c r="AN16" i="2"/>
  <c r="AN40" i="2"/>
  <c r="AN47" i="2"/>
  <c r="AN70" i="2"/>
  <c r="AN15" i="2"/>
  <c r="AN27" i="2"/>
  <c r="AN50" i="2"/>
  <c r="AN64" i="2"/>
  <c r="AN28" i="2"/>
  <c r="AN31" i="2"/>
  <c r="AN67" i="3"/>
  <c r="AN67" i="2" s="1"/>
  <c r="AN68" i="2"/>
  <c r="AN12" i="2"/>
  <c r="AN36" i="2"/>
  <c r="AN42" i="2"/>
  <c r="AN65" i="2"/>
  <c r="AN17" i="2"/>
  <c r="AN34" i="2"/>
  <c r="AN58" i="2"/>
  <c r="AN19" i="2"/>
  <c r="AN33" i="2"/>
  <c r="AN51" i="2"/>
  <c r="AN18" i="2"/>
  <c r="AN26" i="2"/>
  <c r="AN49" i="2"/>
  <c r="AN63" i="2"/>
  <c r="AN13" i="2"/>
  <c r="AN41" i="2"/>
  <c r="AN48" i="2"/>
  <c r="AN10" i="2"/>
  <c r="AN29" i="2"/>
  <c r="AN39" i="2"/>
  <c r="AN55" i="2"/>
  <c r="AN23" i="3"/>
  <c r="AN24" i="2"/>
  <c r="AN38" i="2"/>
  <c r="AN59" i="2"/>
  <c r="AI136" i="2"/>
  <c r="AI132" i="2"/>
  <c r="AI135" i="2"/>
  <c r="AI131" i="2"/>
  <c r="AI138" i="2"/>
  <c r="AI134" i="2"/>
  <c r="AI130" i="2"/>
  <c r="AI137" i="2"/>
  <c r="AI133" i="2"/>
  <c r="AI128" i="2"/>
  <c r="AI126" i="2"/>
  <c r="AI124" i="2"/>
  <c r="AI120" i="2"/>
  <c r="AI115" i="3"/>
  <c r="AI115" i="2" s="1"/>
  <c r="AI116" i="2"/>
  <c r="AI114" i="2"/>
  <c r="AI110" i="2"/>
  <c r="AI104" i="2"/>
  <c r="AI125" i="2"/>
  <c r="AI123" i="2"/>
  <c r="AI121" i="2"/>
  <c r="AI112" i="3"/>
  <c r="AI113" i="2"/>
  <c r="AI109" i="2"/>
  <c r="AI107" i="2"/>
  <c r="AI105" i="2"/>
  <c r="AI100" i="3"/>
  <c r="AI101" i="2"/>
  <c r="AI122" i="2"/>
  <c r="AI118" i="2"/>
  <c r="AI108" i="2"/>
  <c r="AI106" i="2"/>
  <c r="AI102" i="2"/>
  <c r="AI98" i="2"/>
  <c r="AI129" i="2"/>
  <c r="AI127" i="2"/>
  <c r="AI119" i="2"/>
  <c r="AI117" i="2"/>
  <c r="AI103" i="2"/>
  <c r="AI96" i="2"/>
  <c r="AI90" i="2"/>
  <c r="AI82" i="2"/>
  <c r="AI78" i="2"/>
  <c r="AI74" i="2"/>
  <c r="AI95" i="2"/>
  <c r="AI93" i="2"/>
  <c r="AI88" i="3"/>
  <c r="AI88" i="2" s="1"/>
  <c r="AI89" i="2"/>
  <c r="AI87" i="2"/>
  <c r="AI81" i="2"/>
  <c r="AI77" i="2"/>
  <c r="AI73" i="2"/>
  <c r="AI94" i="2"/>
  <c r="AI91" i="3"/>
  <c r="AI91" i="2" s="1"/>
  <c r="AI92" i="2"/>
  <c r="AI85" i="3"/>
  <c r="AI85" i="2" s="1"/>
  <c r="AI86" i="2"/>
  <c r="AI84" i="2"/>
  <c r="AI80" i="2"/>
  <c r="AI76" i="2"/>
  <c r="AI72" i="2"/>
  <c r="AI97" i="2"/>
  <c r="AI83" i="2"/>
  <c r="AI79" i="2"/>
  <c r="AI75" i="2"/>
  <c r="AI16" i="2"/>
  <c r="AI31" i="2"/>
  <c r="AI47" i="2"/>
  <c r="AI63" i="2"/>
  <c r="AI25" i="2"/>
  <c r="AI39" i="2"/>
  <c r="AI54" i="2"/>
  <c r="AI7" i="2"/>
  <c r="AI21" i="2"/>
  <c r="AI50" i="2"/>
  <c r="AI60" i="2"/>
  <c r="AI6" i="2"/>
  <c r="AI20" i="2"/>
  <c r="AI36" i="2"/>
  <c r="AI52" i="2"/>
  <c r="AI56" i="3"/>
  <c r="AI56" i="2" s="1"/>
  <c r="AI57" i="2"/>
  <c r="AI37" i="2"/>
  <c r="AI48" i="2"/>
  <c r="AI66" i="2"/>
  <c r="AI15" i="2"/>
  <c r="AI30" i="2"/>
  <c r="AI46" i="2"/>
  <c r="AI67" i="3"/>
  <c r="AI67" i="2" s="1"/>
  <c r="AI68" i="2"/>
  <c r="AI13" i="2"/>
  <c r="AI28" i="2"/>
  <c r="AI53" i="2"/>
  <c r="AI65" i="2"/>
  <c r="AI12" i="2"/>
  <c r="AI27" i="2"/>
  <c r="AI42" i="2"/>
  <c r="AI61" i="3"/>
  <c r="AI61" i="2" s="1"/>
  <c r="AI62" i="2"/>
  <c r="AI19" i="2"/>
  <c r="AI35" i="2"/>
  <c r="AI64" i="2"/>
  <c r="AI8" i="3"/>
  <c r="AI8" i="2" s="1"/>
  <c r="AI9" i="2"/>
  <c r="AI23" i="3"/>
  <c r="AI24" i="2"/>
  <c r="AI51" i="2"/>
  <c r="AI69" i="2"/>
  <c r="AI14" i="2"/>
  <c r="AI34" i="2"/>
  <c r="AI49" i="2"/>
  <c r="AI17" i="2"/>
  <c r="AI33" i="2"/>
  <c r="AI43" i="2"/>
  <c r="AI70" i="2"/>
  <c r="AI11" i="2"/>
  <c r="AI26" i="2"/>
  <c r="AI40" i="2"/>
  <c r="AI58" i="2"/>
  <c r="AI10" i="2"/>
  <c r="AI41" i="2"/>
  <c r="AI44" i="3"/>
  <c r="AI44" i="2" s="1"/>
  <c r="AI45" i="2"/>
  <c r="AI29" i="2"/>
  <c r="AI32" i="2"/>
  <c r="AI55" i="2"/>
  <c r="AI18" i="2"/>
  <c r="AI38" i="2"/>
  <c r="AI59" i="2"/>
  <c r="BI138" i="2"/>
  <c r="BI134" i="2"/>
  <c r="BI130" i="2"/>
  <c r="BI137" i="2"/>
  <c r="BI133" i="2"/>
  <c r="BI136" i="2"/>
  <c r="BI132" i="2"/>
  <c r="BI135" i="2"/>
  <c r="BI131" i="2"/>
  <c r="BI122" i="2"/>
  <c r="BI118" i="2"/>
  <c r="BI108" i="2"/>
  <c r="BI106" i="2"/>
  <c r="BI102" i="2"/>
  <c r="BI98" i="2"/>
  <c r="BI127" i="2"/>
  <c r="BI119" i="2"/>
  <c r="BI117" i="2"/>
  <c r="BI103" i="2"/>
  <c r="BI129" i="2"/>
  <c r="BI128" i="2"/>
  <c r="BI126" i="2"/>
  <c r="BI124" i="2"/>
  <c r="BI120" i="2"/>
  <c r="BI115" i="3"/>
  <c r="BI115" i="2" s="1"/>
  <c r="BI116" i="2"/>
  <c r="BI114" i="2"/>
  <c r="BI110" i="2"/>
  <c r="BI104" i="2"/>
  <c r="BI125" i="2"/>
  <c r="BI123" i="2"/>
  <c r="BI121" i="2"/>
  <c r="BI112" i="3"/>
  <c r="BI113" i="2"/>
  <c r="BI109" i="2"/>
  <c r="BI107" i="2"/>
  <c r="BI105" i="2"/>
  <c r="BI100" i="3"/>
  <c r="BI101" i="2"/>
  <c r="BI94" i="2"/>
  <c r="BI91" i="3"/>
  <c r="BI91" i="2" s="1"/>
  <c r="BI92" i="2"/>
  <c r="BI85" i="3"/>
  <c r="BI85" i="2" s="1"/>
  <c r="BI86" i="2"/>
  <c r="BI84" i="2"/>
  <c r="BI80" i="2"/>
  <c r="BI76" i="2"/>
  <c r="BI72" i="2"/>
  <c r="BI97" i="2"/>
  <c r="BI83" i="2"/>
  <c r="BI79" i="2"/>
  <c r="BI75" i="2"/>
  <c r="BI96" i="2"/>
  <c r="BI90" i="2"/>
  <c r="BI82" i="2"/>
  <c r="BI78" i="2"/>
  <c r="BI74" i="2"/>
  <c r="BI95" i="2"/>
  <c r="BI93" i="2"/>
  <c r="BI88" i="3"/>
  <c r="BI88" i="2" s="1"/>
  <c r="BI89" i="2"/>
  <c r="BI87" i="2"/>
  <c r="BI81" i="2"/>
  <c r="BI77" i="2"/>
  <c r="BI73" i="2"/>
  <c r="BI14" i="2"/>
  <c r="BI20" i="2"/>
  <c r="BI49" i="2"/>
  <c r="BI66" i="2"/>
  <c r="BI27" i="2"/>
  <c r="BI33" i="2"/>
  <c r="BI58" i="2"/>
  <c r="BI56" i="3"/>
  <c r="BI56" i="2" s="1"/>
  <c r="BI57" i="2"/>
  <c r="BI25" i="2"/>
  <c r="BI48" i="2"/>
  <c r="BI61" i="3"/>
  <c r="BI61" i="2" s="1"/>
  <c r="BI62" i="2"/>
  <c r="BI8" i="3"/>
  <c r="BI8" i="2" s="1"/>
  <c r="BI9" i="2"/>
  <c r="BI28" i="2"/>
  <c r="BI34" i="2"/>
  <c r="BI59" i="2"/>
  <c r="BI15" i="2"/>
  <c r="BI35" i="2"/>
  <c r="BI42" i="2"/>
  <c r="BI69" i="2"/>
  <c r="BI17" i="2"/>
  <c r="BI19" i="2"/>
  <c r="BI43" i="2"/>
  <c r="BI54" i="2"/>
  <c r="BI6" i="2"/>
  <c r="BI30" i="2"/>
  <c r="BI46" i="2"/>
  <c r="BI67" i="3"/>
  <c r="BI67" i="2" s="1"/>
  <c r="BI68" i="2"/>
  <c r="BI10" i="2"/>
  <c r="BI29" i="2"/>
  <c r="BI44" i="3"/>
  <c r="BI44" i="2" s="1"/>
  <c r="BI45" i="2"/>
  <c r="BI65" i="2"/>
  <c r="BI21" i="2"/>
  <c r="BI41" i="2"/>
  <c r="BI70" i="2"/>
  <c r="BI18" i="2"/>
  <c r="BI26" i="2"/>
  <c r="BI52" i="2"/>
  <c r="BI63" i="2"/>
  <c r="BI12" i="2"/>
  <c r="BI36" i="2"/>
  <c r="BI51" i="2"/>
  <c r="BI11" i="2"/>
  <c r="BI31" i="2"/>
  <c r="BI50" i="2"/>
  <c r="BI64" i="2"/>
  <c r="BI13" i="2"/>
  <c r="BI32" i="2"/>
  <c r="BI38" i="2"/>
  <c r="BI60" i="2"/>
  <c r="BI7" i="2"/>
  <c r="BI39" i="2"/>
  <c r="BI47" i="2"/>
  <c r="BI23" i="3"/>
  <c r="BI24" i="2"/>
  <c r="BI37" i="2"/>
  <c r="BI53" i="2"/>
  <c r="BI16" i="2"/>
  <c r="BI40" i="2"/>
  <c r="BI55" i="2"/>
  <c r="Y138" i="2"/>
  <c r="Y134" i="2"/>
  <c r="Y130" i="2"/>
  <c r="Y137" i="2"/>
  <c r="Y133" i="2"/>
  <c r="Y136" i="2"/>
  <c r="Y132" i="2"/>
  <c r="Y135" i="2"/>
  <c r="Y131" i="2"/>
  <c r="Y122" i="2"/>
  <c r="Y118" i="2"/>
  <c r="Y108" i="2"/>
  <c r="Y106" i="2"/>
  <c r="Y102" i="2"/>
  <c r="Y129" i="2"/>
  <c r="Y127" i="2"/>
  <c r="Y119" i="2"/>
  <c r="Y117" i="2"/>
  <c r="Y103" i="2"/>
  <c r="Y128" i="2"/>
  <c r="Y126" i="2"/>
  <c r="Y124" i="2"/>
  <c r="Y120" i="2"/>
  <c r="Y115" i="3"/>
  <c r="Y115" i="2" s="1"/>
  <c r="Y116" i="2"/>
  <c r="Y114" i="2"/>
  <c r="Y110" i="2"/>
  <c r="Y104" i="2"/>
  <c r="Y125" i="2"/>
  <c r="Y123" i="2"/>
  <c r="Y121" i="2"/>
  <c r="Y112" i="3"/>
  <c r="Y113" i="2"/>
  <c r="Y109" i="2"/>
  <c r="Y107" i="2"/>
  <c r="Y105" i="2"/>
  <c r="Y100" i="3"/>
  <c r="Y101" i="2"/>
  <c r="Y98" i="2"/>
  <c r="Y94" i="2"/>
  <c r="Y91" i="3"/>
  <c r="Y91" i="2" s="1"/>
  <c r="Y92" i="2"/>
  <c r="Y85" i="3"/>
  <c r="Y85" i="2" s="1"/>
  <c r="Y86" i="2"/>
  <c r="Y84" i="2"/>
  <c r="Y80" i="2"/>
  <c r="Y76" i="2"/>
  <c r="Y72" i="2"/>
  <c r="Y97" i="2"/>
  <c r="Y83" i="2"/>
  <c r="Y79" i="2"/>
  <c r="Y75" i="2"/>
  <c r="Y96" i="2"/>
  <c r="Y90" i="2"/>
  <c r="Y82" i="2"/>
  <c r="Y78" i="2"/>
  <c r="Y74" i="2"/>
  <c r="Y95" i="2"/>
  <c r="Y93" i="2"/>
  <c r="Y88" i="3"/>
  <c r="Y88" i="2" s="1"/>
  <c r="Y89" i="2"/>
  <c r="Y87" i="2"/>
  <c r="Y81" i="2"/>
  <c r="Y77" i="2"/>
  <c r="Y73" i="2"/>
  <c r="Y15" i="2"/>
  <c r="Y35" i="2"/>
  <c r="Y42" i="2"/>
  <c r="Y69" i="2"/>
  <c r="Y17" i="2"/>
  <c r="Y23" i="3"/>
  <c r="Y24" i="2"/>
  <c r="Y43" i="2"/>
  <c r="Y60" i="2"/>
  <c r="Y6" i="2"/>
  <c r="Y26" i="2"/>
  <c r="Y50" i="2"/>
  <c r="Y67" i="3"/>
  <c r="Y67" i="2" s="1"/>
  <c r="Y68" i="2"/>
  <c r="Y10" i="2"/>
  <c r="Y25" i="2"/>
  <c r="Y44" i="3"/>
  <c r="Y44" i="2" s="1"/>
  <c r="Y45" i="2"/>
  <c r="Y65" i="2"/>
  <c r="Y19" i="2"/>
  <c r="Y33" i="2"/>
  <c r="Y58" i="2"/>
  <c r="Y18" i="2"/>
  <c r="Y20" i="2"/>
  <c r="Y46" i="2"/>
  <c r="Y63" i="2"/>
  <c r="Y12" i="2"/>
  <c r="Y36" i="2"/>
  <c r="Y51" i="2"/>
  <c r="Y11" i="2"/>
  <c r="Y30" i="2"/>
  <c r="Y52" i="2"/>
  <c r="Y64" i="2"/>
  <c r="Y13" i="2"/>
  <c r="Y32" i="2"/>
  <c r="Y38" i="2"/>
  <c r="Y54" i="2"/>
  <c r="Y7" i="2"/>
  <c r="Y39" i="2"/>
  <c r="Y47" i="2"/>
  <c r="Y27" i="2"/>
  <c r="Y41" i="2"/>
  <c r="Y53" i="2"/>
  <c r="Y16" i="2"/>
  <c r="Y40" i="2"/>
  <c r="Y55" i="2"/>
  <c r="Y14" i="2"/>
  <c r="Y29" i="2"/>
  <c r="Y49" i="2"/>
  <c r="Y70" i="2"/>
  <c r="Y21" i="2"/>
  <c r="Y37" i="2"/>
  <c r="Y61" i="3"/>
  <c r="Y61" i="2" s="1"/>
  <c r="Y62" i="2"/>
  <c r="Y56" i="3"/>
  <c r="Y56" i="2" s="1"/>
  <c r="Y57" i="2"/>
  <c r="Y28" i="2"/>
  <c r="Y48" i="2"/>
  <c r="Y66" i="2"/>
  <c r="Y8" i="3"/>
  <c r="Y8" i="2" s="1"/>
  <c r="Y9" i="2"/>
  <c r="Y31" i="2"/>
  <c r="Y34" i="2"/>
  <c r="Y59" i="2"/>
  <c r="T135" i="2"/>
  <c r="T131" i="2"/>
  <c r="T138" i="2"/>
  <c r="T134" i="2"/>
  <c r="T137" i="2"/>
  <c r="T133" i="2"/>
  <c r="T136" i="2"/>
  <c r="T132" i="2"/>
  <c r="T130" i="2"/>
  <c r="T125" i="2"/>
  <c r="T123" i="2"/>
  <c r="T121" i="2"/>
  <c r="T112" i="3"/>
  <c r="T113" i="2"/>
  <c r="T109" i="2"/>
  <c r="T107" i="2"/>
  <c r="T105" i="2"/>
  <c r="T100" i="3"/>
  <c r="T101" i="2"/>
  <c r="T122" i="2"/>
  <c r="T118" i="2"/>
  <c r="T108" i="2"/>
  <c r="T106" i="2"/>
  <c r="T102" i="2"/>
  <c r="T129" i="2"/>
  <c r="T127" i="2"/>
  <c r="T119" i="2"/>
  <c r="T117" i="2"/>
  <c r="T103" i="2"/>
  <c r="T128" i="2"/>
  <c r="T126" i="2"/>
  <c r="T124" i="2"/>
  <c r="T120" i="2"/>
  <c r="T115" i="3"/>
  <c r="T115" i="2" s="1"/>
  <c r="T116" i="2"/>
  <c r="T114" i="2"/>
  <c r="T110" i="2"/>
  <c r="T104" i="2"/>
  <c r="T95" i="2"/>
  <c r="T93" i="2"/>
  <c r="T88" i="3"/>
  <c r="T88" i="2" s="1"/>
  <c r="T89" i="2"/>
  <c r="T87" i="2"/>
  <c r="T81" i="2"/>
  <c r="T77" i="2"/>
  <c r="T73" i="2"/>
  <c r="T98" i="2"/>
  <c r="T94" i="2"/>
  <c r="T91" i="3"/>
  <c r="T91" i="2" s="1"/>
  <c r="T92" i="2"/>
  <c r="T85" i="3"/>
  <c r="T85" i="2" s="1"/>
  <c r="T86" i="2"/>
  <c r="T84" i="2"/>
  <c r="T80" i="2"/>
  <c r="T76" i="2"/>
  <c r="T72" i="2"/>
  <c r="T97" i="2"/>
  <c r="T83" i="2"/>
  <c r="T79" i="2"/>
  <c r="T75" i="2"/>
  <c r="T96" i="2"/>
  <c r="T90" i="2"/>
  <c r="T82" i="2"/>
  <c r="T78" i="2"/>
  <c r="T74" i="2"/>
  <c r="T10" i="2"/>
  <c r="T29" i="2"/>
  <c r="T39" i="2"/>
  <c r="T63" i="2"/>
  <c r="T16" i="2"/>
  <c r="T40" i="2"/>
  <c r="T53" i="2"/>
  <c r="T28" i="2"/>
  <c r="T38" i="2"/>
  <c r="T59" i="2"/>
  <c r="T13" i="2"/>
  <c r="T37" i="2"/>
  <c r="T48" i="2"/>
  <c r="T6" i="2"/>
  <c r="T21" i="2"/>
  <c r="T50" i="2"/>
  <c r="T67" i="3"/>
  <c r="T67" i="2" s="1"/>
  <c r="T68" i="2"/>
  <c r="T23" i="3"/>
  <c r="T24" i="2"/>
  <c r="T34" i="2"/>
  <c r="T61" i="3"/>
  <c r="T61" i="2" s="1"/>
  <c r="T62" i="2"/>
  <c r="T18" i="2"/>
  <c r="T26" i="2"/>
  <c r="T49" i="2"/>
  <c r="T60" i="2"/>
  <c r="T56" i="3"/>
  <c r="T56" i="2" s="1"/>
  <c r="T57" i="2"/>
  <c r="T25" i="2"/>
  <c r="T35" i="2"/>
  <c r="T54" i="2"/>
  <c r="T12" i="2"/>
  <c r="T36" i="2"/>
  <c r="T52" i="2"/>
  <c r="T70" i="2"/>
  <c r="T14" i="2"/>
  <c r="T20" i="2"/>
  <c r="T44" i="3"/>
  <c r="T44" i="2" s="1"/>
  <c r="T45" i="2"/>
  <c r="T55" i="2"/>
  <c r="T15" i="2"/>
  <c r="T31" i="2"/>
  <c r="T47" i="2"/>
  <c r="T69" i="2"/>
  <c r="T19" i="2"/>
  <c r="T30" i="2"/>
  <c r="T46" i="2"/>
  <c r="T66" i="2"/>
  <c r="T17" i="2"/>
  <c r="T41" i="2"/>
  <c r="T58" i="2"/>
  <c r="T11" i="2"/>
  <c r="T27" i="2"/>
  <c r="T42" i="2"/>
  <c r="T64" i="2"/>
  <c r="T8" i="3"/>
  <c r="T8" i="2" s="1"/>
  <c r="T9" i="2"/>
  <c r="T33" i="2"/>
  <c r="T43" i="2"/>
  <c r="T7" i="2"/>
  <c r="T32" i="2"/>
  <c r="T51" i="2"/>
  <c r="T65" i="2"/>
  <c r="O136" i="2"/>
  <c r="O132" i="2"/>
  <c r="O135" i="2"/>
  <c r="O131" i="2"/>
  <c r="O138" i="2"/>
  <c r="O134" i="2"/>
  <c r="O137" i="2"/>
  <c r="O133" i="2"/>
  <c r="O128" i="2"/>
  <c r="O126" i="2"/>
  <c r="O124" i="2"/>
  <c r="O120" i="2"/>
  <c r="O115" i="3"/>
  <c r="O115" i="2" s="1"/>
  <c r="O116" i="2"/>
  <c r="O114" i="2"/>
  <c r="O110" i="2"/>
  <c r="O104" i="2"/>
  <c r="O125" i="2"/>
  <c r="O123" i="2"/>
  <c r="O121" i="2"/>
  <c r="O112" i="3"/>
  <c r="O113" i="2"/>
  <c r="O109" i="2"/>
  <c r="O107" i="2"/>
  <c r="O105" i="2"/>
  <c r="O100" i="3"/>
  <c r="O101" i="2"/>
  <c r="O130" i="2"/>
  <c r="O122" i="2"/>
  <c r="O118" i="2"/>
  <c r="O108" i="2"/>
  <c r="O106" i="2"/>
  <c r="O102" i="2"/>
  <c r="O129" i="2"/>
  <c r="O127" i="2"/>
  <c r="O119" i="2"/>
  <c r="O117" i="2"/>
  <c r="O103" i="2"/>
  <c r="O96" i="2"/>
  <c r="O90" i="2"/>
  <c r="O82" i="2"/>
  <c r="O78" i="2"/>
  <c r="O74" i="2"/>
  <c r="O95" i="2"/>
  <c r="O93" i="2"/>
  <c r="O88" i="3"/>
  <c r="O88" i="2" s="1"/>
  <c r="O89" i="2"/>
  <c r="O87" i="2"/>
  <c r="O81" i="2"/>
  <c r="O77" i="2"/>
  <c r="O73" i="2"/>
  <c r="O98" i="2"/>
  <c r="O94" i="2"/>
  <c r="O91" i="3"/>
  <c r="O91" i="2" s="1"/>
  <c r="O92" i="2"/>
  <c r="O85" i="3"/>
  <c r="O85" i="2" s="1"/>
  <c r="O86" i="2"/>
  <c r="O84" i="2"/>
  <c r="O80" i="2"/>
  <c r="O76" i="2"/>
  <c r="O72" i="2"/>
  <c r="O97" i="2"/>
  <c r="O83" i="2"/>
  <c r="O79" i="2"/>
  <c r="O75" i="2"/>
  <c r="O16" i="2"/>
  <c r="O31" i="2"/>
  <c r="O47" i="2"/>
  <c r="O67" i="3"/>
  <c r="O67" i="2" s="1"/>
  <c r="O68" i="2"/>
  <c r="O25" i="2"/>
  <c r="O39" i="2"/>
  <c r="O55" i="2"/>
  <c r="O7" i="2"/>
  <c r="O21" i="2"/>
  <c r="O50" i="2"/>
  <c r="O63" i="2"/>
  <c r="O6" i="2"/>
  <c r="O20" i="2"/>
  <c r="O36" i="2"/>
  <c r="O58" i="2"/>
  <c r="O56" i="3"/>
  <c r="O56" i="2" s="1"/>
  <c r="O57" i="2"/>
  <c r="O37" i="2"/>
  <c r="O44" i="3"/>
  <c r="O44" i="2" s="1"/>
  <c r="O45" i="2"/>
  <c r="O66" i="2"/>
  <c r="O15" i="2"/>
  <c r="O30" i="2"/>
  <c r="O46" i="2"/>
  <c r="O61" i="3"/>
  <c r="O61" i="2" s="1"/>
  <c r="O62" i="2"/>
  <c r="O13" i="2"/>
  <c r="O28" i="2"/>
  <c r="O43" i="2"/>
  <c r="O65" i="2"/>
  <c r="O12" i="2"/>
  <c r="O27" i="2"/>
  <c r="O42" i="2"/>
  <c r="O64" i="2"/>
  <c r="O19" i="2"/>
  <c r="O35" i="2"/>
  <c r="O54" i="2"/>
  <c r="O8" i="3"/>
  <c r="O8" i="2" s="1"/>
  <c r="O9" i="2"/>
  <c r="O23" i="3"/>
  <c r="O24" i="2"/>
  <c r="O51" i="2"/>
  <c r="O69" i="2"/>
  <c r="O14" i="2"/>
  <c r="O34" i="2"/>
  <c r="O53" i="2"/>
  <c r="O17" i="2"/>
  <c r="O33" i="2"/>
  <c r="O48" i="2"/>
  <c r="O70" i="2"/>
  <c r="O11" i="2"/>
  <c r="O26" i="2"/>
  <c r="O40" i="2"/>
  <c r="O60" i="2"/>
  <c r="O10" i="2"/>
  <c r="O41" i="2"/>
  <c r="O49" i="2"/>
  <c r="O29" i="2"/>
  <c r="O32" i="2"/>
  <c r="O52" i="2"/>
  <c r="O18" i="2"/>
  <c r="O38" i="2"/>
  <c r="O59" i="2"/>
  <c r="U138" i="2"/>
  <c r="U134" i="2"/>
  <c r="U130" i="2"/>
  <c r="U137" i="2"/>
  <c r="U133" i="2"/>
  <c r="U136" i="2"/>
  <c r="U132" i="2"/>
  <c r="U135" i="2"/>
  <c r="U131" i="2"/>
  <c r="U122" i="2"/>
  <c r="U118" i="2"/>
  <c r="U108" i="2"/>
  <c r="U106" i="2"/>
  <c r="U102" i="2"/>
  <c r="U129" i="2"/>
  <c r="U127" i="2"/>
  <c r="U119" i="2"/>
  <c r="U117" i="2"/>
  <c r="U103" i="2"/>
  <c r="U128" i="2"/>
  <c r="U126" i="2"/>
  <c r="U124" i="2"/>
  <c r="U120" i="2"/>
  <c r="U115" i="3"/>
  <c r="U115" i="2" s="1"/>
  <c r="U116" i="2"/>
  <c r="U114" i="2"/>
  <c r="U110" i="2"/>
  <c r="U104" i="2"/>
  <c r="U125" i="2"/>
  <c r="U123" i="2"/>
  <c r="U121" i="2"/>
  <c r="U112" i="3"/>
  <c r="U113" i="2"/>
  <c r="U109" i="2"/>
  <c r="U107" i="2"/>
  <c r="U105" i="2"/>
  <c r="U100" i="3"/>
  <c r="U101" i="2"/>
  <c r="U98" i="2"/>
  <c r="U94" i="2"/>
  <c r="U91" i="3"/>
  <c r="U91" i="2" s="1"/>
  <c r="U92" i="2"/>
  <c r="U85" i="3"/>
  <c r="U85" i="2" s="1"/>
  <c r="U86" i="2"/>
  <c r="U84" i="2"/>
  <c r="U80" i="2"/>
  <c r="U76" i="2"/>
  <c r="U72" i="2"/>
  <c r="U97" i="2"/>
  <c r="U83" i="2"/>
  <c r="U79" i="2"/>
  <c r="U75" i="2"/>
  <c r="U96" i="2"/>
  <c r="U90" i="2"/>
  <c r="U82" i="2"/>
  <c r="U78" i="2"/>
  <c r="U74" i="2"/>
  <c r="U95" i="2"/>
  <c r="U93" i="2"/>
  <c r="U88" i="3"/>
  <c r="U88" i="2" s="1"/>
  <c r="U89" i="2"/>
  <c r="U87" i="2"/>
  <c r="U81" i="2"/>
  <c r="U77" i="2"/>
  <c r="U73" i="2"/>
  <c r="U14" i="2"/>
  <c r="U20" i="2"/>
  <c r="U44" i="3"/>
  <c r="U44" i="2" s="1"/>
  <c r="U45" i="2"/>
  <c r="U70" i="2"/>
  <c r="U21" i="2"/>
  <c r="U37" i="2"/>
  <c r="U58" i="2"/>
  <c r="U56" i="3"/>
  <c r="U56" i="2" s="1"/>
  <c r="U57" i="2"/>
  <c r="U25" i="2"/>
  <c r="U43" i="2"/>
  <c r="U65" i="2"/>
  <c r="U8" i="3"/>
  <c r="U8" i="2" s="1"/>
  <c r="U9" i="2"/>
  <c r="U31" i="2"/>
  <c r="U42" i="2"/>
  <c r="U59" i="2"/>
  <c r="U11" i="2"/>
  <c r="U35" i="2"/>
  <c r="U47" i="2"/>
  <c r="U69" i="2"/>
  <c r="U17" i="2"/>
  <c r="U28" i="2"/>
  <c r="U38" i="2"/>
  <c r="U61" i="3"/>
  <c r="U61" i="2" s="1"/>
  <c r="U62" i="2"/>
  <c r="U19" i="2"/>
  <c r="U30" i="2"/>
  <c r="U46" i="2"/>
  <c r="U67" i="3"/>
  <c r="U67" i="2" s="1"/>
  <c r="U68" i="2"/>
  <c r="U10" i="2"/>
  <c r="U29" i="2"/>
  <c r="U48" i="2"/>
  <c r="U66" i="2"/>
  <c r="U16" i="2"/>
  <c r="U33" i="2"/>
  <c r="U60" i="2"/>
  <c r="U18" i="2"/>
  <c r="U26" i="2"/>
  <c r="U49" i="2"/>
  <c r="U63" i="2"/>
  <c r="U7" i="2"/>
  <c r="U36" i="2"/>
  <c r="U52" i="2"/>
  <c r="U6" i="2"/>
  <c r="U32" i="2"/>
  <c r="U50" i="2"/>
  <c r="U64" i="2"/>
  <c r="U13" i="2"/>
  <c r="U23" i="3"/>
  <c r="U24" i="2"/>
  <c r="U34" i="2"/>
  <c r="U54" i="2"/>
  <c r="U15" i="2"/>
  <c r="U39" i="2"/>
  <c r="U51" i="2"/>
  <c r="U27" i="2"/>
  <c r="U41" i="2"/>
  <c r="U53" i="2"/>
  <c r="U12" i="2"/>
  <c r="U40" i="2"/>
  <c r="U55" i="2"/>
  <c r="R137" i="2"/>
  <c r="R133" i="2"/>
  <c r="R136" i="2"/>
  <c r="R132" i="2"/>
  <c r="R135" i="2"/>
  <c r="R131" i="2"/>
  <c r="R138" i="2"/>
  <c r="R134" i="2"/>
  <c r="R130" i="2"/>
  <c r="R129" i="2"/>
  <c r="R127" i="2"/>
  <c r="R119" i="2"/>
  <c r="R117" i="2"/>
  <c r="R103" i="2"/>
  <c r="R128" i="2"/>
  <c r="R126" i="2"/>
  <c r="R124" i="2"/>
  <c r="R120" i="2"/>
  <c r="R115" i="3"/>
  <c r="R115" i="2" s="1"/>
  <c r="R116" i="2"/>
  <c r="R114" i="2"/>
  <c r="R110" i="2"/>
  <c r="R104" i="2"/>
  <c r="R125" i="2"/>
  <c r="R123" i="2"/>
  <c r="R121" i="2"/>
  <c r="R112" i="3"/>
  <c r="R113" i="2"/>
  <c r="R109" i="2"/>
  <c r="R107" i="2"/>
  <c r="R105" i="2"/>
  <c r="R100" i="3"/>
  <c r="R101" i="2"/>
  <c r="R122" i="2"/>
  <c r="R118" i="2"/>
  <c r="R108" i="2"/>
  <c r="R106" i="2"/>
  <c r="R102" i="2"/>
  <c r="R97" i="2"/>
  <c r="R83" i="2"/>
  <c r="R79" i="2"/>
  <c r="R75" i="2"/>
  <c r="R96" i="2"/>
  <c r="R90" i="2"/>
  <c r="R82" i="2"/>
  <c r="R78" i="2"/>
  <c r="R74" i="2"/>
  <c r="R95" i="2"/>
  <c r="R93" i="2"/>
  <c r="R88" i="3"/>
  <c r="R88" i="2" s="1"/>
  <c r="R89" i="2"/>
  <c r="R87" i="2"/>
  <c r="R81" i="2"/>
  <c r="R77" i="2"/>
  <c r="R73" i="2"/>
  <c r="R98" i="2"/>
  <c r="R94" i="2"/>
  <c r="R91" i="3"/>
  <c r="R91" i="2" s="1"/>
  <c r="R92" i="2"/>
  <c r="R85" i="3"/>
  <c r="R85" i="2" s="1"/>
  <c r="R86" i="2"/>
  <c r="R84" i="2"/>
  <c r="R80" i="2"/>
  <c r="R76" i="2"/>
  <c r="R72" i="2"/>
  <c r="R11" i="2"/>
  <c r="R39" i="2"/>
  <c r="R46" i="2"/>
  <c r="R13" i="2"/>
  <c r="R28" i="2"/>
  <c r="R51" i="2"/>
  <c r="R64" i="2"/>
  <c r="R18" i="2"/>
  <c r="R38" i="2"/>
  <c r="R44" i="3"/>
  <c r="R44" i="2" s="1"/>
  <c r="R45" i="2"/>
  <c r="R67" i="3"/>
  <c r="R67" i="2" s="1"/>
  <c r="R68" i="2"/>
  <c r="R56" i="3"/>
  <c r="R56" i="2" s="1"/>
  <c r="R57" i="2"/>
  <c r="R25" i="2"/>
  <c r="R48" i="2"/>
  <c r="R61" i="3"/>
  <c r="R61" i="2" s="1"/>
  <c r="R62" i="2"/>
  <c r="R30" i="2"/>
  <c r="R33" i="2"/>
  <c r="R65" i="2"/>
  <c r="R14" i="2"/>
  <c r="R34" i="2"/>
  <c r="R54" i="2"/>
  <c r="R63" i="2"/>
  <c r="R20" i="2"/>
  <c r="R36" i="2"/>
  <c r="R55" i="2"/>
  <c r="R6" i="2"/>
  <c r="R35" i="2"/>
  <c r="R49" i="2"/>
  <c r="R8" i="3"/>
  <c r="R8" i="2" s="1"/>
  <c r="R9" i="2"/>
  <c r="R23" i="3"/>
  <c r="R24" i="2"/>
  <c r="R47" i="2"/>
  <c r="R69" i="2"/>
  <c r="R15" i="2"/>
  <c r="R32" i="2"/>
  <c r="R50" i="2"/>
  <c r="R12" i="2"/>
  <c r="R27" i="2"/>
  <c r="R41" i="2"/>
  <c r="R59" i="2"/>
  <c r="R26" i="2"/>
  <c r="R40" i="2"/>
  <c r="R58" i="2"/>
  <c r="R10" i="2"/>
  <c r="R29" i="2"/>
  <c r="R52" i="2"/>
  <c r="R66" i="2"/>
  <c r="R7" i="2"/>
  <c r="R21" i="2"/>
  <c r="R37" i="2"/>
  <c r="R53" i="2"/>
  <c r="R17" i="2"/>
  <c r="R19" i="2"/>
  <c r="R43" i="2"/>
  <c r="R70" i="2"/>
  <c r="R16" i="2"/>
  <c r="R31" i="2"/>
  <c r="R42" i="2"/>
  <c r="R60" i="2"/>
  <c r="BL135" i="2"/>
  <c r="BL131" i="2"/>
  <c r="BL138" i="2"/>
  <c r="BL134" i="2"/>
  <c r="BL130" i="2"/>
  <c r="BL137" i="2"/>
  <c r="BL133" i="2"/>
  <c r="BL136" i="2"/>
  <c r="BL132" i="2"/>
  <c r="BL125" i="2"/>
  <c r="BL123" i="2"/>
  <c r="BL121" i="2"/>
  <c r="BL112" i="3"/>
  <c r="BL113" i="2"/>
  <c r="BL109" i="2"/>
  <c r="BL107" i="2"/>
  <c r="BL105" i="2"/>
  <c r="BL100" i="3"/>
  <c r="BL101" i="2"/>
  <c r="BL129" i="2"/>
  <c r="BL122" i="2"/>
  <c r="BL118" i="2"/>
  <c r="BL108" i="2"/>
  <c r="BL106" i="2"/>
  <c r="BL102" i="2"/>
  <c r="BL98" i="2"/>
  <c r="BL127" i="2"/>
  <c r="BL119" i="2"/>
  <c r="BL117" i="2"/>
  <c r="BL103" i="2"/>
  <c r="BL128" i="2"/>
  <c r="BL126" i="2"/>
  <c r="BL124" i="2"/>
  <c r="BL120" i="2"/>
  <c r="BL115" i="3"/>
  <c r="BL115" i="2" s="1"/>
  <c r="BL116" i="2"/>
  <c r="BL114" i="2"/>
  <c r="BL110" i="2"/>
  <c r="BL104" i="2"/>
  <c r="BL95" i="2"/>
  <c r="BL93" i="2"/>
  <c r="BL88" i="3"/>
  <c r="BL88" i="2" s="1"/>
  <c r="BL89" i="2"/>
  <c r="BL87" i="2"/>
  <c r="BL81" i="2"/>
  <c r="BL77" i="2"/>
  <c r="BL73" i="2"/>
  <c r="BL94" i="2"/>
  <c r="BL91" i="3"/>
  <c r="BL91" i="2" s="1"/>
  <c r="BL92" i="2"/>
  <c r="BL85" i="3"/>
  <c r="BL85" i="2" s="1"/>
  <c r="BL86" i="2"/>
  <c r="BL84" i="2"/>
  <c r="BL80" i="2"/>
  <c r="BL76" i="2"/>
  <c r="BL72" i="2"/>
  <c r="BL97" i="2"/>
  <c r="BL83" i="2"/>
  <c r="BL79" i="2"/>
  <c r="BL75" i="2"/>
  <c r="BL96" i="2"/>
  <c r="BL90" i="2"/>
  <c r="BL82" i="2"/>
  <c r="BL78" i="2"/>
  <c r="BL74" i="2"/>
  <c r="BL19" i="2"/>
  <c r="BL35" i="2"/>
  <c r="BL59" i="2"/>
  <c r="BL12" i="2"/>
  <c r="BL36" i="2"/>
  <c r="BL47" i="2"/>
  <c r="BL65" i="2"/>
  <c r="BL23" i="3"/>
  <c r="BL24" i="2"/>
  <c r="BL38" i="2"/>
  <c r="BL58" i="2"/>
  <c r="BL8" i="3"/>
  <c r="BL8" i="2" s="1"/>
  <c r="BL9" i="2"/>
  <c r="BL33" i="2"/>
  <c r="BL43" i="2"/>
  <c r="BL18" i="2"/>
  <c r="BL26" i="2"/>
  <c r="BL49" i="2"/>
  <c r="BL61" i="3"/>
  <c r="BL61" i="2" s="1"/>
  <c r="BL62" i="2"/>
  <c r="BL17" i="2"/>
  <c r="BL34" i="2"/>
  <c r="BL52" i="2"/>
  <c r="BL10" i="2"/>
  <c r="BL29" i="2"/>
  <c r="BL41" i="2"/>
  <c r="BL55" i="2"/>
  <c r="BL28" i="2"/>
  <c r="BL31" i="2"/>
  <c r="BL67" i="3"/>
  <c r="BL67" i="2" s="1"/>
  <c r="BL68" i="2"/>
  <c r="BL7" i="2"/>
  <c r="BL32" i="2"/>
  <c r="BL42" i="2"/>
  <c r="BL69" i="2"/>
  <c r="BL56" i="3"/>
  <c r="BL56" i="2" s="1"/>
  <c r="BL57" i="2"/>
  <c r="BL25" i="2"/>
  <c r="BL39" i="2"/>
  <c r="BL54" i="2"/>
  <c r="BL11" i="2"/>
  <c r="BL21" i="2"/>
  <c r="BL46" i="2"/>
  <c r="BL66" i="2"/>
  <c r="BL14" i="2"/>
  <c r="BL20" i="2"/>
  <c r="BL44" i="3"/>
  <c r="BL44" i="2" s="1"/>
  <c r="BL45" i="2"/>
  <c r="BL60" i="2"/>
  <c r="BL13" i="2"/>
  <c r="BL37" i="2"/>
  <c r="BL48" i="2"/>
  <c r="BL6" i="2"/>
  <c r="BL30" i="2"/>
  <c r="BL53" i="2"/>
  <c r="BL63" i="2"/>
  <c r="BL16" i="2"/>
  <c r="BL40" i="2"/>
  <c r="BL51" i="2"/>
  <c r="BL70" i="2"/>
  <c r="BL15" i="2"/>
  <c r="BL27" i="2"/>
  <c r="BL50" i="2"/>
  <c r="BL64" i="2"/>
  <c r="AF135" i="2"/>
  <c r="AF131" i="2"/>
  <c r="AF138" i="2"/>
  <c r="AF134" i="2"/>
  <c r="AF130" i="2"/>
  <c r="AF137" i="2"/>
  <c r="AF133" i="2"/>
  <c r="AF136" i="2"/>
  <c r="AF132" i="2"/>
  <c r="AF125" i="2"/>
  <c r="AF123" i="2"/>
  <c r="AF121" i="2"/>
  <c r="AF112" i="3"/>
  <c r="AF113" i="2"/>
  <c r="AF109" i="2"/>
  <c r="AF107" i="2"/>
  <c r="AF105" i="2"/>
  <c r="AF100" i="3"/>
  <c r="AF101" i="2"/>
  <c r="AF122" i="2"/>
  <c r="AF118" i="2"/>
  <c r="AF108" i="2"/>
  <c r="AF106" i="2"/>
  <c r="AF102" i="2"/>
  <c r="AF129" i="2"/>
  <c r="AF127" i="2"/>
  <c r="AF119" i="2"/>
  <c r="AF117" i="2"/>
  <c r="AF103" i="2"/>
  <c r="AF128" i="2"/>
  <c r="AF126" i="2"/>
  <c r="AF124" i="2"/>
  <c r="AF120" i="2"/>
  <c r="AF115" i="3"/>
  <c r="AF115" i="2" s="1"/>
  <c r="AF116" i="2"/>
  <c r="AF114" i="2"/>
  <c r="AF110" i="2"/>
  <c r="AF104" i="2"/>
  <c r="AF95" i="2"/>
  <c r="AF93" i="2"/>
  <c r="AF88" i="3"/>
  <c r="AF88" i="2" s="1"/>
  <c r="AF89" i="2"/>
  <c r="AF87" i="2"/>
  <c r="AF81" i="2"/>
  <c r="AF77" i="2"/>
  <c r="AF73" i="2"/>
  <c r="AF98" i="2"/>
  <c r="AF94" i="2"/>
  <c r="AF91" i="3"/>
  <c r="AF91" i="2" s="1"/>
  <c r="AF92" i="2"/>
  <c r="AF85" i="3"/>
  <c r="AF85" i="2" s="1"/>
  <c r="AF86" i="2"/>
  <c r="AF84" i="2"/>
  <c r="AF80" i="2"/>
  <c r="AF76" i="2"/>
  <c r="AF72" i="2"/>
  <c r="AF97" i="2"/>
  <c r="AF83" i="2"/>
  <c r="AF79" i="2"/>
  <c r="AF75" i="2"/>
  <c r="AF96" i="2"/>
  <c r="AF90" i="2"/>
  <c r="AF82" i="2"/>
  <c r="AF78" i="2"/>
  <c r="AF74" i="2"/>
  <c r="AF18" i="2"/>
  <c r="AF26" i="2"/>
  <c r="AF49" i="2"/>
  <c r="AF61" i="3"/>
  <c r="AF61" i="2" s="1"/>
  <c r="AF62" i="2"/>
  <c r="AF13" i="2"/>
  <c r="AF37" i="2"/>
  <c r="AF52" i="2"/>
  <c r="AF10" i="2"/>
  <c r="AF29" i="2"/>
  <c r="AF39" i="2"/>
  <c r="AF55" i="2"/>
  <c r="AF23" i="3"/>
  <c r="AF24" i="2"/>
  <c r="AF34" i="2"/>
  <c r="AF67" i="3"/>
  <c r="AF67" i="2" s="1"/>
  <c r="AF68" i="2"/>
  <c r="AF7" i="2"/>
  <c r="AF31" i="2"/>
  <c r="AF42" i="2"/>
  <c r="AF69" i="2"/>
  <c r="AF56" i="3"/>
  <c r="AF56" i="2" s="1"/>
  <c r="AF57" i="2"/>
  <c r="AF25" i="2"/>
  <c r="AF35" i="2"/>
  <c r="AF54" i="2"/>
  <c r="AF11" i="2"/>
  <c r="AF21" i="2"/>
  <c r="AF46" i="2"/>
  <c r="AF66" i="2"/>
  <c r="AF14" i="2"/>
  <c r="AF20" i="2"/>
  <c r="AF44" i="3"/>
  <c r="AF44" i="2" s="1"/>
  <c r="AF45" i="2"/>
  <c r="AF60" i="2"/>
  <c r="AF8" i="3"/>
  <c r="AF8" i="2" s="1"/>
  <c r="AF9" i="2"/>
  <c r="AF33" i="2"/>
  <c r="AF48" i="2"/>
  <c r="AF5" i="3"/>
  <c r="AF6" i="2"/>
  <c r="AF30" i="2"/>
  <c r="AF53" i="2"/>
  <c r="AF63" i="2"/>
  <c r="AF16" i="2"/>
  <c r="AF36" i="2"/>
  <c r="AF51" i="2"/>
  <c r="AF70" i="2"/>
  <c r="AF15" i="2"/>
  <c r="AF27" i="2"/>
  <c r="AF50" i="2"/>
  <c r="AF64" i="2"/>
  <c r="AF28" i="2"/>
  <c r="AF38" i="2"/>
  <c r="AF59" i="2"/>
  <c r="AF12" i="2"/>
  <c r="AF32" i="2"/>
  <c r="AF47" i="2"/>
  <c r="AF65" i="2"/>
  <c r="AF17" i="2"/>
  <c r="AF41" i="2"/>
  <c r="AF58" i="2"/>
  <c r="AF19" i="2"/>
  <c r="AF40" i="2"/>
  <c r="AF43" i="2"/>
  <c r="BG136" i="2"/>
  <c r="BG132" i="2"/>
  <c r="BG135" i="2"/>
  <c r="BG131" i="2"/>
  <c r="BG138" i="2"/>
  <c r="BG134" i="2"/>
  <c r="BG130" i="2"/>
  <c r="BG137" i="2"/>
  <c r="BG133" i="2"/>
  <c r="BG129" i="2"/>
  <c r="BG128" i="2"/>
  <c r="BG126" i="2"/>
  <c r="BG124" i="2"/>
  <c r="BG120" i="2"/>
  <c r="BG115" i="3"/>
  <c r="BG115" i="2" s="1"/>
  <c r="BG116" i="2"/>
  <c r="BG114" i="2"/>
  <c r="BG110" i="2"/>
  <c r="BG104" i="2"/>
  <c r="BG125" i="2"/>
  <c r="BG123" i="2"/>
  <c r="BG121" i="2"/>
  <c r="BG112" i="3"/>
  <c r="BG113" i="2"/>
  <c r="BG109" i="2"/>
  <c r="BG107" i="2"/>
  <c r="BG105" i="2"/>
  <c r="BG100" i="3"/>
  <c r="BG101" i="2"/>
  <c r="BG122" i="2"/>
  <c r="BG118" i="2"/>
  <c r="BG108" i="2"/>
  <c r="BG106" i="2"/>
  <c r="BG102" i="2"/>
  <c r="BG98" i="2"/>
  <c r="BG127" i="2"/>
  <c r="BG119" i="2"/>
  <c r="BG117" i="2"/>
  <c r="BG103" i="2"/>
  <c r="BG96" i="2"/>
  <c r="BG90" i="2"/>
  <c r="BG82" i="2"/>
  <c r="BG78" i="2"/>
  <c r="BG74" i="2"/>
  <c r="BG95" i="2"/>
  <c r="BG93" i="2"/>
  <c r="BG88" i="3"/>
  <c r="BG88" i="2" s="1"/>
  <c r="BG89" i="2"/>
  <c r="BG87" i="2"/>
  <c r="BG81" i="2"/>
  <c r="BG77" i="2"/>
  <c r="BG73" i="2"/>
  <c r="BG94" i="2"/>
  <c r="BG91" i="3"/>
  <c r="BG91" i="2" s="1"/>
  <c r="BG92" i="2"/>
  <c r="BG85" i="3"/>
  <c r="BG85" i="2" s="1"/>
  <c r="BG86" i="2"/>
  <c r="BG84" i="2"/>
  <c r="BG80" i="2"/>
  <c r="BG76" i="2"/>
  <c r="BG72" i="2"/>
  <c r="BG97" i="2"/>
  <c r="BG83" i="2"/>
  <c r="BG79" i="2"/>
  <c r="BG75" i="2"/>
  <c r="BG29" i="2"/>
  <c r="BG36" i="2"/>
  <c r="BG52" i="2"/>
  <c r="BG17" i="2"/>
  <c r="BG33" i="2"/>
  <c r="BG43" i="2"/>
  <c r="BG61" i="3"/>
  <c r="BG61" i="2" s="1"/>
  <c r="BG62" i="2"/>
  <c r="BG19" i="2"/>
  <c r="BG39" i="2"/>
  <c r="BG54" i="2"/>
  <c r="BG10" i="2"/>
  <c r="BG34" i="2"/>
  <c r="BG44" i="3"/>
  <c r="BG44" i="2" s="1"/>
  <c r="BG45" i="2"/>
  <c r="BG7" i="2"/>
  <c r="BG21" i="2"/>
  <c r="BG50" i="2"/>
  <c r="BG60" i="2"/>
  <c r="BG18" i="2"/>
  <c r="BG35" i="2"/>
  <c r="BG59" i="2"/>
  <c r="BG11" i="2"/>
  <c r="BG26" i="2"/>
  <c r="BG41" i="2"/>
  <c r="BG64" i="2"/>
  <c r="BG25" i="2"/>
  <c r="BG32" i="2"/>
  <c r="BG55" i="2"/>
  <c r="BG13" i="2"/>
  <c r="BG31" i="2"/>
  <c r="BG53" i="2"/>
  <c r="BG70" i="2"/>
  <c r="BG6" i="2"/>
  <c r="BG20" i="2"/>
  <c r="BG40" i="2"/>
  <c r="BG58" i="2"/>
  <c r="BG16" i="2"/>
  <c r="BG23" i="3"/>
  <c r="BG24" i="2"/>
  <c r="BG47" i="2"/>
  <c r="BG69" i="2"/>
  <c r="BG15" i="2"/>
  <c r="BG30" i="2"/>
  <c r="BG46" i="2"/>
  <c r="BG67" i="3"/>
  <c r="BG67" i="2" s="1"/>
  <c r="BG68" i="2"/>
  <c r="BG14" i="2"/>
  <c r="BG38" i="2"/>
  <c r="BG49" i="2"/>
  <c r="BG12" i="2"/>
  <c r="BG27" i="2"/>
  <c r="BG42" i="2"/>
  <c r="BG63" i="2"/>
  <c r="BG56" i="3"/>
  <c r="BG56" i="2" s="1"/>
  <c r="BG57" i="2"/>
  <c r="BG37" i="2"/>
  <c r="BG48" i="2"/>
  <c r="BG66" i="2"/>
  <c r="BG8" i="3"/>
  <c r="BG8" i="2" s="1"/>
  <c r="BG9" i="2"/>
  <c r="BG28" i="2"/>
  <c r="BG51" i="2"/>
  <c r="BG65" i="2"/>
  <c r="AA136" i="2"/>
  <c r="AA132" i="2"/>
  <c r="AA135" i="2"/>
  <c r="AA131" i="2"/>
  <c r="AA138" i="2"/>
  <c r="AA134" i="2"/>
  <c r="AA130" i="2"/>
  <c r="AA137" i="2"/>
  <c r="AA133" i="2"/>
  <c r="AA128" i="2"/>
  <c r="AA126" i="2"/>
  <c r="AA124" i="2"/>
  <c r="AA120" i="2"/>
  <c r="AA115" i="3"/>
  <c r="AA115" i="2" s="1"/>
  <c r="AA116" i="2"/>
  <c r="AA114" i="2"/>
  <c r="AA110" i="2"/>
  <c r="AA104" i="2"/>
  <c r="AA125" i="2"/>
  <c r="AA123" i="2"/>
  <c r="AA121" i="2"/>
  <c r="AA112" i="3"/>
  <c r="AA113" i="2"/>
  <c r="AA109" i="2"/>
  <c r="AA107" i="2"/>
  <c r="AA105" i="2"/>
  <c r="AA100" i="3"/>
  <c r="AA101" i="2"/>
  <c r="AA122" i="2"/>
  <c r="AA118" i="2"/>
  <c r="AA108" i="2"/>
  <c r="AA106" i="2"/>
  <c r="AA102" i="2"/>
  <c r="AA129" i="2"/>
  <c r="AA127" i="2"/>
  <c r="AA119" i="2"/>
  <c r="AA117" i="2"/>
  <c r="AA103" i="2"/>
  <c r="AA96" i="2"/>
  <c r="AA90" i="2"/>
  <c r="AA82" i="2"/>
  <c r="AA78" i="2"/>
  <c r="AA74" i="2"/>
  <c r="AA95" i="2"/>
  <c r="AA93" i="2"/>
  <c r="AA88" i="3"/>
  <c r="AA88" i="2" s="1"/>
  <c r="AA89" i="2"/>
  <c r="AA87" i="2"/>
  <c r="AA81" i="2"/>
  <c r="AA77" i="2"/>
  <c r="AA73" i="2"/>
  <c r="AA98" i="2"/>
  <c r="AA94" i="2"/>
  <c r="AA91" i="3"/>
  <c r="AA91" i="2" s="1"/>
  <c r="AA92" i="2"/>
  <c r="AA85" i="3"/>
  <c r="AA85" i="2" s="1"/>
  <c r="AA86" i="2"/>
  <c r="AA84" i="2"/>
  <c r="AA80" i="2"/>
  <c r="AA76" i="2"/>
  <c r="AA72" i="2"/>
  <c r="AA97" i="2"/>
  <c r="AA83" i="2"/>
  <c r="AA79" i="2"/>
  <c r="AA75" i="2"/>
  <c r="AA7" i="2"/>
  <c r="AA21" i="2"/>
  <c r="AA50" i="2"/>
  <c r="AA61" i="3"/>
  <c r="AA61" i="2" s="1"/>
  <c r="AA62" i="2"/>
  <c r="AA18" i="2"/>
  <c r="AA38" i="2"/>
  <c r="AA59" i="2"/>
  <c r="AA11" i="2"/>
  <c r="AA26" i="2"/>
  <c r="AA40" i="2"/>
  <c r="AA58" i="2"/>
  <c r="AA25" i="2"/>
  <c r="AA39" i="2"/>
  <c r="AA54" i="2"/>
  <c r="AA13" i="2"/>
  <c r="AA28" i="2"/>
  <c r="AA53" i="2"/>
  <c r="AA65" i="2"/>
  <c r="AA6" i="2"/>
  <c r="AA20" i="2"/>
  <c r="AA36" i="2"/>
  <c r="AA52" i="2"/>
  <c r="AA16" i="2"/>
  <c r="AA31" i="2"/>
  <c r="AA47" i="2"/>
  <c r="AA63" i="2"/>
  <c r="AA15" i="2"/>
  <c r="AA30" i="2"/>
  <c r="AA46" i="2"/>
  <c r="AA64" i="2"/>
  <c r="AA14" i="2"/>
  <c r="AA34" i="2"/>
  <c r="AA49" i="2"/>
  <c r="AA12" i="2"/>
  <c r="AA27" i="2"/>
  <c r="AA42" i="2"/>
  <c r="AA67" i="3"/>
  <c r="AA67" i="2" s="1"/>
  <c r="AA68" i="2"/>
  <c r="AA56" i="3"/>
  <c r="AA56" i="2" s="1"/>
  <c r="AA57" i="2"/>
  <c r="AA37" i="2"/>
  <c r="AA48" i="2"/>
  <c r="AA66" i="2"/>
  <c r="AA8" i="3"/>
  <c r="AA8" i="2" s="1"/>
  <c r="AA9" i="2"/>
  <c r="AA23" i="3"/>
  <c r="AA24" i="2"/>
  <c r="AA51" i="2"/>
  <c r="AA69" i="2"/>
  <c r="AA29" i="2"/>
  <c r="AA32" i="2"/>
  <c r="AA55" i="2"/>
  <c r="AA17" i="2"/>
  <c r="AA33" i="2"/>
  <c r="AA43" i="2"/>
  <c r="AA70" i="2"/>
  <c r="AA19" i="2"/>
  <c r="AA35" i="2"/>
  <c r="AA60" i="2"/>
  <c r="AA10" i="2"/>
  <c r="AA41" i="2"/>
  <c r="AA44" i="3"/>
  <c r="AA44" i="2" s="1"/>
  <c r="AA45" i="2"/>
  <c r="AT137" i="2"/>
  <c r="AT133" i="2"/>
  <c r="AT129" i="2"/>
  <c r="AT136" i="2"/>
  <c r="AT132" i="2"/>
  <c r="AT135" i="2"/>
  <c r="AT131" i="2"/>
  <c r="AT138" i="2"/>
  <c r="AT134" i="2"/>
  <c r="AT130" i="2"/>
  <c r="AT127" i="2"/>
  <c r="AT119" i="2"/>
  <c r="AT117" i="2"/>
  <c r="AT103" i="2"/>
  <c r="AT128" i="2"/>
  <c r="AT126" i="2"/>
  <c r="AT124" i="2"/>
  <c r="AT120" i="2"/>
  <c r="AT115" i="3"/>
  <c r="AT115" i="2" s="1"/>
  <c r="AT116" i="2"/>
  <c r="AT114" i="2"/>
  <c r="AT110" i="2"/>
  <c r="AT104" i="2"/>
  <c r="AT125" i="2"/>
  <c r="AT123" i="2"/>
  <c r="AT121" i="2"/>
  <c r="AT112" i="3"/>
  <c r="AT113" i="2"/>
  <c r="AT109" i="2"/>
  <c r="AT107" i="2"/>
  <c r="AT105" i="2"/>
  <c r="AT100" i="3"/>
  <c r="AT101" i="2"/>
  <c r="AT122" i="2"/>
  <c r="AT118" i="2"/>
  <c r="AT108" i="2"/>
  <c r="AT106" i="2"/>
  <c r="AT102" i="2"/>
  <c r="AT98" i="2"/>
  <c r="AT97" i="2"/>
  <c r="AT83" i="2"/>
  <c r="AT79" i="2"/>
  <c r="AT75" i="2"/>
  <c r="AT96" i="2"/>
  <c r="AT90" i="2"/>
  <c r="AT82" i="2"/>
  <c r="AT78" i="2"/>
  <c r="AT74" i="2"/>
  <c r="AT95" i="2"/>
  <c r="AT93" i="2"/>
  <c r="AT88" i="3"/>
  <c r="AT88" i="2" s="1"/>
  <c r="AT89" i="2"/>
  <c r="AT87" i="2"/>
  <c r="AT81" i="2"/>
  <c r="AT77" i="2"/>
  <c r="AT73" i="2"/>
  <c r="AT94" i="2"/>
  <c r="AT91" i="3"/>
  <c r="AT91" i="2" s="1"/>
  <c r="AT92" i="2"/>
  <c r="AT85" i="3"/>
  <c r="AT85" i="2" s="1"/>
  <c r="AT86" i="2"/>
  <c r="AT84" i="2"/>
  <c r="AT80" i="2"/>
  <c r="AT76" i="2"/>
  <c r="AT72" i="2"/>
  <c r="AT10" i="2"/>
  <c r="AT31" i="2"/>
  <c r="AT44" i="3"/>
  <c r="AT44" i="2" s="1"/>
  <c r="AT45" i="2"/>
  <c r="AT66" i="2"/>
  <c r="AT7" i="2"/>
  <c r="AT21" i="2"/>
  <c r="AT37" i="2"/>
  <c r="AT59" i="2"/>
  <c r="AT17" i="2"/>
  <c r="AT25" i="2"/>
  <c r="AT43" i="2"/>
  <c r="AT70" i="2"/>
  <c r="AT16" i="2"/>
  <c r="AT23" i="3"/>
  <c r="AT24" i="2"/>
  <c r="AT42" i="2"/>
  <c r="AT60" i="2"/>
  <c r="AT11" i="2"/>
  <c r="AT39" i="2"/>
  <c r="AT50" i="2"/>
  <c r="AT13" i="2"/>
  <c r="AT19" i="2"/>
  <c r="AT51" i="2"/>
  <c r="AT65" i="2"/>
  <c r="AT18" i="2"/>
  <c r="AT38" i="2"/>
  <c r="AT52" i="2"/>
  <c r="AT67" i="3"/>
  <c r="AT67" i="2" s="1"/>
  <c r="AT68" i="2"/>
  <c r="AT56" i="3"/>
  <c r="AT56" i="2" s="1"/>
  <c r="AT57" i="2"/>
  <c r="AT29" i="2"/>
  <c r="AT48" i="2"/>
  <c r="AT61" i="3"/>
  <c r="AT61" i="2" s="1"/>
  <c r="AT62" i="2"/>
  <c r="AT30" i="2"/>
  <c r="AT33" i="2"/>
  <c r="AT53" i="2"/>
  <c r="AT14" i="2"/>
  <c r="AT34" i="2"/>
  <c r="AT49" i="2"/>
  <c r="AT63" i="2"/>
  <c r="AT20" i="2"/>
  <c r="AT36" i="2"/>
  <c r="AT55" i="2"/>
  <c r="AT6" i="2"/>
  <c r="AT35" i="2"/>
  <c r="AT46" i="2"/>
  <c r="AT8" i="3"/>
  <c r="AT8" i="2" s="1"/>
  <c r="AT9" i="2"/>
  <c r="AT28" i="2"/>
  <c r="AT47" i="2"/>
  <c r="AT64" i="2"/>
  <c r="AT15" i="2"/>
  <c r="AT32" i="2"/>
  <c r="AT54" i="2"/>
  <c r="AT12" i="2"/>
  <c r="AT27" i="2"/>
  <c r="AT41" i="2"/>
  <c r="AT69" i="2"/>
  <c r="AT26" i="2"/>
  <c r="AT40" i="2"/>
  <c r="AT58" i="2"/>
  <c r="AS138" i="2"/>
  <c r="AS134" i="2"/>
  <c r="AS130" i="2"/>
  <c r="AS137" i="2"/>
  <c r="AS133" i="2"/>
  <c r="AS136" i="2"/>
  <c r="AS132" i="2"/>
  <c r="AS135" i="2"/>
  <c r="AS131" i="2"/>
  <c r="AS122" i="2"/>
  <c r="AS118" i="2"/>
  <c r="AS108" i="2"/>
  <c r="AS106" i="2"/>
  <c r="AS102" i="2"/>
  <c r="AS98" i="2"/>
  <c r="AS127" i="2"/>
  <c r="AS119" i="2"/>
  <c r="AS117" i="2"/>
  <c r="AS103" i="2"/>
  <c r="AS129" i="2"/>
  <c r="AS128" i="2"/>
  <c r="AS126" i="2"/>
  <c r="AS124" i="2"/>
  <c r="AS120" i="2"/>
  <c r="AS115" i="3"/>
  <c r="AS115" i="2" s="1"/>
  <c r="AS116" i="2"/>
  <c r="AS114" i="2"/>
  <c r="AS110" i="2"/>
  <c r="AS104" i="2"/>
  <c r="AS125" i="2"/>
  <c r="AS123" i="2"/>
  <c r="AS121" i="2"/>
  <c r="AS112" i="3"/>
  <c r="AS113" i="2"/>
  <c r="AS109" i="2"/>
  <c r="AS107" i="2"/>
  <c r="AS105" i="2"/>
  <c r="AS100" i="3"/>
  <c r="AS101" i="2"/>
  <c r="AS94" i="2"/>
  <c r="AS91" i="3"/>
  <c r="AS91" i="2" s="1"/>
  <c r="AS92" i="2"/>
  <c r="AS85" i="3"/>
  <c r="AS85" i="2" s="1"/>
  <c r="AS86" i="2"/>
  <c r="AS84" i="2"/>
  <c r="AS80" i="2"/>
  <c r="AS76" i="2"/>
  <c r="AS72" i="2"/>
  <c r="AS97" i="2"/>
  <c r="AS83" i="2"/>
  <c r="AS79" i="2"/>
  <c r="AS75" i="2"/>
  <c r="AS96" i="2"/>
  <c r="AS90" i="2"/>
  <c r="AS82" i="2"/>
  <c r="AS78" i="2"/>
  <c r="AS74" i="2"/>
  <c r="AS95" i="2"/>
  <c r="AS93" i="2"/>
  <c r="AS88" i="3"/>
  <c r="AS88" i="2" s="1"/>
  <c r="AS89" i="2"/>
  <c r="AS87" i="2"/>
  <c r="AS81" i="2"/>
  <c r="AS77" i="2"/>
  <c r="AS73" i="2"/>
  <c r="AS23" i="3"/>
  <c r="AS24" i="2"/>
  <c r="AS41" i="2"/>
  <c r="AS59" i="2"/>
  <c r="AS11" i="2"/>
  <c r="AS30" i="2"/>
  <c r="AS50" i="2"/>
  <c r="AS64" i="2"/>
  <c r="AS21" i="2"/>
  <c r="AS33" i="2"/>
  <c r="AS58" i="2"/>
  <c r="AS7" i="2"/>
  <c r="AS39" i="2"/>
  <c r="AS47" i="2"/>
  <c r="AS56" i="3"/>
  <c r="AS56" i="2" s="1"/>
  <c r="AS57" i="2"/>
  <c r="AS25" i="2"/>
  <c r="AS48" i="2"/>
  <c r="AS65" i="2"/>
  <c r="AS16" i="2"/>
  <c r="AS40" i="2"/>
  <c r="AS55" i="2"/>
  <c r="AS13" i="2"/>
  <c r="AS32" i="2"/>
  <c r="AS38" i="2"/>
  <c r="AS54" i="2"/>
  <c r="AS27" i="2"/>
  <c r="AS37" i="2"/>
  <c r="AS53" i="2"/>
  <c r="AS6" i="2"/>
  <c r="AS26" i="2"/>
  <c r="AS46" i="2"/>
  <c r="AS67" i="3"/>
  <c r="AS67" i="2" s="1"/>
  <c r="AS68" i="2"/>
  <c r="AS8" i="3"/>
  <c r="AS8" i="2" s="1"/>
  <c r="AS9" i="2"/>
  <c r="AS28" i="2"/>
  <c r="AS34" i="2"/>
  <c r="AS60" i="2"/>
  <c r="AS14" i="2"/>
  <c r="AS31" i="2"/>
  <c r="AS49" i="2"/>
  <c r="AS61" i="3"/>
  <c r="AS61" i="2" s="1"/>
  <c r="AS62" i="2"/>
  <c r="AS17" i="2"/>
  <c r="AS19" i="2"/>
  <c r="AS43" i="2"/>
  <c r="AS70" i="2"/>
  <c r="AS12" i="2"/>
  <c r="AS36" i="2"/>
  <c r="AS51" i="2"/>
  <c r="AS10" i="2"/>
  <c r="AS29" i="2"/>
  <c r="AS44" i="3"/>
  <c r="AS44" i="2" s="1"/>
  <c r="AS45" i="2"/>
  <c r="AS66" i="2"/>
  <c r="AS15" i="2"/>
  <c r="AS35" i="2"/>
  <c r="AS42" i="2"/>
  <c r="AS69" i="2"/>
  <c r="AS18" i="2"/>
  <c r="AS20" i="2"/>
  <c r="AS52" i="2"/>
  <c r="AS63" i="2"/>
  <c r="AP137" i="2"/>
  <c r="AP133" i="2"/>
  <c r="AP136" i="2"/>
  <c r="AP132" i="2"/>
  <c r="AP135" i="2"/>
  <c r="AP131" i="2"/>
  <c r="AP138" i="2"/>
  <c r="AP134" i="2"/>
  <c r="AP130" i="2"/>
  <c r="AP129" i="2"/>
  <c r="AP127" i="2"/>
  <c r="AP119" i="2"/>
  <c r="AP117" i="2"/>
  <c r="AP103" i="2"/>
  <c r="AP128" i="2"/>
  <c r="AP126" i="2"/>
  <c r="AP124" i="2"/>
  <c r="AP120" i="2"/>
  <c r="AP115" i="3"/>
  <c r="AP115" i="2" s="1"/>
  <c r="AP116" i="2"/>
  <c r="AP114" i="2"/>
  <c r="AP110" i="2"/>
  <c r="AP104" i="2"/>
  <c r="AP125" i="2"/>
  <c r="AP123" i="2"/>
  <c r="AP121" i="2"/>
  <c r="AP112" i="3"/>
  <c r="AP113" i="2"/>
  <c r="AP109" i="2"/>
  <c r="AP107" i="2"/>
  <c r="AP105" i="2"/>
  <c r="AP100" i="3"/>
  <c r="AP101" i="2"/>
  <c r="AP122" i="2"/>
  <c r="AP118" i="2"/>
  <c r="AP108" i="2"/>
  <c r="AP106" i="2"/>
  <c r="AP102" i="2"/>
  <c r="AP98" i="2"/>
  <c r="AP97" i="2"/>
  <c r="AP83" i="2"/>
  <c r="AP79" i="2"/>
  <c r="AP75" i="2"/>
  <c r="AP96" i="2"/>
  <c r="AP90" i="2"/>
  <c r="AP82" i="2"/>
  <c r="AP78" i="2"/>
  <c r="AP74" i="2"/>
  <c r="AP95" i="2"/>
  <c r="AP93" i="2"/>
  <c r="AP88" i="3"/>
  <c r="AP88" i="2" s="1"/>
  <c r="AP89" i="2"/>
  <c r="AP87" i="2"/>
  <c r="AP81" i="2"/>
  <c r="AP77" i="2"/>
  <c r="AP73" i="2"/>
  <c r="AP94" i="2"/>
  <c r="AP91" i="3"/>
  <c r="AP91" i="2" s="1"/>
  <c r="AP92" i="2"/>
  <c r="AP85" i="3"/>
  <c r="AP85" i="2" s="1"/>
  <c r="AP86" i="2"/>
  <c r="AP84" i="2"/>
  <c r="AP80" i="2"/>
  <c r="AP76" i="2"/>
  <c r="AP72" i="2"/>
  <c r="AP8" i="3"/>
  <c r="AP8" i="2" s="1"/>
  <c r="AP9" i="2"/>
  <c r="AP23" i="3"/>
  <c r="AP24" i="2"/>
  <c r="AP47" i="2"/>
  <c r="AP64" i="2"/>
  <c r="AP15" i="2"/>
  <c r="AP32" i="2"/>
  <c r="AP54" i="2"/>
  <c r="AP12" i="2"/>
  <c r="AP21" i="2"/>
  <c r="AP41" i="2"/>
  <c r="AP59" i="2"/>
  <c r="AP26" i="2"/>
  <c r="AP40" i="2"/>
  <c r="AP65" i="2"/>
  <c r="AP10" i="2"/>
  <c r="AP29" i="2"/>
  <c r="AP44" i="3"/>
  <c r="AP44" i="2" s="1"/>
  <c r="AP45" i="2"/>
  <c r="AP66" i="2"/>
  <c r="AP7" i="2"/>
  <c r="AP31" i="2"/>
  <c r="AP37" i="2"/>
  <c r="AP53" i="2"/>
  <c r="AP17" i="2"/>
  <c r="AP19" i="2"/>
  <c r="AP43" i="2"/>
  <c r="AP70" i="2"/>
  <c r="AP16" i="2"/>
  <c r="AP27" i="2"/>
  <c r="AP42" i="2"/>
  <c r="AP60" i="2"/>
  <c r="AP11" i="2"/>
  <c r="AP39" i="2"/>
  <c r="AP52" i="2"/>
  <c r="AP13" i="2"/>
  <c r="AP28" i="2"/>
  <c r="AP51" i="2"/>
  <c r="AP69" i="2"/>
  <c r="AP18" i="2"/>
  <c r="AP38" i="2"/>
  <c r="AP46" i="2"/>
  <c r="AP67" i="3"/>
  <c r="AP67" i="2" s="1"/>
  <c r="AP68" i="2"/>
  <c r="AP56" i="3"/>
  <c r="AP56" i="2" s="1"/>
  <c r="AP57" i="2"/>
  <c r="AP25" i="2"/>
  <c r="AP48" i="2"/>
  <c r="AP61" i="3"/>
  <c r="AP61" i="2" s="1"/>
  <c r="AP62" i="2"/>
  <c r="AP30" i="2"/>
  <c r="AP33" i="2"/>
  <c r="AP58" i="2"/>
  <c r="AP14" i="2"/>
  <c r="AP34" i="2"/>
  <c r="AP49" i="2"/>
  <c r="AP63" i="2"/>
  <c r="AP20" i="2"/>
  <c r="AP36" i="2"/>
  <c r="AP55" i="2"/>
  <c r="AP5" i="3"/>
  <c r="AP6" i="2"/>
  <c r="AP35" i="2"/>
  <c r="AP50" i="2"/>
  <c r="Q138" i="2"/>
  <c r="Q134" i="2"/>
  <c r="Q130" i="2"/>
  <c r="Q137" i="2"/>
  <c r="Q133" i="2"/>
  <c r="Q136" i="2"/>
  <c r="Q132" i="2"/>
  <c r="Q135" i="2"/>
  <c r="Q131" i="2"/>
  <c r="Q122" i="2"/>
  <c r="Q118" i="2"/>
  <c r="Q108" i="2"/>
  <c r="Q106" i="2"/>
  <c r="Q102" i="2"/>
  <c r="Q129" i="2"/>
  <c r="Q127" i="2"/>
  <c r="Q119" i="2"/>
  <c r="Q117" i="2"/>
  <c r="Q103" i="2"/>
  <c r="Q128" i="2"/>
  <c r="Q126" i="2"/>
  <c r="Q124" i="2"/>
  <c r="Q120" i="2"/>
  <c r="Q115" i="3"/>
  <c r="Q115" i="2" s="1"/>
  <c r="Q116" i="2"/>
  <c r="Q114" i="2"/>
  <c r="Q110" i="2"/>
  <c r="Q104" i="2"/>
  <c r="Q125" i="2"/>
  <c r="Q123" i="2"/>
  <c r="Q121" i="2"/>
  <c r="Q112" i="3"/>
  <c r="Q113" i="2"/>
  <c r="Q109" i="2"/>
  <c r="Q107" i="2"/>
  <c r="Q105" i="2"/>
  <c r="Q100" i="3"/>
  <c r="Q101" i="2"/>
  <c r="Q98" i="2"/>
  <c r="Q94" i="2"/>
  <c r="Q91" i="3"/>
  <c r="Q91" i="2" s="1"/>
  <c r="Q92" i="2"/>
  <c r="Q85" i="3"/>
  <c r="Q85" i="2" s="1"/>
  <c r="Q86" i="2"/>
  <c r="Q84" i="2"/>
  <c r="Q80" i="2"/>
  <c r="Q76" i="2"/>
  <c r="Q72" i="2"/>
  <c r="Q97" i="2"/>
  <c r="Q83" i="2"/>
  <c r="Q79" i="2"/>
  <c r="Q75" i="2"/>
  <c r="Q96" i="2"/>
  <c r="Q90" i="2"/>
  <c r="Q82" i="2"/>
  <c r="Q78" i="2"/>
  <c r="Q74" i="2"/>
  <c r="Q95" i="2"/>
  <c r="Q93" i="2"/>
  <c r="Q88" i="3"/>
  <c r="Q88" i="2" s="1"/>
  <c r="Q89" i="2"/>
  <c r="Q87" i="2"/>
  <c r="Q81" i="2"/>
  <c r="Q77" i="2"/>
  <c r="Q73" i="2"/>
  <c r="Q32" i="2"/>
  <c r="Q52" i="2"/>
  <c r="Q65" i="2"/>
  <c r="Q21" i="2"/>
  <c r="Q33" i="2"/>
  <c r="Q60" i="2"/>
  <c r="Q56" i="3"/>
  <c r="Q56" i="2" s="1"/>
  <c r="Q57" i="2"/>
  <c r="Q25" i="2"/>
  <c r="Q43" i="2"/>
  <c r="Q70" i="2"/>
  <c r="Q8" i="3"/>
  <c r="Q8" i="2" s="1"/>
  <c r="Q9" i="2"/>
  <c r="Q31" i="2"/>
  <c r="Q41" i="2"/>
  <c r="Q59" i="2"/>
  <c r="Q13" i="2"/>
  <c r="Q35" i="2"/>
  <c r="Q50" i="2"/>
  <c r="Q69" i="2"/>
  <c r="Q17" i="2"/>
  <c r="Q28" i="2"/>
  <c r="Q38" i="2"/>
  <c r="Q54" i="2"/>
  <c r="Q6" i="2"/>
  <c r="Q26" i="2"/>
  <c r="Q49" i="2"/>
  <c r="Q67" i="3"/>
  <c r="Q67" i="2" s="1"/>
  <c r="Q68" i="2"/>
  <c r="Q10" i="2"/>
  <c r="Q29" i="2"/>
  <c r="Q48" i="2"/>
  <c r="Q61" i="3"/>
  <c r="Q61" i="2" s="1"/>
  <c r="Q62" i="2"/>
  <c r="Q19" i="2"/>
  <c r="Q42" i="2"/>
  <c r="Q58" i="2"/>
  <c r="Q18" i="2"/>
  <c r="Q20" i="2"/>
  <c r="Q44" i="3"/>
  <c r="Q44" i="2" s="1"/>
  <c r="Q45" i="2"/>
  <c r="Q63" i="2"/>
  <c r="Q12" i="2"/>
  <c r="Q36" i="2"/>
  <c r="Q51" i="2"/>
  <c r="Q11" i="2"/>
  <c r="Q30" i="2"/>
  <c r="Q46" i="2"/>
  <c r="Q64" i="2"/>
  <c r="Q23" i="3"/>
  <c r="Q24" i="2"/>
  <c r="Q34" i="2"/>
  <c r="Q66" i="2"/>
  <c r="Q7" i="2"/>
  <c r="Q39" i="2"/>
  <c r="Q47" i="2"/>
  <c r="Q15" i="2"/>
  <c r="Q27" i="2"/>
  <c r="Q37" i="2"/>
  <c r="Q53" i="2"/>
  <c r="Q14" i="2"/>
  <c r="Q16" i="2"/>
  <c r="Q40" i="2"/>
  <c r="Q55" i="2"/>
  <c r="BH135" i="2"/>
  <c r="BH131" i="2"/>
  <c r="BH138" i="2"/>
  <c r="BH134" i="2"/>
  <c r="BH130" i="2"/>
  <c r="BH137" i="2"/>
  <c r="BH133" i="2"/>
  <c r="BH136" i="2"/>
  <c r="BH132" i="2"/>
  <c r="BH125" i="2"/>
  <c r="BH123" i="2"/>
  <c r="BH121" i="2"/>
  <c r="BH112" i="3"/>
  <c r="BH113" i="2"/>
  <c r="BH109" i="2"/>
  <c r="BH107" i="2"/>
  <c r="BH105" i="2"/>
  <c r="BH100" i="3"/>
  <c r="BH101" i="2"/>
  <c r="BH122" i="2"/>
  <c r="BH118" i="2"/>
  <c r="BH108" i="2"/>
  <c r="BH106" i="2"/>
  <c r="BH102" i="2"/>
  <c r="BH98" i="2"/>
  <c r="BH127" i="2"/>
  <c r="BH119" i="2"/>
  <c r="BH117" i="2"/>
  <c r="BH103" i="2"/>
  <c r="BH129" i="2"/>
  <c r="BH128" i="2"/>
  <c r="BH126" i="2"/>
  <c r="BH124" i="2"/>
  <c r="BH120" i="2"/>
  <c r="BH115" i="3"/>
  <c r="BH115" i="2" s="1"/>
  <c r="BH116" i="2"/>
  <c r="BH114" i="2"/>
  <c r="BH110" i="2"/>
  <c r="BH104" i="2"/>
  <c r="BH95" i="2"/>
  <c r="BH93" i="2"/>
  <c r="BH88" i="3"/>
  <c r="BH88" i="2" s="1"/>
  <c r="BH89" i="2"/>
  <c r="BH87" i="2"/>
  <c r="BH81" i="2"/>
  <c r="BH77" i="2"/>
  <c r="BH73" i="2"/>
  <c r="BH94" i="2"/>
  <c r="BH91" i="3"/>
  <c r="BH91" i="2" s="1"/>
  <c r="BH92" i="2"/>
  <c r="BH85" i="3"/>
  <c r="BH85" i="2" s="1"/>
  <c r="BH86" i="2"/>
  <c r="BH84" i="2"/>
  <c r="BH80" i="2"/>
  <c r="BH76" i="2"/>
  <c r="BH72" i="2"/>
  <c r="BH97" i="2"/>
  <c r="BH83" i="2"/>
  <c r="BH79" i="2"/>
  <c r="BH75" i="2"/>
  <c r="BH96" i="2"/>
  <c r="BH90" i="2"/>
  <c r="BH82" i="2"/>
  <c r="BH78" i="2"/>
  <c r="BH74" i="2"/>
  <c r="BH66" i="2"/>
  <c r="BH33" i="2"/>
  <c r="BH12" i="2"/>
  <c r="BH36" i="2"/>
  <c r="BH47" i="2"/>
  <c r="BH65" i="2"/>
  <c r="BH23" i="3"/>
  <c r="BH24" i="2"/>
  <c r="BH34" i="2"/>
  <c r="BH58" i="2"/>
  <c r="BH18" i="2"/>
  <c r="BH8" i="3"/>
  <c r="BH8" i="2" s="1"/>
  <c r="BH9" i="2"/>
  <c r="BH41" i="2"/>
  <c r="BH53" i="2"/>
  <c r="BH32" i="2"/>
  <c r="BH43" i="2"/>
  <c r="BH17" i="2"/>
  <c r="BH37" i="2"/>
  <c r="BH48" i="2"/>
  <c r="BH13" i="2"/>
  <c r="BH10" i="2"/>
  <c r="BH29" i="2"/>
  <c r="BH39" i="2"/>
  <c r="BH55" i="2"/>
  <c r="BH19" i="2"/>
  <c r="BH28" i="2"/>
  <c r="BH38" i="2"/>
  <c r="BH59" i="2"/>
  <c r="BH42" i="2"/>
  <c r="BH7" i="2"/>
  <c r="BH69" i="2"/>
  <c r="BH56" i="3"/>
  <c r="BH56" i="2" s="1"/>
  <c r="BH57" i="2"/>
  <c r="BH25" i="2"/>
  <c r="BH35" i="2"/>
  <c r="BH54" i="2"/>
  <c r="BH31" i="2"/>
  <c r="BH11" i="2"/>
  <c r="BH21" i="2"/>
  <c r="BH46" i="2"/>
  <c r="BH61" i="3"/>
  <c r="BH61" i="2" s="1"/>
  <c r="BH62" i="2"/>
  <c r="BH49" i="2"/>
  <c r="BH14" i="2"/>
  <c r="BH20" i="2"/>
  <c r="BH44" i="3"/>
  <c r="BH44" i="2" s="1"/>
  <c r="BH45" i="2"/>
  <c r="BH63" i="2"/>
  <c r="BH60" i="2"/>
  <c r="BH26" i="2"/>
  <c r="BH5" i="3"/>
  <c r="BH6" i="2"/>
  <c r="BH30" i="2"/>
  <c r="BH52" i="2"/>
  <c r="BH67" i="3"/>
  <c r="BH67" i="2" s="1"/>
  <c r="BH68" i="2"/>
  <c r="BH16" i="2"/>
  <c r="BH40" i="2"/>
  <c r="BH51" i="2"/>
  <c r="BH70" i="2"/>
  <c r="BH15" i="2"/>
  <c r="BH27" i="2"/>
  <c r="BH50" i="2"/>
  <c r="BH64" i="2"/>
  <c r="AB135" i="2"/>
  <c r="AB131" i="2"/>
  <c r="AB138" i="2"/>
  <c r="AB134" i="2"/>
  <c r="AB130" i="2"/>
  <c r="AB137" i="2"/>
  <c r="AB133" i="2"/>
  <c r="AB136" i="2"/>
  <c r="AB132" i="2"/>
  <c r="AB125" i="2"/>
  <c r="AB123" i="2"/>
  <c r="AB121" i="2"/>
  <c r="AB112" i="3"/>
  <c r="AB113" i="2"/>
  <c r="AB109" i="2"/>
  <c r="AB107" i="2"/>
  <c r="AB105" i="2"/>
  <c r="AB100" i="3"/>
  <c r="AB101" i="2"/>
  <c r="AB122" i="2"/>
  <c r="AB118" i="2"/>
  <c r="AB108" i="2"/>
  <c r="AB106" i="2"/>
  <c r="AB102" i="2"/>
  <c r="AB129" i="2"/>
  <c r="AB127" i="2"/>
  <c r="AB119" i="2"/>
  <c r="AB117" i="2"/>
  <c r="AB103" i="2"/>
  <c r="AB128" i="2"/>
  <c r="AB126" i="2"/>
  <c r="AB124" i="2"/>
  <c r="AB120" i="2"/>
  <c r="AB115" i="3"/>
  <c r="AB115" i="2" s="1"/>
  <c r="AB116" i="2"/>
  <c r="AB114" i="2"/>
  <c r="AB110" i="2"/>
  <c r="AB104" i="2"/>
  <c r="AB95" i="2"/>
  <c r="AB93" i="2"/>
  <c r="AB88" i="3"/>
  <c r="AB88" i="2" s="1"/>
  <c r="AB89" i="2"/>
  <c r="AB87" i="2"/>
  <c r="AB81" i="2"/>
  <c r="AB77" i="2"/>
  <c r="AB73" i="2"/>
  <c r="AB98" i="2"/>
  <c r="AB94" i="2"/>
  <c r="AB91" i="3"/>
  <c r="AB91" i="2" s="1"/>
  <c r="AB92" i="2"/>
  <c r="AB85" i="3"/>
  <c r="AB85" i="2" s="1"/>
  <c r="AB86" i="2"/>
  <c r="AB84" i="2"/>
  <c r="AB80" i="2"/>
  <c r="AB76" i="2"/>
  <c r="AB72" i="2"/>
  <c r="AB97" i="2"/>
  <c r="AB83" i="2"/>
  <c r="AB79" i="2"/>
  <c r="AB75" i="2"/>
  <c r="AB96" i="2"/>
  <c r="AB90" i="2"/>
  <c r="AB82" i="2"/>
  <c r="AB78" i="2"/>
  <c r="AB74" i="2"/>
  <c r="AB49" i="2"/>
  <c r="AB38" i="2"/>
  <c r="AB13" i="2"/>
  <c r="AB37" i="2"/>
  <c r="AB48" i="2"/>
  <c r="AB10" i="2"/>
  <c r="AB29" i="2"/>
  <c r="AB39" i="2"/>
  <c r="AB55" i="2"/>
  <c r="AB69" i="2"/>
  <c r="AB23" i="3"/>
  <c r="AB24" i="2"/>
  <c r="AB34" i="2"/>
  <c r="AB59" i="2"/>
  <c r="AB66" i="2"/>
  <c r="AB60" i="2"/>
  <c r="AB56" i="3"/>
  <c r="AB56" i="2" s="1"/>
  <c r="AB57" i="2"/>
  <c r="AB25" i="2"/>
  <c r="AB35" i="2"/>
  <c r="AB54" i="2"/>
  <c r="AB15" i="2"/>
  <c r="AB6" i="2"/>
  <c r="AB21" i="2"/>
  <c r="AB46" i="2"/>
  <c r="AB67" i="3"/>
  <c r="AB67" i="2" s="1"/>
  <c r="AB68" i="2"/>
  <c r="AB8" i="3"/>
  <c r="AB8" i="2" s="1"/>
  <c r="AB9" i="2"/>
  <c r="AB14" i="2"/>
  <c r="AB20" i="2"/>
  <c r="AB44" i="3"/>
  <c r="AB44" i="2" s="1"/>
  <c r="AB45" i="2"/>
  <c r="AB63" i="2"/>
  <c r="AB18" i="2"/>
  <c r="AB19" i="2"/>
  <c r="AB30" i="2"/>
  <c r="AB52" i="2"/>
  <c r="AB61" i="3"/>
  <c r="AB61" i="2" s="1"/>
  <c r="AB62" i="2"/>
  <c r="AB33" i="2"/>
  <c r="AB12" i="2"/>
  <c r="AB36" i="2"/>
  <c r="AB51" i="2"/>
  <c r="AB70" i="2"/>
  <c r="AB31" i="2"/>
  <c r="AB11" i="2"/>
  <c r="AB27" i="2"/>
  <c r="AB50" i="2"/>
  <c r="AB64" i="2"/>
  <c r="AB26" i="2"/>
  <c r="AB28" i="2"/>
  <c r="AB7" i="2"/>
  <c r="AB32" i="2"/>
  <c r="AB47" i="2"/>
  <c r="AB65" i="2"/>
  <c r="AB43" i="2"/>
  <c r="AB17" i="2"/>
  <c r="AB41" i="2"/>
  <c r="AB58" i="2"/>
  <c r="AB42" i="2"/>
  <c r="AB16" i="2"/>
  <c r="AB40" i="2"/>
  <c r="AB53" i="2"/>
  <c r="BC136" i="2"/>
  <c r="BC132" i="2"/>
  <c r="BC135" i="2"/>
  <c r="BC131" i="2"/>
  <c r="BC138" i="2"/>
  <c r="BC134" i="2"/>
  <c r="BC130" i="2"/>
  <c r="BC137" i="2"/>
  <c r="BC133" i="2"/>
  <c r="BC129" i="2"/>
  <c r="BC128" i="2"/>
  <c r="BC126" i="2"/>
  <c r="BC124" i="2"/>
  <c r="BC120" i="2"/>
  <c r="BC115" i="3"/>
  <c r="BC115" i="2" s="1"/>
  <c r="BC116" i="2"/>
  <c r="BC114" i="2"/>
  <c r="BC110" i="2"/>
  <c r="BC104" i="2"/>
  <c r="BC125" i="2"/>
  <c r="BC123" i="2"/>
  <c r="BC121" i="2"/>
  <c r="BC112" i="3"/>
  <c r="BC113" i="2"/>
  <c r="BC109" i="2"/>
  <c r="BC107" i="2"/>
  <c r="BC105" i="2"/>
  <c r="BC100" i="3"/>
  <c r="BC101" i="2"/>
  <c r="BC122" i="2"/>
  <c r="BC118" i="2"/>
  <c r="BC108" i="2"/>
  <c r="BC106" i="2"/>
  <c r="BC102" i="2"/>
  <c r="BC98" i="2"/>
  <c r="BC127" i="2"/>
  <c r="BC119" i="2"/>
  <c r="BC117" i="2"/>
  <c r="BC103" i="2"/>
  <c r="BC96" i="2"/>
  <c r="BC90" i="2"/>
  <c r="BC82" i="2"/>
  <c r="BC78" i="2"/>
  <c r="BC74" i="2"/>
  <c r="BC95" i="2"/>
  <c r="BC93" i="2"/>
  <c r="BC88" i="3"/>
  <c r="BC88" i="2" s="1"/>
  <c r="BC89" i="2"/>
  <c r="BC87" i="2"/>
  <c r="BC81" i="2"/>
  <c r="BC77" i="2"/>
  <c r="BC73" i="2"/>
  <c r="BC94" i="2"/>
  <c r="BC91" i="3"/>
  <c r="BC91" i="2" s="1"/>
  <c r="BC92" i="2"/>
  <c r="BC85" i="3"/>
  <c r="BC85" i="2" s="1"/>
  <c r="BC86" i="2"/>
  <c r="BC84" i="2"/>
  <c r="BC80" i="2"/>
  <c r="BC76" i="2"/>
  <c r="BC72" i="2"/>
  <c r="BC97" i="2"/>
  <c r="BC83" i="2"/>
  <c r="BC79" i="2"/>
  <c r="BC75" i="2"/>
  <c r="BC16" i="2"/>
  <c r="BC27" i="2"/>
  <c r="BC47" i="2"/>
  <c r="BC69" i="2"/>
  <c r="BC25" i="2"/>
  <c r="BC39" i="2"/>
  <c r="BC55" i="2"/>
  <c r="BC7" i="2"/>
  <c r="BC31" i="2"/>
  <c r="BC50" i="2"/>
  <c r="BC64" i="2"/>
  <c r="BC6" i="2"/>
  <c r="BC20" i="2"/>
  <c r="BC36" i="2"/>
  <c r="BC58" i="2"/>
  <c r="BC56" i="3"/>
  <c r="BC56" i="2" s="1"/>
  <c r="BC57" i="2"/>
  <c r="BC37" i="2"/>
  <c r="BC44" i="3"/>
  <c r="BC44" i="2" s="1"/>
  <c r="BC45" i="2"/>
  <c r="BC66" i="2"/>
  <c r="BC15" i="2"/>
  <c r="BC30" i="2"/>
  <c r="BC46" i="2"/>
  <c r="BC60" i="2"/>
  <c r="BC13" i="2"/>
  <c r="BC28" i="2"/>
  <c r="BC43" i="2"/>
  <c r="BC70" i="2"/>
  <c r="BC12" i="2"/>
  <c r="BC21" i="2"/>
  <c r="BC42" i="2"/>
  <c r="BC67" i="3"/>
  <c r="BC67" i="2" s="1"/>
  <c r="BC68" i="2"/>
  <c r="BC19" i="2"/>
  <c r="BC35" i="2"/>
  <c r="BC54" i="2"/>
  <c r="BC8" i="3"/>
  <c r="BC8" i="2" s="1"/>
  <c r="BC9" i="2"/>
  <c r="BC23" i="3"/>
  <c r="BC24" i="2"/>
  <c r="BC51" i="2"/>
  <c r="BC65" i="2"/>
  <c r="BC14" i="2"/>
  <c r="BC34" i="2"/>
  <c r="BC53" i="2"/>
  <c r="BC17" i="2"/>
  <c r="BC33" i="2"/>
  <c r="BC48" i="2"/>
  <c r="BC61" i="3"/>
  <c r="BC61" i="2" s="1"/>
  <c r="BC62" i="2"/>
  <c r="BC11" i="2"/>
  <c r="BC26" i="2"/>
  <c r="BC40" i="2"/>
  <c r="BC63" i="2"/>
  <c r="BC10" i="2"/>
  <c r="BC41" i="2"/>
  <c r="BC49" i="2"/>
  <c r="BC29" i="2"/>
  <c r="BC32" i="2"/>
  <c r="BC52" i="2"/>
  <c r="BC18" i="2"/>
  <c r="BC38" i="2"/>
  <c r="BC59" i="2"/>
  <c r="W136" i="2"/>
  <c r="W132" i="2"/>
  <c r="W135" i="2"/>
  <c r="W131" i="2"/>
  <c r="W138" i="2"/>
  <c r="W134" i="2"/>
  <c r="W130" i="2"/>
  <c r="W137" i="2"/>
  <c r="W133" i="2"/>
  <c r="W128" i="2"/>
  <c r="W126" i="2"/>
  <c r="W124" i="2"/>
  <c r="W120" i="2"/>
  <c r="W115" i="3"/>
  <c r="W115" i="2" s="1"/>
  <c r="W116" i="2"/>
  <c r="W114" i="2"/>
  <c r="W110" i="2"/>
  <c r="W104" i="2"/>
  <c r="W125" i="2"/>
  <c r="W123" i="2"/>
  <c r="W121" i="2"/>
  <c r="W112" i="3"/>
  <c r="W113" i="2"/>
  <c r="W109" i="2"/>
  <c r="W107" i="2"/>
  <c r="W105" i="2"/>
  <c r="W100" i="3"/>
  <c r="W101" i="2"/>
  <c r="W122" i="2"/>
  <c r="W118" i="2"/>
  <c r="W108" i="2"/>
  <c r="W106" i="2"/>
  <c r="W102" i="2"/>
  <c r="W129" i="2"/>
  <c r="W127" i="2"/>
  <c r="W119" i="2"/>
  <c r="W117" i="2"/>
  <c r="W103" i="2"/>
  <c r="W96" i="2"/>
  <c r="W90" i="2"/>
  <c r="W82" i="2"/>
  <c r="W78" i="2"/>
  <c r="W74" i="2"/>
  <c r="W95" i="2"/>
  <c r="W93" i="2"/>
  <c r="W88" i="3"/>
  <c r="W88" i="2" s="1"/>
  <c r="W89" i="2"/>
  <c r="W87" i="2"/>
  <c r="W81" i="2"/>
  <c r="W77" i="2"/>
  <c r="W73" i="2"/>
  <c r="W98" i="2"/>
  <c r="W94" i="2"/>
  <c r="W91" i="3"/>
  <c r="W91" i="2" s="1"/>
  <c r="W92" i="2"/>
  <c r="W85" i="3"/>
  <c r="W85" i="2" s="1"/>
  <c r="W86" i="2"/>
  <c r="W84" i="2"/>
  <c r="W80" i="2"/>
  <c r="W76" i="2"/>
  <c r="W72" i="2"/>
  <c r="W97" i="2"/>
  <c r="W83" i="2"/>
  <c r="W79" i="2"/>
  <c r="W75" i="2"/>
  <c r="W56" i="3"/>
  <c r="W56" i="2" s="1"/>
  <c r="W57" i="2"/>
  <c r="W37" i="2"/>
  <c r="W44" i="3"/>
  <c r="W44" i="2" s="1"/>
  <c r="W45" i="2"/>
  <c r="W66" i="2"/>
  <c r="W15" i="2"/>
  <c r="W30" i="2"/>
  <c r="W46" i="2"/>
  <c r="W63" i="2"/>
  <c r="W13" i="2"/>
  <c r="W28" i="2"/>
  <c r="W43" i="2"/>
  <c r="W65" i="2"/>
  <c r="W12" i="2"/>
  <c r="W27" i="2"/>
  <c r="W42" i="2"/>
  <c r="W64" i="2"/>
  <c r="W19" i="2"/>
  <c r="W35" i="2"/>
  <c r="W54" i="2"/>
  <c r="W8" i="3"/>
  <c r="W8" i="2" s="1"/>
  <c r="W9" i="2"/>
  <c r="W23" i="3"/>
  <c r="W24" i="2"/>
  <c r="W51" i="2"/>
  <c r="W69" i="2"/>
  <c r="W14" i="2"/>
  <c r="W34" i="2"/>
  <c r="W53" i="2"/>
  <c r="W17" i="2"/>
  <c r="W33" i="2"/>
  <c r="W48" i="2"/>
  <c r="W70" i="2"/>
  <c r="W11" i="2"/>
  <c r="W26" i="2"/>
  <c r="W40" i="2"/>
  <c r="W58" i="2"/>
  <c r="W10" i="2"/>
  <c r="W41" i="2"/>
  <c r="W49" i="2"/>
  <c r="W29" i="2"/>
  <c r="W32" i="2"/>
  <c r="W55" i="2"/>
  <c r="W18" i="2"/>
  <c r="W38" i="2"/>
  <c r="W59" i="2"/>
  <c r="W16" i="2"/>
  <c r="W31" i="2"/>
  <c r="W47" i="2"/>
  <c r="W67" i="3"/>
  <c r="W67" i="2" s="1"/>
  <c r="W68" i="2"/>
  <c r="W25" i="2"/>
  <c r="W39" i="2"/>
  <c r="W60" i="2"/>
  <c r="W7" i="2"/>
  <c r="W21" i="2"/>
  <c r="W50" i="2"/>
  <c r="W61" i="3"/>
  <c r="W61" i="2" s="1"/>
  <c r="W62" i="2"/>
  <c r="W5" i="3"/>
  <c r="W6" i="2"/>
  <c r="W20" i="2"/>
  <c r="W36" i="2"/>
  <c r="W52" i="2"/>
  <c r="AL137" i="2"/>
  <c r="AL133" i="2"/>
  <c r="AL136" i="2"/>
  <c r="AL132" i="2"/>
  <c r="AL135" i="2"/>
  <c r="AL131" i="2"/>
  <c r="AL138" i="2"/>
  <c r="AL134" i="2"/>
  <c r="AL130" i="2"/>
  <c r="AL129" i="2"/>
  <c r="AL127" i="2"/>
  <c r="AL119" i="2"/>
  <c r="AL117" i="2"/>
  <c r="AL103" i="2"/>
  <c r="AL128" i="2"/>
  <c r="AL126" i="2"/>
  <c r="AL124" i="2"/>
  <c r="AL120" i="2"/>
  <c r="AL115" i="3"/>
  <c r="AL115" i="2" s="1"/>
  <c r="AL116" i="2"/>
  <c r="AL114" i="2"/>
  <c r="AL110" i="2"/>
  <c r="AL104" i="2"/>
  <c r="AL125" i="2"/>
  <c r="AL123" i="2"/>
  <c r="AL121" i="2"/>
  <c r="AL112" i="3"/>
  <c r="AL113" i="2"/>
  <c r="AL109" i="2"/>
  <c r="AL107" i="2"/>
  <c r="AL105" i="2"/>
  <c r="AL100" i="3"/>
  <c r="AL101" i="2"/>
  <c r="AL122" i="2"/>
  <c r="AL118" i="2"/>
  <c r="AL108" i="2"/>
  <c r="AL106" i="2"/>
  <c r="AL102" i="2"/>
  <c r="AL98" i="2"/>
  <c r="AL97" i="2"/>
  <c r="AL83" i="2"/>
  <c r="AL79" i="2"/>
  <c r="AL75" i="2"/>
  <c r="AL96" i="2"/>
  <c r="AL90" i="2"/>
  <c r="AL82" i="2"/>
  <c r="AL78" i="2"/>
  <c r="AL74" i="2"/>
  <c r="AL95" i="2"/>
  <c r="AL93" i="2"/>
  <c r="AL88" i="3"/>
  <c r="AL88" i="2" s="1"/>
  <c r="AL89" i="2"/>
  <c r="AL87" i="2"/>
  <c r="AL81" i="2"/>
  <c r="AL77" i="2"/>
  <c r="AL73" i="2"/>
  <c r="AL94" i="2"/>
  <c r="AL91" i="3"/>
  <c r="AL91" i="2" s="1"/>
  <c r="AL92" i="2"/>
  <c r="AL85" i="3"/>
  <c r="AL85" i="2" s="1"/>
  <c r="AL86" i="2"/>
  <c r="AL84" i="2"/>
  <c r="AL80" i="2"/>
  <c r="AL76" i="2"/>
  <c r="AL72" i="2"/>
  <c r="AL18" i="2"/>
  <c r="AL38" i="2"/>
  <c r="AL49" i="2"/>
  <c r="AL67" i="3"/>
  <c r="AL67" i="2" s="1"/>
  <c r="AL68" i="2"/>
  <c r="AL16" i="2"/>
  <c r="AL31" i="2"/>
  <c r="AL42" i="2"/>
  <c r="AL64" i="2"/>
  <c r="AL10" i="2"/>
  <c r="AL29" i="2"/>
  <c r="AL48" i="2"/>
  <c r="AL66" i="2"/>
  <c r="AL13" i="2"/>
  <c r="AL28" i="2"/>
  <c r="AL51" i="2"/>
  <c r="AL69" i="2"/>
  <c r="AL20" i="2"/>
  <c r="AL36" i="2"/>
  <c r="AL55" i="2"/>
  <c r="AL56" i="3"/>
  <c r="AL56" i="2" s="1"/>
  <c r="AL57" i="2"/>
  <c r="AL25" i="2"/>
  <c r="AL43" i="2"/>
  <c r="AL61" i="3"/>
  <c r="AL61" i="2" s="1"/>
  <c r="AL62" i="2"/>
  <c r="AL11" i="2"/>
  <c r="AL39" i="2"/>
  <c r="AL50" i="2"/>
  <c r="AL14" i="2"/>
  <c r="AL34" i="2"/>
  <c r="AL44" i="3"/>
  <c r="AL44" i="2" s="1"/>
  <c r="AL45" i="2"/>
  <c r="AL63" i="2"/>
  <c r="AL12" i="2"/>
  <c r="AL27" i="2"/>
  <c r="AL41" i="2"/>
  <c r="AL60" i="2"/>
  <c r="AL6" i="2"/>
  <c r="AL35" i="2"/>
  <c r="AL46" i="2"/>
  <c r="AL30" i="2"/>
  <c r="AL33" i="2"/>
  <c r="AL53" i="2"/>
  <c r="AL15" i="2"/>
  <c r="AL32" i="2"/>
  <c r="AL54" i="2"/>
  <c r="AL17" i="2"/>
  <c r="AL19" i="2"/>
  <c r="AL52" i="2"/>
  <c r="AL70" i="2"/>
  <c r="AL26" i="2"/>
  <c r="AL40" i="2"/>
  <c r="AL58" i="2"/>
  <c r="AL8" i="3"/>
  <c r="AL8" i="2" s="1"/>
  <c r="AL9" i="2"/>
  <c r="AL23" i="3"/>
  <c r="AL24" i="2"/>
  <c r="AL47" i="2"/>
  <c r="AL65" i="2"/>
  <c r="AL7" i="2"/>
  <c r="AL21" i="2"/>
  <c r="AL37" i="2"/>
  <c r="AL59" i="2"/>
  <c r="AK138" i="2"/>
  <c r="AK134" i="2"/>
  <c r="AK130" i="2"/>
  <c r="AK137" i="2"/>
  <c r="AK133" i="2"/>
  <c r="AK136" i="2"/>
  <c r="AK132" i="2"/>
  <c r="AK135" i="2"/>
  <c r="AK131" i="2"/>
  <c r="AK122" i="2"/>
  <c r="AK118" i="2"/>
  <c r="AK108" i="2"/>
  <c r="AK106" i="2"/>
  <c r="AK102" i="2"/>
  <c r="AK129" i="2"/>
  <c r="AK127" i="2"/>
  <c r="AK119" i="2"/>
  <c r="AK117" i="2"/>
  <c r="AK103" i="2"/>
  <c r="AK128" i="2"/>
  <c r="AK126" i="2"/>
  <c r="AK124" i="2"/>
  <c r="AK120" i="2"/>
  <c r="AK115" i="3"/>
  <c r="AK115" i="2" s="1"/>
  <c r="AK116" i="2"/>
  <c r="AK114" i="2"/>
  <c r="AK110" i="2"/>
  <c r="AK104" i="2"/>
  <c r="AK125" i="2"/>
  <c r="AK123" i="2"/>
  <c r="AK121" i="2"/>
  <c r="AK112" i="3"/>
  <c r="AK113" i="2"/>
  <c r="AK109" i="2"/>
  <c r="AK107" i="2"/>
  <c r="AK105" i="2"/>
  <c r="AK100" i="3"/>
  <c r="AK101" i="2"/>
  <c r="AK94" i="2"/>
  <c r="AK91" i="3"/>
  <c r="AK91" i="2" s="1"/>
  <c r="AK92" i="2"/>
  <c r="AK85" i="3"/>
  <c r="AK85" i="2" s="1"/>
  <c r="AK86" i="2"/>
  <c r="AK84" i="2"/>
  <c r="AK80" i="2"/>
  <c r="AK76" i="2"/>
  <c r="AK72" i="2"/>
  <c r="AK98" i="2"/>
  <c r="AK97" i="2"/>
  <c r="AK83" i="2"/>
  <c r="AK79" i="2"/>
  <c r="AK75" i="2"/>
  <c r="AK96" i="2"/>
  <c r="AK90" i="2"/>
  <c r="AK82" i="2"/>
  <c r="AK78" i="2"/>
  <c r="AK74" i="2"/>
  <c r="AK95" i="2"/>
  <c r="AK93" i="2"/>
  <c r="AK88" i="3"/>
  <c r="AK88" i="2" s="1"/>
  <c r="AK89" i="2"/>
  <c r="AK87" i="2"/>
  <c r="AK81" i="2"/>
  <c r="AK77" i="2"/>
  <c r="AK73" i="2"/>
  <c r="AK7" i="2"/>
  <c r="AK36" i="2"/>
  <c r="AK52" i="2"/>
  <c r="AK10" i="2"/>
  <c r="AK29" i="2"/>
  <c r="AK44" i="3"/>
  <c r="AK44" i="2" s="1"/>
  <c r="AK45" i="2"/>
  <c r="AK66" i="2"/>
  <c r="AK11" i="2"/>
  <c r="AK35" i="2"/>
  <c r="AK47" i="2"/>
  <c r="AK69" i="2"/>
  <c r="AK18" i="2"/>
  <c r="AK26" i="2"/>
  <c r="AK46" i="2"/>
  <c r="AK63" i="2"/>
  <c r="AK27" i="2"/>
  <c r="AK41" i="2"/>
  <c r="AK59" i="2"/>
  <c r="AK6" i="2"/>
  <c r="AK32" i="2"/>
  <c r="AK42" i="2"/>
  <c r="AK64" i="2"/>
  <c r="AK16" i="2"/>
  <c r="AK33" i="2"/>
  <c r="AK58" i="2"/>
  <c r="AK15" i="2"/>
  <c r="AK39" i="2"/>
  <c r="AK51" i="2"/>
  <c r="AK56" i="3"/>
  <c r="AK56" i="2" s="1"/>
  <c r="AK57" i="2"/>
  <c r="AK25" i="2"/>
  <c r="AK48" i="2"/>
  <c r="AK65" i="2"/>
  <c r="AK12" i="2"/>
  <c r="AK40" i="2"/>
  <c r="AK55" i="2"/>
  <c r="AK13" i="2"/>
  <c r="AK23" i="3"/>
  <c r="AK24" i="2"/>
  <c r="AK38" i="2"/>
  <c r="AK54" i="2"/>
  <c r="AK21" i="2"/>
  <c r="AK37" i="2"/>
  <c r="AK53" i="2"/>
  <c r="AK19" i="2"/>
  <c r="AK30" i="2"/>
  <c r="AK50" i="2"/>
  <c r="AK67" i="3"/>
  <c r="AK67" i="2" s="1"/>
  <c r="AK68" i="2"/>
  <c r="AK8" i="3"/>
  <c r="AK8" i="2" s="1"/>
  <c r="AK9" i="2"/>
  <c r="AK31" i="2"/>
  <c r="AK34" i="2"/>
  <c r="AK60" i="2"/>
  <c r="AK14" i="2"/>
  <c r="AK20" i="2"/>
  <c r="AK49" i="2"/>
  <c r="AK70" i="2"/>
  <c r="AK17" i="2"/>
  <c r="AK28" i="2"/>
  <c r="AK43" i="2"/>
  <c r="AK61" i="3"/>
  <c r="AK61" i="2" s="1"/>
  <c r="AK62" i="2"/>
  <c r="BE138" i="2"/>
  <c r="BE134" i="2"/>
  <c r="BE130" i="2"/>
  <c r="BE137" i="2"/>
  <c r="BE133" i="2"/>
  <c r="BE136" i="2"/>
  <c r="BE132" i="2"/>
  <c r="BE135" i="2"/>
  <c r="BE131" i="2"/>
  <c r="BE129" i="2"/>
  <c r="BE122" i="2"/>
  <c r="BE118" i="2"/>
  <c r="BE108" i="2"/>
  <c r="BE106" i="2"/>
  <c r="BE102" i="2"/>
  <c r="BE98" i="2"/>
  <c r="BE127" i="2"/>
  <c r="BE119" i="2"/>
  <c r="BE117" i="2"/>
  <c r="BE103" i="2"/>
  <c r="BE128" i="2"/>
  <c r="BE126" i="2"/>
  <c r="BE124" i="2"/>
  <c r="BE120" i="2"/>
  <c r="BE115" i="3"/>
  <c r="BE115" i="2" s="1"/>
  <c r="BE116" i="2"/>
  <c r="BE114" i="2"/>
  <c r="BE110" i="2"/>
  <c r="BE104" i="2"/>
  <c r="BE125" i="2"/>
  <c r="BE123" i="2"/>
  <c r="BE121" i="2"/>
  <c r="BE112" i="3"/>
  <c r="BE113" i="2"/>
  <c r="BE109" i="2"/>
  <c r="BE107" i="2"/>
  <c r="BE105" i="2"/>
  <c r="BE100" i="3"/>
  <c r="BE101" i="2"/>
  <c r="BE94" i="2"/>
  <c r="BE91" i="3"/>
  <c r="BE91" i="2" s="1"/>
  <c r="BE92" i="2"/>
  <c r="BE85" i="3"/>
  <c r="BE85" i="2" s="1"/>
  <c r="BE86" i="2"/>
  <c r="BE84" i="2"/>
  <c r="BE80" i="2"/>
  <c r="BE76" i="2"/>
  <c r="BE72" i="2"/>
  <c r="BE97" i="2"/>
  <c r="BE83" i="2"/>
  <c r="BE79" i="2"/>
  <c r="BE75" i="2"/>
  <c r="BE96" i="2"/>
  <c r="BE90" i="2"/>
  <c r="BE82" i="2"/>
  <c r="BE78" i="2"/>
  <c r="BE74" i="2"/>
  <c r="BE95" i="2"/>
  <c r="BE93" i="2"/>
  <c r="BE88" i="3"/>
  <c r="BE88" i="2" s="1"/>
  <c r="BE89" i="2"/>
  <c r="BE87" i="2"/>
  <c r="BE81" i="2"/>
  <c r="BE77" i="2"/>
  <c r="BE73" i="2"/>
  <c r="BE14" i="2"/>
  <c r="BE20" i="2"/>
  <c r="BE49" i="2"/>
  <c r="BE70" i="2"/>
  <c r="BE27" i="2"/>
  <c r="BE37" i="2"/>
  <c r="BE58" i="2"/>
  <c r="BE56" i="3"/>
  <c r="BE56" i="2" s="1"/>
  <c r="BE57" i="2"/>
  <c r="BE25" i="2"/>
  <c r="BE48" i="2"/>
  <c r="BE61" i="3"/>
  <c r="BE61" i="2" s="1"/>
  <c r="BE62" i="2"/>
  <c r="BE8" i="3"/>
  <c r="BE8" i="2" s="1"/>
  <c r="BE9" i="2"/>
  <c r="BE23" i="3"/>
  <c r="BE24" i="2"/>
  <c r="BE34" i="2"/>
  <c r="BE59" i="2"/>
  <c r="BE15" i="2"/>
  <c r="BE35" i="2"/>
  <c r="BE42" i="2"/>
  <c r="BE69" i="2"/>
  <c r="BE17" i="2"/>
  <c r="BE19" i="2"/>
  <c r="BE43" i="2"/>
  <c r="BE66" i="2"/>
  <c r="BE5" i="3"/>
  <c r="BE6" i="2"/>
  <c r="BE30" i="2"/>
  <c r="BE50" i="2"/>
  <c r="BE67" i="3"/>
  <c r="BE67" i="2" s="1"/>
  <c r="BE68" i="2"/>
  <c r="BE10" i="2"/>
  <c r="BE29" i="2"/>
  <c r="BE44" i="3"/>
  <c r="BE44" i="2" s="1"/>
  <c r="BE45" i="2"/>
  <c r="BE65" i="2"/>
  <c r="BE21" i="2"/>
  <c r="BE33" i="2"/>
  <c r="BE60" i="2"/>
  <c r="BE18" i="2"/>
  <c r="BE26" i="2"/>
  <c r="BE46" i="2"/>
  <c r="BE63" i="2"/>
  <c r="BE12" i="2"/>
  <c r="BE36" i="2"/>
  <c r="BE51" i="2"/>
  <c r="BE11" i="2"/>
  <c r="BE31" i="2"/>
  <c r="BE52" i="2"/>
  <c r="BE64" i="2"/>
  <c r="BE13" i="2"/>
  <c r="BE28" i="2"/>
  <c r="BE38" i="2"/>
  <c r="BE54" i="2"/>
  <c r="BE7" i="2"/>
  <c r="BE39" i="2"/>
  <c r="BE47" i="2"/>
  <c r="BE32" i="2"/>
  <c r="BE41" i="2"/>
  <c r="BE53" i="2"/>
  <c r="BE16" i="2"/>
  <c r="BE40" i="2"/>
  <c r="BE55" i="2"/>
  <c r="BD135" i="2"/>
  <c r="BD131" i="2"/>
  <c r="BD138" i="2"/>
  <c r="BD134" i="2"/>
  <c r="BD130" i="2"/>
  <c r="BD137" i="2"/>
  <c r="BD133" i="2"/>
  <c r="BD136" i="2"/>
  <c r="BD132" i="2"/>
  <c r="BD125" i="2"/>
  <c r="BD123" i="2"/>
  <c r="BD121" i="2"/>
  <c r="BD112" i="3"/>
  <c r="BD113" i="2"/>
  <c r="BD109" i="2"/>
  <c r="BD107" i="2"/>
  <c r="BD105" i="2"/>
  <c r="BD100" i="3"/>
  <c r="BD101" i="2"/>
  <c r="BD129" i="2"/>
  <c r="BD122" i="2"/>
  <c r="BD118" i="2"/>
  <c r="BD108" i="2"/>
  <c r="BD106" i="2"/>
  <c r="BD102" i="2"/>
  <c r="BD98" i="2"/>
  <c r="BD127" i="2"/>
  <c r="BD119" i="2"/>
  <c r="BD117" i="2"/>
  <c r="BD103" i="2"/>
  <c r="BD128" i="2"/>
  <c r="BD126" i="2"/>
  <c r="BD124" i="2"/>
  <c r="BD120" i="2"/>
  <c r="BD115" i="3"/>
  <c r="BD115" i="2" s="1"/>
  <c r="BD116" i="2"/>
  <c r="BD114" i="2"/>
  <c r="BD110" i="2"/>
  <c r="BD104" i="2"/>
  <c r="BD95" i="2"/>
  <c r="BD93" i="2"/>
  <c r="BD88" i="3"/>
  <c r="BD88" i="2" s="1"/>
  <c r="BD89" i="2"/>
  <c r="BD87" i="2"/>
  <c r="BD81" i="2"/>
  <c r="BD77" i="2"/>
  <c r="BD73" i="2"/>
  <c r="BD94" i="2"/>
  <c r="BD91" i="3"/>
  <c r="BD91" i="2" s="1"/>
  <c r="BD92" i="2"/>
  <c r="BD85" i="3"/>
  <c r="BD85" i="2" s="1"/>
  <c r="BD86" i="2"/>
  <c r="BD84" i="2"/>
  <c r="BD80" i="2"/>
  <c r="BD76" i="2"/>
  <c r="BD72" i="2"/>
  <c r="BD97" i="2"/>
  <c r="BD83" i="2"/>
  <c r="BD79" i="2"/>
  <c r="BD75" i="2"/>
  <c r="BD96" i="2"/>
  <c r="BD90" i="2"/>
  <c r="BD82" i="2"/>
  <c r="BD78" i="2"/>
  <c r="BD74" i="2"/>
  <c r="BD23" i="3"/>
  <c r="BD24" i="2"/>
  <c r="BD34" i="2"/>
  <c r="BD58" i="2"/>
  <c r="BD15" i="2"/>
  <c r="BD27" i="2"/>
  <c r="BD50" i="2"/>
  <c r="BD64" i="2"/>
  <c r="BD13" i="2"/>
  <c r="BD37" i="2"/>
  <c r="BD43" i="2"/>
  <c r="BD12" i="2"/>
  <c r="BD36" i="2"/>
  <c r="BD42" i="2"/>
  <c r="BD65" i="2"/>
  <c r="BD10" i="2"/>
  <c r="BD29" i="2"/>
  <c r="BD39" i="2"/>
  <c r="BD60" i="2"/>
  <c r="BD8" i="3"/>
  <c r="BD8" i="2" s="1"/>
  <c r="BD9" i="2"/>
  <c r="BD33" i="2"/>
  <c r="BD51" i="2"/>
  <c r="BD19" i="2"/>
  <c r="BD31" i="2"/>
  <c r="BD54" i="2"/>
  <c r="BD17" i="2"/>
  <c r="BD41" i="2"/>
  <c r="BD48" i="2"/>
  <c r="BD11" i="2"/>
  <c r="BD21" i="2"/>
  <c r="BD46" i="2"/>
  <c r="BD66" i="2"/>
  <c r="BD28" i="2"/>
  <c r="BD38" i="2"/>
  <c r="BD59" i="2"/>
  <c r="BD18" i="2"/>
  <c r="BD26" i="2"/>
  <c r="BD49" i="2"/>
  <c r="BD61" i="3"/>
  <c r="BD61" i="2" s="1"/>
  <c r="BD62" i="2"/>
  <c r="BD56" i="3"/>
  <c r="BD56" i="2" s="1"/>
  <c r="BD57" i="2"/>
  <c r="BD25" i="2"/>
  <c r="BD35" i="2"/>
  <c r="BD55" i="2"/>
  <c r="BD16" i="2"/>
  <c r="BD40" i="2"/>
  <c r="BD47" i="2"/>
  <c r="BD70" i="2"/>
  <c r="BD14" i="2"/>
  <c r="BD20" i="2"/>
  <c r="BD44" i="3"/>
  <c r="BD44" i="2" s="1"/>
  <c r="BD45" i="2"/>
  <c r="BD67" i="3"/>
  <c r="BD67" i="2" s="1"/>
  <c r="BD68" i="2"/>
  <c r="BD7" i="2"/>
  <c r="BD32" i="2"/>
  <c r="BD52" i="2"/>
  <c r="BD69" i="2"/>
  <c r="BD5" i="3"/>
  <c r="BD6" i="2"/>
  <c r="BD30" i="2"/>
  <c r="BD53" i="2"/>
  <c r="BD63" i="2"/>
  <c r="X135" i="2"/>
  <c r="X131" i="2"/>
  <c r="X138" i="2"/>
  <c r="X134" i="2"/>
  <c r="X130" i="2"/>
  <c r="X137" i="2"/>
  <c r="X133" i="2"/>
  <c r="X136" i="2"/>
  <c r="X132" i="2"/>
  <c r="X125" i="2"/>
  <c r="X123" i="2"/>
  <c r="X121" i="2"/>
  <c r="X112" i="3"/>
  <c r="X113" i="2"/>
  <c r="X109" i="2"/>
  <c r="X107" i="2"/>
  <c r="X105" i="2"/>
  <c r="X100" i="3"/>
  <c r="X101" i="2"/>
  <c r="X122" i="2"/>
  <c r="X118" i="2"/>
  <c r="X108" i="2"/>
  <c r="X106" i="2"/>
  <c r="X102" i="2"/>
  <c r="X129" i="2"/>
  <c r="X127" i="2"/>
  <c r="X119" i="2"/>
  <c r="X117" i="2"/>
  <c r="X103" i="2"/>
  <c r="X128" i="2"/>
  <c r="X126" i="2"/>
  <c r="X124" i="2"/>
  <c r="X120" i="2"/>
  <c r="X115" i="3"/>
  <c r="X115" i="2" s="1"/>
  <c r="X116" i="2"/>
  <c r="X114" i="2"/>
  <c r="X110" i="2"/>
  <c r="X104" i="2"/>
  <c r="X95" i="2"/>
  <c r="X93" i="2"/>
  <c r="X88" i="3"/>
  <c r="X88" i="2" s="1"/>
  <c r="X89" i="2"/>
  <c r="X87" i="2"/>
  <c r="X81" i="2"/>
  <c r="X77" i="2"/>
  <c r="X73" i="2"/>
  <c r="X98" i="2"/>
  <c r="X94" i="2"/>
  <c r="X91" i="3"/>
  <c r="X91" i="2" s="1"/>
  <c r="X92" i="2"/>
  <c r="X85" i="3"/>
  <c r="X85" i="2" s="1"/>
  <c r="X86" i="2"/>
  <c r="X84" i="2"/>
  <c r="X80" i="2"/>
  <c r="X76" i="2"/>
  <c r="X72" i="2"/>
  <c r="X97" i="2"/>
  <c r="X83" i="2"/>
  <c r="X79" i="2"/>
  <c r="X75" i="2"/>
  <c r="X96" i="2"/>
  <c r="X90" i="2"/>
  <c r="X82" i="2"/>
  <c r="X78" i="2"/>
  <c r="X74" i="2"/>
  <c r="X10" i="2"/>
  <c r="X29" i="2"/>
  <c r="X39" i="2"/>
  <c r="X55" i="2"/>
  <c r="X19" i="2"/>
  <c r="X40" i="2"/>
  <c r="X51" i="2"/>
  <c r="X28" i="2"/>
  <c r="X38" i="2"/>
  <c r="X54" i="2"/>
  <c r="X13" i="2"/>
  <c r="X37" i="2"/>
  <c r="X48" i="2"/>
  <c r="X11" i="2"/>
  <c r="X21" i="2"/>
  <c r="X46" i="2"/>
  <c r="X66" i="2"/>
  <c r="X23" i="3"/>
  <c r="X24" i="2"/>
  <c r="X34" i="2"/>
  <c r="X59" i="2"/>
  <c r="X18" i="2"/>
  <c r="X26" i="2"/>
  <c r="X49" i="2"/>
  <c r="X63" i="2"/>
  <c r="X56" i="3"/>
  <c r="X56" i="2" s="1"/>
  <c r="X57" i="2"/>
  <c r="X25" i="2"/>
  <c r="X35" i="2"/>
  <c r="X60" i="2"/>
  <c r="X16" i="2"/>
  <c r="X36" i="2"/>
  <c r="X47" i="2"/>
  <c r="X70" i="2"/>
  <c r="X14" i="2"/>
  <c r="X20" i="2"/>
  <c r="X44" i="3"/>
  <c r="X44" i="2" s="1"/>
  <c r="X45" i="2"/>
  <c r="X67" i="3"/>
  <c r="X67" i="2" s="1"/>
  <c r="X68" i="2"/>
  <c r="X7" i="2"/>
  <c r="X31" i="2"/>
  <c r="X52" i="2"/>
  <c r="X69" i="2"/>
  <c r="X6" i="2"/>
  <c r="X30" i="2"/>
  <c r="X53" i="2"/>
  <c r="X61" i="3"/>
  <c r="X61" i="2" s="1"/>
  <c r="X62" i="2"/>
  <c r="X17" i="2"/>
  <c r="X41" i="2"/>
  <c r="X58" i="2"/>
  <c r="X15" i="2"/>
  <c r="X27" i="2"/>
  <c r="X50" i="2"/>
  <c r="X64" i="2"/>
  <c r="X8" i="3"/>
  <c r="X8" i="2" s="1"/>
  <c r="X9" i="2"/>
  <c r="X33" i="2"/>
  <c r="X43" i="2"/>
  <c r="X12" i="2"/>
  <c r="X32" i="2"/>
  <c r="X42" i="2"/>
  <c r="X65" i="2"/>
  <c r="AY136" i="2"/>
  <c r="AY132" i="2"/>
  <c r="AY135" i="2"/>
  <c r="AY131" i="2"/>
  <c r="AY138" i="2"/>
  <c r="AY134" i="2"/>
  <c r="AY130" i="2"/>
  <c r="AY137" i="2"/>
  <c r="AY133" i="2"/>
  <c r="AY129" i="2"/>
  <c r="AY128" i="2"/>
  <c r="AY126" i="2"/>
  <c r="AY124" i="2"/>
  <c r="AY120" i="2"/>
  <c r="AY115" i="3"/>
  <c r="AY115" i="2" s="1"/>
  <c r="AY116" i="2"/>
  <c r="AY114" i="2"/>
  <c r="AY110" i="2"/>
  <c r="AY104" i="2"/>
  <c r="AY125" i="2"/>
  <c r="AY123" i="2"/>
  <c r="AY121" i="2"/>
  <c r="AY112" i="3"/>
  <c r="AY113" i="2"/>
  <c r="AY109" i="2"/>
  <c r="AY107" i="2"/>
  <c r="AY105" i="2"/>
  <c r="AY100" i="3"/>
  <c r="AY101" i="2"/>
  <c r="AY122" i="2"/>
  <c r="AY118" i="2"/>
  <c r="AY108" i="2"/>
  <c r="AY106" i="2"/>
  <c r="AY102" i="2"/>
  <c r="AY98" i="2"/>
  <c r="AY127" i="2"/>
  <c r="AY119" i="2"/>
  <c r="AY117" i="2"/>
  <c r="AY103" i="2"/>
  <c r="AY96" i="2"/>
  <c r="AY90" i="2"/>
  <c r="AY82" i="2"/>
  <c r="AY78" i="2"/>
  <c r="AY74" i="2"/>
  <c r="AY95" i="2"/>
  <c r="AY93" i="2"/>
  <c r="AY88" i="3"/>
  <c r="AY88" i="2" s="1"/>
  <c r="AY89" i="2"/>
  <c r="AY87" i="2"/>
  <c r="AY81" i="2"/>
  <c r="AY77" i="2"/>
  <c r="AY73" i="2"/>
  <c r="AY94" i="2"/>
  <c r="AY91" i="3"/>
  <c r="AY91" i="2" s="1"/>
  <c r="AY92" i="2"/>
  <c r="AY85" i="3"/>
  <c r="AY85" i="2" s="1"/>
  <c r="AY86" i="2"/>
  <c r="AY84" i="2"/>
  <c r="AY80" i="2"/>
  <c r="AY76" i="2"/>
  <c r="AY72" i="2"/>
  <c r="AY97" i="2"/>
  <c r="AY83" i="2"/>
  <c r="AY79" i="2"/>
  <c r="AY75" i="2"/>
  <c r="AY14" i="2"/>
  <c r="AY34" i="2"/>
  <c r="AY49" i="2"/>
  <c r="AY12" i="2"/>
  <c r="AY27" i="2"/>
  <c r="AY42" i="2"/>
  <c r="AY63" i="2"/>
  <c r="AY56" i="3"/>
  <c r="AY56" i="2" s="1"/>
  <c r="AY57" i="2"/>
  <c r="AY37" i="2"/>
  <c r="AY48" i="2"/>
  <c r="AY66" i="2"/>
  <c r="AY8" i="3"/>
  <c r="AY8" i="2" s="1"/>
  <c r="AY9" i="2"/>
  <c r="AY28" i="2"/>
  <c r="AY51" i="2"/>
  <c r="AY65" i="2"/>
  <c r="AY29" i="2"/>
  <c r="AY32" i="2"/>
  <c r="AY64" i="2"/>
  <c r="AY17" i="2"/>
  <c r="AY33" i="2"/>
  <c r="AY43" i="2"/>
  <c r="AY61" i="3"/>
  <c r="AY61" i="2" s="1"/>
  <c r="AY62" i="2"/>
  <c r="AY19" i="2"/>
  <c r="AY35" i="2"/>
  <c r="AY54" i="2"/>
  <c r="AY10" i="2"/>
  <c r="AY41" i="2"/>
  <c r="AY44" i="3"/>
  <c r="AY44" i="2" s="1"/>
  <c r="AY45" i="2"/>
  <c r="AY7" i="2"/>
  <c r="AY21" i="2"/>
  <c r="AY50" i="2"/>
  <c r="AY60" i="2"/>
  <c r="AY18" i="2"/>
  <c r="AY38" i="2"/>
  <c r="AY59" i="2"/>
  <c r="AY11" i="2"/>
  <c r="AY26" i="2"/>
  <c r="AY40" i="2"/>
  <c r="AY58" i="2"/>
  <c r="AY25" i="2"/>
  <c r="AY39" i="2"/>
  <c r="AY55" i="2"/>
  <c r="AY13" i="2"/>
  <c r="AY31" i="2"/>
  <c r="AY53" i="2"/>
  <c r="AY70" i="2"/>
  <c r="AY5" i="3"/>
  <c r="AY6" i="2"/>
  <c r="AY20" i="2"/>
  <c r="AY36" i="2"/>
  <c r="AY52" i="2"/>
  <c r="AY16" i="2"/>
  <c r="AY23" i="3"/>
  <c r="AY24" i="2"/>
  <c r="AY47" i="2"/>
  <c r="AY69" i="2"/>
  <c r="AY15" i="2"/>
  <c r="AY30" i="2"/>
  <c r="AY46" i="2"/>
  <c r="AY67" i="3"/>
  <c r="AY67" i="2" s="1"/>
  <c r="AY68" i="2"/>
  <c r="S136" i="2"/>
  <c r="S132" i="2"/>
  <c r="S135" i="2"/>
  <c r="S131" i="2"/>
  <c r="S138" i="2"/>
  <c r="S134" i="2"/>
  <c r="S130" i="2"/>
  <c r="S137" i="2"/>
  <c r="S133" i="2"/>
  <c r="S128" i="2"/>
  <c r="S126" i="2"/>
  <c r="S124" i="2"/>
  <c r="S120" i="2"/>
  <c r="S115" i="3"/>
  <c r="S115" i="2" s="1"/>
  <c r="S116" i="2"/>
  <c r="S114" i="2"/>
  <c r="S110" i="2"/>
  <c r="S104" i="2"/>
  <c r="S125" i="2"/>
  <c r="S123" i="2"/>
  <c r="S121" i="2"/>
  <c r="S112" i="3"/>
  <c r="S113" i="2"/>
  <c r="S109" i="2"/>
  <c r="S107" i="2"/>
  <c r="S105" i="2"/>
  <c r="S100" i="3"/>
  <c r="S101" i="2"/>
  <c r="S122" i="2"/>
  <c r="S118" i="2"/>
  <c r="S108" i="2"/>
  <c r="S106" i="2"/>
  <c r="S102" i="2"/>
  <c r="S129" i="2"/>
  <c r="S127" i="2"/>
  <c r="S119" i="2"/>
  <c r="S117" i="2"/>
  <c r="S103" i="2"/>
  <c r="S96" i="2"/>
  <c r="S90" i="2"/>
  <c r="S82" i="2"/>
  <c r="S78" i="2"/>
  <c r="S74" i="2"/>
  <c r="S95" i="2"/>
  <c r="S93" i="2"/>
  <c r="S88" i="3"/>
  <c r="S88" i="2" s="1"/>
  <c r="S89" i="2"/>
  <c r="S87" i="2"/>
  <c r="S81" i="2"/>
  <c r="S77" i="2"/>
  <c r="S73" i="2"/>
  <c r="S98" i="2"/>
  <c r="S94" i="2"/>
  <c r="S91" i="3"/>
  <c r="S91" i="2" s="1"/>
  <c r="S92" i="2"/>
  <c r="S85" i="3"/>
  <c r="S85" i="2" s="1"/>
  <c r="S86" i="2"/>
  <c r="S84" i="2"/>
  <c r="S80" i="2"/>
  <c r="S76" i="2"/>
  <c r="S72" i="2"/>
  <c r="S97" i="2"/>
  <c r="S83" i="2"/>
  <c r="S79" i="2"/>
  <c r="S75" i="2"/>
  <c r="S29" i="2"/>
  <c r="S32" i="2"/>
  <c r="S60" i="2"/>
  <c r="S17" i="2"/>
  <c r="S33" i="2"/>
  <c r="S43" i="2"/>
  <c r="S70" i="2"/>
  <c r="S19" i="2"/>
  <c r="S35" i="2"/>
  <c r="S54" i="2"/>
  <c r="S10" i="2"/>
  <c r="S41" i="2"/>
  <c r="S44" i="3"/>
  <c r="S44" i="2" s="1"/>
  <c r="S45" i="2"/>
  <c r="S7" i="2"/>
  <c r="S21" i="2"/>
  <c r="S50" i="2"/>
  <c r="S67" i="3"/>
  <c r="S67" i="2" s="1"/>
  <c r="S68" i="2"/>
  <c r="S18" i="2"/>
  <c r="S38" i="2"/>
  <c r="S59" i="2"/>
  <c r="S11" i="2"/>
  <c r="S26" i="2"/>
  <c r="S40" i="2"/>
  <c r="S52" i="2"/>
  <c r="S25" i="2"/>
  <c r="S39" i="2"/>
  <c r="S55" i="2"/>
  <c r="S13" i="2"/>
  <c r="S28" i="2"/>
  <c r="S53" i="2"/>
  <c r="S65" i="2"/>
  <c r="S6" i="2"/>
  <c r="S20" i="2"/>
  <c r="S36" i="2"/>
  <c r="S64" i="2"/>
  <c r="S16" i="2"/>
  <c r="S31" i="2"/>
  <c r="S47" i="2"/>
  <c r="S63" i="2"/>
  <c r="S15" i="2"/>
  <c r="S30" i="2"/>
  <c r="S46" i="2"/>
  <c r="S58" i="2"/>
  <c r="S14" i="2"/>
  <c r="S34" i="2"/>
  <c r="S49" i="2"/>
  <c r="S12" i="2"/>
  <c r="S27" i="2"/>
  <c r="S42" i="2"/>
  <c r="S61" i="3"/>
  <c r="S61" i="2" s="1"/>
  <c r="S62" i="2"/>
  <c r="S56" i="3"/>
  <c r="S56" i="2" s="1"/>
  <c r="S57" i="2"/>
  <c r="S37" i="2"/>
  <c r="S48" i="2"/>
  <c r="S66" i="2"/>
  <c r="S8" i="3"/>
  <c r="S8" i="2" s="1"/>
  <c r="S9" i="2"/>
  <c r="S23" i="3"/>
  <c r="S24" i="2"/>
  <c r="S51" i="2"/>
  <c r="S69" i="2"/>
  <c r="AD137" i="2"/>
  <c r="AD133" i="2"/>
  <c r="AD136" i="2"/>
  <c r="AD132" i="2"/>
  <c r="AD135" i="2"/>
  <c r="AD131" i="2"/>
  <c r="AD138" i="2"/>
  <c r="AD134" i="2"/>
  <c r="AD130" i="2"/>
  <c r="AD129" i="2"/>
  <c r="AD127" i="2"/>
  <c r="AD119" i="2"/>
  <c r="AD117" i="2"/>
  <c r="AD103" i="2"/>
  <c r="AD128" i="2"/>
  <c r="AD126" i="2"/>
  <c r="AD124" i="2"/>
  <c r="AD120" i="2"/>
  <c r="AD115" i="3"/>
  <c r="AD115" i="2" s="1"/>
  <c r="AD116" i="2"/>
  <c r="AD114" i="2"/>
  <c r="AD110" i="2"/>
  <c r="AD104" i="2"/>
  <c r="AD125" i="2"/>
  <c r="AD123" i="2"/>
  <c r="AD121" i="2"/>
  <c r="AD112" i="3"/>
  <c r="AD113" i="2"/>
  <c r="AD109" i="2"/>
  <c r="AD107" i="2"/>
  <c r="AD105" i="2"/>
  <c r="AD100" i="3"/>
  <c r="AD101" i="2"/>
  <c r="AD122" i="2"/>
  <c r="AD118" i="2"/>
  <c r="AD108" i="2"/>
  <c r="AD106" i="2"/>
  <c r="AD102" i="2"/>
  <c r="AD97" i="2"/>
  <c r="AD83" i="2"/>
  <c r="AD79" i="2"/>
  <c r="AD75" i="2"/>
  <c r="AD96" i="2"/>
  <c r="AD90" i="2"/>
  <c r="AD82" i="2"/>
  <c r="AD78" i="2"/>
  <c r="AD74" i="2"/>
  <c r="AD95" i="2"/>
  <c r="AD93" i="2"/>
  <c r="AD88" i="3"/>
  <c r="AD88" i="2" s="1"/>
  <c r="AD89" i="2"/>
  <c r="AD87" i="2"/>
  <c r="AD81" i="2"/>
  <c r="AD77" i="2"/>
  <c r="AD73" i="2"/>
  <c r="AD98" i="2"/>
  <c r="AD94" i="2"/>
  <c r="AD91" i="3"/>
  <c r="AD91" i="2" s="1"/>
  <c r="AD92" i="2"/>
  <c r="AD85" i="3"/>
  <c r="AD85" i="2" s="1"/>
  <c r="AD86" i="2"/>
  <c r="AD84" i="2"/>
  <c r="AD80" i="2"/>
  <c r="AD76" i="2"/>
  <c r="AD72" i="2"/>
  <c r="AD12" i="2"/>
  <c r="AD27" i="2"/>
  <c r="AD41" i="2"/>
  <c r="AD59" i="2"/>
  <c r="AD6" i="2"/>
  <c r="AD35" i="2"/>
  <c r="AD46" i="2"/>
  <c r="AD30" i="2"/>
  <c r="AD33" i="2"/>
  <c r="AD69" i="2"/>
  <c r="AD15" i="2"/>
  <c r="AD32" i="2"/>
  <c r="AD54" i="2"/>
  <c r="AD17" i="2"/>
  <c r="AD19" i="2"/>
  <c r="AD43" i="2"/>
  <c r="AD70" i="2"/>
  <c r="AD26" i="2"/>
  <c r="AD40" i="2"/>
  <c r="AD58" i="2"/>
  <c r="AD8" i="3"/>
  <c r="AD8" i="2" s="1"/>
  <c r="AD9" i="2"/>
  <c r="AD23" i="3"/>
  <c r="AD24" i="2"/>
  <c r="AD47" i="2"/>
  <c r="AD64" i="2"/>
  <c r="AD7" i="2"/>
  <c r="AD21" i="2"/>
  <c r="AD37" i="2"/>
  <c r="AD53" i="2"/>
  <c r="AD18" i="2"/>
  <c r="AD38" i="2"/>
  <c r="AD52" i="2"/>
  <c r="AD67" i="3"/>
  <c r="AD67" i="2" s="1"/>
  <c r="AD68" i="2"/>
  <c r="AD16" i="2"/>
  <c r="AD31" i="2"/>
  <c r="AD42" i="2"/>
  <c r="AD60" i="2"/>
  <c r="AD10" i="2"/>
  <c r="AD29" i="2"/>
  <c r="AD44" i="3"/>
  <c r="AD44" i="2" s="1"/>
  <c r="AD45" i="2"/>
  <c r="AD66" i="2"/>
  <c r="AD13" i="2"/>
  <c r="AD28" i="2"/>
  <c r="AD51" i="2"/>
  <c r="AD65" i="2"/>
  <c r="AD20" i="2"/>
  <c r="AD36" i="2"/>
  <c r="AD55" i="2"/>
  <c r="AD56" i="3"/>
  <c r="AD56" i="2" s="1"/>
  <c r="AD57" i="2"/>
  <c r="AD25" i="2"/>
  <c r="AD48" i="2"/>
  <c r="AD61" i="3"/>
  <c r="AD61" i="2" s="1"/>
  <c r="AD62" i="2"/>
  <c r="AD11" i="2"/>
  <c r="AD39" i="2"/>
  <c r="AD50" i="2"/>
  <c r="AD14" i="2"/>
  <c r="AD34" i="2"/>
  <c r="AD49" i="2"/>
  <c r="AD63" i="2"/>
  <c r="AC138" i="2"/>
  <c r="AC134" i="2"/>
  <c r="AC130" i="2"/>
  <c r="AC137" i="2"/>
  <c r="AC133" i="2"/>
  <c r="AC136" i="2"/>
  <c r="AC132" i="2"/>
  <c r="AC135" i="2"/>
  <c r="AC131" i="2"/>
  <c r="AC122" i="2"/>
  <c r="AC118" i="2"/>
  <c r="AC108" i="2"/>
  <c r="AC106" i="2"/>
  <c r="AC102" i="2"/>
  <c r="AC129" i="2"/>
  <c r="AC127" i="2"/>
  <c r="AC119" i="2"/>
  <c r="AC117" i="2"/>
  <c r="AC103" i="2"/>
  <c r="AC128" i="2"/>
  <c r="AC126" i="2"/>
  <c r="AC124" i="2"/>
  <c r="AC120" i="2"/>
  <c r="AC115" i="3"/>
  <c r="AC115" i="2" s="1"/>
  <c r="AC116" i="2"/>
  <c r="AC114" i="2"/>
  <c r="AC110" i="2"/>
  <c r="AC104" i="2"/>
  <c r="AC125" i="2"/>
  <c r="AC123" i="2"/>
  <c r="AC121" i="2"/>
  <c r="AC112" i="3"/>
  <c r="AC113" i="2"/>
  <c r="AC109" i="2"/>
  <c r="AC107" i="2"/>
  <c r="AC105" i="2"/>
  <c r="AC100" i="3"/>
  <c r="AC101" i="2"/>
  <c r="AC98" i="2"/>
  <c r="AC94" i="2"/>
  <c r="AC91" i="3"/>
  <c r="AC91" i="2" s="1"/>
  <c r="AC92" i="2"/>
  <c r="AC85" i="3"/>
  <c r="AC85" i="2" s="1"/>
  <c r="AC86" i="2"/>
  <c r="AC84" i="2"/>
  <c r="AC80" i="2"/>
  <c r="AC76" i="2"/>
  <c r="AC72" i="2"/>
  <c r="AC97" i="2"/>
  <c r="AC83" i="2"/>
  <c r="AC79" i="2"/>
  <c r="AC75" i="2"/>
  <c r="AC96" i="2"/>
  <c r="AC90" i="2"/>
  <c r="AC82" i="2"/>
  <c r="AC78" i="2"/>
  <c r="AC74" i="2"/>
  <c r="AC95" i="2"/>
  <c r="AC93" i="2"/>
  <c r="AC88" i="3"/>
  <c r="AC88" i="2" s="1"/>
  <c r="AC89" i="2"/>
  <c r="AC87" i="2"/>
  <c r="AC81" i="2"/>
  <c r="AC77" i="2"/>
  <c r="AC73" i="2"/>
  <c r="AC11" i="2"/>
  <c r="AC35" i="2"/>
  <c r="AC42" i="2"/>
  <c r="AC69" i="2"/>
  <c r="AC17" i="2"/>
  <c r="AC28" i="2"/>
  <c r="AC43" i="2"/>
  <c r="AC54" i="2"/>
  <c r="AC19" i="2"/>
  <c r="AC26" i="2"/>
  <c r="AC46" i="2"/>
  <c r="AC67" i="3"/>
  <c r="AC67" i="2" s="1"/>
  <c r="AC68" i="2"/>
  <c r="AC10" i="2"/>
  <c r="AC25" i="2"/>
  <c r="AC44" i="3"/>
  <c r="AC44" i="2" s="1"/>
  <c r="AC45" i="2"/>
  <c r="AC66" i="2"/>
  <c r="AC16" i="2"/>
  <c r="AC33" i="2"/>
  <c r="AC58" i="2"/>
  <c r="AC18" i="2"/>
  <c r="AC20" i="2"/>
  <c r="AC52" i="2"/>
  <c r="AC63" i="2"/>
  <c r="AC7" i="2"/>
  <c r="AC36" i="2"/>
  <c r="AC51" i="2"/>
  <c r="AC6" i="2"/>
  <c r="AC30" i="2"/>
  <c r="AC50" i="2"/>
  <c r="AC64" i="2"/>
  <c r="AC13" i="2"/>
  <c r="AC23" i="3"/>
  <c r="AC24" i="2"/>
  <c r="AC38" i="2"/>
  <c r="AC70" i="2"/>
  <c r="AC15" i="2"/>
  <c r="AC39" i="2"/>
  <c r="AC47" i="2"/>
  <c r="AC27" i="2"/>
  <c r="AC41" i="2"/>
  <c r="AC59" i="2"/>
  <c r="AC12" i="2"/>
  <c r="AC40" i="2"/>
  <c r="AC55" i="2"/>
  <c r="AC14" i="2"/>
  <c r="AC29" i="2"/>
  <c r="AC49" i="2"/>
  <c r="AC61" i="3"/>
  <c r="AC61" i="2" s="1"/>
  <c r="AC62" i="2"/>
  <c r="AC21" i="2"/>
  <c r="AC37" i="2"/>
  <c r="AC53" i="2"/>
  <c r="AC56" i="3"/>
  <c r="AC56" i="2" s="1"/>
  <c r="AC57" i="2"/>
  <c r="AC32" i="2"/>
  <c r="AC48" i="2"/>
  <c r="AC65" i="2"/>
  <c r="AC8" i="3"/>
  <c r="AC8" i="2" s="1"/>
  <c r="AC9" i="2"/>
  <c r="AC31" i="2"/>
  <c r="AC34" i="2"/>
  <c r="AC60" i="2"/>
  <c r="Z137" i="2"/>
  <c r="Z133" i="2"/>
  <c r="Z136" i="2"/>
  <c r="Z132" i="2"/>
  <c r="Z135" i="2"/>
  <c r="Z131" i="2"/>
  <c r="Z138" i="2"/>
  <c r="Z134" i="2"/>
  <c r="Z130" i="2"/>
  <c r="Z129" i="2"/>
  <c r="Z127" i="2"/>
  <c r="Z119" i="2"/>
  <c r="Z117" i="2"/>
  <c r="Z103" i="2"/>
  <c r="Z128" i="2"/>
  <c r="Z126" i="2"/>
  <c r="Z124" i="2"/>
  <c r="Z120" i="2"/>
  <c r="Z115" i="3"/>
  <c r="Z115" i="2" s="1"/>
  <c r="Z116" i="2"/>
  <c r="Z114" i="2"/>
  <c r="Z110" i="2"/>
  <c r="Z104" i="2"/>
  <c r="Z125" i="2"/>
  <c r="Z123" i="2"/>
  <c r="Z121" i="2"/>
  <c r="Z112" i="3"/>
  <c r="Z113" i="2"/>
  <c r="Z109" i="2"/>
  <c r="Z107" i="2"/>
  <c r="Z105" i="2"/>
  <c r="Z100" i="3"/>
  <c r="Z101" i="2"/>
  <c r="Z122" i="2"/>
  <c r="Z118" i="2"/>
  <c r="Z108" i="2"/>
  <c r="Z106" i="2"/>
  <c r="Z102" i="2"/>
  <c r="Z97" i="2"/>
  <c r="Z83" i="2"/>
  <c r="Z79" i="2"/>
  <c r="Z75" i="2"/>
  <c r="Z96" i="2"/>
  <c r="Z90" i="2"/>
  <c r="Z82" i="2"/>
  <c r="Z78" i="2"/>
  <c r="Z74" i="2"/>
  <c r="Z95" i="2"/>
  <c r="Z93" i="2"/>
  <c r="Z88" i="3"/>
  <c r="Z88" i="2" s="1"/>
  <c r="Z89" i="2"/>
  <c r="Z87" i="2"/>
  <c r="Z81" i="2"/>
  <c r="Z77" i="2"/>
  <c r="Z73" i="2"/>
  <c r="Z98" i="2"/>
  <c r="Z94" i="2"/>
  <c r="Z91" i="3"/>
  <c r="Z91" i="2" s="1"/>
  <c r="Z92" i="2"/>
  <c r="Z85" i="3"/>
  <c r="Z85" i="2" s="1"/>
  <c r="Z86" i="2"/>
  <c r="Z84" i="2"/>
  <c r="Z80" i="2"/>
  <c r="Z76" i="2"/>
  <c r="Z72" i="2"/>
  <c r="Z20" i="2"/>
  <c r="Z36" i="2"/>
  <c r="Z55" i="2"/>
  <c r="Z56" i="3"/>
  <c r="Z56" i="2" s="1"/>
  <c r="Z57" i="2"/>
  <c r="Z25" i="2"/>
  <c r="Z48" i="2"/>
  <c r="Z61" i="3"/>
  <c r="Z61" i="2" s="1"/>
  <c r="Z62" i="2"/>
  <c r="Z11" i="2"/>
  <c r="Z39" i="2"/>
  <c r="Z52" i="2"/>
  <c r="Z14" i="2"/>
  <c r="Z34" i="2"/>
  <c r="Z49" i="2"/>
  <c r="Z63" i="2"/>
  <c r="Z12" i="2"/>
  <c r="Z27" i="2"/>
  <c r="Z41" i="2"/>
  <c r="Z65" i="2"/>
  <c r="Z6" i="2"/>
  <c r="Z35" i="2"/>
  <c r="Z50" i="2"/>
  <c r="Z30" i="2"/>
  <c r="Z33" i="2"/>
  <c r="Z53" i="2"/>
  <c r="Z15" i="2"/>
  <c r="Z32" i="2"/>
  <c r="Z54" i="2"/>
  <c r="Z17" i="2"/>
  <c r="Z19" i="2"/>
  <c r="Z43" i="2"/>
  <c r="Z70" i="2"/>
  <c r="Z26" i="2"/>
  <c r="Z40" i="2"/>
  <c r="Z58" i="2"/>
  <c r="Z8" i="3"/>
  <c r="Z8" i="2" s="1"/>
  <c r="Z9" i="2"/>
  <c r="Z23" i="3"/>
  <c r="Z24" i="2"/>
  <c r="Z47" i="2"/>
  <c r="Z64" i="2"/>
  <c r="Z7" i="2"/>
  <c r="Z21" i="2"/>
  <c r="Z37" i="2"/>
  <c r="Z59" i="2"/>
  <c r="Z18" i="2"/>
  <c r="Z38" i="2"/>
  <c r="Z46" i="2"/>
  <c r="Z67" i="3"/>
  <c r="Z67" i="2" s="1"/>
  <c r="Z68" i="2"/>
  <c r="Z16" i="2"/>
  <c r="Z31" i="2"/>
  <c r="Z42" i="2"/>
  <c r="Z60" i="2"/>
  <c r="Z10" i="2"/>
  <c r="Z29" i="2"/>
  <c r="Z44" i="3"/>
  <c r="Z44" i="2" s="1"/>
  <c r="Z45" i="2"/>
  <c r="Z66" i="2"/>
  <c r="Z13" i="2"/>
  <c r="Z28" i="2"/>
  <c r="Z51" i="2"/>
  <c r="Z69" i="2"/>
  <c r="I138" i="2"/>
  <c r="I134" i="2"/>
  <c r="I130" i="2"/>
  <c r="I137" i="2"/>
  <c r="I133" i="2"/>
  <c r="I136" i="2"/>
  <c r="I132" i="2"/>
  <c r="I135" i="2"/>
  <c r="I131" i="2"/>
  <c r="I122" i="2"/>
  <c r="I118" i="2"/>
  <c r="I108" i="2"/>
  <c r="I106" i="2"/>
  <c r="I102" i="2"/>
  <c r="I129" i="2"/>
  <c r="I127" i="2"/>
  <c r="I119" i="2"/>
  <c r="I117" i="2"/>
  <c r="I103" i="2"/>
  <c r="I128" i="2"/>
  <c r="I126" i="2"/>
  <c r="I124" i="2"/>
  <c r="I120" i="2"/>
  <c r="I115" i="3"/>
  <c r="I115" i="2" s="1"/>
  <c r="I116" i="2"/>
  <c r="I114" i="2"/>
  <c r="I110" i="2"/>
  <c r="I104" i="2"/>
  <c r="I125" i="2"/>
  <c r="I123" i="2"/>
  <c r="I121" i="2"/>
  <c r="I112" i="3"/>
  <c r="I113" i="2"/>
  <c r="I109" i="2"/>
  <c r="I107" i="2"/>
  <c r="I105" i="2"/>
  <c r="I100" i="3"/>
  <c r="I101" i="2"/>
  <c r="I98" i="2"/>
  <c r="I94" i="2"/>
  <c r="I91" i="3"/>
  <c r="I91" i="2" s="1"/>
  <c r="I92" i="2"/>
  <c r="I85" i="3"/>
  <c r="I85" i="2" s="1"/>
  <c r="I86" i="2"/>
  <c r="I84" i="2"/>
  <c r="I80" i="2"/>
  <c r="I76" i="2"/>
  <c r="I72" i="2"/>
  <c r="I97" i="2"/>
  <c r="I83" i="2"/>
  <c r="I79" i="2"/>
  <c r="I75" i="2"/>
  <c r="I96" i="2"/>
  <c r="I90" i="2"/>
  <c r="I82" i="2"/>
  <c r="I78" i="2"/>
  <c r="I74" i="2"/>
  <c r="I95" i="2"/>
  <c r="I93" i="2"/>
  <c r="I88" i="3"/>
  <c r="I88" i="2" s="1"/>
  <c r="I89" i="2"/>
  <c r="I87" i="2"/>
  <c r="I81" i="2"/>
  <c r="I77" i="2"/>
  <c r="I73" i="2"/>
  <c r="I56" i="3"/>
  <c r="I56" i="2" s="1"/>
  <c r="I57" i="2"/>
  <c r="I28" i="2"/>
  <c r="I43" i="2"/>
  <c r="I60" i="2"/>
  <c r="I16" i="2"/>
  <c r="I40" i="2"/>
  <c r="I55" i="2"/>
  <c r="I13" i="2"/>
  <c r="I32" i="2"/>
  <c r="I38" i="2"/>
  <c r="I61" i="3"/>
  <c r="I61" i="2" s="1"/>
  <c r="I62" i="2"/>
  <c r="I21" i="2"/>
  <c r="I37" i="2"/>
  <c r="I66" i="2"/>
  <c r="I6" i="2"/>
  <c r="I26" i="2"/>
  <c r="I46" i="2"/>
  <c r="I67" i="3"/>
  <c r="I67" i="2" s="1"/>
  <c r="I68" i="2"/>
  <c r="I8" i="3"/>
  <c r="I8" i="2" s="1"/>
  <c r="I9" i="2"/>
  <c r="I31" i="2"/>
  <c r="I34" i="2"/>
  <c r="I59" i="2"/>
  <c r="I14" i="2"/>
  <c r="I29" i="2"/>
  <c r="I44" i="3"/>
  <c r="I44" i="2" s="1"/>
  <c r="I45" i="2"/>
  <c r="I70" i="2"/>
  <c r="I17" i="2"/>
  <c r="I23" i="3"/>
  <c r="I24" i="2"/>
  <c r="I42" i="2"/>
  <c r="I54" i="2"/>
  <c r="I12" i="2"/>
  <c r="I36" i="2"/>
  <c r="I51" i="2"/>
  <c r="I10" i="2"/>
  <c r="I25" i="2"/>
  <c r="I48" i="2"/>
  <c r="I65" i="2"/>
  <c r="I15" i="2"/>
  <c r="I35" i="2"/>
  <c r="I52" i="2"/>
  <c r="I69" i="2"/>
  <c r="I18" i="2"/>
  <c r="I20" i="2"/>
  <c r="I49" i="2"/>
  <c r="I63" i="2"/>
  <c r="I27" i="2"/>
  <c r="I41" i="2"/>
  <c r="I53" i="2"/>
  <c r="I11" i="2"/>
  <c r="I30" i="2"/>
  <c r="I50" i="2"/>
  <c r="I64" i="2"/>
  <c r="I19" i="2"/>
  <c r="I33" i="2"/>
  <c r="I58" i="2"/>
  <c r="I7" i="2"/>
  <c r="I39" i="2"/>
  <c r="I47" i="2"/>
  <c r="AJ135" i="2"/>
  <c r="AJ131" i="2"/>
  <c r="AJ138" i="2"/>
  <c r="AJ134" i="2"/>
  <c r="AJ130" i="2"/>
  <c r="AJ137" i="2"/>
  <c r="AJ133" i="2"/>
  <c r="AJ136" i="2"/>
  <c r="AJ132" i="2"/>
  <c r="AJ125" i="2"/>
  <c r="AJ123" i="2"/>
  <c r="AJ121" i="2"/>
  <c r="AJ112" i="3"/>
  <c r="AJ113" i="2"/>
  <c r="AJ109" i="2"/>
  <c r="AJ107" i="2"/>
  <c r="AJ105" i="2"/>
  <c r="AJ100" i="3"/>
  <c r="AJ101" i="2"/>
  <c r="AJ122" i="2"/>
  <c r="AJ118" i="2"/>
  <c r="AJ108" i="2"/>
  <c r="AJ106" i="2"/>
  <c r="AJ102" i="2"/>
  <c r="AJ129" i="2"/>
  <c r="AJ127" i="2"/>
  <c r="AJ119" i="2"/>
  <c r="AJ117" i="2"/>
  <c r="AJ103" i="2"/>
  <c r="AJ128" i="2"/>
  <c r="AJ126" i="2"/>
  <c r="AJ124" i="2"/>
  <c r="AJ120" i="2"/>
  <c r="AJ115" i="3"/>
  <c r="AJ115" i="2" s="1"/>
  <c r="AJ116" i="2"/>
  <c r="AJ114" i="2"/>
  <c r="AJ110" i="2"/>
  <c r="AJ104" i="2"/>
  <c r="AJ95" i="2"/>
  <c r="AJ93" i="2"/>
  <c r="AJ88" i="3"/>
  <c r="AJ88" i="2" s="1"/>
  <c r="AJ89" i="2"/>
  <c r="AJ87" i="2"/>
  <c r="AJ81" i="2"/>
  <c r="AJ77" i="2"/>
  <c r="AJ73" i="2"/>
  <c r="AJ94" i="2"/>
  <c r="AJ91" i="3"/>
  <c r="AJ91" i="2" s="1"/>
  <c r="AJ92" i="2"/>
  <c r="AJ85" i="3"/>
  <c r="AJ85" i="2" s="1"/>
  <c r="AJ86" i="2"/>
  <c r="AJ84" i="2"/>
  <c r="AJ80" i="2"/>
  <c r="AJ76" i="2"/>
  <c r="AJ72" i="2"/>
  <c r="AJ98" i="2"/>
  <c r="AJ97" i="2"/>
  <c r="AJ83" i="2"/>
  <c r="AJ79" i="2"/>
  <c r="AJ75" i="2"/>
  <c r="AJ96" i="2"/>
  <c r="AJ90" i="2"/>
  <c r="AJ82" i="2"/>
  <c r="AJ78" i="2"/>
  <c r="AJ74" i="2"/>
  <c r="AJ15" i="2"/>
  <c r="AJ31" i="2"/>
  <c r="AJ47" i="2"/>
  <c r="AJ69" i="2"/>
  <c r="AJ56" i="3"/>
  <c r="AJ56" i="2" s="1"/>
  <c r="AJ57" i="2"/>
  <c r="AJ25" i="2"/>
  <c r="AJ35" i="2"/>
  <c r="AJ60" i="2"/>
  <c r="AJ6" i="2"/>
  <c r="AJ21" i="2"/>
  <c r="AJ50" i="2"/>
  <c r="AJ67" i="3"/>
  <c r="AJ67" i="2" s="1"/>
  <c r="AJ68" i="2"/>
  <c r="AJ14" i="2"/>
  <c r="AJ20" i="2"/>
  <c r="AJ44" i="3"/>
  <c r="AJ44" i="2" s="1"/>
  <c r="AJ45" i="2"/>
  <c r="AJ55" i="2"/>
  <c r="AJ8" i="3"/>
  <c r="AJ8" i="2" s="1"/>
  <c r="AJ9" i="2"/>
  <c r="AJ33" i="2"/>
  <c r="AJ43" i="2"/>
  <c r="AJ19" i="2"/>
  <c r="AJ30" i="2"/>
  <c r="AJ46" i="2"/>
  <c r="AJ66" i="2"/>
  <c r="AJ12" i="2"/>
  <c r="AJ36" i="2"/>
  <c r="AJ52" i="2"/>
  <c r="AJ70" i="2"/>
  <c r="AJ11" i="2"/>
  <c r="AJ27" i="2"/>
  <c r="AJ42" i="2"/>
  <c r="AJ64" i="2"/>
  <c r="AJ28" i="2"/>
  <c r="AJ38" i="2"/>
  <c r="AJ59" i="2"/>
  <c r="AJ7" i="2"/>
  <c r="AJ32" i="2"/>
  <c r="AJ51" i="2"/>
  <c r="AJ65" i="2"/>
  <c r="AJ17" i="2"/>
  <c r="AJ41" i="2"/>
  <c r="AJ58" i="2"/>
  <c r="AJ16" i="2"/>
  <c r="AJ40" i="2"/>
  <c r="AJ53" i="2"/>
  <c r="AJ18" i="2"/>
  <c r="AJ26" i="2"/>
  <c r="AJ49" i="2"/>
  <c r="AJ61" i="3"/>
  <c r="AJ61" i="2" s="1"/>
  <c r="AJ62" i="2"/>
  <c r="AJ13" i="2"/>
  <c r="AJ37" i="2"/>
  <c r="AJ48" i="2"/>
  <c r="AJ10" i="2"/>
  <c r="AJ29" i="2"/>
  <c r="AJ39" i="2"/>
  <c r="AJ54" i="2"/>
  <c r="AJ23" i="3"/>
  <c r="AJ24" i="2"/>
  <c r="AJ34" i="2"/>
  <c r="AJ63" i="2"/>
  <c r="BK136" i="2"/>
  <c r="BK132" i="2"/>
  <c r="BK135" i="2"/>
  <c r="BK131" i="2"/>
  <c r="BK138" i="2"/>
  <c r="BK134" i="2"/>
  <c r="BK130" i="2"/>
  <c r="BK137" i="2"/>
  <c r="BK133" i="2"/>
  <c r="BK129" i="2"/>
  <c r="BK128" i="2"/>
  <c r="BK126" i="2"/>
  <c r="BK124" i="2"/>
  <c r="BK120" i="2"/>
  <c r="BK115" i="3"/>
  <c r="BK115" i="2" s="1"/>
  <c r="BK116" i="2"/>
  <c r="BK114" i="2"/>
  <c r="BK110" i="2"/>
  <c r="BK104" i="2"/>
  <c r="BK125" i="2"/>
  <c r="BK123" i="2"/>
  <c r="BK121" i="2"/>
  <c r="BK112" i="3"/>
  <c r="BK113" i="2"/>
  <c r="BK109" i="2"/>
  <c r="BK107" i="2"/>
  <c r="BK105" i="2"/>
  <c r="BK100" i="3"/>
  <c r="BK101" i="2"/>
  <c r="BK122" i="2"/>
  <c r="BK118" i="2"/>
  <c r="BK108" i="2"/>
  <c r="BK106" i="2"/>
  <c r="BK102" i="2"/>
  <c r="BK98" i="2"/>
  <c r="BK127" i="2"/>
  <c r="BK119" i="2"/>
  <c r="BK117" i="2"/>
  <c r="BK103" i="2"/>
  <c r="BK96" i="2"/>
  <c r="BK90" i="2"/>
  <c r="BK82" i="2"/>
  <c r="BK78" i="2"/>
  <c r="BK74" i="2"/>
  <c r="BK95" i="2"/>
  <c r="BK93" i="2"/>
  <c r="BK88" i="3"/>
  <c r="BK88" i="2" s="1"/>
  <c r="BK89" i="2"/>
  <c r="BK87" i="2"/>
  <c r="BK81" i="2"/>
  <c r="BK77" i="2"/>
  <c r="BK73" i="2"/>
  <c r="BK94" i="2"/>
  <c r="BK91" i="3"/>
  <c r="BK91" i="2" s="1"/>
  <c r="BK92" i="2"/>
  <c r="BK85" i="3"/>
  <c r="BK85" i="2" s="1"/>
  <c r="BK86" i="2"/>
  <c r="BK84" i="2"/>
  <c r="BK80" i="2"/>
  <c r="BK76" i="2"/>
  <c r="BK72" i="2"/>
  <c r="BK97" i="2"/>
  <c r="BK83" i="2"/>
  <c r="BK79" i="2"/>
  <c r="BK75" i="2"/>
  <c r="BK13" i="2"/>
  <c r="BK28" i="2"/>
  <c r="BK43" i="2"/>
  <c r="BK70" i="2"/>
  <c r="BK6" i="2"/>
  <c r="BK20" i="2"/>
  <c r="BK40" i="2"/>
  <c r="BK58" i="2"/>
  <c r="BK16" i="2"/>
  <c r="BK27" i="2"/>
  <c r="BK47" i="2"/>
  <c r="BK69" i="2"/>
  <c r="BK15" i="2"/>
  <c r="BK30" i="2"/>
  <c r="BK46" i="2"/>
  <c r="BK60" i="2"/>
  <c r="BK14" i="2"/>
  <c r="BK38" i="2"/>
  <c r="BK53" i="2"/>
  <c r="BK12" i="2"/>
  <c r="BK21" i="2"/>
  <c r="BK42" i="2"/>
  <c r="BK67" i="3"/>
  <c r="BK67" i="2" s="1"/>
  <c r="BK68" i="2"/>
  <c r="BK56" i="3"/>
  <c r="BK56" i="2" s="1"/>
  <c r="BK57" i="2"/>
  <c r="BK37" i="2"/>
  <c r="BK44" i="3"/>
  <c r="BK44" i="2" s="1"/>
  <c r="BK45" i="2"/>
  <c r="BK66" i="2"/>
  <c r="BK8" i="3"/>
  <c r="BK8" i="2" s="1"/>
  <c r="BK9" i="2"/>
  <c r="BK23" i="3"/>
  <c r="BK24" i="2"/>
  <c r="BK51" i="2"/>
  <c r="BK65" i="2"/>
  <c r="BK29" i="2"/>
  <c r="BK36" i="2"/>
  <c r="BK52" i="2"/>
  <c r="BK17" i="2"/>
  <c r="BK33" i="2"/>
  <c r="BK48" i="2"/>
  <c r="BK61" i="3"/>
  <c r="BK61" i="2" s="1"/>
  <c r="BK62" i="2"/>
  <c r="BK19" i="2"/>
  <c r="BK39" i="2"/>
  <c r="BK54" i="2"/>
  <c r="BK10" i="2"/>
  <c r="BK34" i="2"/>
  <c r="BK49" i="2"/>
  <c r="BK7" i="2"/>
  <c r="BK31" i="2"/>
  <c r="BK50" i="2"/>
  <c r="BK64" i="2"/>
  <c r="BK18" i="2"/>
  <c r="BK35" i="2"/>
  <c r="BK59" i="2"/>
  <c r="BK11" i="2"/>
  <c r="BK26" i="2"/>
  <c r="BK41" i="2"/>
  <c r="BK63" i="2"/>
  <c r="BK25" i="2"/>
  <c r="BK32" i="2"/>
  <c r="BK55" i="2"/>
  <c r="AE136" i="2"/>
  <c r="AE132" i="2"/>
  <c r="AE135" i="2"/>
  <c r="AE131" i="2"/>
  <c r="AE138" i="2"/>
  <c r="AE134" i="2"/>
  <c r="AE130" i="2"/>
  <c r="AE137" i="2"/>
  <c r="AE133" i="2"/>
  <c r="AE128" i="2"/>
  <c r="AE126" i="2"/>
  <c r="AE124" i="2"/>
  <c r="AE120" i="2"/>
  <c r="AE115" i="3"/>
  <c r="AE115" i="2" s="1"/>
  <c r="AE116" i="2"/>
  <c r="AE114" i="2"/>
  <c r="AE110" i="2"/>
  <c r="AE104" i="2"/>
  <c r="AE125" i="2"/>
  <c r="AE123" i="2"/>
  <c r="AE121" i="2"/>
  <c r="AE112" i="3"/>
  <c r="AE113" i="2"/>
  <c r="AE109" i="2"/>
  <c r="AE107" i="2"/>
  <c r="AE105" i="2"/>
  <c r="AE100" i="3"/>
  <c r="AE101" i="2"/>
  <c r="AE122" i="2"/>
  <c r="AE118" i="2"/>
  <c r="AE108" i="2"/>
  <c r="AE106" i="2"/>
  <c r="AE102" i="2"/>
  <c r="AE129" i="2"/>
  <c r="AE127" i="2"/>
  <c r="AE119" i="2"/>
  <c r="AE117" i="2"/>
  <c r="AE103" i="2"/>
  <c r="AE96" i="2"/>
  <c r="AE90" i="2"/>
  <c r="AE82" i="2"/>
  <c r="AE78" i="2"/>
  <c r="AE74" i="2"/>
  <c r="AE95" i="2"/>
  <c r="AE93" i="2"/>
  <c r="AE88" i="3"/>
  <c r="AE88" i="2" s="1"/>
  <c r="AE89" i="2"/>
  <c r="AE87" i="2"/>
  <c r="AE81" i="2"/>
  <c r="AE77" i="2"/>
  <c r="AE73" i="2"/>
  <c r="AE98" i="2"/>
  <c r="AE94" i="2"/>
  <c r="AE91" i="3"/>
  <c r="AE91" i="2" s="1"/>
  <c r="AE92" i="2"/>
  <c r="AE85" i="3"/>
  <c r="AE85" i="2" s="1"/>
  <c r="AE86" i="2"/>
  <c r="AE84" i="2"/>
  <c r="AE80" i="2"/>
  <c r="AE76" i="2"/>
  <c r="AE72" i="2"/>
  <c r="AE97" i="2"/>
  <c r="AE83" i="2"/>
  <c r="AE79" i="2"/>
  <c r="AE75" i="2"/>
  <c r="AE14" i="2"/>
  <c r="AE34" i="2"/>
  <c r="AE53" i="2"/>
  <c r="AE12" i="2"/>
  <c r="AE27" i="2"/>
  <c r="AE42" i="2"/>
  <c r="AE64" i="2"/>
  <c r="AE56" i="3"/>
  <c r="AE56" i="2" s="1"/>
  <c r="AE57" i="2"/>
  <c r="AE37" i="2"/>
  <c r="AE44" i="3"/>
  <c r="AE44" i="2" s="1"/>
  <c r="AE45" i="2"/>
  <c r="AE66" i="2"/>
  <c r="AE8" i="3"/>
  <c r="AE8" i="2" s="1"/>
  <c r="AE9" i="2"/>
  <c r="AE23" i="3"/>
  <c r="AE24" i="2"/>
  <c r="AE51" i="2"/>
  <c r="AE69" i="2"/>
  <c r="AE29" i="2"/>
  <c r="AE32" i="2"/>
  <c r="AE61" i="3"/>
  <c r="AE61" i="2" s="1"/>
  <c r="AE62" i="2"/>
  <c r="AE17" i="2"/>
  <c r="AE33" i="2"/>
  <c r="AE48" i="2"/>
  <c r="AE70" i="2"/>
  <c r="AE19" i="2"/>
  <c r="AE35" i="2"/>
  <c r="AE54" i="2"/>
  <c r="AE10" i="2"/>
  <c r="AE41" i="2"/>
  <c r="AE49" i="2"/>
  <c r="AE7" i="2"/>
  <c r="AE21" i="2"/>
  <c r="AE50" i="2"/>
  <c r="AE60" i="2"/>
  <c r="AE18" i="2"/>
  <c r="AE38" i="2"/>
  <c r="AE59" i="2"/>
  <c r="AE11" i="2"/>
  <c r="AE26" i="2"/>
  <c r="AE40" i="2"/>
  <c r="AE58" i="2"/>
  <c r="AE25" i="2"/>
  <c r="AE39" i="2"/>
  <c r="AE55" i="2"/>
  <c r="AE13" i="2"/>
  <c r="AE28" i="2"/>
  <c r="AE43" i="2"/>
  <c r="AE65" i="2"/>
  <c r="AE6" i="2"/>
  <c r="AE20" i="2"/>
  <c r="AE36" i="2"/>
  <c r="AE52" i="2"/>
  <c r="AE16" i="2"/>
  <c r="AE31" i="2"/>
  <c r="AE47" i="2"/>
  <c r="AE67" i="3"/>
  <c r="AE67" i="2" s="1"/>
  <c r="AE68" i="2"/>
  <c r="AE15" i="2"/>
  <c r="AE30" i="2"/>
  <c r="AE46" i="2"/>
  <c r="AE63" i="2"/>
  <c r="BB137" i="2"/>
  <c r="BB133" i="2"/>
  <c r="BB129" i="2"/>
  <c r="BB136" i="2"/>
  <c r="BB132" i="2"/>
  <c r="BB135" i="2"/>
  <c r="BB131" i="2"/>
  <c r="BB138" i="2"/>
  <c r="BB134" i="2"/>
  <c r="BB130" i="2"/>
  <c r="BB127" i="2"/>
  <c r="BB119" i="2"/>
  <c r="BB117" i="2"/>
  <c r="BB103" i="2"/>
  <c r="BB128" i="2"/>
  <c r="BB126" i="2"/>
  <c r="BB124" i="2"/>
  <c r="BB120" i="2"/>
  <c r="BB115" i="3"/>
  <c r="BB115" i="2" s="1"/>
  <c r="BB116" i="2"/>
  <c r="BB114" i="2"/>
  <c r="BB110" i="2"/>
  <c r="BB104" i="2"/>
  <c r="BB125" i="2"/>
  <c r="BB123" i="2"/>
  <c r="BB121" i="2"/>
  <c r="BB112" i="3"/>
  <c r="BB113" i="2"/>
  <c r="BB109" i="2"/>
  <c r="BB107" i="2"/>
  <c r="BB105" i="2"/>
  <c r="BB100" i="3"/>
  <c r="BB101" i="2"/>
  <c r="BB122" i="2"/>
  <c r="BB118" i="2"/>
  <c r="BB108" i="2"/>
  <c r="BB106" i="2"/>
  <c r="BB102" i="2"/>
  <c r="BB98" i="2"/>
  <c r="BB97" i="2"/>
  <c r="BB83" i="2"/>
  <c r="BB79" i="2"/>
  <c r="BB75" i="2"/>
  <c r="BB96" i="2"/>
  <c r="BB90" i="2"/>
  <c r="BB82" i="2"/>
  <c r="BB78" i="2"/>
  <c r="BB74" i="2"/>
  <c r="BB95" i="2"/>
  <c r="BB93" i="2"/>
  <c r="BB88" i="3"/>
  <c r="BB88" i="2" s="1"/>
  <c r="BB89" i="2"/>
  <c r="BB87" i="2"/>
  <c r="BB81" i="2"/>
  <c r="BB77" i="2"/>
  <c r="BB73" i="2"/>
  <c r="BB94" i="2"/>
  <c r="BB91" i="3"/>
  <c r="BB91" i="2" s="1"/>
  <c r="BB92" i="2"/>
  <c r="BB85" i="3"/>
  <c r="BB85" i="2" s="1"/>
  <c r="BB86" i="2"/>
  <c r="BB84" i="2"/>
  <c r="BB80" i="2"/>
  <c r="BB76" i="2"/>
  <c r="BB72" i="2"/>
  <c r="BB30" i="2"/>
  <c r="BB33" i="2"/>
  <c r="BB53" i="2"/>
  <c r="BB14" i="2"/>
  <c r="BB34" i="2"/>
  <c r="BB44" i="3"/>
  <c r="BB44" i="2" s="1"/>
  <c r="BB45" i="2"/>
  <c r="BB63" i="2"/>
  <c r="BB20" i="2"/>
  <c r="BB36" i="2"/>
  <c r="BB55" i="2"/>
  <c r="BB6" i="2"/>
  <c r="BB35" i="2"/>
  <c r="BB46" i="2"/>
  <c r="BB8" i="3"/>
  <c r="BB8" i="2" s="1"/>
  <c r="BB9" i="2"/>
  <c r="BB23" i="3"/>
  <c r="BB24" i="2"/>
  <c r="BB47" i="2"/>
  <c r="BB65" i="2"/>
  <c r="BB15" i="2"/>
  <c r="BB32" i="2"/>
  <c r="BB54" i="2"/>
  <c r="BB12" i="2"/>
  <c r="BB21" i="2"/>
  <c r="BB41" i="2"/>
  <c r="BB60" i="2"/>
  <c r="BB26" i="2"/>
  <c r="BB40" i="2"/>
  <c r="BB58" i="2"/>
  <c r="BB10" i="2"/>
  <c r="BB29" i="2"/>
  <c r="BB48" i="2"/>
  <c r="BB66" i="2"/>
  <c r="BB7" i="2"/>
  <c r="BB31" i="2"/>
  <c r="BB37" i="2"/>
  <c r="BB59" i="2"/>
  <c r="BB17" i="2"/>
  <c r="BB19" i="2"/>
  <c r="BB52" i="2"/>
  <c r="BB70" i="2"/>
  <c r="BB16" i="2"/>
  <c r="BB27" i="2"/>
  <c r="BB42" i="2"/>
  <c r="BB64" i="2"/>
  <c r="BB11" i="2"/>
  <c r="BB39" i="2"/>
  <c r="BB50" i="2"/>
  <c r="BB13" i="2"/>
  <c r="BB28" i="2"/>
  <c r="BB51" i="2"/>
  <c r="BB69" i="2"/>
  <c r="BB18" i="2"/>
  <c r="BB38" i="2"/>
  <c r="BB49" i="2"/>
  <c r="BB67" i="3"/>
  <c r="BB67" i="2" s="1"/>
  <c r="BB68" i="2"/>
  <c r="BB56" i="3"/>
  <c r="BB56" i="2" s="1"/>
  <c r="BB57" i="2"/>
  <c r="BB25" i="2"/>
  <c r="BB43" i="2"/>
  <c r="BB61" i="3"/>
  <c r="BB61" i="2" s="1"/>
  <c r="BB62" i="2"/>
  <c r="BA138" i="2"/>
  <c r="BA134" i="2"/>
  <c r="BA130" i="2"/>
  <c r="BA137" i="2"/>
  <c r="BA133" i="2"/>
  <c r="BA136" i="2"/>
  <c r="BA132" i="2"/>
  <c r="BA135" i="2"/>
  <c r="BA131" i="2"/>
  <c r="BA122" i="2"/>
  <c r="BA118" i="2"/>
  <c r="BA108" i="2"/>
  <c r="BA106" i="2"/>
  <c r="BA102" i="2"/>
  <c r="BA98" i="2"/>
  <c r="BA127" i="2"/>
  <c r="BA119" i="2"/>
  <c r="BA117" i="2"/>
  <c r="BA103" i="2"/>
  <c r="BA129" i="2"/>
  <c r="BA128" i="2"/>
  <c r="BA126" i="2"/>
  <c r="BA124" i="2"/>
  <c r="BA120" i="2"/>
  <c r="BA115" i="3"/>
  <c r="BA115" i="2" s="1"/>
  <c r="BA116" i="2"/>
  <c r="BA114" i="2"/>
  <c r="BA110" i="2"/>
  <c r="BA104" i="2"/>
  <c r="BA125" i="2"/>
  <c r="BA123" i="2"/>
  <c r="BA121" i="2"/>
  <c r="BA112" i="3"/>
  <c r="BA113" i="2"/>
  <c r="BA109" i="2"/>
  <c r="BA107" i="2"/>
  <c r="BA105" i="2"/>
  <c r="BA100" i="3"/>
  <c r="BA101" i="2"/>
  <c r="BA94" i="2"/>
  <c r="BA91" i="3"/>
  <c r="BA91" i="2" s="1"/>
  <c r="BA92" i="2"/>
  <c r="BA85" i="3"/>
  <c r="BA85" i="2" s="1"/>
  <c r="BA86" i="2"/>
  <c r="BA84" i="2"/>
  <c r="BA80" i="2"/>
  <c r="BA76" i="2"/>
  <c r="BA72" i="2"/>
  <c r="BA97" i="2"/>
  <c r="BA83" i="2"/>
  <c r="BA79" i="2"/>
  <c r="BA75" i="2"/>
  <c r="BA96" i="2"/>
  <c r="BA90" i="2"/>
  <c r="BA82" i="2"/>
  <c r="BA78" i="2"/>
  <c r="BA74" i="2"/>
  <c r="BA95" i="2"/>
  <c r="BA93" i="2"/>
  <c r="BA88" i="3"/>
  <c r="BA88" i="2" s="1"/>
  <c r="BA89" i="2"/>
  <c r="BA87" i="2"/>
  <c r="BA81" i="2"/>
  <c r="BA77" i="2"/>
  <c r="BA73" i="2"/>
  <c r="BA13" i="2"/>
  <c r="BA19" i="2"/>
  <c r="BA38" i="2"/>
  <c r="BA61" i="3"/>
  <c r="BA61" i="2" s="1"/>
  <c r="BA62" i="2"/>
  <c r="BA7" i="2"/>
  <c r="BA39" i="2"/>
  <c r="BA51" i="2"/>
  <c r="BA23" i="3"/>
  <c r="BA24" i="2"/>
  <c r="BA41" i="2"/>
  <c r="BA59" i="2"/>
  <c r="BA16" i="2"/>
  <c r="BA40" i="2"/>
  <c r="BA55" i="2"/>
  <c r="BA14" i="2"/>
  <c r="BA26" i="2"/>
  <c r="BA49" i="2"/>
  <c r="BA70" i="2"/>
  <c r="BA27" i="2"/>
  <c r="BA37" i="2"/>
  <c r="BA53" i="2"/>
  <c r="BA56" i="3"/>
  <c r="BA56" i="2" s="1"/>
  <c r="BA57" i="2"/>
  <c r="BA29" i="2"/>
  <c r="BA48" i="2"/>
  <c r="BA65" i="2"/>
  <c r="BA8" i="3"/>
  <c r="BA8" i="2" s="1"/>
  <c r="BA9" i="2"/>
  <c r="BA28" i="2"/>
  <c r="BA34" i="2"/>
  <c r="BA60" i="2"/>
  <c r="BA15" i="2"/>
  <c r="BA35" i="2"/>
  <c r="BA47" i="2"/>
  <c r="BA69" i="2"/>
  <c r="BA17" i="2"/>
  <c r="BA25" i="2"/>
  <c r="BA43" i="2"/>
  <c r="BA54" i="2"/>
  <c r="BA5" i="3"/>
  <c r="BA6" i="2"/>
  <c r="BA32" i="2"/>
  <c r="BA50" i="2"/>
  <c r="BA67" i="3"/>
  <c r="BA67" i="2" s="1"/>
  <c r="BA68" i="2"/>
  <c r="BA10" i="2"/>
  <c r="BA20" i="2"/>
  <c r="BA44" i="3"/>
  <c r="BA44" i="2" s="1"/>
  <c r="BA45" i="2"/>
  <c r="BA66" i="2"/>
  <c r="BA21" i="2"/>
  <c r="BA33" i="2"/>
  <c r="BA58" i="2"/>
  <c r="BA18" i="2"/>
  <c r="BA30" i="2"/>
  <c r="BA46" i="2"/>
  <c r="BA63" i="2"/>
  <c r="BA12" i="2"/>
  <c r="BA36" i="2"/>
  <c r="BA52" i="2"/>
  <c r="BA11" i="2"/>
  <c r="BA31" i="2"/>
  <c r="BA42" i="2"/>
  <c r="BA64" i="2"/>
  <c r="AX137" i="2"/>
  <c r="AX133" i="2"/>
  <c r="AX129" i="2"/>
  <c r="AX136" i="2"/>
  <c r="AX132" i="2"/>
  <c r="AX135" i="2"/>
  <c r="AX131" i="2"/>
  <c r="AX138" i="2"/>
  <c r="AX134" i="2"/>
  <c r="AX130" i="2"/>
  <c r="AX127" i="2"/>
  <c r="AX119" i="2"/>
  <c r="AX117" i="2"/>
  <c r="AX103" i="2"/>
  <c r="AX128" i="2"/>
  <c r="AX126" i="2"/>
  <c r="AX124" i="2"/>
  <c r="AX120" i="2"/>
  <c r="AX115" i="3"/>
  <c r="AX115" i="2" s="1"/>
  <c r="AX116" i="2"/>
  <c r="AX114" i="2"/>
  <c r="AX110" i="2"/>
  <c r="AX104" i="2"/>
  <c r="AX125" i="2"/>
  <c r="AX123" i="2"/>
  <c r="AX121" i="2"/>
  <c r="AX112" i="3"/>
  <c r="AX113" i="2"/>
  <c r="AX109" i="2"/>
  <c r="AX107" i="2"/>
  <c r="AX105" i="2"/>
  <c r="AX100" i="3"/>
  <c r="AX101" i="2"/>
  <c r="AX122" i="2"/>
  <c r="AX118" i="2"/>
  <c r="AX108" i="2"/>
  <c r="AX106" i="2"/>
  <c r="AX102" i="2"/>
  <c r="AX98" i="2"/>
  <c r="AX97" i="2"/>
  <c r="AX83" i="2"/>
  <c r="AX79" i="2"/>
  <c r="AX75" i="2"/>
  <c r="AX96" i="2"/>
  <c r="AX90" i="2"/>
  <c r="AX82" i="2"/>
  <c r="AX78" i="2"/>
  <c r="AX74" i="2"/>
  <c r="AX95" i="2"/>
  <c r="AX93" i="2"/>
  <c r="AX88" i="3"/>
  <c r="AX88" i="2" s="1"/>
  <c r="AX89" i="2"/>
  <c r="AX87" i="2"/>
  <c r="AX81" i="2"/>
  <c r="AX77" i="2"/>
  <c r="AX73" i="2"/>
  <c r="AX94" i="2"/>
  <c r="AX91" i="3"/>
  <c r="AX91" i="2" s="1"/>
  <c r="AX92" i="2"/>
  <c r="AX85" i="3"/>
  <c r="AX85" i="2" s="1"/>
  <c r="AX86" i="2"/>
  <c r="AX84" i="2"/>
  <c r="AX80" i="2"/>
  <c r="AX76" i="2"/>
  <c r="AX72" i="2"/>
  <c r="AX10" i="2"/>
  <c r="AX29" i="2"/>
  <c r="AX52" i="2"/>
  <c r="AX66" i="2"/>
  <c r="AX7" i="2"/>
  <c r="AX21" i="2"/>
  <c r="AX37" i="2"/>
  <c r="AX53" i="2"/>
  <c r="AX17" i="2"/>
  <c r="AX19" i="2"/>
  <c r="AX43" i="2"/>
  <c r="AX70" i="2"/>
  <c r="AX16" i="2"/>
  <c r="AX23" i="3"/>
  <c r="AX24" i="2"/>
  <c r="AX42" i="2"/>
  <c r="AX60" i="2"/>
  <c r="AX11" i="2"/>
  <c r="AX39" i="2"/>
  <c r="AX50" i="2"/>
  <c r="AX13" i="2"/>
  <c r="AX31" i="2"/>
  <c r="AX51" i="2"/>
  <c r="AX64" i="2"/>
  <c r="AX18" i="2"/>
  <c r="AX38" i="2"/>
  <c r="AX49" i="2"/>
  <c r="AX67" i="3"/>
  <c r="AX67" i="2" s="1"/>
  <c r="AX68" i="2"/>
  <c r="AX56" i="3"/>
  <c r="AX56" i="2" s="1"/>
  <c r="AX57" i="2"/>
  <c r="AX25" i="2"/>
  <c r="AX48" i="2"/>
  <c r="AX61" i="3"/>
  <c r="AX61" i="2" s="1"/>
  <c r="AX62" i="2"/>
  <c r="AX30" i="2"/>
  <c r="AX33" i="2"/>
  <c r="AX65" i="2"/>
  <c r="AX14" i="2"/>
  <c r="AX34" i="2"/>
  <c r="AX44" i="3"/>
  <c r="AX44" i="2" s="1"/>
  <c r="AX45" i="2"/>
  <c r="AX63" i="2"/>
  <c r="AX20" i="2"/>
  <c r="AX36" i="2"/>
  <c r="AX55" i="2"/>
  <c r="AX6" i="2"/>
  <c r="AX35" i="2"/>
  <c r="AX46" i="2"/>
  <c r="AX8" i="3"/>
  <c r="AX8" i="2" s="1"/>
  <c r="AX9" i="2"/>
  <c r="AX28" i="2"/>
  <c r="AX47" i="2"/>
  <c r="AX69" i="2"/>
  <c r="AX15" i="2"/>
  <c r="AX32" i="2"/>
  <c r="AX54" i="2"/>
  <c r="AX12" i="2"/>
  <c r="AX27" i="2"/>
  <c r="AX41" i="2"/>
  <c r="AX59" i="2"/>
  <c r="AX26" i="2"/>
  <c r="AX40" i="2"/>
  <c r="AX58" i="2"/>
  <c r="AW138" i="2"/>
  <c r="AW134" i="2"/>
  <c r="AW130" i="2"/>
  <c r="AW137" i="2"/>
  <c r="AW133" i="2"/>
  <c r="AW136" i="2"/>
  <c r="AW132" i="2"/>
  <c r="AW135" i="2"/>
  <c r="AW131" i="2"/>
  <c r="AW129" i="2"/>
  <c r="AW122" i="2"/>
  <c r="AW118" i="2"/>
  <c r="AW108" i="2"/>
  <c r="AW106" i="2"/>
  <c r="AW102" i="2"/>
  <c r="AW98" i="2"/>
  <c r="AW127" i="2"/>
  <c r="AW119" i="2"/>
  <c r="AW117" i="2"/>
  <c r="AW103" i="2"/>
  <c r="AW128" i="2"/>
  <c r="AW126" i="2"/>
  <c r="AW124" i="2"/>
  <c r="AW120" i="2"/>
  <c r="AW115" i="3"/>
  <c r="AW115" i="2" s="1"/>
  <c r="AW116" i="2"/>
  <c r="AW114" i="2"/>
  <c r="AW110" i="2"/>
  <c r="AW104" i="2"/>
  <c r="AW125" i="2"/>
  <c r="AW123" i="2"/>
  <c r="AW121" i="2"/>
  <c r="AW112" i="3"/>
  <c r="AW113" i="2"/>
  <c r="AW109" i="2"/>
  <c r="AW107" i="2"/>
  <c r="AW105" i="2"/>
  <c r="AW100" i="3"/>
  <c r="AW101" i="2"/>
  <c r="AW94" i="2"/>
  <c r="AW91" i="3"/>
  <c r="AW91" i="2" s="1"/>
  <c r="AW92" i="2"/>
  <c r="AW85" i="3"/>
  <c r="AW85" i="2" s="1"/>
  <c r="AW86" i="2"/>
  <c r="AW84" i="2"/>
  <c r="AW80" i="2"/>
  <c r="AW76" i="2"/>
  <c r="AW72" i="2"/>
  <c r="AW97" i="2"/>
  <c r="AW83" i="2"/>
  <c r="AW79" i="2"/>
  <c r="AW75" i="2"/>
  <c r="AW96" i="2"/>
  <c r="AW90" i="2"/>
  <c r="AW82" i="2"/>
  <c r="AW78" i="2"/>
  <c r="AW74" i="2"/>
  <c r="AW95" i="2"/>
  <c r="AW93" i="2"/>
  <c r="AW88" i="3"/>
  <c r="AW88" i="2" s="1"/>
  <c r="AW89" i="2"/>
  <c r="AW87" i="2"/>
  <c r="AW81" i="2"/>
  <c r="AW77" i="2"/>
  <c r="AW73" i="2"/>
  <c r="AW13" i="2"/>
  <c r="AW31" i="2"/>
  <c r="AW38" i="2"/>
  <c r="AW66" i="2"/>
  <c r="AW7" i="2"/>
  <c r="AW39" i="2"/>
  <c r="AW47" i="2"/>
  <c r="AW23" i="3"/>
  <c r="AW24" i="2"/>
  <c r="AW41" i="2"/>
  <c r="AW53" i="2"/>
  <c r="AW16" i="2"/>
  <c r="AW40" i="2"/>
  <c r="AW55" i="2"/>
  <c r="AW14" i="2"/>
  <c r="AW32" i="2"/>
  <c r="AW44" i="3"/>
  <c r="AW44" i="2" s="1"/>
  <c r="AW45" i="2"/>
  <c r="AW65" i="2"/>
  <c r="AW27" i="2"/>
  <c r="AW37" i="2"/>
  <c r="AW58" i="2"/>
  <c r="AW56" i="3"/>
  <c r="AW56" i="2" s="1"/>
  <c r="AW57" i="2"/>
  <c r="AW25" i="2"/>
  <c r="AW48" i="2"/>
  <c r="AW70" i="2"/>
  <c r="AW8" i="3"/>
  <c r="AW8" i="2" s="1"/>
  <c r="AW9" i="2"/>
  <c r="AW28" i="2"/>
  <c r="AW34" i="2"/>
  <c r="AW59" i="2"/>
  <c r="AW15" i="2"/>
  <c r="AW35" i="2"/>
  <c r="AW42" i="2"/>
  <c r="AW69" i="2"/>
  <c r="AW17" i="2"/>
  <c r="AW19" i="2"/>
  <c r="AW43" i="2"/>
  <c r="AW54" i="2"/>
  <c r="AW6" i="2"/>
  <c r="AW26" i="2"/>
  <c r="AW46" i="2"/>
  <c r="AW67" i="3"/>
  <c r="AW67" i="2" s="1"/>
  <c r="AW68" i="2"/>
  <c r="AW10" i="2"/>
  <c r="AW29" i="2"/>
  <c r="AW52" i="2"/>
  <c r="AW61" i="3"/>
  <c r="AW61" i="2" s="1"/>
  <c r="AW62" i="2"/>
  <c r="AW21" i="2"/>
  <c r="AW33" i="2"/>
  <c r="AW60" i="2"/>
  <c r="AW18" i="2"/>
  <c r="AW20" i="2"/>
  <c r="AW49" i="2"/>
  <c r="AW63" i="2"/>
  <c r="AW12" i="2"/>
  <c r="AW36" i="2"/>
  <c r="AW51" i="2"/>
  <c r="AW11" i="2"/>
  <c r="AW30" i="2"/>
  <c r="AW50" i="2"/>
  <c r="AW64" i="2"/>
  <c r="AV135" i="2"/>
  <c r="AV131" i="2"/>
  <c r="AV138" i="2"/>
  <c r="AV134" i="2"/>
  <c r="AV130" i="2"/>
  <c r="AV137" i="2"/>
  <c r="AV133" i="2"/>
  <c r="AV136" i="2"/>
  <c r="AV132" i="2"/>
  <c r="AV125" i="2"/>
  <c r="AV123" i="2"/>
  <c r="AV121" i="2"/>
  <c r="AV112" i="3"/>
  <c r="AV113" i="2"/>
  <c r="AV109" i="2"/>
  <c r="AV107" i="2"/>
  <c r="AV105" i="2"/>
  <c r="AV100" i="3"/>
  <c r="AV101" i="2"/>
  <c r="AV129" i="2"/>
  <c r="AV122" i="2"/>
  <c r="AV118" i="2"/>
  <c r="AV108" i="2"/>
  <c r="AV106" i="2"/>
  <c r="AV102" i="2"/>
  <c r="AV98" i="2"/>
  <c r="AV127" i="2"/>
  <c r="AV119" i="2"/>
  <c r="AV117" i="2"/>
  <c r="AV103" i="2"/>
  <c r="AV128" i="2"/>
  <c r="AV126" i="2"/>
  <c r="AV124" i="2"/>
  <c r="AV120" i="2"/>
  <c r="AV115" i="3"/>
  <c r="AV115" i="2" s="1"/>
  <c r="AV116" i="2"/>
  <c r="AV114" i="2"/>
  <c r="AV110" i="2"/>
  <c r="AV104" i="2"/>
  <c r="AV95" i="2"/>
  <c r="AV93" i="2"/>
  <c r="AV88" i="3"/>
  <c r="AV88" i="2" s="1"/>
  <c r="AV89" i="2"/>
  <c r="AV87" i="2"/>
  <c r="AV81" i="2"/>
  <c r="AV77" i="2"/>
  <c r="AV73" i="2"/>
  <c r="AV94" i="2"/>
  <c r="AV91" i="3"/>
  <c r="AV91" i="2" s="1"/>
  <c r="AV92" i="2"/>
  <c r="AV85" i="3"/>
  <c r="AV85" i="2" s="1"/>
  <c r="AV86" i="2"/>
  <c r="AV84" i="2"/>
  <c r="AV80" i="2"/>
  <c r="AV76" i="2"/>
  <c r="AV72" i="2"/>
  <c r="AV97" i="2"/>
  <c r="AV83" i="2"/>
  <c r="AV79" i="2"/>
  <c r="AV75" i="2"/>
  <c r="AV96" i="2"/>
  <c r="AV90" i="2"/>
  <c r="AV82" i="2"/>
  <c r="AV78" i="2"/>
  <c r="AV74" i="2"/>
  <c r="AV16" i="2"/>
  <c r="AV40" i="2"/>
  <c r="AV51" i="2"/>
  <c r="AV70" i="2"/>
  <c r="AV14" i="2"/>
  <c r="AV20" i="2"/>
  <c r="AV44" i="3"/>
  <c r="AV44" i="2" s="1"/>
  <c r="AV45" i="2"/>
  <c r="AV60" i="2"/>
  <c r="AV7" i="2"/>
  <c r="AV32" i="2"/>
  <c r="AV42" i="2"/>
  <c r="AV69" i="2"/>
  <c r="AV6" i="2"/>
  <c r="AV30" i="2"/>
  <c r="AV53" i="2"/>
  <c r="AV63" i="2"/>
  <c r="AV23" i="3"/>
  <c r="AV24" i="2"/>
  <c r="AV34" i="2"/>
  <c r="AV58" i="2"/>
  <c r="AV15" i="2"/>
  <c r="AV27" i="2"/>
  <c r="AV50" i="2"/>
  <c r="AV64" i="2"/>
  <c r="AV13" i="2"/>
  <c r="AV37" i="2"/>
  <c r="AV48" i="2"/>
  <c r="AV12" i="2"/>
  <c r="AV36" i="2"/>
  <c r="AV47" i="2"/>
  <c r="AV65" i="2"/>
  <c r="AV10" i="2"/>
  <c r="AV29" i="2"/>
  <c r="AV39" i="2"/>
  <c r="AV55" i="2"/>
  <c r="AV8" i="3"/>
  <c r="AV8" i="2" s="1"/>
  <c r="AV9" i="2"/>
  <c r="AV33" i="2"/>
  <c r="AV43" i="2"/>
  <c r="AV19" i="2"/>
  <c r="AV31" i="2"/>
  <c r="AV54" i="2"/>
  <c r="AV17" i="2"/>
  <c r="AV41" i="2"/>
  <c r="AV52" i="2"/>
  <c r="AV11" i="2"/>
  <c r="AV21" i="2"/>
  <c r="AV46" i="2"/>
  <c r="AV66" i="2"/>
  <c r="AV28" i="2"/>
  <c r="AV38" i="2"/>
  <c r="AV59" i="2"/>
  <c r="AV18" i="2"/>
  <c r="AV26" i="2"/>
  <c r="AV49" i="2"/>
  <c r="AV61" i="3"/>
  <c r="AV61" i="2" s="1"/>
  <c r="AV62" i="2"/>
  <c r="AV56" i="3"/>
  <c r="AV56" i="2" s="1"/>
  <c r="AV57" i="2"/>
  <c r="AV25" i="2"/>
  <c r="AV35" i="2"/>
  <c r="AV67" i="3"/>
  <c r="AV67" i="2" s="1"/>
  <c r="AV68" i="2"/>
  <c r="AQ136" i="2"/>
  <c r="AQ132" i="2"/>
  <c r="AQ135" i="2"/>
  <c r="AQ131" i="2"/>
  <c r="AQ138" i="2"/>
  <c r="AQ134" i="2"/>
  <c r="AQ130" i="2"/>
  <c r="AQ137" i="2"/>
  <c r="AQ133" i="2"/>
  <c r="AQ129" i="2"/>
  <c r="AQ128" i="2"/>
  <c r="AQ126" i="2"/>
  <c r="AQ124" i="2"/>
  <c r="AQ120" i="2"/>
  <c r="AQ115" i="3"/>
  <c r="AQ115" i="2" s="1"/>
  <c r="AQ116" i="2"/>
  <c r="AQ114" i="2"/>
  <c r="AQ110" i="2"/>
  <c r="AQ104" i="2"/>
  <c r="AQ125" i="2"/>
  <c r="AQ123" i="2"/>
  <c r="AQ121" i="2"/>
  <c r="AQ112" i="3"/>
  <c r="AQ113" i="2"/>
  <c r="AQ109" i="2"/>
  <c r="AQ107" i="2"/>
  <c r="AQ105" i="2"/>
  <c r="AQ100" i="3"/>
  <c r="AQ101" i="2"/>
  <c r="AQ122" i="2"/>
  <c r="AQ118" i="2"/>
  <c r="AQ108" i="2"/>
  <c r="AQ106" i="2"/>
  <c r="AQ102" i="2"/>
  <c r="AQ98" i="2"/>
  <c r="AQ127" i="2"/>
  <c r="AQ119" i="2"/>
  <c r="AQ117" i="2"/>
  <c r="AQ103" i="2"/>
  <c r="AQ96" i="2"/>
  <c r="AQ90" i="2"/>
  <c r="AQ82" i="2"/>
  <c r="AQ78" i="2"/>
  <c r="AQ74" i="2"/>
  <c r="AQ95" i="2"/>
  <c r="AQ93" i="2"/>
  <c r="AQ88" i="3"/>
  <c r="AQ88" i="2" s="1"/>
  <c r="AQ89" i="2"/>
  <c r="AQ87" i="2"/>
  <c r="AQ81" i="2"/>
  <c r="AQ77" i="2"/>
  <c r="AQ73" i="2"/>
  <c r="AQ94" i="2"/>
  <c r="AQ91" i="3"/>
  <c r="AQ91" i="2" s="1"/>
  <c r="AQ92" i="2"/>
  <c r="AQ85" i="3"/>
  <c r="AQ85" i="2" s="1"/>
  <c r="AQ86" i="2"/>
  <c r="AQ84" i="2"/>
  <c r="AQ80" i="2"/>
  <c r="AQ76" i="2"/>
  <c r="AQ72" i="2"/>
  <c r="AQ97" i="2"/>
  <c r="AQ83" i="2"/>
  <c r="AQ79" i="2"/>
  <c r="AQ75" i="2"/>
  <c r="AQ56" i="3"/>
  <c r="AQ56" i="2" s="1"/>
  <c r="AQ57" i="2"/>
  <c r="AQ37" i="2"/>
  <c r="AQ48" i="2"/>
  <c r="AQ66" i="2"/>
  <c r="AQ15" i="2"/>
  <c r="AQ30" i="2"/>
  <c r="AQ46" i="2"/>
  <c r="AQ61" i="3"/>
  <c r="AQ61" i="2" s="1"/>
  <c r="AQ62" i="2"/>
  <c r="AQ13" i="2"/>
  <c r="AQ28" i="2"/>
  <c r="AQ53" i="2"/>
  <c r="AQ65" i="2"/>
  <c r="AQ12" i="2"/>
  <c r="AQ21" i="2"/>
  <c r="AQ42" i="2"/>
  <c r="AQ60" i="2"/>
  <c r="AQ19" i="2"/>
  <c r="AQ35" i="2"/>
  <c r="AQ54" i="2"/>
  <c r="AQ8" i="3"/>
  <c r="AQ8" i="2" s="1"/>
  <c r="AQ9" i="2"/>
  <c r="AQ23" i="3"/>
  <c r="AQ24" i="2"/>
  <c r="AQ51" i="2"/>
  <c r="AQ69" i="2"/>
  <c r="AQ14" i="2"/>
  <c r="AQ34" i="2"/>
  <c r="AQ49" i="2"/>
  <c r="AQ17" i="2"/>
  <c r="AQ33" i="2"/>
  <c r="AQ43" i="2"/>
  <c r="AQ70" i="2"/>
  <c r="AQ11" i="2"/>
  <c r="AQ26" i="2"/>
  <c r="AQ40" i="2"/>
  <c r="AQ58" i="2"/>
  <c r="AQ10" i="2"/>
  <c r="AQ41" i="2"/>
  <c r="AQ44" i="3"/>
  <c r="AQ44" i="2" s="1"/>
  <c r="AQ45" i="2"/>
  <c r="AQ29" i="2"/>
  <c r="AQ32" i="2"/>
  <c r="AQ55" i="2"/>
  <c r="AQ18" i="2"/>
  <c r="AQ38" i="2"/>
  <c r="AQ59" i="2"/>
  <c r="AQ16" i="2"/>
  <c r="AQ27" i="2"/>
  <c r="AQ47" i="2"/>
  <c r="AQ63" i="2"/>
  <c r="AQ25" i="2"/>
  <c r="AQ39" i="2"/>
  <c r="AQ64" i="2"/>
  <c r="AQ7" i="2"/>
  <c r="AQ31" i="2"/>
  <c r="AQ50" i="2"/>
  <c r="AQ67" i="3"/>
  <c r="AQ67" i="2" s="1"/>
  <c r="AQ68" i="2"/>
  <c r="AQ5" i="3"/>
  <c r="AQ6" i="2"/>
  <c r="AQ20" i="2"/>
  <c r="AQ36" i="2"/>
  <c r="AQ52" i="2"/>
  <c r="M138" i="2"/>
  <c r="M134" i="2"/>
  <c r="M130" i="2"/>
  <c r="M137" i="2"/>
  <c r="M133" i="2"/>
  <c r="M136" i="2"/>
  <c r="M132" i="2"/>
  <c r="M135" i="2"/>
  <c r="M131" i="2"/>
  <c r="M122" i="2"/>
  <c r="M118" i="2"/>
  <c r="M108" i="2"/>
  <c r="M106" i="2"/>
  <c r="M102" i="2"/>
  <c r="M129" i="2"/>
  <c r="M127" i="2"/>
  <c r="M119" i="2"/>
  <c r="M117" i="2"/>
  <c r="M103" i="2"/>
  <c r="M128" i="2"/>
  <c r="M126" i="2"/>
  <c r="M124" i="2"/>
  <c r="M120" i="2"/>
  <c r="M115" i="3"/>
  <c r="M115" i="2" s="1"/>
  <c r="M116" i="2"/>
  <c r="M114" i="2"/>
  <c r="M110" i="2"/>
  <c r="M104" i="2"/>
  <c r="M125" i="2"/>
  <c r="M123" i="2"/>
  <c r="M121" i="2"/>
  <c r="M112" i="3"/>
  <c r="M113" i="2"/>
  <c r="M109" i="2"/>
  <c r="M107" i="2"/>
  <c r="M105" i="2"/>
  <c r="M100" i="3"/>
  <c r="M101" i="2"/>
  <c r="M98" i="2"/>
  <c r="M94" i="2"/>
  <c r="M91" i="3"/>
  <c r="M91" i="2" s="1"/>
  <c r="M92" i="2"/>
  <c r="M85" i="3"/>
  <c r="M85" i="2" s="1"/>
  <c r="M86" i="2"/>
  <c r="M84" i="2"/>
  <c r="M80" i="2"/>
  <c r="M76" i="2"/>
  <c r="M72" i="2"/>
  <c r="M97" i="2"/>
  <c r="M83" i="2"/>
  <c r="M79" i="2"/>
  <c r="M75" i="2"/>
  <c r="M96" i="2"/>
  <c r="M90" i="2"/>
  <c r="M82" i="2"/>
  <c r="M78" i="2"/>
  <c r="M74" i="2"/>
  <c r="M95" i="2"/>
  <c r="M93" i="2"/>
  <c r="M88" i="3"/>
  <c r="M88" i="2" s="1"/>
  <c r="M89" i="2"/>
  <c r="M87" i="2"/>
  <c r="M81" i="2"/>
  <c r="M77" i="2"/>
  <c r="M73" i="2"/>
  <c r="M56" i="3"/>
  <c r="M56" i="2" s="1"/>
  <c r="M57" i="2"/>
  <c r="M32" i="2"/>
  <c r="M43" i="2"/>
  <c r="M65" i="2"/>
  <c r="M12" i="2"/>
  <c r="M36" i="2"/>
  <c r="M55" i="2"/>
  <c r="M13" i="2"/>
  <c r="M23" i="3"/>
  <c r="M24" i="2"/>
  <c r="M34" i="2"/>
  <c r="M60" i="2"/>
  <c r="M21" i="2"/>
  <c r="M33" i="2"/>
  <c r="M70" i="2"/>
  <c r="M19" i="2"/>
  <c r="M26" i="2"/>
  <c r="M52" i="2"/>
  <c r="M67" i="3"/>
  <c r="M67" i="2" s="1"/>
  <c r="M68" i="2"/>
  <c r="M8" i="3"/>
  <c r="M8" i="2" s="1"/>
  <c r="M9" i="2"/>
  <c r="M31" i="2"/>
  <c r="M41" i="2"/>
  <c r="M59" i="2"/>
  <c r="M14" i="2"/>
  <c r="M29" i="2"/>
  <c r="M44" i="3"/>
  <c r="M44" i="2" s="1"/>
  <c r="M45" i="2"/>
  <c r="M61" i="3"/>
  <c r="M61" i="2" s="1"/>
  <c r="M62" i="2"/>
  <c r="M17" i="2"/>
  <c r="M28" i="2"/>
  <c r="M38" i="2"/>
  <c r="M54" i="2"/>
  <c r="M7" i="2"/>
  <c r="M42" i="2"/>
  <c r="M51" i="2"/>
  <c r="M10" i="2"/>
  <c r="M25" i="2"/>
  <c r="M48" i="2"/>
  <c r="M66" i="2"/>
  <c r="M11" i="2"/>
  <c r="M35" i="2"/>
  <c r="M50" i="2"/>
  <c r="M69" i="2"/>
  <c r="M18" i="2"/>
  <c r="M20" i="2"/>
  <c r="M49" i="2"/>
  <c r="M63" i="2"/>
  <c r="M27" i="2"/>
  <c r="M37" i="2"/>
  <c r="M53" i="2"/>
  <c r="M5" i="3"/>
  <c r="M6" i="2"/>
  <c r="M30" i="2"/>
  <c r="M46" i="2"/>
  <c r="M64" i="2"/>
  <c r="M16" i="2"/>
  <c r="M40" i="2"/>
  <c r="M58" i="2"/>
  <c r="M15" i="2"/>
  <c r="M39" i="2"/>
  <c r="M47" i="2"/>
  <c r="AR135" i="2"/>
  <c r="AR131" i="2"/>
  <c r="AR138" i="2"/>
  <c r="AR134" i="2"/>
  <c r="AR130" i="2"/>
  <c r="AR137" i="2"/>
  <c r="AR133" i="2"/>
  <c r="AR136" i="2"/>
  <c r="AR132" i="2"/>
  <c r="AR125" i="2"/>
  <c r="AR123" i="2"/>
  <c r="AR121" i="2"/>
  <c r="AR112" i="3"/>
  <c r="AR113" i="2"/>
  <c r="AR109" i="2"/>
  <c r="AR107" i="2"/>
  <c r="AR105" i="2"/>
  <c r="AR100" i="3"/>
  <c r="AR101" i="2"/>
  <c r="AR122" i="2"/>
  <c r="AR118" i="2"/>
  <c r="AR108" i="2"/>
  <c r="AR106" i="2"/>
  <c r="AR102" i="2"/>
  <c r="AR98" i="2"/>
  <c r="AR127" i="2"/>
  <c r="AR119" i="2"/>
  <c r="AR117" i="2"/>
  <c r="AR103" i="2"/>
  <c r="AR129" i="2"/>
  <c r="AR128" i="2"/>
  <c r="AR126" i="2"/>
  <c r="AR124" i="2"/>
  <c r="AR120" i="2"/>
  <c r="AR115" i="3"/>
  <c r="AR115" i="2" s="1"/>
  <c r="AR116" i="2"/>
  <c r="AR114" i="2"/>
  <c r="AR110" i="2"/>
  <c r="AR104" i="2"/>
  <c r="AR95" i="2"/>
  <c r="AR93" i="2"/>
  <c r="AR88" i="3"/>
  <c r="AR88" i="2" s="1"/>
  <c r="AR89" i="2"/>
  <c r="AR87" i="2"/>
  <c r="AR81" i="2"/>
  <c r="AR77" i="2"/>
  <c r="AR73" i="2"/>
  <c r="AR94" i="2"/>
  <c r="AR91" i="3"/>
  <c r="AR91" i="2" s="1"/>
  <c r="AR92" i="2"/>
  <c r="AR85" i="3"/>
  <c r="AR85" i="2" s="1"/>
  <c r="AR86" i="2"/>
  <c r="AR84" i="2"/>
  <c r="AR80" i="2"/>
  <c r="AR76" i="2"/>
  <c r="AR72" i="2"/>
  <c r="AR97" i="2"/>
  <c r="AR83" i="2"/>
  <c r="AR79" i="2"/>
  <c r="AR75" i="2"/>
  <c r="AR96" i="2"/>
  <c r="AR90" i="2"/>
  <c r="AR82" i="2"/>
  <c r="AR78" i="2"/>
  <c r="AR74" i="2"/>
  <c r="AR70" i="2"/>
  <c r="AR39" i="2"/>
  <c r="AR14" i="2"/>
  <c r="AR20" i="2"/>
  <c r="AR44" i="3"/>
  <c r="AR44" i="2" s="1"/>
  <c r="AR45" i="2"/>
  <c r="AR55" i="2"/>
  <c r="AR10" i="2"/>
  <c r="AR67" i="3"/>
  <c r="AR67" i="2" s="1"/>
  <c r="AR68" i="2"/>
  <c r="AR7" i="2"/>
  <c r="AR32" i="2"/>
  <c r="AR42" i="2"/>
  <c r="AR69" i="2"/>
  <c r="AR6" i="2"/>
  <c r="AR30" i="2"/>
  <c r="AR52" i="2"/>
  <c r="AR61" i="3"/>
  <c r="AR61" i="2" s="1"/>
  <c r="AR62" i="2"/>
  <c r="AR54" i="2"/>
  <c r="AR15" i="2"/>
  <c r="AR27" i="2"/>
  <c r="AR50" i="2"/>
  <c r="AR64" i="2"/>
  <c r="AR23" i="3"/>
  <c r="AR24" i="2"/>
  <c r="AR13" i="2"/>
  <c r="AR37" i="2"/>
  <c r="AR43" i="2"/>
  <c r="AR16" i="2"/>
  <c r="AR12" i="2"/>
  <c r="AR36" i="2"/>
  <c r="AR47" i="2"/>
  <c r="AR65" i="2"/>
  <c r="AR21" i="2"/>
  <c r="AR11" i="2"/>
  <c r="AR8" i="3"/>
  <c r="AR8" i="2" s="1"/>
  <c r="AR9" i="2"/>
  <c r="AR33" i="2"/>
  <c r="AR53" i="2"/>
  <c r="AR40" i="2"/>
  <c r="AR19" i="2"/>
  <c r="AR31" i="2"/>
  <c r="AR60" i="2"/>
  <c r="AR34" i="2"/>
  <c r="AR17" i="2"/>
  <c r="AR41" i="2"/>
  <c r="AR48" i="2"/>
  <c r="AR46" i="2"/>
  <c r="AR29" i="2"/>
  <c r="AR28" i="2"/>
  <c r="AR38" i="2"/>
  <c r="AR59" i="2"/>
  <c r="AR51" i="2"/>
  <c r="AR18" i="2"/>
  <c r="AR26" i="2"/>
  <c r="AR49" i="2"/>
  <c r="AR66" i="2"/>
  <c r="AR58" i="2"/>
  <c r="AR56" i="3"/>
  <c r="AR56" i="2" s="1"/>
  <c r="AR57" i="2"/>
  <c r="AR25" i="2"/>
  <c r="AR35" i="2"/>
  <c r="AR63" i="2"/>
  <c r="AM136" i="2"/>
  <c r="AM132" i="2"/>
  <c r="AM135" i="2"/>
  <c r="AM131" i="2"/>
  <c r="AM138" i="2"/>
  <c r="AM134" i="2"/>
  <c r="AM130" i="2"/>
  <c r="AM137" i="2"/>
  <c r="AM133" i="2"/>
  <c r="AM128" i="2"/>
  <c r="AM126" i="2"/>
  <c r="AM124" i="2"/>
  <c r="AM120" i="2"/>
  <c r="AM115" i="3"/>
  <c r="AM115" i="2" s="1"/>
  <c r="AM116" i="2"/>
  <c r="AM114" i="2"/>
  <c r="AM110" i="2"/>
  <c r="AM104" i="2"/>
  <c r="AM125" i="2"/>
  <c r="AM123" i="2"/>
  <c r="AM121" i="2"/>
  <c r="AM112" i="3"/>
  <c r="AM113" i="2"/>
  <c r="AM109" i="2"/>
  <c r="AM107" i="2"/>
  <c r="AM105" i="2"/>
  <c r="AM100" i="3"/>
  <c r="AM101" i="2"/>
  <c r="AM122" i="2"/>
  <c r="AM118" i="2"/>
  <c r="AM108" i="2"/>
  <c r="AM106" i="2"/>
  <c r="AM102" i="2"/>
  <c r="AM98" i="2"/>
  <c r="AM129" i="2"/>
  <c r="AM127" i="2"/>
  <c r="AM119" i="2"/>
  <c r="AM117" i="2"/>
  <c r="AM103" i="2"/>
  <c r="AM96" i="2"/>
  <c r="AM90" i="2"/>
  <c r="AM82" i="2"/>
  <c r="AM78" i="2"/>
  <c r="AM74" i="2"/>
  <c r="AM95" i="2"/>
  <c r="AM93" i="2"/>
  <c r="AM88" i="3"/>
  <c r="AM88" i="2" s="1"/>
  <c r="AM89" i="2"/>
  <c r="AM87" i="2"/>
  <c r="AM81" i="2"/>
  <c r="AM77" i="2"/>
  <c r="AM73" i="2"/>
  <c r="AM94" i="2"/>
  <c r="AM91" i="3"/>
  <c r="AM91" i="2" s="1"/>
  <c r="AM92" i="2"/>
  <c r="AM85" i="3"/>
  <c r="AM85" i="2" s="1"/>
  <c r="AM86" i="2"/>
  <c r="AM84" i="2"/>
  <c r="AM80" i="2"/>
  <c r="AM76" i="2"/>
  <c r="AM72" i="2"/>
  <c r="AM97" i="2"/>
  <c r="AM83" i="2"/>
  <c r="AM79" i="2"/>
  <c r="AM75" i="2"/>
  <c r="AM29" i="2"/>
  <c r="AM32" i="2"/>
  <c r="AM52" i="2"/>
  <c r="AM17" i="2"/>
  <c r="AM33" i="2"/>
  <c r="AM48" i="2"/>
  <c r="AM70" i="2"/>
  <c r="AM19" i="2"/>
  <c r="AM35" i="2"/>
  <c r="AM54" i="2"/>
  <c r="AM10" i="2"/>
  <c r="AM41" i="2"/>
  <c r="AM49" i="2"/>
  <c r="AM7" i="2"/>
  <c r="AM21" i="2"/>
  <c r="AM50" i="2"/>
  <c r="AM61" i="3"/>
  <c r="AM61" i="2" s="1"/>
  <c r="AM62" i="2"/>
  <c r="AM18" i="2"/>
  <c r="AM38" i="2"/>
  <c r="AM59" i="2"/>
  <c r="AM11" i="2"/>
  <c r="AM26" i="2"/>
  <c r="AM40" i="2"/>
  <c r="AM63" i="2"/>
  <c r="AM25" i="2"/>
  <c r="AM39" i="2"/>
  <c r="AM55" i="2"/>
  <c r="AM13" i="2"/>
  <c r="AM28" i="2"/>
  <c r="AM43" i="2"/>
  <c r="AM65" i="2"/>
  <c r="AM6" i="2"/>
  <c r="AM20" i="2"/>
  <c r="AM36" i="2"/>
  <c r="AM58" i="2"/>
  <c r="AM16" i="2"/>
  <c r="AM31" i="2"/>
  <c r="AM47" i="2"/>
  <c r="AM67" i="3"/>
  <c r="AM67" i="2" s="1"/>
  <c r="AM68" i="2"/>
  <c r="AM15" i="2"/>
  <c r="AM30" i="2"/>
  <c r="AM46" i="2"/>
  <c r="AM60" i="2"/>
  <c r="AM14" i="2"/>
  <c r="AM34" i="2"/>
  <c r="AM53" i="2"/>
  <c r="AM12" i="2"/>
  <c r="AM27" i="2"/>
  <c r="AM42" i="2"/>
  <c r="AM64" i="2"/>
  <c r="AM56" i="3"/>
  <c r="AM56" i="2" s="1"/>
  <c r="AM57" i="2"/>
  <c r="AM37" i="2"/>
  <c r="AM44" i="3"/>
  <c r="AM44" i="2" s="1"/>
  <c r="AM45" i="2"/>
  <c r="AM66" i="2"/>
  <c r="AM8" i="3"/>
  <c r="AM8" i="2" s="1"/>
  <c r="AM9" i="2"/>
  <c r="AM23" i="3"/>
  <c r="AM24" i="2"/>
  <c r="AM51" i="2"/>
  <c r="AM69" i="2"/>
  <c r="F119" i="2"/>
  <c r="F103" i="2"/>
  <c r="F128" i="2"/>
  <c r="F120" i="2"/>
  <c r="F104" i="2"/>
  <c r="F125" i="2"/>
  <c r="F121" i="2"/>
  <c r="F105" i="2"/>
  <c r="F100" i="3"/>
  <c r="F101" i="2"/>
  <c r="F122" i="2"/>
  <c r="F108" i="2"/>
  <c r="F106" i="2"/>
  <c r="F102" i="2"/>
  <c r="F94" i="2"/>
  <c r="F91" i="3"/>
  <c r="F91" i="2" s="1"/>
  <c r="F92" i="2"/>
  <c r="F72" i="2"/>
  <c r="F83" i="2"/>
  <c r="F130" i="2"/>
  <c r="F117" i="2"/>
  <c r="F138" i="2"/>
  <c r="F87" i="2"/>
  <c r="F133" i="2"/>
  <c r="F96" i="2"/>
  <c r="F80" i="2"/>
  <c r="F126" i="2"/>
  <c r="F75" i="2"/>
  <c r="F95" i="2"/>
  <c r="F137" i="2"/>
  <c r="F115" i="3"/>
  <c r="F115" i="2" s="1"/>
  <c r="F116" i="2"/>
  <c r="F84" i="2"/>
  <c r="F131" i="2"/>
  <c r="F79" i="2"/>
  <c r="F107" i="2"/>
  <c r="F73" i="2"/>
  <c r="F90" i="2"/>
  <c r="F135" i="2"/>
  <c r="F81" i="2"/>
  <c r="F114" i="2"/>
  <c r="F77" i="2"/>
  <c r="F97" i="2"/>
  <c r="F74" i="2"/>
  <c r="F93" i="2"/>
  <c r="F134" i="2"/>
  <c r="F118" i="2"/>
  <c r="F110" i="2"/>
  <c r="F76" i="2"/>
  <c r="F112" i="3"/>
  <c r="F113" i="2"/>
  <c r="F136" i="2"/>
  <c r="F85" i="3"/>
  <c r="F85" i="2" s="1"/>
  <c r="F86" i="2"/>
  <c r="F124" i="2"/>
  <c r="F88" i="3"/>
  <c r="F88" i="2" s="1"/>
  <c r="F89" i="2"/>
  <c r="F132" i="2"/>
  <c r="F123" i="2"/>
  <c r="F78" i="2"/>
  <c r="F98" i="2"/>
  <c r="F127" i="2"/>
  <c r="F109" i="2"/>
  <c r="F82" i="2"/>
  <c r="F129" i="2"/>
  <c r="F20" i="2"/>
  <c r="F36" i="2"/>
  <c r="F60" i="2"/>
  <c r="F56" i="3"/>
  <c r="F56" i="2" s="1"/>
  <c r="F57" i="2"/>
  <c r="F25" i="2"/>
  <c r="F43" i="2"/>
  <c r="F61" i="3"/>
  <c r="F61" i="2" s="1"/>
  <c r="F62" i="2"/>
  <c r="F11" i="2"/>
  <c r="F39" i="2"/>
  <c r="F46" i="2"/>
  <c r="F14" i="2"/>
  <c r="F34" i="2"/>
  <c r="F44" i="3"/>
  <c r="F44" i="2" s="1"/>
  <c r="F45" i="2"/>
  <c r="F63" i="2"/>
  <c r="F12" i="2"/>
  <c r="F27" i="2"/>
  <c r="F41" i="2"/>
  <c r="F59" i="2"/>
  <c r="F6" i="2"/>
  <c r="F35" i="2"/>
  <c r="F54" i="2"/>
  <c r="F30" i="2"/>
  <c r="F33" i="2"/>
  <c r="F58" i="2"/>
  <c r="F15" i="2"/>
  <c r="F32" i="2"/>
  <c r="F50" i="2"/>
  <c r="F17" i="2"/>
  <c r="F19" i="2"/>
  <c r="F52" i="2"/>
  <c r="F70" i="2"/>
  <c r="F26" i="2"/>
  <c r="F40" i="2"/>
  <c r="F55" i="2"/>
  <c r="F8" i="3"/>
  <c r="F8" i="2" s="1"/>
  <c r="F9" i="2"/>
  <c r="F23" i="3"/>
  <c r="F24" i="2"/>
  <c r="F47" i="2"/>
  <c r="F65" i="2"/>
  <c r="F7" i="2"/>
  <c r="F21" i="2"/>
  <c r="F37" i="2"/>
  <c r="F53" i="2"/>
  <c r="F18" i="2"/>
  <c r="F38" i="2"/>
  <c r="F49" i="2"/>
  <c r="F67" i="3"/>
  <c r="F67" i="2" s="1"/>
  <c r="F68" i="2"/>
  <c r="F16" i="2"/>
  <c r="F31" i="2"/>
  <c r="F42" i="2"/>
  <c r="F64" i="2"/>
  <c r="F10" i="2"/>
  <c r="F29" i="2"/>
  <c r="F48" i="2"/>
  <c r="F66" i="2"/>
  <c r="F13" i="2"/>
  <c r="F28" i="2"/>
  <c r="F51" i="2"/>
  <c r="F69" i="2"/>
  <c r="H135" i="2"/>
  <c r="H131" i="2"/>
  <c r="H138" i="2"/>
  <c r="H134" i="2"/>
  <c r="H137" i="2"/>
  <c r="H133" i="2"/>
  <c r="H136" i="2"/>
  <c r="H132" i="2"/>
  <c r="H125" i="2"/>
  <c r="H123" i="2"/>
  <c r="H121" i="2"/>
  <c r="H112" i="3"/>
  <c r="H113" i="2"/>
  <c r="H109" i="2"/>
  <c r="H107" i="2"/>
  <c r="H105" i="2"/>
  <c r="H100" i="3"/>
  <c r="H101" i="2"/>
  <c r="H130" i="2"/>
  <c r="H122" i="2"/>
  <c r="H118" i="2"/>
  <c r="H108" i="2"/>
  <c r="H106" i="2"/>
  <c r="H102" i="2"/>
  <c r="H129" i="2"/>
  <c r="H127" i="2"/>
  <c r="H119" i="2"/>
  <c r="H117" i="2"/>
  <c r="H103" i="2"/>
  <c r="H128" i="2"/>
  <c r="H126" i="2"/>
  <c r="H124" i="2"/>
  <c r="H120" i="2"/>
  <c r="H115" i="3"/>
  <c r="H115" i="2" s="1"/>
  <c r="H116" i="2"/>
  <c r="H114" i="2"/>
  <c r="H110" i="2"/>
  <c r="H104" i="2"/>
  <c r="H95" i="2"/>
  <c r="H93" i="2"/>
  <c r="H88" i="3"/>
  <c r="H88" i="2" s="1"/>
  <c r="H89" i="2"/>
  <c r="H87" i="2"/>
  <c r="H81" i="2"/>
  <c r="H77" i="2"/>
  <c r="H73" i="2"/>
  <c r="H98" i="2"/>
  <c r="H94" i="2"/>
  <c r="H91" i="3"/>
  <c r="H91" i="2" s="1"/>
  <c r="H92" i="2"/>
  <c r="H85" i="3"/>
  <c r="H85" i="2" s="1"/>
  <c r="H86" i="2"/>
  <c r="H84" i="2"/>
  <c r="H80" i="2"/>
  <c r="H76" i="2"/>
  <c r="H72" i="2"/>
  <c r="H97" i="2"/>
  <c r="H83" i="2"/>
  <c r="H79" i="2"/>
  <c r="H75" i="2"/>
  <c r="H96" i="2"/>
  <c r="H90" i="2"/>
  <c r="H82" i="2"/>
  <c r="H78" i="2"/>
  <c r="H74" i="2"/>
  <c r="H8" i="3"/>
  <c r="H8" i="2" s="1"/>
  <c r="H9" i="2"/>
  <c r="H33" i="2"/>
  <c r="H43" i="2"/>
  <c r="H5" i="3"/>
  <c r="H6" i="2"/>
  <c r="H30" i="2"/>
  <c r="H53" i="2"/>
  <c r="H61" i="3"/>
  <c r="H61" i="2" s="1"/>
  <c r="H62" i="2"/>
  <c r="H16" i="2"/>
  <c r="H36" i="2"/>
  <c r="H47" i="2"/>
  <c r="H70" i="2"/>
  <c r="H15" i="2"/>
  <c r="H27" i="2"/>
  <c r="H50" i="2"/>
  <c r="H64" i="2"/>
  <c r="H28" i="2"/>
  <c r="H38" i="2"/>
  <c r="H67" i="3"/>
  <c r="H67" i="2" s="1"/>
  <c r="H68" i="2"/>
  <c r="H12" i="2"/>
  <c r="H32" i="2"/>
  <c r="H42" i="2"/>
  <c r="H65" i="2"/>
  <c r="H17" i="2"/>
  <c r="H41" i="2"/>
  <c r="H58" i="2"/>
  <c r="H19" i="2"/>
  <c r="H40" i="2"/>
  <c r="H51" i="2"/>
  <c r="H18" i="2"/>
  <c r="H26" i="2"/>
  <c r="H49" i="2"/>
  <c r="H63" i="2"/>
  <c r="H13" i="2"/>
  <c r="H37" i="2"/>
  <c r="H48" i="2"/>
  <c r="H10" i="2"/>
  <c r="H29" i="2"/>
  <c r="H39" i="2"/>
  <c r="H60" i="2"/>
  <c r="H23" i="3"/>
  <c r="H24" i="2"/>
  <c r="H34" i="2"/>
  <c r="H59" i="2"/>
  <c r="H7" i="2"/>
  <c r="H31" i="2"/>
  <c r="H52" i="2"/>
  <c r="H69" i="2"/>
  <c r="H56" i="3"/>
  <c r="H56" i="2" s="1"/>
  <c r="H57" i="2"/>
  <c r="H25" i="2"/>
  <c r="H35" i="2"/>
  <c r="H54" i="2"/>
  <c r="H11" i="2"/>
  <c r="H21" i="2"/>
  <c r="H46" i="2"/>
  <c r="H66" i="2"/>
  <c r="H14" i="2"/>
  <c r="H20" i="2"/>
  <c r="H44" i="3"/>
  <c r="H44" i="2" s="1"/>
  <c r="H45" i="2"/>
  <c r="H55" i="2"/>
  <c r="BJ137" i="2"/>
  <c r="BJ133" i="2"/>
  <c r="BJ129" i="2"/>
  <c r="BJ136" i="2"/>
  <c r="BJ132" i="2"/>
  <c r="BJ135" i="2"/>
  <c r="BJ131" i="2"/>
  <c r="BJ138" i="2"/>
  <c r="BJ134" i="2"/>
  <c r="BJ130" i="2"/>
  <c r="BJ127" i="2"/>
  <c r="BJ119" i="2"/>
  <c r="BJ117" i="2"/>
  <c r="BJ103" i="2"/>
  <c r="BJ128" i="2"/>
  <c r="BJ126" i="2"/>
  <c r="BJ124" i="2"/>
  <c r="BJ120" i="2"/>
  <c r="BJ115" i="3"/>
  <c r="BJ115" i="2" s="1"/>
  <c r="BJ116" i="2"/>
  <c r="BJ114" i="2"/>
  <c r="BJ110" i="2"/>
  <c r="BJ104" i="2"/>
  <c r="BJ125" i="2"/>
  <c r="BJ123" i="2"/>
  <c r="BJ121" i="2"/>
  <c r="BJ112" i="3"/>
  <c r="BJ113" i="2"/>
  <c r="BJ109" i="2"/>
  <c r="BJ107" i="2"/>
  <c r="BJ105" i="2"/>
  <c r="BJ100" i="3"/>
  <c r="BJ101" i="2"/>
  <c r="BJ122" i="2"/>
  <c r="BJ118" i="2"/>
  <c r="BJ108" i="2"/>
  <c r="BJ106" i="2"/>
  <c r="BJ102" i="2"/>
  <c r="BJ98" i="2"/>
  <c r="BJ97" i="2"/>
  <c r="BJ83" i="2"/>
  <c r="BJ79" i="2"/>
  <c r="BJ75" i="2"/>
  <c r="BJ96" i="2"/>
  <c r="BJ90" i="2"/>
  <c r="BJ82" i="2"/>
  <c r="BJ78" i="2"/>
  <c r="BJ74" i="2"/>
  <c r="BJ95" i="2"/>
  <c r="BJ93" i="2"/>
  <c r="BJ88" i="3"/>
  <c r="BJ88" i="2" s="1"/>
  <c r="BJ89" i="2"/>
  <c r="BJ87" i="2"/>
  <c r="BJ81" i="2"/>
  <c r="BJ77" i="2"/>
  <c r="BJ73" i="2"/>
  <c r="BJ94" i="2"/>
  <c r="BJ91" i="3"/>
  <c r="BJ91" i="2" s="1"/>
  <c r="BJ92" i="2"/>
  <c r="BJ85" i="3"/>
  <c r="BJ85" i="2" s="1"/>
  <c r="BJ86" i="2"/>
  <c r="BJ84" i="2"/>
  <c r="BJ80" i="2"/>
  <c r="BJ76" i="2"/>
  <c r="BJ72" i="2"/>
  <c r="BJ20" i="2"/>
  <c r="BJ36" i="2"/>
  <c r="BJ69" i="2"/>
  <c r="BJ56" i="3"/>
  <c r="BJ56" i="2" s="1"/>
  <c r="BJ57" i="2"/>
  <c r="BJ25" i="2"/>
  <c r="BJ48" i="2"/>
  <c r="BJ61" i="3"/>
  <c r="BJ61" i="2" s="1"/>
  <c r="BJ62" i="2"/>
  <c r="BJ11" i="2"/>
  <c r="BJ39" i="2"/>
  <c r="BJ50" i="2"/>
  <c r="BJ14" i="2"/>
  <c r="BJ34" i="2"/>
  <c r="BJ49" i="2"/>
  <c r="BJ63" i="2"/>
  <c r="BJ12" i="2"/>
  <c r="BJ21" i="2"/>
  <c r="BJ37" i="2"/>
  <c r="BJ59" i="2"/>
  <c r="BJ6" i="2"/>
  <c r="BJ35" i="2"/>
  <c r="BJ46" i="2"/>
  <c r="BJ30" i="2"/>
  <c r="BJ41" i="2"/>
  <c r="BJ58" i="2"/>
  <c r="BJ15" i="2"/>
  <c r="BJ32" i="2"/>
  <c r="BJ54" i="2"/>
  <c r="BJ17" i="2"/>
  <c r="BJ19" i="2"/>
  <c r="BJ43" i="2"/>
  <c r="BJ70" i="2"/>
  <c r="BJ26" i="2"/>
  <c r="BJ40" i="2"/>
  <c r="BJ55" i="2"/>
  <c r="BJ8" i="3"/>
  <c r="BJ8" i="2" s="1"/>
  <c r="BJ9" i="2"/>
  <c r="BJ23" i="3"/>
  <c r="BJ24" i="2"/>
  <c r="BJ47" i="2"/>
  <c r="BJ64" i="2"/>
  <c r="BJ7" i="2"/>
  <c r="BJ31" i="2"/>
  <c r="BJ33" i="2"/>
  <c r="BJ53" i="2"/>
  <c r="BJ18" i="2"/>
  <c r="BJ38" i="2"/>
  <c r="BJ52" i="2"/>
  <c r="BJ67" i="3"/>
  <c r="BJ67" i="2" s="1"/>
  <c r="BJ68" i="2"/>
  <c r="BJ16" i="2"/>
  <c r="BJ27" i="2"/>
  <c r="BJ42" i="2"/>
  <c r="BJ60" i="2"/>
  <c r="BJ10" i="2"/>
  <c r="BJ29" i="2"/>
  <c r="BJ44" i="3"/>
  <c r="BJ44" i="2" s="1"/>
  <c r="BJ45" i="2"/>
  <c r="BJ66" i="2"/>
  <c r="BJ13" i="2"/>
  <c r="BJ28" i="2"/>
  <c r="BJ51" i="2"/>
  <c r="BJ65" i="2"/>
  <c r="BF137" i="2"/>
  <c r="BF133" i="2"/>
  <c r="BF129" i="2"/>
  <c r="BF136" i="2"/>
  <c r="BF132" i="2"/>
  <c r="BF135" i="2"/>
  <c r="BF131" i="2"/>
  <c r="BF138" i="2"/>
  <c r="BF134" i="2"/>
  <c r="BF130" i="2"/>
  <c r="BF127" i="2"/>
  <c r="BF119" i="2"/>
  <c r="BF117" i="2"/>
  <c r="BF103" i="2"/>
  <c r="BF128" i="2"/>
  <c r="BF126" i="2"/>
  <c r="BF124" i="2"/>
  <c r="BF120" i="2"/>
  <c r="BF115" i="3"/>
  <c r="BF115" i="2" s="1"/>
  <c r="BF116" i="2"/>
  <c r="BF114" i="2"/>
  <c r="BF110" i="2"/>
  <c r="BF104" i="2"/>
  <c r="BF125" i="2"/>
  <c r="BF123" i="2"/>
  <c r="BF121" i="2"/>
  <c r="BF112" i="3"/>
  <c r="BF113" i="2"/>
  <c r="BF109" i="2"/>
  <c r="BF107" i="2"/>
  <c r="BF105" i="2"/>
  <c r="BF100" i="3"/>
  <c r="BF101" i="2"/>
  <c r="BF122" i="2"/>
  <c r="BF118" i="2"/>
  <c r="BF108" i="2"/>
  <c r="BF106" i="2"/>
  <c r="BF102" i="2"/>
  <c r="BF98" i="2"/>
  <c r="BF97" i="2"/>
  <c r="BF83" i="2"/>
  <c r="BF79" i="2"/>
  <c r="BF75" i="2"/>
  <c r="BF96" i="2"/>
  <c r="BF90" i="2"/>
  <c r="BF82" i="2"/>
  <c r="BF78" i="2"/>
  <c r="BF74" i="2"/>
  <c r="BF95" i="2"/>
  <c r="BF93" i="2"/>
  <c r="BF88" i="3"/>
  <c r="BF88" i="2" s="1"/>
  <c r="BF89" i="2"/>
  <c r="BF87" i="2"/>
  <c r="BF81" i="2"/>
  <c r="BF77" i="2"/>
  <c r="BF73" i="2"/>
  <c r="BF94" i="2"/>
  <c r="BF91" i="3"/>
  <c r="BF91" i="2" s="1"/>
  <c r="BF92" i="2"/>
  <c r="BF85" i="3"/>
  <c r="BF85" i="2" s="1"/>
  <c r="BF86" i="2"/>
  <c r="BF84" i="2"/>
  <c r="BF80" i="2"/>
  <c r="BF76" i="2"/>
  <c r="BF72" i="2"/>
  <c r="BF18" i="2"/>
  <c r="BF38" i="2"/>
  <c r="BF46" i="2"/>
  <c r="BF67" i="3"/>
  <c r="BF67" i="2" s="1"/>
  <c r="BF68" i="2"/>
  <c r="BF16" i="2"/>
  <c r="BF23" i="3"/>
  <c r="BF24" i="2"/>
  <c r="BF42" i="2"/>
  <c r="BF60" i="2"/>
  <c r="BF10" i="2"/>
  <c r="BF29" i="2"/>
  <c r="BF44" i="3"/>
  <c r="BF44" i="2" s="1"/>
  <c r="BF45" i="2"/>
  <c r="BF66" i="2"/>
  <c r="BF13" i="2"/>
  <c r="BF31" i="2"/>
  <c r="BF51" i="2"/>
  <c r="BF69" i="2"/>
  <c r="BF20" i="2"/>
  <c r="BF36" i="2"/>
  <c r="BF55" i="2"/>
  <c r="BF56" i="3"/>
  <c r="BF56" i="2" s="1"/>
  <c r="BF57" i="2"/>
  <c r="BF25" i="2"/>
  <c r="BF48" i="2"/>
  <c r="BF61" i="3"/>
  <c r="BF61" i="2" s="1"/>
  <c r="BF62" i="2"/>
  <c r="BF11" i="2"/>
  <c r="BF39" i="2"/>
  <c r="BF52" i="2"/>
  <c r="BF14" i="2"/>
  <c r="BF34" i="2"/>
  <c r="BF49" i="2"/>
  <c r="BF63" i="2"/>
  <c r="BF12" i="2"/>
  <c r="BF27" i="2"/>
  <c r="BF41" i="2"/>
  <c r="BF65" i="2"/>
  <c r="BF6" i="2"/>
  <c r="BF35" i="2"/>
  <c r="BF50" i="2"/>
  <c r="BF30" i="2"/>
  <c r="BF33" i="2"/>
  <c r="BF53" i="2"/>
  <c r="BF15" i="2"/>
  <c r="BF32" i="2"/>
  <c r="BF54" i="2"/>
  <c r="BF17" i="2"/>
  <c r="BF19" i="2"/>
  <c r="BF43" i="2"/>
  <c r="BF70" i="2"/>
  <c r="BF26" i="2"/>
  <c r="BF40" i="2"/>
  <c r="BF58" i="2"/>
  <c r="BF8" i="3"/>
  <c r="BF8" i="2" s="1"/>
  <c r="BF9" i="2"/>
  <c r="BF28" i="2"/>
  <c r="BF47" i="2"/>
  <c r="BF64" i="2"/>
  <c r="BF7" i="2"/>
  <c r="BF21" i="2"/>
  <c r="BF37" i="2"/>
  <c r="BF59" i="2"/>
  <c r="AZ135" i="2"/>
  <c r="AZ131" i="2"/>
  <c r="AZ138" i="2"/>
  <c r="AZ134" i="2"/>
  <c r="AZ130" i="2"/>
  <c r="AZ137" i="2"/>
  <c r="AZ133" i="2"/>
  <c r="AZ136" i="2"/>
  <c r="AZ132" i="2"/>
  <c r="AZ125" i="2"/>
  <c r="AZ123" i="2"/>
  <c r="AZ121" i="2"/>
  <c r="AZ112" i="3"/>
  <c r="AZ113" i="2"/>
  <c r="AZ109" i="2"/>
  <c r="AZ107" i="2"/>
  <c r="AZ105" i="2"/>
  <c r="AZ100" i="3"/>
  <c r="AZ101" i="2"/>
  <c r="AZ122" i="2"/>
  <c r="AZ118" i="2"/>
  <c r="AZ108" i="2"/>
  <c r="AZ106" i="2"/>
  <c r="AZ102" i="2"/>
  <c r="AZ98" i="2"/>
  <c r="AZ127" i="2"/>
  <c r="AZ119" i="2"/>
  <c r="AZ117" i="2"/>
  <c r="AZ103" i="2"/>
  <c r="AZ129" i="2"/>
  <c r="AZ128" i="2"/>
  <c r="AZ126" i="2"/>
  <c r="AZ124" i="2"/>
  <c r="AZ120" i="2"/>
  <c r="AZ115" i="3"/>
  <c r="AZ115" i="2" s="1"/>
  <c r="AZ116" i="2"/>
  <c r="AZ114" i="2"/>
  <c r="AZ110" i="2"/>
  <c r="AZ104" i="2"/>
  <c r="AZ95" i="2"/>
  <c r="AZ93" i="2"/>
  <c r="AZ88" i="3"/>
  <c r="AZ88" i="2" s="1"/>
  <c r="AZ89" i="2"/>
  <c r="AZ87" i="2"/>
  <c r="AZ81" i="2"/>
  <c r="AZ77" i="2"/>
  <c r="AZ73" i="2"/>
  <c r="AZ94" i="2"/>
  <c r="AZ91" i="3"/>
  <c r="AZ91" i="2" s="1"/>
  <c r="AZ92" i="2"/>
  <c r="AZ85" i="3"/>
  <c r="AZ85" i="2" s="1"/>
  <c r="AZ86" i="2"/>
  <c r="AZ84" i="2"/>
  <c r="AZ80" i="2"/>
  <c r="AZ76" i="2"/>
  <c r="AZ72" i="2"/>
  <c r="AZ97" i="2"/>
  <c r="AZ83" i="2"/>
  <c r="AZ79" i="2"/>
  <c r="AZ75" i="2"/>
  <c r="AZ96" i="2"/>
  <c r="AZ90" i="2"/>
  <c r="AZ82" i="2"/>
  <c r="AZ78" i="2"/>
  <c r="AZ74" i="2"/>
  <c r="AZ23" i="3"/>
  <c r="AZ24" i="2"/>
  <c r="AZ34" i="2"/>
  <c r="AZ58" i="2"/>
  <c r="AZ15" i="2"/>
  <c r="AZ27" i="2"/>
  <c r="AZ42" i="2"/>
  <c r="AZ64" i="2"/>
  <c r="AZ13" i="2"/>
  <c r="AZ37" i="2"/>
  <c r="AZ43" i="2"/>
  <c r="AZ12" i="2"/>
  <c r="AZ36" i="2"/>
  <c r="AZ51" i="2"/>
  <c r="AZ65" i="2"/>
  <c r="AZ10" i="2"/>
  <c r="AZ29" i="2"/>
  <c r="AZ39" i="2"/>
  <c r="AZ63" i="2"/>
  <c r="AZ8" i="3"/>
  <c r="AZ8" i="2" s="1"/>
  <c r="AZ9" i="2"/>
  <c r="AZ33" i="2"/>
  <c r="AZ53" i="2"/>
  <c r="AZ19" i="2"/>
  <c r="AZ31" i="2"/>
  <c r="AZ60" i="2"/>
  <c r="AZ17" i="2"/>
  <c r="AZ41" i="2"/>
  <c r="AZ48" i="2"/>
  <c r="AZ11" i="2"/>
  <c r="AZ21" i="2"/>
  <c r="AZ50" i="2"/>
  <c r="AZ61" i="3"/>
  <c r="AZ61" i="2" s="1"/>
  <c r="AZ62" i="2"/>
  <c r="AZ28" i="2"/>
  <c r="AZ38" i="2"/>
  <c r="AZ59" i="2"/>
  <c r="AZ18" i="2"/>
  <c r="AZ26" i="2"/>
  <c r="AZ49" i="2"/>
  <c r="AZ66" i="2"/>
  <c r="AZ56" i="3"/>
  <c r="AZ56" i="2" s="1"/>
  <c r="AZ57" i="2"/>
  <c r="AZ25" i="2"/>
  <c r="AZ35" i="2"/>
  <c r="AZ54" i="2"/>
  <c r="AZ16" i="2"/>
  <c r="AZ40" i="2"/>
  <c r="AZ52" i="2"/>
  <c r="AZ70" i="2"/>
  <c r="AZ14" i="2"/>
  <c r="AZ20" i="2"/>
  <c r="AZ44" i="3"/>
  <c r="AZ44" i="2" s="1"/>
  <c r="AZ45" i="2"/>
  <c r="AZ55" i="2"/>
  <c r="AZ7" i="2"/>
  <c r="AZ32" i="2"/>
  <c r="AZ47" i="2"/>
  <c r="AZ69" i="2"/>
  <c r="AZ5" i="3"/>
  <c r="AZ6" i="2"/>
  <c r="AZ30" i="2"/>
  <c r="AZ46" i="2"/>
  <c r="AZ67" i="3"/>
  <c r="AZ67" i="2" s="1"/>
  <c r="AZ68" i="2"/>
  <c r="AU136" i="2"/>
  <c r="AU132" i="2"/>
  <c r="AU135" i="2"/>
  <c r="AU131" i="2"/>
  <c r="AU138" i="2"/>
  <c r="AU134" i="2"/>
  <c r="AU130" i="2"/>
  <c r="AU137" i="2"/>
  <c r="AU133" i="2"/>
  <c r="AU129" i="2"/>
  <c r="AU128" i="2"/>
  <c r="AU126" i="2"/>
  <c r="AU124" i="2"/>
  <c r="AU120" i="2"/>
  <c r="AU115" i="3"/>
  <c r="AU115" i="2" s="1"/>
  <c r="AU116" i="2"/>
  <c r="AU114" i="2"/>
  <c r="AU110" i="2"/>
  <c r="AU104" i="2"/>
  <c r="AU125" i="2"/>
  <c r="AU123" i="2"/>
  <c r="AU121" i="2"/>
  <c r="AU112" i="3"/>
  <c r="AU113" i="2"/>
  <c r="AU109" i="2"/>
  <c r="AU107" i="2"/>
  <c r="AU105" i="2"/>
  <c r="AU100" i="3"/>
  <c r="AU101" i="2"/>
  <c r="AU122" i="2"/>
  <c r="AU118" i="2"/>
  <c r="AU108" i="2"/>
  <c r="AU106" i="2"/>
  <c r="AU102" i="2"/>
  <c r="AU98" i="2"/>
  <c r="AU127" i="2"/>
  <c r="AU119" i="2"/>
  <c r="AU117" i="2"/>
  <c r="AU103" i="2"/>
  <c r="AU96" i="2"/>
  <c r="AU90" i="2"/>
  <c r="AU82" i="2"/>
  <c r="AU78" i="2"/>
  <c r="AU74" i="2"/>
  <c r="AU95" i="2"/>
  <c r="AU93" i="2"/>
  <c r="AU88" i="3"/>
  <c r="AU88" i="2" s="1"/>
  <c r="AU89" i="2"/>
  <c r="AU87" i="2"/>
  <c r="AU81" i="2"/>
  <c r="AU77" i="2"/>
  <c r="AU73" i="2"/>
  <c r="AU94" i="2"/>
  <c r="AU91" i="3"/>
  <c r="AU91" i="2" s="1"/>
  <c r="AU92" i="2"/>
  <c r="AU85" i="3"/>
  <c r="AU85" i="2" s="1"/>
  <c r="AU86" i="2"/>
  <c r="AU84" i="2"/>
  <c r="AU80" i="2"/>
  <c r="AU76" i="2"/>
  <c r="AU72" i="2"/>
  <c r="AU97" i="2"/>
  <c r="AU83" i="2"/>
  <c r="AU79" i="2"/>
  <c r="AU75" i="2"/>
  <c r="AU11" i="2"/>
  <c r="AU20" i="2"/>
  <c r="AU40" i="2"/>
  <c r="AU58" i="2"/>
  <c r="AU10" i="2"/>
  <c r="AU41" i="2"/>
  <c r="AU49" i="2"/>
  <c r="AU29" i="2"/>
  <c r="AU32" i="2"/>
  <c r="AU55" i="2"/>
  <c r="AU18" i="2"/>
  <c r="AU38" i="2"/>
  <c r="AU59" i="2"/>
  <c r="AU16" i="2"/>
  <c r="AU27" i="2"/>
  <c r="AU47" i="2"/>
  <c r="AU67" i="3"/>
  <c r="AU67" i="2" s="1"/>
  <c r="AU68" i="2"/>
  <c r="AU25" i="2"/>
  <c r="AU39" i="2"/>
  <c r="AU61" i="3"/>
  <c r="AU61" i="2" s="1"/>
  <c r="AU62" i="2"/>
  <c r="AU7" i="2"/>
  <c r="AU30" i="2"/>
  <c r="AU50" i="2"/>
  <c r="AU60" i="2"/>
  <c r="AU6" i="2"/>
  <c r="AU31" i="2"/>
  <c r="AU36" i="2"/>
  <c r="AU52" i="2"/>
  <c r="AU56" i="3"/>
  <c r="AU56" i="2" s="1"/>
  <c r="AU57" i="2"/>
  <c r="AU37" i="2"/>
  <c r="AU44" i="3"/>
  <c r="AU44" i="2" s="1"/>
  <c r="AU45" i="2"/>
  <c r="AU66" i="2"/>
  <c r="AU15" i="2"/>
  <c r="AU26" i="2"/>
  <c r="AU46" i="2"/>
  <c r="AU63" i="2"/>
  <c r="AU13" i="2"/>
  <c r="AU28" i="2"/>
  <c r="AU43" i="2"/>
  <c r="AU65" i="2"/>
  <c r="AU12" i="2"/>
  <c r="AU21" i="2"/>
  <c r="AU42" i="2"/>
  <c r="AU64" i="2"/>
  <c r="AU19" i="2"/>
  <c r="AU35" i="2"/>
  <c r="AU54" i="2"/>
  <c r="AU8" i="3"/>
  <c r="AU8" i="2" s="1"/>
  <c r="AU9" i="2"/>
  <c r="AU23" i="3"/>
  <c r="AU24" i="2"/>
  <c r="AU51" i="2"/>
  <c r="AU69" i="2"/>
  <c r="AU14" i="2"/>
  <c r="AU34" i="2"/>
  <c r="AU53" i="2"/>
  <c r="AU17" i="2"/>
  <c r="AU33" i="2"/>
  <c r="AU48" i="2"/>
  <c r="AU70" i="2"/>
  <c r="V137" i="2"/>
  <c r="V133" i="2"/>
  <c r="V136" i="2"/>
  <c r="V132" i="2"/>
  <c r="V135" i="2"/>
  <c r="V131" i="2"/>
  <c r="V138" i="2"/>
  <c r="V134" i="2"/>
  <c r="V130" i="2"/>
  <c r="V129" i="2"/>
  <c r="V127" i="2"/>
  <c r="V119" i="2"/>
  <c r="V117" i="2"/>
  <c r="V103" i="2"/>
  <c r="V128" i="2"/>
  <c r="V126" i="2"/>
  <c r="V124" i="2"/>
  <c r="V120" i="2"/>
  <c r="V115" i="3"/>
  <c r="V115" i="2" s="1"/>
  <c r="V116" i="2"/>
  <c r="V114" i="2"/>
  <c r="V110" i="2"/>
  <c r="V104" i="2"/>
  <c r="V125" i="2"/>
  <c r="V123" i="2"/>
  <c r="V121" i="2"/>
  <c r="V112" i="3"/>
  <c r="V113" i="2"/>
  <c r="V109" i="2"/>
  <c r="V107" i="2"/>
  <c r="V105" i="2"/>
  <c r="V100" i="3"/>
  <c r="V101" i="2"/>
  <c r="V122" i="2"/>
  <c r="V118" i="2"/>
  <c r="V108" i="2"/>
  <c r="V106" i="2"/>
  <c r="V102" i="2"/>
  <c r="V97" i="2"/>
  <c r="V83" i="2"/>
  <c r="V79" i="2"/>
  <c r="V75" i="2"/>
  <c r="V96" i="2"/>
  <c r="V90" i="2"/>
  <c r="V82" i="2"/>
  <c r="V78" i="2"/>
  <c r="V74" i="2"/>
  <c r="V95" i="2"/>
  <c r="V93" i="2"/>
  <c r="V88" i="3"/>
  <c r="V88" i="2" s="1"/>
  <c r="V89" i="2"/>
  <c r="V87" i="2"/>
  <c r="V81" i="2"/>
  <c r="V77" i="2"/>
  <c r="V73" i="2"/>
  <c r="V98" i="2"/>
  <c r="V94" i="2"/>
  <c r="V91" i="3"/>
  <c r="V91" i="2" s="1"/>
  <c r="V92" i="2"/>
  <c r="V85" i="3"/>
  <c r="V85" i="2" s="1"/>
  <c r="V86" i="2"/>
  <c r="V84" i="2"/>
  <c r="V80" i="2"/>
  <c r="V76" i="2"/>
  <c r="V72" i="2"/>
  <c r="V8" i="3"/>
  <c r="V8" i="2" s="1"/>
  <c r="V9" i="2"/>
  <c r="V23" i="3"/>
  <c r="V24" i="2"/>
  <c r="V47" i="2"/>
  <c r="V65" i="2"/>
  <c r="V15" i="2"/>
  <c r="V32" i="2"/>
  <c r="V50" i="2"/>
  <c r="V12" i="2"/>
  <c r="V27" i="2"/>
  <c r="V41" i="2"/>
  <c r="V60" i="2"/>
  <c r="V26" i="2"/>
  <c r="V40" i="2"/>
  <c r="V58" i="2"/>
  <c r="V10" i="2"/>
  <c r="V29" i="2"/>
  <c r="V48" i="2"/>
  <c r="V66" i="2"/>
  <c r="V7" i="2"/>
  <c r="V21" i="2"/>
  <c r="V37" i="2"/>
  <c r="V59" i="2"/>
  <c r="V17" i="2"/>
  <c r="V19" i="2"/>
  <c r="V52" i="2"/>
  <c r="V70" i="2"/>
  <c r="V16" i="2"/>
  <c r="V31" i="2"/>
  <c r="V42" i="2"/>
  <c r="V64" i="2"/>
  <c r="V11" i="2"/>
  <c r="V39" i="2"/>
  <c r="V46" i="2"/>
  <c r="V13" i="2"/>
  <c r="V28" i="2"/>
  <c r="V51" i="2"/>
  <c r="V69" i="2"/>
  <c r="V18" i="2"/>
  <c r="V38" i="2"/>
  <c r="V49" i="2"/>
  <c r="V67" i="3"/>
  <c r="V67" i="2" s="1"/>
  <c r="V68" i="2"/>
  <c r="V56" i="3"/>
  <c r="V56" i="2" s="1"/>
  <c r="V57" i="2"/>
  <c r="V25" i="2"/>
  <c r="V43" i="2"/>
  <c r="V61" i="3"/>
  <c r="V61" i="2" s="1"/>
  <c r="V62" i="2"/>
  <c r="V30" i="2"/>
  <c r="V33" i="2"/>
  <c r="V53" i="2"/>
  <c r="V14" i="2"/>
  <c r="V34" i="2"/>
  <c r="V44" i="3"/>
  <c r="V44" i="2" s="1"/>
  <c r="V45" i="2"/>
  <c r="V63" i="2"/>
  <c r="V20" i="2"/>
  <c r="V36" i="2"/>
  <c r="V55" i="2"/>
  <c r="V5" i="3"/>
  <c r="V6" i="2"/>
  <c r="V35" i="2"/>
  <c r="V54" i="2"/>
  <c r="BM138" i="2"/>
  <c r="BM134" i="2"/>
  <c r="BM130" i="2"/>
  <c r="BM137" i="2"/>
  <c r="BM133" i="2"/>
  <c r="BM136" i="2"/>
  <c r="BM132" i="2"/>
  <c r="BM135" i="2"/>
  <c r="BM131" i="2"/>
  <c r="BM129" i="2"/>
  <c r="BM122" i="2"/>
  <c r="BM118" i="2"/>
  <c r="BM108" i="2"/>
  <c r="BM106" i="2"/>
  <c r="BM102" i="2"/>
  <c r="BM98" i="2"/>
  <c r="BM127" i="2"/>
  <c r="BM119" i="2"/>
  <c r="BM117" i="2"/>
  <c r="BM103" i="2"/>
  <c r="BM128" i="2"/>
  <c r="BM126" i="2"/>
  <c r="BM124" i="2"/>
  <c r="BM120" i="2"/>
  <c r="BM115" i="3"/>
  <c r="BM115" i="2" s="1"/>
  <c r="BM116" i="2"/>
  <c r="BM114" i="2"/>
  <c r="BM110" i="2"/>
  <c r="BM104" i="2"/>
  <c r="BM125" i="2"/>
  <c r="BM123" i="2"/>
  <c r="BM121" i="2"/>
  <c r="BM112" i="3"/>
  <c r="BM113" i="2"/>
  <c r="BM109" i="2"/>
  <c r="BM107" i="2"/>
  <c r="BM105" i="2"/>
  <c r="BM100" i="3"/>
  <c r="BM101" i="2"/>
  <c r="BM94" i="2"/>
  <c r="BM91" i="3"/>
  <c r="BM91" i="2" s="1"/>
  <c r="BM92" i="2"/>
  <c r="BM85" i="3"/>
  <c r="BM85" i="2" s="1"/>
  <c r="BM86" i="2"/>
  <c r="BM84" i="2"/>
  <c r="BM80" i="2"/>
  <c r="BM76" i="2"/>
  <c r="BM72" i="2"/>
  <c r="BM97" i="2"/>
  <c r="BM83" i="2"/>
  <c r="BM79" i="2"/>
  <c r="BM75" i="2"/>
  <c r="BM96" i="2"/>
  <c r="BM90" i="2"/>
  <c r="BM82" i="2"/>
  <c r="BM78" i="2"/>
  <c r="BM74" i="2"/>
  <c r="BM95" i="2"/>
  <c r="BM93" i="2"/>
  <c r="BM88" i="3"/>
  <c r="BM88" i="2" s="1"/>
  <c r="BM89" i="2"/>
  <c r="BM87" i="2"/>
  <c r="BM81" i="2"/>
  <c r="BM77" i="2"/>
  <c r="BM73" i="2"/>
  <c r="BM6" i="2"/>
  <c r="BM30" i="2"/>
  <c r="BM46" i="2"/>
  <c r="BM67" i="3"/>
  <c r="BM67" i="2" s="1"/>
  <c r="BM68" i="2"/>
  <c r="BM8" i="3"/>
  <c r="BM8" i="2" s="1"/>
  <c r="BM9" i="2"/>
  <c r="BM28" i="2"/>
  <c r="BM34" i="2"/>
  <c r="BM53" i="2"/>
  <c r="BM14" i="2"/>
  <c r="BM20" i="2"/>
  <c r="BM44" i="3"/>
  <c r="BM44" i="2" s="1"/>
  <c r="BM45" i="2"/>
  <c r="BM65" i="2"/>
  <c r="BM17" i="2"/>
  <c r="BM25" i="2"/>
  <c r="BM43" i="2"/>
  <c r="BM54" i="2"/>
  <c r="BM12" i="2"/>
  <c r="BM41" i="2"/>
  <c r="BM51" i="2"/>
  <c r="BM10" i="2"/>
  <c r="BM32" i="2"/>
  <c r="BM52" i="2"/>
  <c r="BM61" i="3"/>
  <c r="BM61" i="2" s="1"/>
  <c r="BM62" i="2"/>
  <c r="BM15" i="2"/>
  <c r="BM35" i="2"/>
  <c r="BM42" i="2"/>
  <c r="BM69" i="2"/>
  <c r="BM18" i="2"/>
  <c r="BM26" i="2"/>
  <c r="BM49" i="2"/>
  <c r="BM63" i="2"/>
  <c r="BM23" i="3"/>
  <c r="BM24" i="2"/>
  <c r="BM37" i="2"/>
  <c r="BM58" i="2"/>
  <c r="BM11" i="2"/>
  <c r="BM31" i="2"/>
  <c r="BM50" i="2"/>
  <c r="BM64" i="2"/>
  <c r="BM21" i="2"/>
  <c r="BM40" i="2"/>
  <c r="BM60" i="2"/>
  <c r="BM7" i="2"/>
  <c r="BM39" i="2"/>
  <c r="BM47" i="2"/>
  <c r="BM56" i="3"/>
  <c r="BM56" i="2" s="1"/>
  <c r="BM57" i="2"/>
  <c r="BM29" i="2"/>
  <c r="BM48" i="2"/>
  <c r="BM70" i="2"/>
  <c r="BM16" i="2"/>
  <c r="BM36" i="2"/>
  <c r="BM55" i="2"/>
  <c r="BM13" i="2"/>
  <c r="BM19" i="2"/>
  <c r="BM38" i="2"/>
  <c r="BM59" i="2"/>
  <c r="BM27" i="2"/>
  <c r="BM33" i="2"/>
  <c r="BM66" i="2"/>
  <c r="AO138" i="2"/>
  <c r="AO134" i="2"/>
  <c r="AO130" i="2"/>
  <c r="AO137" i="2"/>
  <c r="AO133" i="2"/>
  <c r="AO136" i="2"/>
  <c r="AO132" i="2"/>
  <c r="AO135" i="2"/>
  <c r="AO131" i="2"/>
  <c r="AO122" i="2"/>
  <c r="AO118" i="2"/>
  <c r="AO108" i="2"/>
  <c r="AO106" i="2"/>
  <c r="AO102" i="2"/>
  <c r="AO98" i="2"/>
  <c r="AO129" i="2"/>
  <c r="AO127" i="2"/>
  <c r="AO119" i="2"/>
  <c r="AO117" i="2"/>
  <c r="AO103" i="2"/>
  <c r="AO128" i="2"/>
  <c r="AO126" i="2"/>
  <c r="AO124" i="2"/>
  <c r="AO120" i="2"/>
  <c r="AO115" i="3"/>
  <c r="AO115" i="2" s="1"/>
  <c r="AO116" i="2"/>
  <c r="AO114" i="2"/>
  <c r="AO110" i="2"/>
  <c r="AO104" i="2"/>
  <c r="AO125" i="2"/>
  <c r="AO123" i="2"/>
  <c r="AO121" i="2"/>
  <c r="AO112" i="3"/>
  <c r="AO113" i="2"/>
  <c r="AO109" i="2"/>
  <c r="AO107" i="2"/>
  <c r="AO105" i="2"/>
  <c r="AO100" i="3"/>
  <c r="AO101" i="2"/>
  <c r="AO94" i="2"/>
  <c r="AO91" i="3"/>
  <c r="AO91" i="2" s="1"/>
  <c r="AO92" i="2"/>
  <c r="AO85" i="3"/>
  <c r="AO85" i="2" s="1"/>
  <c r="AO86" i="2"/>
  <c r="AO84" i="2"/>
  <c r="AO80" i="2"/>
  <c r="AO76" i="2"/>
  <c r="AO72" i="2"/>
  <c r="AO97" i="2"/>
  <c r="AO83" i="2"/>
  <c r="AO79" i="2"/>
  <c r="AO75" i="2"/>
  <c r="AO96" i="2"/>
  <c r="AO90" i="2"/>
  <c r="AO82" i="2"/>
  <c r="AO78" i="2"/>
  <c r="AO74" i="2"/>
  <c r="AO95" i="2"/>
  <c r="AO93" i="2"/>
  <c r="AO88" i="3"/>
  <c r="AO88" i="2" s="1"/>
  <c r="AO89" i="2"/>
  <c r="AO87" i="2"/>
  <c r="AO81" i="2"/>
  <c r="AO77" i="2"/>
  <c r="AO73" i="2"/>
  <c r="AO32" i="2"/>
  <c r="AO41" i="2"/>
  <c r="AO58" i="2"/>
  <c r="AO11" i="2"/>
  <c r="AO31" i="2"/>
  <c r="AO52" i="2"/>
  <c r="AO64" i="2"/>
  <c r="AO21" i="2"/>
  <c r="AO33" i="2"/>
  <c r="AO60" i="2"/>
  <c r="AO7" i="2"/>
  <c r="AO39" i="2"/>
  <c r="AO47" i="2"/>
  <c r="AO56" i="3"/>
  <c r="AO56" i="2" s="1"/>
  <c r="AO57" i="2"/>
  <c r="AO25" i="2"/>
  <c r="AO48" i="2"/>
  <c r="AO54" i="2"/>
  <c r="AO16" i="2"/>
  <c r="AO40" i="2"/>
  <c r="AO55" i="2"/>
  <c r="AO13" i="2"/>
  <c r="AO28" i="2"/>
  <c r="AO38" i="2"/>
  <c r="AO53" i="2"/>
  <c r="AO27" i="2"/>
  <c r="AO37" i="2"/>
  <c r="AO61" i="3"/>
  <c r="AO61" i="2" s="1"/>
  <c r="AO62" i="2"/>
  <c r="AO6" i="2"/>
  <c r="AO30" i="2"/>
  <c r="AO50" i="2"/>
  <c r="AO67" i="3"/>
  <c r="AO67" i="2" s="1"/>
  <c r="AO68" i="2"/>
  <c r="AO8" i="3"/>
  <c r="AO8" i="2" s="1"/>
  <c r="AO9" i="2"/>
  <c r="AO23" i="3"/>
  <c r="AO24" i="2"/>
  <c r="AO34" i="2"/>
  <c r="AO66" i="2"/>
  <c r="AO14" i="2"/>
  <c r="AO20" i="2"/>
  <c r="AO49" i="2"/>
  <c r="AO70" i="2"/>
  <c r="AO17" i="2"/>
  <c r="AO19" i="2"/>
  <c r="AO43" i="2"/>
  <c r="AO59" i="2"/>
  <c r="AO12" i="2"/>
  <c r="AO36" i="2"/>
  <c r="AO51" i="2"/>
  <c r="AO10" i="2"/>
  <c r="AO29" i="2"/>
  <c r="AO44" i="3"/>
  <c r="AO44" i="2" s="1"/>
  <c r="AO45" i="2"/>
  <c r="AO65" i="2"/>
  <c r="AO15" i="2"/>
  <c r="AO35" i="2"/>
  <c r="AO42" i="2"/>
  <c r="AO69" i="2"/>
  <c r="AO18" i="2"/>
  <c r="AO26" i="2"/>
  <c r="AO46" i="2"/>
  <c r="AO63" i="2"/>
  <c r="AG138" i="2"/>
  <c r="AG134" i="2"/>
  <c r="AG130" i="2"/>
  <c r="AG137" i="2"/>
  <c r="AG133" i="2"/>
  <c r="AG136" i="2"/>
  <c r="AG132" i="2"/>
  <c r="AG135" i="2"/>
  <c r="AG131" i="2"/>
  <c r="AG122" i="2"/>
  <c r="AG118" i="2"/>
  <c r="AG108" i="2"/>
  <c r="AG106" i="2"/>
  <c r="AG102" i="2"/>
  <c r="AG129" i="2"/>
  <c r="AG127" i="2"/>
  <c r="AG119" i="2"/>
  <c r="AG117" i="2"/>
  <c r="AG103" i="2"/>
  <c r="AG128" i="2"/>
  <c r="AG126" i="2"/>
  <c r="AG124" i="2"/>
  <c r="AG120" i="2"/>
  <c r="AG115" i="3"/>
  <c r="AG115" i="2" s="1"/>
  <c r="AG116" i="2"/>
  <c r="AG114" i="2"/>
  <c r="AG110" i="2"/>
  <c r="AG104" i="2"/>
  <c r="AG125" i="2"/>
  <c r="AG123" i="2"/>
  <c r="AG121" i="2"/>
  <c r="AG112" i="3"/>
  <c r="AG113" i="2"/>
  <c r="AG109" i="2"/>
  <c r="AG107" i="2"/>
  <c r="AG105" i="2"/>
  <c r="AG100" i="3"/>
  <c r="AG101" i="2"/>
  <c r="AG98" i="2"/>
  <c r="AG94" i="2"/>
  <c r="AG91" i="3"/>
  <c r="AG91" i="2" s="1"/>
  <c r="AG92" i="2"/>
  <c r="AG85" i="3"/>
  <c r="AG85" i="2" s="1"/>
  <c r="AG86" i="2"/>
  <c r="AG84" i="2"/>
  <c r="AG80" i="2"/>
  <c r="AG76" i="2"/>
  <c r="AG72" i="2"/>
  <c r="AG97" i="2"/>
  <c r="AG83" i="2"/>
  <c r="AG79" i="2"/>
  <c r="AG75" i="2"/>
  <c r="AG96" i="2"/>
  <c r="AG90" i="2"/>
  <c r="AG82" i="2"/>
  <c r="AG78" i="2"/>
  <c r="AG74" i="2"/>
  <c r="AG95" i="2"/>
  <c r="AG93" i="2"/>
  <c r="AG88" i="3"/>
  <c r="AG88" i="2" s="1"/>
  <c r="AG89" i="2"/>
  <c r="AG87" i="2"/>
  <c r="AG81" i="2"/>
  <c r="AG77" i="2"/>
  <c r="AG73" i="2"/>
  <c r="AG12" i="2"/>
  <c r="AG36" i="2"/>
  <c r="AG51" i="2"/>
  <c r="AG10" i="2"/>
  <c r="AG29" i="2"/>
  <c r="AG52" i="2"/>
  <c r="AG61" i="3"/>
  <c r="AG61" i="2" s="1"/>
  <c r="AG62" i="2"/>
  <c r="AG15" i="2"/>
  <c r="AG35" i="2"/>
  <c r="AG42" i="2"/>
  <c r="AG69" i="2"/>
  <c r="AG18" i="2"/>
  <c r="AG20" i="2"/>
  <c r="AG49" i="2"/>
  <c r="AG63" i="2"/>
  <c r="AG27" i="2"/>
  <c r="AG41" i="2"/>
  <c r="AG58" i="2"/>
  <c r="AG11" i="2"/>
  <c r="AG30" i="2"/>
  <c r="AG50" i="2"/>
  <c r="AG64" i="2"/>
  <c r="AG19" i="2"/>
  <c r="AG33" i="2"/>
  <c r="AG60" i="2"/>
  <c r="AG7" i="2"/>
  <c r="AG39" i="2"/>
  <c r="AG47" i="2"/>
  <c r="AG56" i="3"/>
  <c r="AG56" i="2" s="1"/>
  <c r="AG57" i="2"/>
  <c r="AG25" i="2"/>
  <c r="AG48" i="2"/>
  <c r="AG70" i="2"/>
  <c r="AG16" i="2"/>
  <c r="AG40" i="2"/>
  <c r="AG55" i="2"/>
  <c r="AG13" i="2"/>
  <c r="AG23" i="3"/>
  <c r="AG24" i="2"/>
  <c r="AG38" i="2"/>
  <c r="AG59" i="2"/>
  <c r="AG21" i="2"/>
  <c r="AG37" i="2"/>
  <c r="AG66" i="2"/>
  <c r="AG6" i="2"/>
  <c r="AG26" i="2"/>
  <c r="AG46" i="2"/>
  <c r="AG67" i="3"/>
  <c r="AG67" i="2" s="1"/>
  <c r="AG68" i="2"/>
  <c r="AG8" i="3"/>
  <c r="AG8" i="2" s="1"/>
  <c r="AG9" i="2"/>
  <c r="AG31" i="2"/>
  <c r="AG34" i="2"/>
  <c r="AG53" i="2"/>
  <c r="AG14" i="2"/>
  <c r="AG32" i="2"/>
  <c r="AG44" i="3"/>
  <c r="AG44" i="2" s="1"/>
  <c r="AG45" i="2"/>
  <c r="AG65" i="2"/>
  <c r="AG17" i="2"/>
  <c r="AG28" i="2"/>
  <c r="AG43" i="2"/>
  <c r="AG54" i="2"/>
  <c r="P2" i="2"/>
  <c r="K2" i="2"/>
  <c r="N2" i="2"/>
  <c r="J2" i="2"/>
  <c r="L2" i="2"/>
  <c r="G2" i="2"/>
  <c r="AH2" i="2"/>
  <c r="AN2" i="2"/>
  <c r="AI2" i="2"/>
  <c r="BI2" i="2"/>
  <c r="Y2" i="2"/>
  <c r="T2" i="2"/>
  <c r="O2" i="2"/>
  <c r="U2" i="2"/>
  <c r="R2" i="2"/>
  <c r="BL2" i="2"/>
  <c r="AF2" i="2"/>
  <c r="BG2" i="2"/>
  <c r="AA2" i="2"/>
  <c r="AT2" i="2"/>
  <c r="AS2" i="2"/>
  <c r="AP2" i="2"/>
  <c r="Q2" i="2"/>
  <c r="BH2" i="2"/>
  <c r="AB2" i="2"/>
  <c r="BC2" i="2"/>
  <c r="W2" i="2"/>
  <c r="AL2" i="2"/>
  <c r="AK2" i="2"/>
  <c r="BE2" i="2"/>
  <c r="BD2" i="2"/>
  <c r="X2" i="2"/>
  <c r="AY2" i="2"/>
  <c r="S2" i="2"/>
  <c r="AD2" i="2"/>
  <c r="AC2" i="2"/>
  <c r="Z2" i="2"/>
  <c r="I2" i="2"/>
  <c r="AJ2" i="2"/>
  <c r="BK2" i="2"/>
  <c r="AE2" i="2"/>
  <c r="BB2" i="2"/>
  <c r="BA2" i="2"/>
  <c r="AX2" i="2"/>
  <c r="AW2" i="2"/>
  <c r="AV2" i="2"/>
  <c r="AQ2" i="2"/>
  <c r="M2" i="2"/>
  <c r="AR2" i="2"/>
  <c r="AM2" i="2"/>
  <c r="F2" i="2"/>
  <c r="H2" i="2"/>
  <c r="BJ2" i="2"/>
  <c r="BF2" i="2"/>
  <c r="AZ2" i="2"/>
  <c r="AU2" i="2"/>
  <c r="V2" i="2"/>
  <c r="BM2" i="2"/>
  <c r="AO2" i="2"/>
  <c r="AG2" i="2"/>
  <c r="AG5" i="3" l="1"/>
  <c r="BM5" i="3"/>
  <c r="F5" i="3"/>
  <c r="AE5" i="3"/>
  <c r="AU5" i="3"/>
  <c r="AR5" i="3"/>
  <c r="Z5" i="3"/>
  <c r="G5" i="3"/>
  <c r="I5" i="3"/>
  <c r="BC5" i="3"/>
  <c r="Q5" i="3"/>
  <c r="AH5" i="3"/>
  <c r="AO5" i="3"/>
  <c r="BJ5" i="3"/>
  <c r="AD5" i="3"/>
  <c r="AO99" i="3"/>
  <c r="AO100" i="2"/>
  <c r="BM111" i="3"/>
  <c r="BM111" i="2" s="1"/>
  <c r="BM112" i="2"/>
  <c r="V5" i="2"/>
  <c r="V99" i="3"/>
  <c r="V99" i="2" s="1"/>
  <c r="V100" i="2"/>
  <c r="AU111" i="3"/>
  <c r="AU111" i="2" s="1"/>
  <c r="AU112" i="2"/>
  <c r="AZ5" i="2"/>
  <c r="AZ99" i="3"/>
  <c r="AZ100" i="2"/>
  <c r="BF22" i="3"/>
  <c r="BF22" i="2" s="1"/>
  <c r="BF23" i="2"/>
  <c r="BJ99" i="3"/>
  <c r="BJ100" i="2"/>
  <c r="H5" i="2"/>
  <c r="AR22" i="3"/>
  <c r="AR22" i="2" s="1"/>
  <c r="AR23" i="2"/>
  <c r="AQ22" i="3"/>
  <c r="AQ22" i="2" s="1"/>
  <c r="AQ23" i="2"/>
  <c r="AV22" i="3"/>
  <c r="AV22" i="2" s="1"/>
  <c r="AV23" i="2"/>
  <c r="AV111" i="3"/>
  <c r="AV111" i="2" s="1"/>
  <c r="AV112" i="2"/>
  <c r="AX111" i="3"/>
  <c r="AX111" i="2" s="1"/>
  <c r="AX112" i="2"/>
  <c r="BA99" i="3"/>
  <c r="BA100" i="2"/>
  <c r="BK5" i="3"/>
  <c r="BK111" i="3"/>
  <c r="BK111" i="2" s="1"/>
  <c r="BK112" i="2"/>
  <c r="AJ99" i="3"/>
  <c r="AJ99" i="2" s="1"/>
  <c r="AJ100" i="2"/>
  <c r="I99" i="3"/>
  <c r="I99" i="2" s="1"/>
  <c r="I100" i="2"/>
  <c r="Z99" i="3"/>
  <c r="Z100" i="2"/>
  <c r="AC5" i="3"/>
  <c r="AD22" i="3"/>
  <c r="AD22" i="2" s="1"/>
  <c r="AD23" i="2"/>
  <c r="AY99" i="3"/>
  <c r="AY100" i="2"/>
  <c r="X5" i="3"/>
  <c r="BD99" i="3"/>
  <c r="BD100" i="2"/>
  <c r="BE111" i="3"/>
  <c r="BE111" i="2" s="1"/>
  <c r="BE112" i="2"/>
  <c r="AK111" i="3"/>
  <c r="AK111" i="2" s="1"/>
  <c r="AK112" i="2"/>
  <c r="AL111" i="3"/>
  <c r="AL111" i="2" s="1"/>
  <c r="AL112" i="2"/>
  <c r="W22" i="3"/>
  <c r="W22" i="2" s="1"/>
  <c r="W23" i="2"/>
  <c r="W111" i="3"/>
  <c r="W111" i="2" s="1"/>
  <c r="W112" i="2"/>
  <c r="AP22" i="3"/>
  <c r="AP22" i="2" s="1"/>
  <c r="AP23" i="2"/>
  <c r="AS5" i="3"/>
  <c r="AT111" i="3"/>
  <c r="AT111" i="2" s="1"/>
  <c r="AT112" i="2"/>
  <c r="AA22" i="3"/>
  <c r="AA22" i="2" s="1"/>
  <c r="AA23" i="2"/>
  <c r="AA5" i="3"/>
  <c r="AA111" i="3"/>
  <c r="AA111" i="2" s="1"/>
  <c r="AA112" i="2"/>
  <c r="BL5" i="3"/>
  <c r="R22" i="3"/>
  <c r="R22" i="2" s="1"/>
  <c r="R23" i="2"/>
  <c r="U5" i="3"/>
  <c r="U99" i="3"/>
  <c r="U100" i="2"/>
  <c r="O22" i="3"/>
  <c r="O22" i="2" s="1"/>
  <c r="O23" i="2"/>
  <c r="BI22" i="3"/>
  <c r="BI22" i="2" s="1"/>
  <c r="BI23" i="2"/>
  <c r="BI5" i="3"/>
  <c r="BI111" i="3"/>
  <c r="BI111" i="2" s="1"/>
  <c r="BI112" i="2"/>
  <c r="AH22" i="3"/>
  <c r="AH22" i="2" s="1"/>
  <c r="AH23" i="2"/>
  <c r="G111" i="3"/>
  <c r="G111" i="2" s="1"/>
  <c r="G112" i="2"/>
  <c r="L5" i="3"/>
  <c r="L111" i="3"/>
  <c r="L111" i="2" s="1"/>
  <c r="L112" i="2"/>
  <c r="J111" i="3"/>
  <c r="J111" i="2" s="1"/>
  <c r="J112" i="2"/>
  <c r="N22" i="3"/>
  <c r="N22" i="2" s="1"/>
  <c r="N23" i="2"/>
  <c r="K5" i="3"/>
  <c r="P22" i="3"/>
  <c r="P22" i="2" s="1"/>
  <c r="P23" i="2"/>
  <c r="P111" i="3"/>
  <c r="P111" i="2" s="1"/>
  <c r="P112" i="2"/>
  <c r="AO111" i="3"/>
  <c r="AO111" i="2" s="1"/>
  <c r="AO112" i="2"/>
  <c r="V111" i="3"/>
  <c r="V111" i="2" s="1"/>
  <c r="V112" i="2"/>
  <c r="AZ111" i="3"/>
  <c r="AZ111" i="2" s="1"/>
  <c r="AZ112" i="2"/>
  <c r="BF99" i="3"/>
  <c r="BF99" i="2" s="1"/>
  <c r="BF100" i="2"/>
  <c r="BJ5" i="2"/>
  <c r="BJ111" i="3"/>
  <c r="BJ111" i="2" s="1"/>
  <c r="BJ112" i="2"/>
  <c r="H22" i="3"/>
  <c r="H22" i="2" s="1"/>
  <c r="H23" i="2"/>
  <c r="F99" i="3"/>
  <c r="F99" i="2" s="1"/>
  <c r="F100" i="2"/>
  <c r="AM22" i="3"/>
  <c r="AM22" i="2" s="1"/>
  <c r="AM23" i="2"/>
  <c r="AV5" i="3"/>
  <c r="AW5" i="3"/>
  <c r="BA111" i="3"/>
  <c r="BA111" i="2" s="1"/>
  <c r="BA112" i="2"/>
  <c r="BB22" i="3"/>
  <c r="BB22" i="2" s="1"/>
  <c r="BB23" i="2"/>
  <c r="BB99" i="3"/>
  <c r="BB99" i="2" s="1"/>
  <c r="BB100" i="2"/>
  <c r="AE99" i="3"/>
  <c r="AE100" i="2"/>
  <c r="AJ111" i="3"/>
  <c r="AJ111" i="2" s="1"/>
  <c r="AJ112" i="2"/>
  <c r="I22" i="3"/>
  <c r="I22" i="2" s="1"/>
  <c r="I23" i="2"/>
  <c r="I71" i="3"/>
  <c r="I71" i="2" s="1"/>
  <c r="I111" i="3"/>
  <c r="I111" i="2" s="1"/>
  <c r="I112" i="2"/>
  <c r="Z5" i="2"/>
  <c r="Z111" i="3"/>
  <c r="Z111" i="2" s="1"/>
  <c r="Z112" i="2"/>
  <c r="S22" i="3"/>
  <c r="S22" i="2" s="1"/>
  <c r="S23" i="2"/>
  <c r="S5" i="3"/>
  <c r="AY22" i="3"/>
  <c r="AY22" i="2" s="1"/>
  <c r="AY23" i="2"/>
  <c r="AY111" i="3"/>
  <c r="AY111" i="2" s="1"/>
  <c r="AY112" i="2"/>
  <c r="X99" i="3"/>
  <c r="X100" i="2"/>
  <c r="BD111" i="3"/>
  <c r="BD111" i="2" s="1"/>
  <c r="BD112" i="2"/>
  <c r="BC99" i="3"/>
  <c r="BC99" i="2" s="1"/>
  <c r="BC100" i="2"/>
  <c r="BH5" i="2"/>
  <c r="BH99" i="3"/>
  <c r="BH99" i="2" s="1"/>
  <c r="BH100" i="2"/>
  <c r="Q22" i="3"/>
  <c r="Q22" i="2" s="1"/>
  <c r="Q23" i="2"/>
  <c r="Q99" i="3"/>
  <c r="Q100" i="2"/>
  <c r="AP4" i="3"/>
  <c r="AP4" i="2" s="1"/>
  <c r="AP5" i="2"/>
  <c r="AP99" i="3"/>
  <c r="AP99" i="2" s="1"/>
  <c r="AP100" i="2"/>
  <c r="AS22" i="3"/>
  <c r="AS22" i="2" s="1"/>
  <c r="AS23" i="2"/>
  <c r="BG5" i="3"/>
  <c r="BG99" i="3"/>
  <c r="BG99" i="2" s="1"/>
  <c r="BG100" i="2"/>
  <c r="AF22" i="3"/>
  <c r="AF22" i="2" s="1"/>
  <c r="AF23" i="2"/>
  <c r="BL22" i="3"/>
  <c r="BL22" i="2" s="1"/>
  <c r="BL23" i="2"/>
  <c r="BL99" i="3"/>
  <c r="BL99" i="2" s="1"/>
  <c r="BL100" i="2"/>
  <c r="U111" i="3"/>
  <c r="U111" i="2" s="1"/>
  <c r="U112" i="2"/>
  <c r="O5" i="3"/>
  <c r="T22" i="3"/>
  <c r="T22" i="2" s="1"/>
  <c r="T23" i="2"/>
  <c r="T99" i="3"/>
  <c r="T99" i="2" s="1"/>
  <c r="T100" i="2"/>
  <c r="Y99" i="3"/>
  <c r="Y99" i="2" s="1"/>
  <c r="Y100" i="2"/>
  <c r="AI22" i="3"/>
  <c r="AI22" i="2" s="1"/>
  <c r="AI23" i="2"/>
  <c r="AI99" i="3"/>
  <c r="AI100" i="2"/>
  <c r="AN99" i="3"/>
  <c r="AN100" i="2"/>
  <c r="J22" i="3"/>
  <c r="J22" i="2" s="1"/>
  <c r="J23" i="2"/>
  <c r="K22" i="3"/>
  <c r="K22" i="2" s="1"/>
  <c r="K23" i="2"/>
  <c r="P4" i="3"/>
  <c r="P4" i="2" s="1"/>
  <c r="P5" i="2"/>
  <c r="AG99" i="3"/>
  <c r="AG99" i="2" s="1"/>
  <c r="AG100" i="2"/>
  <c r="AO22" i="3"/>
  <c r="AO22" i="2" s="1"/>
  <c r="AO23" i="2"/>
  <c r="AO5" i="2"/>
  <c r="BM22" i="3"/>
  <c r="BM22" i="2" s="1"/>
  <c r="BM23" i="2"/>
  <c r="BM5" i="2"/>
  <c r="AU22" i="3"/>
  <c r="AU22" i="2" s="1"/>
  <c r="AU23" i="2"/>
  <c r="AU5" i="2"/>
  <c r="BF111" i="3"/>
  <c r="BF111" i="2" s="1"/>
  <c r="BF112" i="2"/>
  <c r="BJ22" i="3"/>
  <c r="BJ22" i="2" s="1"/>
  <c r="BJ23" i="2"/>
  <c r="H99" i="3"/>
  <c r="H100" i="2"/>
  <c r="F5" i="2"/>
  <c r="AM5" i="3"/>
  <c r="AM99" i="3"/>
  <c r="AM99" i="2" s="1"/>
  <c r="AM100" i="2"/>
  <c r="AR99" i="3"/>
  <c r="AR99" i="2" s="1"/>
  <c r="AR100" i="2"/>
  <c r="M5" i="2"/>
  <c r="M99" i="3"/>
  <c r="M100" i="2"/>
  <c r="AQ99" i="3"/>
  <c r="AQ99" i="2" s="1"/>
  <c r="AQ100" i="2"/>
  <c r="AW22" i="3"/>
  <c r="AW22" i="2" s="1"/>
  <c r="AW23" i="2"/>
  <c r="AW99" i="3"/>
  <c r="AW99" i="2" s="1"/>
  <c r="AW100" i="2"/>
  <c r="AX5" i="3"/>
  <c r="BB111" i="3"/>
  <c r="BB111" i="2" s="1"/>
  <c r="BB112" i="2"/>
  <c r="AE5" i="2"/>
  <c r="AE22" i="3"/>
  <c r="AE22" i="2" s="1"/>
  <c r="AE23" i="2"/>
  <c r="AE111" i="3"/>
  <c r="AE111" i="2" s="1"/>
  <c r="AE112" i="2"/>
  <c r="AJ22" i="3"/>
  <c r="AJ22" i="2" s="1"/>
  <c r="AJ23" i="2"/>
  <c r="AJ5" i="3"/>
  <c r="I4" i="3"/>
  <c r="I4" i="2" s="1"/>
  <c r="I5" i="2"/>
  <c r="Z22" i="3"/>
  <c r="Z22" i="2" s="1"/>
  <c r="Z23" i="2"/>
  <c r="AC22" i="3"/>
  <c r="AC22" i="2" s="1"/>
  <c r="AC23" i="2"/>
  <c r="AC99" i="3"/>
  <c r="AC100" i="2"/>
  <c r="AD99" i="3"/>
  <c r="AD100" i="2"/>
  <c r="S99" i="3"/>
  <c r="S99" i="2" s="1"/>
  <c r="S100" i="2"/>
  <c r="X111" i="3"/>
  <c r="X111" i="2" s="1"/>
  <c r="X112" i="2"/>
  <c r="AK22" i="3"/>
  <c r="AK22" i="2" s="1"/>
  <c r="AK23" i="2"/>
  <c r="AK5" i="3"/>
  <c r="AL5" i="3"/>
  <c r="BC22" i="3"/>
  <c r="BC22" i="2" s="1"/>
  <c r="BC23" i="2"/>
  <c r="BC111" i="3"/>
  <c r="BC111" i="2" s="1"/>
  <c r="BC112" i="2"/>
  <c r="AB99" i="3"/>
  <c r="AB99" i="2" s="1"/>
  <c r="AB100" i="2"/>
  <c r="BH22" i="3"/>
  <c r="BH22" i="2" s="1"/>
  <c r="BH23" i="2"/>
  <c r="BH111" i="3"/>
  <c r="BH111" i="2" s="1"/>
  <c r="BH112" i="2"/>
  <c r="Q111" i="3"/>
  <c r="Q111" i="2" s="1"/>
  <c r="Q112" i="2"/>
  <c r="AP111" i="3"/>
  <c r="AP111" i="2" s="1"/>
  <c r="AP112" i="2"/>
  <c r="AS99" i="3"/>
  <c r="AS99" i="2" s="1"/>
  <c r="AS100" i="2"/>
  <c r="AT5" i="3"/>
  <c r="AT22" i="3"/>
  <c r="AT22" i="2" s="1"/>
  <c r="AT23" i="2"/>
  <c r="BG111" i="3"/>
  <c r="BG111" i="2" s="1"/>
  <c r="BG112" i="2"/>
  <c r="AF4" i="3"/>
  <c r="AF4" i="2" s="1"/>
  <c r="AF5" i="2"/>
  <c r="AF99" i="3"/>
  <c r="AF99" i="2" s="1"/>
  <c r="AF100" i="2"/>
  <c r="BL111" i="3"/>
  <c r="BL111" i="2" s="1"/>
  <c r="BL112" i="2"/>
  <c r="R5" i="3"/>
  <c r="R99" i="3"/>
  <c r="R100" i="2"/>
  <c r="U22" i="3"/>
  <c r="U22" i="2" s="1"/>
  <c r="U23" i="2"/>
  <c r="O99" i="3"/>
  <c r="O99" i="2" s="1"/>
  <c r="O100" i="2"/>
  <c r="T111" i="3"/>
  <c r="T111" i="2" s="1"/>
  <c r="T112" i="2"/>
  <c r="Y5" i="3"/>
  <c r="Y22" i="3"/>
  <c r="Y22" i="2" s="1"/>
  <c r="Y23" i="2"/>
  <c r="Y111" i="3"/>
  <c r="Y111" i="2" s="1"/>
  <c r="Y112" i="2"/>
  <c r="AI5" i="3"/>
  <c r="AI111" i="3"/>
  <c r="AI111" i="2" s="1"/>
  <c r="AI112" i="2"/>
  <c r="AN5" i="2"/>
  <c r="AN111" i="3"/>
  <c r="AN111" i="2" s="1"/>
  <c r="AN112" i="2"/>
  <c r="AH99" i="3"/>
  <c r="AH100" i="2"/>
  <c r="G22" i="3"/>
  <c r="G22" i="2" s="1"/>
  <c r="G23" i="2"/>
  <c r="N5" i="3"/>
  <c r="N99" i="3"/>
  <c r="N100" i="2"/>
  <c r="K99" i="3"/>
  <c r="K99" i="2" s="1"/>
  <c r="K100" i="2"/>
  <c r="AG22" i="3"/>
  <c r="AG22" i="2" s="1"/>
  <c r="AG23" i="2"/>
  <c r="AG5" i="2"/>
  <c r="AG111" i="3"/>
  <c r="AG111" i="2" s="1"/>
  <c r="AG112" i="2"/>
  <c r="BM99" i="3"/>
  <c r="BM99" i="2" s="1"/>
  <c r="BM100" i="2"/>
  <c r="V22" i="3"/>
  <c r="V22" i="2" s="1"/>
  <c r="V23" i="2"/>
  <c r="V71" i="3"/>
  <c r="V71" i="2" s="1"/>
  <c r="AU99" i="3"/>
  <c r="AU99" i="2" s="1"/>
  <c r="AU100" i="2"/>
  <c r="AZ22" i="3"/>
  <c r="AZ22" i="2" s="1"/>
  <c r="AZ23" i="2"/>
  <c r="BF5" i="3"/>
  <c r="H111" i="3"/>
  <c r="H111" i="2" s="1"/>
  <c r="H112" i="2"/>
  <c r="F22" i="3"/>
  <c r="F22" i="2" s="1"/>
  <c r="F23" i="2"/>
  <c r="F111" i="3"/>
  <c r="F111" i="2" s="1"/>
  <c r="F112" i="2"/>
  <c r="AM111" i="3"/>
  <c r="AM111" i="2" s="1"/>
  <c r="AM112" i="2"/>
  <c r="AR4" i="3"/>
  <c r="AR4" i="2" s="1"/>
  <c r="AR5" i="2"/>
  <c r="AR111" i="3"/>
  <c r="AR111" i="2" s="1"/>
  <c r="AR112" i="2"/>
  <c r="M22" i="3"/>
  <c r="M22" i="2" s="1"/>
  <c r="M23" i="2"/>
  <c r="M111" i="3"/>
  <c r="M111" i="2" s="1"/>
  <c r="M112" i="2"/>
  <c r="AQ4" i="3"/>
  <c r="AQ4" i="2" s="1"/>
  <c r="AQ5" i="2"/>
  <c r="AQ111" i="3"/>
  <c r="AQ111" i="2" s="1"/>
  <c r="AQ112" i="2"/>
  <c r="AV99" i="3"/>
  <c r="AV99" i="2" s="1"/>
  <c r="AV100" i="2"/>
  <c r="AW111" i="3"/>
  <c r="AW111" i="2" s="1"/>
  <c r="AW112" i="2"/>
  <c r="AX22" i="3"/>
  <c r="AX22" i="2" s="1"/>
  <c r="AX23" i="2"/>
  <c r="AX99" i="3"/>
  <c r="AX100" i="2"/>
  <c r="BA5" i="2"/>
  <c r="BA22" i="3"/>
  <c r="BA22" i="2" s="1"/>
  <c r="BA23" i="2"/>
  <c r="BB5" i="3"/>
  <c r="BK22" i="3"/>
  <c r="BK22" i="2" s="1"/>
  <c r="BK23" i="2"/>
  <c r="BK99" i="3"/>
  <c r="BK100" i="2"/>
  <c r="AJ71" i="3"/>
  <c r="AJ71" i="2" s="1"/>
  <c r="AC111" i="3"/>
  <c r="AC111" i="2" s="1"/>
  <c r="AC112" i="2"/>
  <c r="AD4" i="3"/>
  <c r="AD4" i="2" s="1"/>
  <c r="AD5" i="2"/>
  <c r="AD111" i="3"/>
  <c r="AD111" i="2" s="1"/>
  <c r="AD112" i="2"/>
  <c r="S111" i="3"/>
  <c r="S111" i="2" s="1"/>
  <c r="S112" i="2"/>
  <c r="AY4" i="3"/>
  <c r="AY4" i="2" s="1"/>
  <c r="AY5" i="2"/>
  <c r="X22" i="3"/>
  <c r="X22" i="2" s="1"/>
  <c r="X23" i="2"/>
  <c r="BD5" i="2"/>
  <c r="BD22" i="3"/>
  <c r="BD22" i="2" s="1"/>
  <c r="BD23" i="2"/>
  <c r="BE5" i="2"/>
  <c r="BE22" i="3"/>
  <c r="BE22" i="2" s="1"/>
  <c r="BE23" i="2"/>
  <c r="BE99" i="3"/>
  <c r="BE99" i="2" s="1"/>
  <c r="BE100" i="2"/>
  <c r="AK99" i="3"/>
  <c r="AK100" i="2"/>
  <c r="AL22" i="3"/>
  <c r="AL22" i="2" s="1"/>
  <c r="AL23" i="2"/>
  <c r="AL99" i="3"/>
  <c r="AL100" i="2"/>
  <c r="W4" i="3"/>
  <c r="W4" i="2" s="1"/>
  <c r="W5" i="2"/>
  <c r="W99" i="3"/>
  <c r="W99" i="2" s="1"/>
  <c r="W100" i="2"/>
  <c r="BC4" i="3"/>
  <c r="BC4" i="2" s="1"/>
  <c r="BC5" i="2"/>
  <c r="AB5" i="3"/>
  <c r="AB22" i="3"/>
  <c r="AB22" i="2" s="1"/>
  <c r="AB23" i="2"/>
  <c r="AB111" i="3"/>
  <c r="AB111" i="2" s="1"/>
  <c r="AB112" i="2"/>
  <c r="BH71" i="3"/>
  <c r="BH71" i="2" s="1"/>
  <c r="Q4" i="3"/>
  <c r="Q4" i="2" s="1"/>
  <c r="Q5" i="2"/>
  <c r="AS111" i="3"/>
  <c r="AS111" i="2" s="1"/>
  <c r="AS112" i="2"/>
  <c r="AT99" i="3"/>
  <c r="AT100" i="2"/>
  <c r="AA99" i="3"/>
  <c r="AA99" i="2" s="1"/>
  <c r="AA100" i="2"/>
  <c r="BG22" i="3"/>
  <c r="BG22" i="2" s="1"/>
  <c r="BG23" i="2"/>
  <c r="AF111" i="3"/>
  <c r="AF111" i="2" s="1"/>
  <c r="AF112" i="2"/>
  <c r="BL71" i="3"/>
  <c r="BL71" i="2" s="1"/>
  <c r="R111" i="3"/>
  <c r="R111" i="2" s="1"/>
  <c r="R112" i="2"/>
  <c r="O111" i="3"/>
  <c r="O111" i="2" s="1"/>
  <c r="O112" i="2"/>
  <c r="T5" i="3"/>
  <c r="T71" i="3"/>
  <c r="T71" i="2" s="1"/>
  <c r="BI99" i="3"/>
  <c r="BI100" i="2"/>
  <c r="AN22" i="3"/>
  <c r="AN22" i="2" s="1"/>
  <c r="AN23" i="2"/>
  <c r="AH4" i="3"/>
  <c r="AH4" i="2" s="1"/>
  <c r="AH5" i="2"/>
  <c r="AH111" i="3"/>
  <c r="AH111" i="2" s="1"/>
  <c r="AH112" i="2"/>
  <c r="G4" i="3"/>
  <c r="G4" i="2" s="1"/>
  <c r="G5" i="2"/>
  <c r="G99" i="3"/>
  <c r="G99" i="2" s="1"/>
  <c r="G100" i="2"/>
  <c r="L22" i="3"/>
  <c r="L22" i="2" s="1"/>
  <c r="L23" i="2"/>
  <c r="L99" i="3"/>
  <c r="L99" i="2" s="1"/>
  <c r="L100" i="2"/>
  <c r="J5" i="3"/>
  <c r="J99" i="3"/>
  <c r="J99" i="2" s="1"/>
  <c r="J100" i="2"/>
  <c r="N111" i="3"/>
  <c r="N111" i="2" s="1"/>
  <c r="N112" i="2"/>
  <c r="K111" i="3"/>
  <c r="K111" i="2" s="1"/>
  <c r="K112" i="2"/>
  <c r="P99" i="3"/>
  <c r="P99" i="2" s="1"/>
  <c r="P100" i="2"/>
  <c r="AE4" i="3" l="1"/>
  <c r="AE4" i="2" s="1"/>
  <c r="Y71" i="3"/>
  <c r="Y71" i="2" s="1"/>
  <c r="AU4" i="3"/>
  <c r="AU4" i="2" s="1"/>
  <c r="BM4" i="3"/>
  <c r="BM4" i="2" s="1"/>
  <c r="AO4" i="3"/>
  <c r="AO4" i="2" s="1"/>
  <c r="BE4" i="3"/>
  <c r="BE4" i="2" s="1"/>
  <c r="BD4" i="3"/>
  <c r="BD4" i="2" s="1"/>
  <c r="AG71" i="3"/>
  <c r="AG71" i="2" s="1"/>
  <c r="AT99" i="2"/>
  <c r="AT71" i="3"/>
  <c r="AT71" i="2" s="1"/>
  <c r="AX99" i="2"/>
  <c r="AX71" i="3"/>
  <c r="AX71" i="2" s="1"/>
  <c r="N4" i="3"/>
  <c r="N4" i="2" s="1"/>
  <c r="N5" i="2"/>
  <c r="AI4" i="3"/>
  <c r="AI4" i="2" s="1"/>
  <c r="AI5" i="2"/>
  <c r="AK4" i="3"/>
  <c r="AK4" i="2" s="1"/>
  <c r="AK5" i="2"/>
  <c r="AD99" i="2"/>
  <c r="AD71" i="3"/>
  <c r="AD71" i="2" s="1"/>
  <c r="AX4" i="3"/>
  <c r="AX4" i="2" s="1"/>
  <c r="AX5" i="2"/>
  <c r="M99" i="2"/>
  <c r="M71" i="3"/>
  <c r="M71" i="2" s="1"/>
  <c r="AU71" i="3"/>
  <c r="AU71" i="2" s="1"/>
  <c r="AI99" i="2"/>
  <c r="AI71" i="3"/>
  <c r="AI71" i="2" s="1"/>
  <c r="BG4" i="3"/>
  <c r="BG4" i="2" s="1"/>
  <c r="BG5" i="2"/>
  <c r="S4" i="3"/>
  <c r="S4" i="2" s="1"/>
  <c r="S5" i="2"/>
  <c r="AV4" i="3"/>
  <c r="AV4" i="2" s="1"/>
  <c r="AV5" i="2"/>
  <c r="AS4" i="3"/>
  <c r="AS4" i="2" s="1"/>
  <c r="AS5" i="2"/>
  <c r="AB71" i="3"/>
  <c r="AB71" i="2" s="1"/>
  <c r="AY99" i="2"/>
  <c r="AY71" i="3"/>
  <c r="AY71" i="2" s="1"/>
  <c r="AC4" i="3"/>
  <c r="AC4" i="2" s="1"/>
  <c r="AC5" i="2"/>
  <c r="BA99" i="2"/>
  <c r="BA71" i="3"/>
  <c r="BA71" i="2" s="1"/>
  <c r="H4" i="3"/>
  <c r="H4" i="2" s="1"/>
  <c r="O71" i="3"/>
  <c r="O71" i="2" s="1"/>
  <c r="AG4" i="3"/>
  <c r="AG4" i="2" s="1"/>
  <c r="J71" i="3"/>
  <c r="J71" i="2" s="1"/>
  <c r="AH99" i="2"/>
  <c r="AH71" i="3"/>
  <c r="AH71" i="2" s="1"/>
  <c r="AN4" i="3"/>
  <c r="AN4" i="2" s="1"/>
  <c r="AJ4" i="3"/>
  <c r="AJ4" i="2" s="1"/>
  <c r="AJ5" i="2"/>
  <c r="F4" i="3"/>
  <c r="F4" i="2" s="1"/>
  <c r="O4" i="3"/>
  <c r="O4" i="2" s="1"/>
  <c r="O5" i="2"/>
  <c r="AA71" i="3"/>
  <c r="AA71" i="2" s="1"/>
  <c r="Q99" i="2"/>
  <c r="Q71" i="3"/>
  <c r="Q71" i="2" s="1"/>
  <c r="AQ71" i="3"/>
  <c r="AQ71" i="2" s="1"/>
  <c r="U99" i="2"/>
  <c r="U71" i="3"/>
  <c r="U71" i="2" s="1"/>
  <c r="BL4" i="3"/>
  <c r="BL4" i="2" s="1"/>
  <c r="BL5" i="2"/>
  <c r="AP71" i="3"/>
  <c r="AP71" i="2" s="1"/>
  <c r="BC71" i="3"/>
  <c r="BC71" i="2" s="1"/>
  <c r="BD99" i="2"/>
  <c r="BD71" i="3"/>
  <c r="BD71" i="2" s="1"/>
  <c r="S71" i="3"/>
  <c r="S71" i="2" s="1"/>
  <c r="BK4" i="3"/>
  <c r="BK4" i="2" s="1"/>
  <c r="BK5" i="2"/>
  <c r="AM71" i="3"/>
  <c r="AM71" i="2" s="1"/>
  <c r="AZ4" i="3"/>
  <c r="AZ4" i="2" s="1"/>
  <c r="BI99" i="2"/>
  <c r="BI71" i="3"/>
  <c r="BI71" i="2" s="1"/>
  <c r="T4" i="3"/>
  <c r="T4" i="2" s="1"/>
  <c r="T5" i="2"/>
  <c r="AB4" i="3"/>
  <c r="AB4" i="2" s="1"/>
  <c r="AB5" i="2"/>
  <c r="AL99" i="2"/>
  <c r="AL71" i="3"/>
  <c r="AL71" i="2" s="1"/>
  <c r="AK99" i="2"/>
  <c r="AK71" i="3"/>
  <c r="AK71" i="2" s="1"/>
  <c r="BB4" i="3"/>
  <c r="BB4" i="2" s="1"/>
  <c r="BB5" i="2"/>
  <c r="BA4" i="3"/>
  <c r="BA4" i="2" s="1"/>
  <c r="Y4" i="3"/>
  <c r="Y4" i="2" s="1"/>
  <c r="Y5" i="2"/>
  <c r="R99" i="2"/>
  <c r="R71" i="3"/>
  <c r="R71" i="2" s="1"/>
  <c r="AT4" i="3"/>
  <c r="AT4" i="2" s="1"/>
  <c r="AT5" i="2"/>
  <c r="AC99" i="2"/>
  <c r="AC71" i="3"/>
  <c r="AC71" i="2" s="1"/>
  <c r="M4" i="3"/>
  <c r="M4" i="2" s="1"/>
  <c r="AN99" i="2"/>
  <c r="AN71" i="3"/>
  <c r="AN71" i="2" s="1"/>
  <c r="W71" i="3"/>
  <c r="W71" i="2" s="1"/>
  <c r="Z4" i="3"/>
  <c r="Z4" i="2" s="1"/>
  <c r="AW4" i="3"/>
  <c r="AW4" i="2" s="1"/>
  <c r="AW5" i="2"/>
  <c r="BM71" i="3"/>
  <c r="BM71" i="2" s="1"/>
  <c r="K71" i="3"/>
  <c r="K71" i="2" s="1"/>
  <c r="L71" i="3"/>
  <c r="L71" i="2" s="1"/>
  <c r="G71" i="3"/>
  <c r="G71" i="2" s="1"/>
  <c r="U4" i="3"/>
  <c r="U4" i="2" s="1"/>
  <c r="U5" i="2"/>
  <c r="AF71" i="3"/>
  <c r="AF71" i="2" s="1"/>
  <c r="AA4" i="3"/>
  <c r="AA4" i="2" s="1"/>
  <c r="AA5" i="2"/>
  <c r="X4" i="3"/>
  <c r="X4" i="2" s="1"/>
  <c r="X5" i="2"/>
  <c r="Z99" i="2"/>
  <c r="Z71" i="3"/>
  <c r="Z71" i="2" s="1"/>
  <c r="BB71" i="3"/>
  <c r="BB71" i="2" s="1"/>
  <c r="AR71" i="3"/>
  <c r="AR71" i="2" s="1"/>
  <c r="F71" i="3"/>
  <c r="F71" i="2" s="1"/>
  <c r="BJ99" i="2"/>
  <c r="BJ71" i="3"/>
  <c r="BJ71" i="2" s="1"/>
  <c r="J4" i="3"/>
  <c r="J4" i="2" s="1"/>
  <c r="J5" i="2"/>
  <c r="BK99" i="2"/>
  <c r="BK71" i="3"/>
  <c r="BK71" i="2" s="1"/>
  <c r="BF4" i="3"/>
  <c r="BF4" i="2" s="1"/>
  <c r="BF5" i="2"/>
  <c r="N99" i="2"/>
  <c r="N71" i="3"/>
  <c r="N71" i="2" s="1"/>
  <c r="R4" i="3"/>
  <c r="R4" i="2" s="1"/>
  <c r="R5" i="2"/>
  <c r="AL4" i="3"/>
  <c r="AL4" i="2" s="1"/>
  <c r="AL5" i="2"/>
  <c r="AM4" i="3"/>
  <c r="AM4" i="2" s="1"/>
  <c r="AM5" i="2"/>
  <c r="H99" i="2"/>
  <c r="H71" i="3"/>
  <c r="H71" i="2" s="1"/>
  <c r="BH4" i="3"/>
  <c r="BH4" i="2" s="1"/>
  <c r="BE71" i="3"/>
  <c r="BE71" i="2" s="1"/>
  <c r="X99" i="2"/>
  <c r="X71" i="3"/>
  <c r="X71" i="2" s="1"/>
  <c r="AE99" i="2"/>
  <c r="AE71" i="3"/>
  <c r="AE71" i="2" s="1"/>
  <c r="AV71" i="3"/>
  <c r="AV71" i="2" s="1"/>
  <c r="BJ4" i="3"/>
  <c r="BJ4" i="2" s="1"/>
  <c r="P71" i="3"/>
  <c r="P71" i="2" s="1"/>
  <c r="K4" i="3"/>
  <c r="K4" i="2" s="1"/>
  <c r="K5" i="2"/>
  <c r="L4" i="3"/>
  <c r="L4" i="2" s="1"/>
  <c r="L5" i="2"/>
  <c r="BI4" i="3"/>
  <c r="BI4" i="2" s="1"/>
  <c r="BI5" i="2"/>
  <c r="BG71" i="3"/>
  <c r="BG71" i="2" s="1"/>
  <c r="AS71" i="3"/>
  <c r="AS71" i="2" s="1"/>
  <c r="AW71" i="3"/>
  <c r="AW71" i="2" s="1"/>
  <c r="BF71" i="3"/>
  <c r="BF71" i="2" s="1"/>
  <c r="AZ99" i="2"/>
  <c r="AZ71" i="3"/>
  <c r="AZ71" i="2" s="1"/>
  <c r="V4" i="3"/>
  <c r="V4" i="2" s="1"/>
  <c r="AO99" i="2"/>
  <c r="AO71" i="3"/>
  <c r="AO71" i="2" s="1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<sst xmlns="http://schemas.openxmlformats.org/spreadsheetml/2006/main" count="29" uniqueCount="28">
  <si>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</si>
  <si>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ANIRUDH BHARDWAJ at COLUMBIA UNIVERSITY.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</si>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</sst>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ASTOT Index</stp>
        <stp>PX385</stp>
        <stp>[BI_AUTMG_1_l22cd4li.xlsx]ReferenceData!R208C16</stp>
        <stp>PX391=20160701</stp>
        <stp>PX392=20160930</stp>
        <stp>DS004=USD</stp>
        <stp>Fill=B</stp>
        <tr r="P208" s="3"/>
      </tp>
      <tp t="s">
        <v>#N/A Connection</v>
        <stp/>
        <stp>##V3_BDPV12</stp>
        <stp>ASTOT Index</stp>
        <stp>PX385</stp>
        <stp>[BI_AUTMG_1_l22cd4li.xlsx]ReferenceData!R208C12</stp>
        <stp>PX391=20170701</stp>
        <stp>PX392=20170930</stp>
        <stp>DS004=USD</stp>
        <stp>Fill=B</stp>
        <tr r="L208" s="3"/>
      </tp>
      <tp t="s">
        <v>#N/A Connection</v>
        <stp/>
        <stp>##V3_BDPV12</stp>
        <stp>ASTOT Index</stp>
        <stp>PX385</stp>
        <stp>[BI_AUTMG_1_l22cd4li.xlsx]ReferenceData!R208C24</stp>
        <stp>PX391=20140701</stp>
        <stp>PX392=20140930</stp>
        <stp>DS004=USD</stp>
        <stp>Fill=B</stp>
        <tr r="X208" s="3"/>
      </tp>
      <tp t="s">
        <v>#N/A Connection</v>
        <stp/>
        <stp>##V3_BDPV12</stp>
        <stp>ASTOT Index</stp>
        <stp>PX385</stp>
        <stp>[BI_AUTMG_1_l22cd4li.xlsx]ReferenceData!R208C20</stp>
        <stp>PX391=20150701</stp>
        <stp>PX392=20150930</stp>
        <stp>DS004=USD</stp>
        <stp>Fill=B</stp>
        <tr r="T208" s="3"/>
      </tp>
      <tp t="s">
        <v>#N/A Connection</v>
        <stp/>
        <stp>##V3_BDPV12</stp>
        <stp>ASTOT Index</stp>
        <stp>PX385</stp>
        <stp>[BI_AUTMG_1_l22cd4li.xlsx]ReferenceData!R208C32</stp>
        <stp>PX391=20120701</stp>
        <stp>PX392=20120930</stp>
        <stp>DS004=USD</stp>
        <stp>Fill=B</stp>
        <tr r="AF208" s="3"/>
      </tp>
      <tp t="s">
        <v>#N/A Connection</v>
        <stp/>
        <stp>##V3_BDPV12</stp>
        <stp>ASTOT Index</stp>
        <stp>PX385</stp>
        <stp>[BI_AUTMG_1_l22cd4li.xlsx]ReferenceData!R208C28</stp>
        <stp>PX391=20130701</stp>
        <stp>PX392=20130930</stp>
        <stp>DS004=USD</stp>
        <stp>Fill=B</stp>
        <tr r="AB208" s="3"/>
      </tp>
      <tp t="s">
        <v>#N/A Connection</v>
        <stp/>
        <stp>##V3_BDPV12</stp>
        <stp>ASTOT Index</stp>
        <stp>PX385</stp>
        <stp>[BI_AUTMG_1_l22cd4li.xlsx]ReferenceData!R208C40</stp>
        <stp>PX391=20100701</stp>
        <stp>PX392=20100930</stp>
        <stp>DS004=USD</stp>
        <stp>Fill=B</stp>
        <tr r="AN208" s="3"/>
      </tp>
      <tp t="s">
        <v>#N/A Connection</v>
        <stp/>
        <stp>##V3_BDPV12</stp>
        <stp>ASTOT Index</stp>
        <stp>PX385</stp>
        <stp>[BI_AUTMG_1_l22cd4li.xlsx]ReferenceData!R208C36</stp>
        <stp>PX391=20110701</stp>
        <stp>PX392=20110930</stp>
        <stp>DS004=USD</stp>
        <stp>Fill=B</stp>
        <tr r="AJ208" s="3"/>
      </tp>
      <tp t="s">
        <v>#N/A Connection</v>
        <stp/>
        <stp>##V3_BDPV12</stp>
        <stp>ASTOT Index</stp>
        <stp>PX385</stp>
        <stp>[BI_AUTMG_1_l22cd4li.xlsx]ReferenceData!R208C52</stp>
        <stp>PX391=20070701</stp>
        <stp>PX392=20070930</stp>
        <stp>DS004=USD</stp>
        <stp>Fill=B</stp>
        <tr r="AZ208" s="3"/>
      </tp>
      <tp t="s">
        <v>#N/A Connection</v>
        <stp/>
        <stp>##V3_BDPV12</stp>
        <stp>ASTOT Index</stp>
        <stp>PX385</stp>
        <stp>[BI_AUTMG_1_l22cd4li.xlsx]ReferenceData!R208C56</stp>
        <stp>PX391=20060701</stp>
        <stp>PX392=20060930</stp>
        <stp>DS004=USD</stp>
        <stp>Fill=B</stp>
        <tr r="BD208" s="3"/>
      </tp>
      <tp t="s">
        <v>#N/A Connection</v>
        <stp/>
        <stp>##V3_BDPV12</stp>
        <stp>ASTOT Index</stp>
        <stp>PX385</stp>
        <stp>[BI_AUTMG_1_l22cd4li.xlsx]ReferenceData!R208C60</stp>
        <stp>PX391=20050701</stp>
        <stp>PX392=20050930</stp>
        <stp>DS004=USD</stp>
        <stp>Fill=B</stp>
        <tr r="BH208" s="3"/>
      </tp>
      <tp t="s">
        <v>#N/A Connection</v>
        <stp/>
        <stp>##V3_BDPV12</stp>
        <stp>ASTOT Index</stp>
        <stp>PX385</stp>
        <stp>[BI_AUTMG_1_l22cd4li.xlsx]ReferenceData!R208C64</stp>
        <stp>PX391=20040701</stp>
        <stp>PX392=20040930</stp>
        <stp>DS004=USD</stp>
        <stp>Fill=B</stp>
        <tr r="BL208" s="3"/>
      </tp>
      <tp t="s">
        <v>#N/A Connection</v>
        <stp/>
        <stp>##V3_BDPV12</stp>
        <stp>ASTOT Index</stp>
        <stp>PX385</stp>
        <stp>[BI_AUTMG_1_l22cd4li.xlsx]ReferenceData!R208C44</stp>
        <stp>PX391=20090701</stp>
        <stp>PX392=20090930</stp>
        <stp>DS004=USD</stp>
        <stp>Fill=B</stp>
        <tr r="AR208" s="3"/>
      </tp>
      <tp t="s">
        <v>#N/A Connection</v>
        <stp/>
        <stp>##V3_BDPV12</stp>
        <stp>ASTOT Index</stp>
        <stp>PX385</stp>
        <stp>[BI_AUTMG_1_l22cd4li.xlsx]ReferenceData!R208C48</stp>
        <stp>PX391=20080701</stp>
        <stp>PX392=20080930</stp>
        <stp>DS004=USD</stp>
        <stp>Fill=B</stp>
        <tr r="AV208" s="3"/>
      </tp>
      <tp t="s">
        <v>#N/A Connection</v>
        <stp/>
        <stp>##V3_BDHV12</stp>
        <stp>GM US Equity</stp>
        <stp>FS265</stp>
        <stp>-60CQ</stp>
        <stp>3/31/2019</stp>
        <stp>[BI_AUTMG_1_l22cd4li.xlsx]ReferenceData!R230C6</stp>
        <stp>Per=CQ</stp>
        <stp>Dts=H</stp>
        <stp>Dir=H</stp>
        <stp>Points=60</stp>
        <stp>Sort=R</stp>
        <stp>Days=A</stp>
        <stp>Fill=B</stp>
        <stp>FX=USD</stp>
        <tr r="F230" s="3"/>
      </tp>
      <tp t="s">
        <v>#N/A Connection</v>
        <stp/>
        <stp>##V3_BDPV12</stp>
        <stp>ASTOT Index</stp>
        <stp>PX385</stp>
        <stp>[BI_AUTMG_1_l22cd4li.xlsx]ReferenceData!R208C53</stp>
        <stp>PX391=20070401</stp>
        <stp>PX392=20070630</stp>
        <stp>DS004=USD</stp>
        <stp>Fill=B</stp>
        <tr r="BA208" s="3"/>
      </tp>
      <tp t="s">
        <v>#N/A Connection</v>
        <stp/>
        <stp>##V3_BDPV12</stp>
        <stp>ASTOT Index</stp>
        <stp>PX385</stp>
        <stp>[BI_AUTMG_1_l22cd4li.xlsx]ReferenceData!R208C57</stp>
        <stp>PX391=20060401</stp>
        <stp>PX392=20060630</stp>
        <stp>DS004=USD</stp>
        <stp>Fill=B</stp>
        <tr r="BE208" s="3"/>
      </tp>
      <tp t="s">
        <v>#N/A Connection</v>
        <stp/>
        <stp>##V3_BDPV12</stp>
        <stp>ASTOT Index</stp>
        <stp>PX385</stp>
        <stp>[BI_AUTMG_1_l22cd4li.xlsx]ReferenceData!R208C61</stp>
        <stp>PX391=20050401</stp>
        <stp>PX392=20050630</stp>
        <stp>DS004=USD</stp>
        <stp>Fill=B</stp>
        <tr r="BI208" s="3"/>
      </tp>
      <tp t="s">
        <v>#N/A Connection</v>
        <stp/>
        <stp>##V3_BDPV12</stp>
        <stp>ASTOT Index</stp>
        <stp>PX385</stp>
        <stp>[BI_AUTMG_1_l22cd4li.xlsx]ReferenceData!R208C65</stp>
        <stp>PX391=20040401</stp>
        <stp>PX392=20040630</stp>
        <stp>DS004=USD</stp>
        <stp>Fill=B</stp>
        <tr r="BM208" s="3"/>
      </tp>
      <tp t="s">
        <v>#N/A Connection</v>
        <stp/>
        <stp>##V3_BDPV12</stp>
        <stp>ASTOT Index</stp>
        <stp>PX385</stp>
        <stp>[BI_AUTMG_1_l22cd4li.xlsx]ReferenceData!R208C45</stp>
        <stp>PX391=20090401</stp>
        <stp>PX392=20090630</stp>
        <stp>DS004=USD</stp>
        <stp>Fill=B</stp>
        <tr r="AS208" s="3"/>
      </tp>
      <tp t="s">
        <v>#N/A Connection</v>
        <stp/>
        <stp>##V3_BDPV12</stp>
        <stp>ASTOT Index</stp>
        <stp>PX385</stp>
        <stp>[BI_AUTMG_1_l22cd4li.xlsx]ReferenceData!R208C49</stp>
        <stp>PX391=20080401</stp>
        <stp>PX392=20080630</stp>
        <stp>DS004=USD</stp>
        <stp>Fill=B</stp>
        <tr r="AW208" s="3"/>
      </tp>
      <tp t="s">
        <v>#N/A Connection</v>
        <stp/>
        <stp>##V3_BDPV12</stp>
        <stp>ASTOT Index</stp>
        <stp>PX385</stp>
        <stp>[BI_AUTMG_1_l22cd4li.xlsx]ReferenceData!R208C6</stp>
        <stp>PX391=20190101</stp>
        <stp>PX392=20190331</stp>
        <stp>DS004=USD</stp>
        <stp>Fill=B</stp>
        <tr r="F208" s="3"/>
      </tp>
      <tp t="s">
        <v>#N/A Connection</v>
        <stp/>
        <stp>##V3_BDPV12</stp>
        <stp>ASTOT Index</stp>
        <stp>PX385</stp>
        <stp>[BI_AUTMG_1_l22cd4li.xlsx]ReferenceData!R208C17</stp>
        <stp>PX391=20160401</stp>
        <stp>PX392=20160630</stp>
        <stp>DS004=USD</stp>
        <stp>Fill=B</stp>
        <tr r="Q208" s="3"/>
      </tp>
      <tp t="s">
        <v>#N/A Connection</v>
        <stp/>
        <stp>##V3_BDPV12</stp>
        <stp>ASTOT Index</stp>
        <stp>PX385</stp>
        <stp>[BI_AUTMG_1_l22cd4li.xlsx]ReferenceData!R208C13</stp>
        <stp>PX391=20170401</stp>
        <stp>PX392=20170630</stp>
        <stp>DS004=USD</stp>
        <stp>Fill=B</stp>
        <tr r="M208" s="3"/>
      </tp>
      <tp t="s">
        <v>#N/A Connection</v>
        <stp/>
        <stp>##V3_BDPV12</stp>
        <stp>ASTOT Index</stp>
        <stp>PX385</stp>
        <stp>[BI_AUTMG_1_l22cd4li.xlsx]ReferenceData!R208C25</stp>
        <stp>PX391=20140401</stp>
        <stp>PX392=20140630</stp>
        <stp>DS004=USD</stp>
        <stp>Fill=B</stp>
        <tr r="Y208" s="3"/>
      </tp>
      <tp t="s">
        <v>#N/A Connection</v>
        <stp/>
        <stp>##V3_BDPV12</stp>
        <stp>ASTOT Index</stp>
        <stp>PX385</stp>
        <stp>[BI_AUTMG_1_l22cd4li.xlsx]ReferenceData!R208C21</stp>
        <stp>PX391=20150401</stp>
        <stp>PX392=20150630</stp>
        <stp>DS004=USD</stp>
        <stp>Fill=B</stp>
        <tr r="U208" s="3"/>
      </tp>
      <tp t="s">
        <v>#N/A Connection</v>
        <stp/>
        <stp>##V3_BDPV12</stp>
        <stp>ASTOT Index</stp>
        <stp>PX385</stp>
        <stp>[BI_AUTMG_1_l22cd4li.xlsx]ReferenceData!R208C33</stp>
        <stp>PX391=20120401</stp>
        <stp>PX392=20120630</stp>
        <stp>DS004=USD</stp>
        <stp>Fill=B</stp>
        <tr r="AG208" s="3"/>
      </tp>
      <tp t="s">
        <v>#N/A Connection</v>
        <stp/>
        <stp>##V3_BDPV12</stp>
        <stp>ASTOT Index</stp>
        <stp>PX385</stp>
        <stp>[BI_AUTMG_1_l22cd4li.xlsx]ReferenceData!R208C29</stp>
        <stp>PX391=20130401</stp>
        <stp>PX392=20130630</stp>
        <stp>DS004=USD</stp>
        <stp>Fill=B</stp>
        <tr r="AC208" s="3"/>
      </tp>
      <tp t="s">
        <v>#N/A Connection</v>
        <stp/>
        <stp>##V3_BDPV12</stp>
        <stp>ASTOT Index</stp>
        <stp>PX385</stp>
        <stp>[BI_AUTMG_1_l22cd4li.xlsx]ReferenceData!R208C41</stp>
        <stp>PX391=20100401</stp>
        <stp>PX392=20100630</stp>
        <stp>DS004=USD</stp>
        <stp>Fill=B</stp>
        <tr r="AO208" s="3"/>
      </tp>
      <tp t="s">
        <v>#N/A Connection</v>
        <stp/>
        <stp>##V3_BDPV12</stp>
        <stp>ASTOT Index</stp>
        <stp>PX385</stp>
        <stp>[BI_AUTMG_1_l22cd4li.xlsx]ReferenceData!R208C37</stp>
        <stp>PX391=20110401</stp>
        <stp>PX392=20110630</stp>
        <stp>DS004=USD</stp>
        <stp>Fill=B</stp>
        <tr r="AK208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[BI_AUTMG_1_l22cd4li.xlsx]ReferenceData!R275C3</stp>
        <stp>PER=CQ</stp>
        <stp>Dts=S</stp>
        <stp>DtFmt=FI</stp>
        <stp>rows=2</stp>
        <stp>Dir=H</stp>
        <stp>Points=60</stp>
        <stp>Sort=R</stp>
        <stp>Days=A</stp>
        <stp>Fill=B</stp>
        <stp>DZ666=084</stp>
        <stp>DZ381=11111010</stp>
        <stp>DZ667=101</stp>
        <stp>DS276=Y</stp>
        <stp>FX=USD</stp>
        <tr r="C275" s="3"/>
      </tp>
      <tp t="s">
        <v>#N/A Connection</v>
        <stp/>
        <stp>##V3_BDPV12</stp>
        <stp>ASTOT Index</stp>
        <stp>PX385</stp>
        <stp>[BI_AUTMG_1_l22cd4li.xlsx]ReferenceData!R208C7</stp>
        <stp>PX391=20181001</stp>
        <stp>PX392=20181231</stp>
        <stp>DS004=USD</stp>
        <stp>Fill=B</stp>
        <tr r="G208" s="3"/>
      </tp>
      <tp t="s">
        <v>#N/A Connection</v>
        <stp/>
        <stp>##V3_BDPV12</stp>
        <stp>ASTOT Index</stp>
        <stp>PX385</stp>
        <stp>[BI_AUTMG_1_l22cd4li.xlsx]ReferenceData!R208C8</stp>
        <stp>PX391=20180701</stp>
        <stp>PX392=20180930</stp>
        <stp>DS004=USD</stp>
        <stp>Fill=B</stp>
        <tr r="H208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[BI_AUTMG_1_l22cd4li.xlsx]ReferenceData!R283C3</stp>
        <stp>PER=CQ</stp>
        <stp>Dts=S</stp>
        <stp>DtFmt=FI</stp>
        <stp>rows=2</stp>
        <stp>Dir=H</stp>
        <stp>Points=60</stp>
        <stp>Sort=R</stp>
        <stp>Days=A</stp>
        <stp>Fill=B</stp>
        <stp>DZ666=084</stp>
        <stp>DZ381=11111010</stp>
        <stp>DZ667=101</stp>
        <stp>DS276=Y</stp>
        <stp>FX=USD</stp>
        <tr r="C283" s="3"/>
      </tp>
      <tp t="s">
        <v>#N/A Connection</v>
        <stp/>
        <stp>##V3_BDHV12</stp>
        <stp>003620 KS Equity</stp>
        <stp>FS265</stp>
        <stp>-60CQ</stp>
        <stp>3/31/2019</stp>
        <stp>[BI_AUTMG_1_l22cd4li.xlsx]ReferenceData!R257C6</stp>
        <stp>Per=CQ</stp>
        <stp>Dts=H</stp>
        <stp>Dir=H</stp>
        <stp>Points=60</stp>
        <stp>Sort=R</stp>
        <stp>Days=A</stp>
        <stp>Fill=B</stp>
        <stp>DS276=N</stp>
        <stp>FX=USD</stp>
        <tr r="F257" s="3"/>
      </tp>
      <tp t="s">
        <v>#N/A Connection</v>
        <stp/>
        <stp>##V3_BDHV12</stp>
        <stp>F US Equity</stp>
        <stp>FS265</stp>
        <stp>-60CQ</stp>
        <stp>3/31/2019</stp>
        <stp>[BI_AUTMG_1_l22cd4li.xlsx]ReferenceData!R236C6</stp>
        <stp>Per=CQ</stp>
        <stp>Dts=H</stp>
        <stp>Dir=H</stp>
        <stp>Points=60</stp>
        <stp>Sort=R</stp>
        <stp>Days=A</stp>
        <stp>Fill=B</stp>
        <stp>FX=USD</stp>
        <tr r="F236" s="3"/>
      </tp>
      <tp t="s">
        <v>#N/A Connection</v>
        <stp/>
        <stp>##V3_BDHV12</stp>
        <stp>DAI GR Equity</stp>
        <stp>BI047</stp>
        <stp>-60CQ</stp>
        <stp>3/31/2019</stp>
        <stp>[BI_AUTMG_1_l22cd4li.xlsx]ReferenceData!R242C6</stp>
        <stp>Per=CQ</stp>
        <stp>Dts=H</stp>
        <stp>Dir=H</stp>
        <stp>Points=60</stp>
        <stp>Sort=R</stp>
        <stp>Days=A</stp>
        <stp>Fill=B</stp>
        <stp>DZ666=084</stp>
        <stp>DZ381=11111010</stp>
        <stp>DZ665=246397</stp>
        <stp>DZ667=1</stp>
        <stp>DS276=Y</stp>
        <stp>FX=USD</stp>
        <tr r="F242" s="3"/>
      </tp>
      <tp t="s">
        <v>#N/A Connection</v>
        <stp/>
        <stp>##V3_BDPV12</stp>
        <stp>ASTOT Index</stp>
        <stp>PX385</stp>
        <stp>[BI_AUTMG_1_l22cd4li.xlsx]ReferenceData!R208C55</stp>
        <stp>PX391=20061001</stp>
        <stp>PX392=20061231</stp>
        <stp>DS004=USD</stp>
        <stp>Fill=B</stp>
        <tr r="BC208" s="3"/>
      </tp>
      <tp t="s">
        <v>#N/A Connection</v>
        <stp/>
        <stp>##V3_BDPV12</stp>
        <stp>ASTOT Index</stp>
        <stp>PX385</stp>
        <stp>[BI_AUTMG_1_l22cd4li.xlsx]ReferenceData!R208C14</stp>
        <stp>PX391=20170101</stp>
        <stp>PX392=20170331</stp>
        <stp>DS004=USD</stp>
        <stp>Fill=B</stp>
        <tr r="N208" s="3"/>
      </tp>
      <tp t="s">
        <v>#N/A Connection</v>
        <stp/>
        <stp>##V3_BDPV12</stp>
        <stp>ASTOT Index</stp>
        <stp>PX385</stp>
        <stp>[BI_AUTMG_1_l22cd4li.xlsx]ReferenceData!R208C51</stp>
        <stp>PX391=20071001</stp>
        <stp>PX392=20071231</stp>
        <stp>DS004=USD</stp>
        <stp>Fill=B</stp>
        <tr r="AY208" s="3"/>
      </tp>
      <tp t="s">
        <v>#N/A Connection</v>
        <stp/>
        <stp>##V3_BDPV12</stp>
        <stp>ASTOT Index</stp>
        <stp>PX385</stp>
        <stp>[BI_AUTMG_1_l22cd4li.xlsx]ReferenceData!R208C18</stp>
        <stp>PX391=20160101</stp>
        <stp>PX392=20160331</stp>
        <stp>DS004=USD</stp>
        <stp>Fill=B</stp>
        <tr r="R208" s="3"/>
      </tp>
      <tp t="s">
        <v>#N/A Connection</v>
        <stp/>
        <stp>##V3_BDPV12</stp>
        <stp>ASTOT Index</stp>
        <stp>PX385</stp>
        <stp>[BI_AUTMG_1_l22cd4li.xlsx]ReferenceData!R208C63</stp>
        <stp>PX391=20041001</stp>
        <stp>PX392=20041231</stp>
        <stp>DS004=USD</stp>
        <stp>Fill=B</stp>
        <tr r="BK208" s="3"/>
      </tp>
      <tp t="s">
        <v>#N/A Connection</v>
        <stp/>
        <stp>##V3_BDPV12</stp>
        <stp>ASTOT Index</stp>
        <stp>PX385</stp>
        <stp>[BI_AUTMG_1_l22cd4li.xlsx]ReferenceData!R208C22</stp>
        <stp>PX391=20150101</stp>
        <stp>PX392=20150331</stp>
        <stp>DS004=USD</stp>
        <stp>Fill=B</stp>
        <tr r="V208" s="3"/>
      </tp>
      <tp t="s">
        <v>#N/A Connection</v>
        <stp/>
        <stp>##V3_BDPV12</stp>
        <stp>ASTOT Index</stp>
        <stp>PX385</stp>
        <stp>[BI_AUTMG_1_l22cd4li.xlsx]ReferenceData!R208C59</stp>
        <stp>PX391=20051001</stp>
        <stp>PX392=20051231</stp>
        <stp>DS004=USD</stp>
        <stp>Fill=B</stp>
        <tr r="BG208" s="3"/>
      </tp>
      <tp t="s">
        <v>#N/A Connection</v>
        <stp/>
        <stp>##V3_BDPV12</stp>
        <stp>ASTOT Index</stp>
        <stp>PX385</stp>
        <stp>[BI_AUTMG_1_l22cd4li.xlsx]ReferenceData!R208C26</stp>
        <stp>PX391=20140101</stp>
        <stp>PX392=20140331</stp>
        <stp>DS004=USD</stp>
        <stp>Fill=B</stp>
        <tr r="Z208" s="3"/>
      </tp>
      <tp t="s">
        <v>#N/A Connection</v>
        <stp/>
        <stp>##V3_BDPV12</stp>
        <stp>ASTOT Index</stp>
        <stp>PX385</stp>
        <stp>[BI_AUTMG_1_l22cd4li.xlsx]ReferenceData!R208C30</stp>
        <stp>PX391=20130101</stp>
        <stp>PX392=20130331</stp>
        <stp>DS004=USD</stp>
        <stp>Fill=B</stp>
        <tr r="AD208" s="3"/>
      </tp>
      <tp t="s">
        <v>#N/A Connection</v>
        <stp/>
        <stp>##V3_BDPV12</stp>
        <stp>ASTOT Index</stp>
        <stp>PX385</stp>
        <stp>[BI_AUTMG_1_l22cd4li.xlsx]ReferenceData!R208C34</stp>
        <stp>PX391=20120101</stp>
        <stp>PX392=20120331</stp>
        <stp>DS004=USD</stp>
        <stp>Fill=B</stp>
        <tr r="AH208" s="3"/>
      </tp>
      <tp t="s">
        <v>#N/A Connection</v>
        <stp/>
        <stp>##V3_BDPV12</stp>
        <stp>ASTOT Index</stp>
        <stp>PX385</stp>
        <stp>[BI_AUTMG_1_l22cd4li.xlsx]ReferenceData!R208C38</stp>
        <stp>PX391=20110101</stp>
        <stp>PX392=20110331</stp>
        <stp>DS004=USD</stp>
        <stp>Fill=B</stp>
        <tr r="AL208" s="3"/>
      </tp>
      <tp t="s">
        <v>#N/A Connection</v>
        <stp/>
        <stp>##V3_BDPV12</stp>
        <stp>ASTOT Index</stp>
        <stp>PX385</stp>
        <stp>[BI_AUTMG_1_l22cd4li.xlsx]ReferenceData!R208C42</stp>
        <stp>PX391=20100101</stp>
        <stp>PX392=20100331</stp>
        <stp>DS004=USD</stp>
        <stp>Fill=B</stp>
        <tr r="AP208" s="3"/>
      </tp>
      <tp t="s">
        <v>#N/A Connection</v>
        <stp/>
        <stp>##V3_BDPV12</stp>
        <stp>ASTOT Index</stp>
        <stp>PX385</stp>
        <stp>[BI_AUTMG_1_l22cd4li.xlsx]ReferenceData!R208C47</stp>
        <stp>PX391=20081001</stp>
        <stp>PX392=20081231</stp>
        <stp>DS004=USD</stp>
        <stp>Fill=B</stp>
        <tr r="AU208" s="3"/>
      </tp>
      <tp t="s">
        <v>#N/A Connection</v>
        <stp/>
        <stp>##V3_BDPV12</stp>
        <stp>ASTOT Index</stp>
        <stp>PX385</stp>
        <stp>[BI_AUTMG_1_l22cd4li.xlsx]ReferenceData!R208C10</stp>
        <stp>PX391=20180101</stp>
        <stp>PX392=20180331</stp>
        <stp>DS004=USD</stp>
        <stp>Fill=B</stp>
        <tr r="J208" s="3"/>
      </tp>
      <tp t="s">
        <v>#N/A Connection</v>
        <stp/>
        <stp>##V3_BDPV12</stp>
        <stp>ASTOT Index</stp>
        <stp>PX385</stp>
        <stp>[BI_AUTMG_1_l22cd4li.xlsx]ReferenceData!R208C43</stp>
        <stp>PX391=20091001</stp>
        <stp>PX392=20091231</stp>
        <stp>DS004=USD</stp>
        <stp>Fill=B</stp>
        <tr r="AQ208" s="3"/>
      </tp>
      <tp t="s">
        <v>#N/A Connection</v>
        <stp/>
        <stp>##V3_BDPV12</stp>
        <stp>ASTOT Index</stp>
        <stp>PX385</stp>
        <stp>[BI_AUTMG_1_l22cd4li.xlsx]ReferenceData!R208C58</stp>
        <stp>PX391=20060101</stp>
        <stp>PX392=20060331</stp>
        <stp>DS004=USD</stp>
        <stp>Fill=B</stp>
        <tr r="BF208" s="3"/>
      </tp>
      <tp t="s">
        <v>#N/A Connection</v>
        <stp/>
        <stp>##V3_BDPV12</stp>
        <stp>ASTOT Index</stp>
        <stp>PX385</stp>
        <stp>[BI_AUTMG_1_l22cd4li.xlsx]ReferenceData!R208C11</stp>
        <stp>PX391=20171001</stp>
        <stp>PX392=20171231</stp>
        <stp>DS004=USD</stp>
        <stp>Fill=B</stp>
        <tr r="K208" s="3"/>
      </tp>
      <tp t="s">
        <v>#N/A Connection</v>
        <stp/>
        <stp>##V3_BDPV12</stp>
        <stp>ASTOT Index</stp>
        <stp>PX385</stp>
        <stp>[BI_AUTMG_1_l22cd4li.xlsx]ReferenceData!R208C54</stp>
        <stp>PX391=20070101</stp>
        <stp>PX392=20070331</stp>
        <stp>DS004=USD</stp>
        <stp>Fill=B</stp>
        <tr r="BB208" s="3"/>
      </tp>
      <tp t="s">
        <v>#N/A Connection</v>
        <stp/>
        <stp>##V3_BDPV12</stp>
        <stp>ASTOT Index</stp>
        <stp>PX385</stp>
        <stp>[BI_AUTMG_1_l22cd4li.xlsx]ReferenceData!R208C15</stp>
        <stp>PX391=20161001</stp>
        <stp>PX392=20161231</stp>
        <stp>DS004=USD</stp>
        <stp>Fill=B</stp>
        <tr r="O208" s="3"/>
      </tp>
      <tp t="s">
        <v>#N/A Connection</v>
        <stp/>
        <stp>##V3_BDPV12</stp>
        <stp>ASTOT Index</stp>
        <stp>PX385</stp>
        <stp>[BI_AUTMG_1_l22cd4li.xlsx]ReferenceData!R208C19</stp>
        <stp>PX391=20151001</stp>
        <stp>PX392=20151231</stp>
        <stp>DS004=USD</stp>
        <stp>Fill=B</stp>
        <tr r="S208" s="3"/>
      </tp>
      <tp t="s">
        <v>#N/A Connection</v>
        <stp/>
        <stp>##V3_BDPV12</stp>
        <stp>ASTOT Index</stp>
        <stp>PX385</stp>
        <stp>[BI_AUTMG_1_l22cd4li.xlsx]ReferenceData!R208C62</stp>
        <stp>PX391=20050101</stp>
        <stp>PX392=20050331</stp>
        <stp>DS004=USD</stp>
        <stp>Fill=B</stp>
        <tr r="BJ208" s="3"/>
      </tp>
      <tp t="s">
        <v>#N/A Connection</v>
        <stp/>
        <stp>##V3_BDPV12</stp>
        <stp>ASTOT Index</stp>
        <stp>PX385</stp>
        <stp>[BI_AUTMG_1_l22cd4li.xlsx]ReferenceData!R208C23</stp>
        <stp>PX391=20141001</stp>
        <stp>PX392=20141231</stp>
        <stp>DS004=USD</stp>
        <stp>Fill=B</stp>
        <tr r="W208" s="3"/>
      </tp>
      <tp t="s">
        <v>#N/A Connection</v>
        <stp/>
        <stp>##V3_BDPV12</stp>
        <stp>ASTOT Index</stp>
        <stp>PX385</stp>
        <stp>[BI_AUTMG_1_l22cd4li.xlsx]ReferenceData!R208C27</stp>
        <stp>PX391=20131001</stp>
        <stp>PX392=20131231</stp>
        <stp>DS004=USD</stp>
        <stp>Fill=B</stp>
        <tr r="AA208" s="3"/>
      </tp>
      <tp t="s">
        <v>#N/A Connection</v>
        <stp/>
        <stp>##V3_BDPV12</stp>
        <stp>ASTOT Index</stp>
        <stp>PX385</stp>
        <stp>[BI_AUTMG_1_l22cd4li.xlsx]ReferenceData!R208C31</stp>
        <stp>PX391=20121001</stp>
        <stp>PX392=20121231</stp>
        <stp>DS004=USD</stp>
        <stp>Fill=B</stp>
        <tr r="AE208" s="3"/>
      </tp>
      <tp t="s">
        <v>#N/A Connection</v>
        <stp/>
        <stp>##V3_BDPV12</stp>
        <stp>ASTOT Index</stp>
        <stp>PX385</stp>
        <stp>[BI_AUTMG_1_l22cd4li.xlsx]ReferenceData!R208C35</stp>
        <stp>PX391=20111001</stp>
        <stp>PX392=20111231</stp>
        <stp>DS004=USD</stp>
        <stp>Fill=B</stp>
        <tr r="AI208" s="3"/>
      </tp>
      <tp t="s">
        <v>#N/A Connection</v>
        <stp/>
        <stp>##V3_BDPV12</stp>
        <stp>ASTOT Index</stp>
        <stp>PX385</stp>
        <stp>[BI_AUTMG_1_l22cd4li.xlsx]ReferenceData!R208C39</stp>
        <stp>PX391=20101001</stp>
        <stp>PX392=20101231</stp>
        <stp>DS004=USD</stp>
        <stp>Fill=B</stp>
        <tr r="AM208" s="3"/>
      </tp>
      <tp t="s">
        <v>#N/A Connection</v>
        <stp/>
        <stp>##V3_BDPV12</stp>
        <stp>ASTOT Index</stp>
        <stp>PX385</stp>
        <stp>[BI_AUTMG_1_l22cd4li.xlsx]ReferenceData!R208C50</stp>
        <stp>PX391=20080101</stp>
        <stp>PX392=20080331</stp>
        <stp>DS004=USD</stp>
        <stp>Fill=B</stp>
        <tr r="AX208" s="3"/>
      </tp>
      <tp t="s">
        <v>#N/A Connection</v>
        <stp/>
        <stp>##V3_BDPV12</stp>
        <stp>ASTOT Index</stp>
        <stp>PX385</stp>
        <stp>[BI_AUTMG_1_l22cd4li.xlsx]ReferenceData!R208C46</stp>
        <stp>PX391=20090101</stp>
        <stp>PX392=20090331</stp>
        <stp>DS004=USD</stp>
        <stp>Fill=B</stp>
        <tr r="AT208" s="3"/>
      </tp>
      <tp t="s">
        <v>#N/A Connection</v>
        <stp/>
        <stp>##V3_BDPV12</stp>
        <stp>ASTOT Index</stp>
        <stp>PX385</stp>
        <stp>[BI_AUTMG_1_l22cd4li.xlsx]ReferenceData!R208C9</stp>
        <stp>PX391=20180401</stp>
        <stp>PX392=20180630</stp>
        <stp>DS004=USD</stp>
        <stp>Fill=B</stp>
        <tr r="I208" s="3"/>
      </tp>
      <tp t="s">
        <v>#N/A Connection</v>
        <stp/>
        <stp>##V3_BDPV12</stp>
        <stp>WCARRO Index</stp>
        <stp>PX385</stp>
        <stp>[BI_AUTMG_1_l22cd4li.xlsx]ReferenceData!R203C7</stp>
        <stp>PX391=20181001</stp>
        <stp>PX392=20181231</stp>
        <stp>DS004=USD</stp>
        <stp>Fill=B</stp>
        <tr r="G203" s="3"/>
      </tp>
      <tp t="s">
        <v>#N/A Connection</v>
        <stp/>
        <stp>##V3_BDPV12</stp>
        <stp>WCARPO Index</stp>
        <stp>PX385</stp>
        <stp>[BI_AUTMG_1_l22cd4li.xlsx]ReferenceData!R202C7</stp>
        <stp>PX391=20181001</stp>
        <stp>PX392=20181231</stp>
        <stp>DS004=USD</stp>
        <stp>Fill=B</stp>
        <tr r="G202" s="3"/>
      </tp>
      <tp t="s">
        <v>#N/A Connection</v>
        <stp/>
        <stp>##V3_BDPV12</stp>
        <stp>WCARIC Index</stp>
        <stp>PX385</stp>
        <stp>[BI_AUTMG_1_l22cd4li.xlsx]ReferenceData!R184C9</stp>
        <stp>PX391=20180401</stp>
        <stp>PX392=20180630</stp>
        <stp>DS004=USD</stp>
        <stp>Fill=B</stp>
        <tr r="I184" s="3"/>
      </tp>
      <tp t="s">
        <v>#N/A Connection</v>
        <stp/>
        <stp>##V3_BDPV12</stp>
        <stp>WCARSK Index</stp>
        <stp>PX385</stp>
        <stp>[BI_AUTMG_1_l22cd4li.xlsx]ReferenceData!R205C9</stp>
        <stp>PX391=20180401</stp>
        <stp>PX392=20180630</stp>
        <stp>DS004=USD</stp>
        <stp>Fill=B</stp>
        <tr r="I205" s="3"/>
      </tp>
      <tp t="s">
        <v>#N/A Connection</v>
        <stp/>
        <stp>##V3_BDPV12</stp>
        <stp>WCARBG Index</stp>
        <stp>PX385</stp>
        <stp>[BI_AUTMG_1_l22cd4li.xlsx]ReferenceData!R196C6</stp>
        <stp>PX391=20190101</stp>
        <stp>PX392=20190331</stp>
        <stp>DS004=USD</stp>
        <stp>Fill=B</stp>
        <tr r="F196" s="3"/>
      </tp>
      <tp t="s">
        <v>#N/A Connection</v>
        <stp/>
        <stp>##V3_BDPV12</stp>
        <stp>TUCSMP Index</stp>
        <stp>PX385</stp>
        <stp>[BI_AUTMG_1_l22cd4li.xlsx]ReferenceData!R194C7</stp>
        <stp>PX391=20181001</stp>
        <stp>PX392=20181231</stp>
        <stp>DS004=USD</stp>
        <stp>Fill=B</stp>
        <tr r="G194" s="3"/>
      </tp>
      <tp t="s">
        <v>#N/A Connection</v>
        <stp/>
        <stp>##V3_BDHV12</stp>
        <stp>AVAZ RU Equity</stp>
        <stp>FS265</stp>
        <stp>-60CQ</stp>
        <stp>3/31/2019</stp>
        <stp>[BI_AUTMG_1_l22cd4li.xlsx]ReferenceData!R235C6</stp>
        <stp>Per=CQ</stp>
        <stp>Dts=H</stp>
        <stp>Dir=H</stp>
        <stp>Points=60</stp>
        <stp>Sort=R</stp>
        <stp>Days=A</stp>
        <stp>Fill=B</stp>
        <stp>FX=USD</stp>
        <tr r="F235" s="3"/>
      </tp>
      <tp t="s">
        <v>#N/A Connection</v>
        <stp/>
        <stp>##V3_BDPV12</stp>
        <stp>WCARLI Index</stp>
        <stp>PX385</stp>
        <stp>[BI_AUTMG_1_l22cd4li.xlsx]ReferenceData!R201C8</stp>
        <stp>PX391=20180701</stp>
        <stp>PX392=20180930</stp>
        <stp>DS004=USD</stp>
        <stp>Fill=B</stp>
        <tr r="H201" s="3"/>
      </tp>
      <tp t="s">
        <v>#N/A Connection</v>
        <stp/>
        <stp>##V3_BDPV12</stp>
        <stp>WCARPO Index</stp>
        <stp>PX385</stp>
        <stp>[BI_AUTMG_1_l22cd4li.xlsx]ReferenceData!R202C6</stp>
        <stp>PX391=20190101</stp>
        <stp>PX392=20190331</stp>
        <stp>DS004=USD</stp>
        <stp>Fill=B</stp>
        <tr r="F202" s="3"/>
      </tp>
      <tp t="s">
        <v>#N/A Connection</v>
        <stp/>
        <stp>##V3_BDPV12</stp>
        <stp>WCARRO Index</stp>
        <stp>PX385</stp>
        <stp>[BI_AUTMG_1_l22cd4li.xlsx]ReferenceData!R203C6</stp>
        <stp>PX391=20190101</stp>
        <stp>PX392=20190331</stp>
        <stp>DS004=USD</stp>
        <stp>Fill=B</stp>
        <tr r="F203" s="3"/>
      </tp>
      <tp t="s">
        <v>#N/A Connection</v>
        <stp/>
        <stp>##V3_BDPV12</stp>
        <stp>TUCSMP Index</stp>
        <stp>PX385</stp>
        <stp>[BI_AUTMG_1_l22cd4li.xlsx]ReferenceData!R194C6</stp>
        <stp>PX391=20190101</stp>
        <stp>PX392=20190331</stp>
        <stp>DS004=USD</stp>
        <stp>Fill=B</stp>
        <tr r="F194" s="3"/>
      </tp>
      <tp t="s">
        <v>#N/A Connection</v>
        <stp/>
        <stp>##V3_BDPV12</stp>
        <stp>WCARSI Index</stp>
        <stp>PX385</stp>
        <stp>[BI_AUTMG_1_l22cd4li.xlsx]ReferenceData!R206C8</stp>
        <stp>PX391=20180701</stp>
        <stp>PX392=20180930</stp>
        <stp>DS004=USD</stp>
        <stp>Fill=B</stp>
        <tr r="H206" s="3"/>
      </tp>
      <tp t="s">
        <v>#N/A Connection</v>
        <stp/>
        <stp>##V3_BDPV12</stp>
        <stp>WCARBG Index</stp>
        <stp>PX385</stp>
        <stp>[BI_AUTMG_1_l22cd4li.xlsx]ReferenceData!R196C7</stp>
        <stp>PX391=20181001</stp>
        <stp>PX392=20181231</stp>
        <stp>DS004=USD</stp>
        <stp>Fill=B</stp>
        <tr r="G196" s="3"/>
      </tp>
      <tp t="s">
        <v>#N/A Connection</v>
        <stp/>
        <stp>##V3_BDPV12</stp>
        <stp>WCARLI Index</stp>
        <stp>PX385</stp>
        <stp>[BI_AUTMG_1_l22cd4li.xlsx]ReferenceData!R201C9</stp>
        <stp>PX391=20180401</stp>
        <stp>PX392=20180630</stp>
        <stp>DS004=USD</stp>
        <stp>Fill=B</stp>
        <tr r="I201" s="3"/>
      </tp>
      <tp t="s">
        <v>#N/A Connection</v>
        <stp/>
        <stp>##V3_BDPV12</stp>
        <stp>WCARSI Index</stp>
        <stp>PX385</stp>
        <stp>[BI_AUTMG_1_l22cd4li.xlsx]ReferenceData!R206C9</stp>
        <stp>PX391=20180401</stp>
        <stp>PX392=20180630</stp>
        <stp>DS004=USD</stp>
        <stp>Fill=B</stp>
        <tr r="I206" s="3"/>
      </tp>
      <tp t="s">
        <v>#N/A Connection</v>
        <stp/>
        <stp>##V3_BDPV12</stp>
        <stp>WCAREE Index</stp>
        <stp>PX385</stp>
        <stp>[BI_AUTMG_1_l22cd4li.xlsx]ReferenceData!R198C6</stp>
        <stp>PX391=20190101</stp>
        <stp>PX392=20190331</stp>
        <stp>DS004=USD</stp>
        <stp>Fill=B</stp>
        <tr r="F198" s="3"/>
      </tp>
      <tp t="s">
        <v>#N/A Connection</v>
        <stp/>
        <stp>##V3_BDHV12</stp>
        <stp>TSLA US Equity</stp>
        <stp>FS265</stp>
        <stp>-60CQ</stp>
        <stp>3/31/2019</stp>
        <stp>[BI_AUTMG_1_l22cd4li.xlsx]ReferenceData!R260C6</stp>
        <stp>Per=CQ</stp>
        <stp>Dts=H</stp>
        <stp>Dir=H</stp>
        <stp>Points=60</stp>
        <stp>Sort=R</stp>
        <stp>Days=A</stp>
        <stp>Fill=B</stp>
        <stp>FX=USD</stp>
        <tr r="F260" s="3"/>
      </tp>
      <tp t="s">
        <v>#N/A Connection</v>
        <stp/>
        <stp>##V3_BDHV12</stp>
        <stp>PAH3 GR Equity</stp>
        <stp>FS265</stp>
        <stp>-60CQ</stp>
        <stp>3/31/2019</stp>
        <stp>[BI_AUTMG_1_l22cd4li.xlsx]ReferenceData!R256C6</stp>
        <stp>Per=CQ</stp>
        <stp>Dts=H</stp>
        <stp>Dir=H</stp>
        <stp>Points=60</stp>
        <stp>Sort=R</stp>
        <stp>Days=A</stp>
        <stp>Fill=B</stp>
        <stp>FX=USD</stp>
        <tr r="F256" s="3"/>
      </tp>
      <tp t="s">
        <v>#N/A Connection</v>
        <stp/>
        <stp>##V3_BDHV12</stp>
        <stp>RNO FP Equity</stp>
        <stp>FS265</stp>
        <stp>-60CQ</stp>
        <stp>3/31/2019</stp>
        <stp>[BI_AUTMG_1_l22cd4li.xlsx]ReferenceData!R234C6</stp>
        <stp>Per=CQ</stp>
        <stp>Dts=H</stp>
        <stp>Dir=H</stp>
        <stp>Points=60</stp>
        <stp>Sort=R</stp>
        <stp>Days=A</stp>
        <stp>Fill=B</stp>
        <stp>FX=USD</stp>
        <tr r="F234" s="3"/>
      </tp>
      <tp t="s">
        <v>#N/A Connection</v>
        <stp/>
        <stp>##V3_BDPV12</stp>
        <stp>WCARIC Index</stp>
        <stp>PX385</stp>
        <stp>[BI_AUTMG_1_l22cd4li.xlsx]ReferenceData!R184C8</stp>
        <stp>PX391=20180701</stp>
        <stp>PX392=20180930</stp>
        <stp>DS004=USD</stp>
        <stp>Fill=B</stp>
        <tr r="H184" s="3"/>
      </tp>
      <tp t="s">
        <v>#N/A Connection</v>
        <stp/>
        <stp>##V3_BDPV12</stp>
        <stp>WCARSK Index</stp>
        <stp>PX385</stp>
        <stp>[BI_AUTMG_1_l22cd4li.xlsx]ReferenceData!R205C8</stp>
        <stp>PX391=20180701</stp>
        <stp>PX392=20180930</stp>
        <stp>DS004=USD</stp>
        <stp>Fill=B</stp>
        <tr r="H205" s="3"/>
      </tp>
      <tp t="s">
        <v>#N/A Connection</v>
        <stp/>
        <stp>##V3_BDPV12</stp>
        <stp>WCAREE Index</stp>
        <stp>PX385</stp>
        <stp>[BI_AUTMG_1_l22cd4li.xlsx]ReferenceData!R198C7</stp>
        <stp>PX391=20181001</stp>
        <stp>PX392=20181231</stp>
        <stp>DS004=USD</stp>
        <stp>Fill=B</stp>
        <tr r="G198" s="3"/>
      </tp>
      <tp t="s">
        <v>#N/A Connection</v>
        <stp/>
        <stp>##V3_BDPV12</stp>
        <stp>WCARPO Index</stp>
        <stp>PX385</stp>
        <stp>[BI_AUTMG_1_l22cd4li.xlsx]ReferenceData!R202C9</stp>
        <stp>PX391=20180401</stp>
        <stp>PX392=20180630</stp>
        <stp>DS004=USD</stp>
        <stp>Fill=B</stp>
        <tr r="I202" s="3"/>
      </tp>
      <tp t="s">
        <v>#N/A Connection</v>
        <stp/>
        <stp>##V3_BDPV12</stp>
        <stp>WCARRO Index</stp>
        <stp>PX385</stp>
        <stp>[BI_AUTMG_1_l22cd4li.xlsx]ReferenceData!R203C9</stp>
        <stp>PX391=20180401</stp>
        <stp>PX392=20180630</stp>
        <stp>DS004=USD</stp>
        <stp>Fill=B</stp>
        <tr r="I203" s="3"/>
      </tp>
      <tp t="s">
        <v>#N/A Connection</v>
        <stp/>
        <stp>##V3_BDPV12</stp>
        <stp>WCARSK Index</stp>
        <stp>PX385</stp>
        <stp>[BI_AUTMG_1_l22cd4li.xlsx]ReferenceData!R205C7</stp>
        <stp>PX391=20181001</stp>
        <stp>PX392=20181231</stp>
        <stp>DS004=USD</stp>
        <stp>Fill=B</stp>
        <tr r="G205" s="3"/>
      </tp>
      <tp t="s">
        <v>#N/A Connection</v>
        <stp/>
        <stp>##V3_BDPV12</stp>
        <stp>WCARIC Index</stp>
        <stp>PX385</stp>
        <stp>[BI_AUTMG_1_l22cd4li.xlsx]ReferenceData!R184C7</stp>
        <stp>PX391=20181001</stp>
        <stp>PX392=20181231</stp>
        <stp>DS004=USD</stp>
        <stp>Fill=B</stp>
        <tr r="G184" s="3"/>
      </tp>
      <tp t="s">
        <v>#N/A Connection</v>
        <stp/>
        <stp>##V3_BDPV12</stp>
        <stp>TUCSMP Index</stp>
        <stp>PX385</stp>
        <stp>[BI_AUTMG_1_l22cd4li.xlsx]ReferenceData!R194C9</stp>
        <stp>PX391=20180401</stp>
        <stp>PX392=20180630</stp>
        <stp>DS004=USD</stp>
        <stp>Fill=B</stp>
        <tr r="I194" s="3"/>
      </tp>
      <tp t="s">
        <v>#N/A Connection</v>
        <stp/>
        <stp>##V3_BDPV12</stp>
        <stp>WCAREE Index</stp>
        <stp>PX385</stp>
        <stp>[BI_AUTMG_1_l22cd4li.xlsx]ReferenceData!R198C8</stp>
        <stp>PX391=20180701</stp>
        <stp>PX392=20180930</stp>
        <stp>DS004=USD</stp>
        <stp>Fill=B</stp>
        <tr r="H198" s="3"/>
      </tp>
      <tp t="s">
        <v>#N/A Connection</v>
        <stp/>
        <stp>##V3_BDPV12</stp>
        <stp>WCARIC Index</stp>
        <stp>PX385</stp>
        <stp>[BI_AUTMG_1_l22cd4li.xlsx]ReferenceData!R184C6</stp>
        <stp>PX391=20190101</stp>
        <stp>PX392=20190331</stp>
        <stp>DS004=USD</stp>
        <stp>Fill=B</stp>
        <tr r="F184" s="3"/>
      </tp>
      <tp t="s">
        <v>#N/A Connection</v>
        <stp/>
        <stp>##V3_BDPV12</stp>
        <stp>WCARSK Index</stp>
        <stp>PX385</stp>
        <stp>[BI_AUTMG_1_l22cd4li.xlsx]ReferenceData!R205C6</stp>
        <stp>PX391=20190101</stp>
        <stp>PX392=20190331</stp>
        <stp>DS004=USD</stp>
        <stp>Fill=B</stp>
        <tr r="F205" s="3"/>
      </tp>
      <tp t="s">
        <v>#N/A Connection</v>
        <stp/>
        <stp>##V3_BDPV12</stp>
        <stp>WCARBG Index</stp>
        <stp>PX385</stp>
        <stp>[BI_AUTMG_1_l22cd4li.xlsx]ReferenceData!R196C9</stp>
        <stp>PX391=20180401</stp>
        <stp>PX392=20180630</stp>
        <stp>DS004=USD</stp>
        <stp>Fill=B</stp>
        <tr r="I196" s="3"/>
      </tp>
      <tp t="s">
        <v>#N/A Connection</v>
        <stp/>
        <stp>##V3_BDPV12</stp>
        <stp>WCARLI Index</stp>
        <stp>PX385</stp>
        <stp>[BI_AUTMG_1_l22cd4li.xlsx]ReferenceData!R201C7</stp>
        <stp>PX391=20181001</stp>
        <stp>PX392=20181231</stp>
        <stp>DS004=USD</stp>
        <stp>Fill=B</stp>
        <tr r="G201" s="3"/>
      </tp>
      <tp t="s">
        <v>#N/A Connection</v>
        <stp/>
        <stp>##V3_BDPV12</stp>
        <stp>WCARBG Index</stp>
        <stp>PX385</stp>
        <stp>[BI_AUTMG_1_l22cd4li.xlsx]ReferenceData!R196C8</stp>
        <stp>PX391=20180701</stp>
        <stp>PX392=20180930</stp>
        <stp>DS004=USD</stp>
        <stp>Fill=B</stp>
        <tr r="H196" s="3"/>
      </tp>
      <tp t="s">
        <v>#N/A Connection</v>
        <stp/>
        <stp>##V3_BDPV12</stp>
        <stp>WCARSI Index</stp>
        <stp>PX385</stp>
        <stp>[BI_AUTMG_1_l22cd4li.xlsx]ReferenceData!R206C7</stp>
        <stp>PX391=20181001</stp>
        <stp>PX392=20181231</stp>
        <stp>DS004=USD</stp>
        <stp>Fill=B</stp>
        <tr r="G206" s="3"/>
      </tp>
      <tp t="s">
        <v>#N/A Connection</v>
        <stp/>
        <stp>##V3_BDPV12</stp>
        <stp>WCARLI Index</stp>
        <stp>PX385</stp>
        <stp>[BI_AUTMG_1_l22cd4li.xlsx]ReferenceData!R201C6</stp>
        <stp>PX391=20190101</stp>
        <stp>PX392=20190331</stp>
        <stp>DS004=USD</stp>
        <stp>Fill=B</stp>
        <tr r="F201" s="3"/>
      </tp>
      <tp t="s">
        <v>#N/A Connection</v>
        <stp/>
        <stp>##V3_BDPV12</stp>
        <stp>WCARPO Index</stp>
        <stp>PX385</stp>
        <stp>[BI_AUTMG_1_l22cd4li.xlsx]ReferenceData!R202C8</stp>
        <stp>PX391=20180701</stp>
        <stp>PX392=20180930</stp>
        <stp>DS004=USD</stp>
        <stp>Fill=B</stp>
        <tr r="H202" s="3"/>
      </tp>
      <tp t="s">
        <v>#N/A Connection</v>
        <stp/>
        <stp>##V3_BDPV12</stp>
        <stp>WCARRO Index</stp>
        <stp>PX385</stp>
        <stp>[BI_AUTMG_1_l22cd4li.xlsx]ReferenceData!R203C8</stp>
        <stp>PX391=20180701</stp>
        <stp>PX392=20180930</stp>
        <stp>DS004=USD</stp>
        <stp>Fill=B</stp>
        <tr r="H203" s="3"/>
      </tp>
      <tp t="s">
        <v>#N/A Connection</v>
        <stp/>
        <stp>##V3_BDPV12</stp>
        <stp>TUCSMP Index</stp>
        <stp>PX385</stp>
        <stp>[BI_AUTMG_1_l22cd4li.xlsx]ReferenceData!R194C8</stp>
        <stp>PX391=20180701</stp>
        <stp>PX392=20180930</stp>
        <stp>DS004=USD</stp>
        <stp>Fill=B</stp>
        <tr r="H194" s="3"/>
      </tp>
      <tp t="s">
        <v>#N/A Connection</v>
        <stp/>
        <stp>##V3_BDPV12</stp>
        <stp>WCARSI Index</stp>
        <stp>PX385</stp>
        <stp>[BI_AUTMG_1_l22cd4li.xlsx]ReferenceData!R206C6</stp>
        <stp>PX391=20190101</stp>
        <stp>PX392=20190331</stp>
        <stp>DS004=USD</stp>
        <stp>Fill=B</stp>
        <tr r="F206" s="3"/>
      </tp>
      <tp t="s">
        <v>#N/A Connection</v>
        <stp/>
        <stp>##V3_BDPV12</stp>
        <stp>WCAREE Index</stp>
        <stp>PX385</stp>
        <stp>[BI_AUTMG_1_l22cd4li.xlsx]ReferenceData!R198C9</stp>
        <stp>PX391=20180401</stp>
        <stp>PX392=20180630</stp>
        <stp>DS004=USD</stp>
        <stp>Fill=B</stp>
        <tr r="I198" s="3"/>
      </tp>
      <tp t="s">
        <v>#N/A Connection</v>
        <stp/>
        <stp>##V3_BDHV12</stp>
        <stp>VOW GR Equity</stp>
        <stp>FS265</stp>
        <stp>-60CQ</stp>
        <stp>3/31/2019</stp>
        <stp>[BI_AUTMG_1_l22cd4li.xlsx]ReferenceData!R218C6</stp>
        <stp>Per=CQ</stp>
        <stp>Dts=H</stp>
        <stp>Dir=H</stp>
        <stp>Points=60</stp>
        <stp>Sort=R</stp>
        <stp>Days=A</stp>
        <stp>Fill=B</stp>
        <stp>FX=USD</stp>
        <tr r="F218" s="3"/>
      </tp>
      <tp t="s">
        <v>#N/A Connection</v>
        <stp/>
        <stp>##V3_BDPV12</stp>
        <stp>WCARLV Index</stp>
        <stp>PX385</stp>
        <stp>[BI_AUTMG_1_l22cd4li.xlsx]ReferenceData!R200C6</stp>
        <stp>PX391=20190101</stp>
        <stp>PX392=20190331</stp>
        <stp>DS004=USD</stp>
        <stp>Fill=B</stp>
        <tr r="F200" s="3"/>
      </tp>
      <tp t="s">
        <v>#N/A Connection</v>
        <stp/>
        <stp>##V3_BDPV12</stp>
        <stp>WCARCZ Index</stp>
        <stp>PX385</stp>
        <stp>[BI_AUTMG_1_l22cd4li.xlsx]ReferenceData!R197C9</stp>
        <stp>PX391=20180401</stp>
        <stp>PX392=20180630</stp>
        <stp>DS004=USD</stp>
        <stp>Fill=B</stp>
        <tr r="I197" s="3"/>
      </tp>
      <tp t="s">
        <v>#N/A Connection</v>
        <stp/>
        <stp>##V3_BDPV12</stp>
        <stp>WCARLV Index</stp>
        <stp>PX385</stp>
        <stp>[BI_AUTMG_1_l22cd4li.xlsx]ReferenceData!R200C7</stp>
        <stp>PX391=20181001</stp>
        <stp>PX392=20181231</stp>
        <stp>DS004=USD</stp>
        <stp>Fill=B</stp>
        <tr r="G200" s="3"/>
      </tp>
      <tp t="s">
        <v>#N/A Connection</v>
        <stp/>
        <stp>##V3_BDHV12</stp>
        <stp>UG FP Equity</stp>
        <stp>FS265</stp>
        <stp>-60CQ</stp>
        <stp>3/31/2019</stp>
        <stp>[BI_AUTMG_1_l22cd4li.xlsx]ReferenceData!R239C6</stp>
        <stp>Per=CQ</stp>
        <stp>Dts=H</stp>
        <stp>Dir=H</stp>
        <stp>Points=60</stp>
        <stp>Sort=R</stp>
        <stp>Days=A</stp>
        <stp>Fill=B</stp>
        <stp>FX=USD</stp>
        <tr r="F239" s="3"/>
      </tp>
      <tp t="s">
        <v>#N/A Connection</v>
        <stp/>
        <stp>##V3_BDPV12</stp>
        <stp>WCARCZ Index</stp>
        <stp>PX385</stp>
        <stp>[BI_AUTMG_1_l22cd4li.xlsx]ReferenceData!R197C8</stp>
        <stp>PX391=20180701</stp>
        <stp>PX392=20180930</stp>
        <stp>DS004=USD</stp>
        <stp>Fill=B</stp>
        <tr r="H197" s="3"/>
      </tp>
      <tp t="s">
        <v>#N/A Connection</v>
        <stp/>
        <stp>##V3_BDPV12</stp>
        <stp>WCARCZ Index</stp>
        <stp>PX385</stp>
        <stp>[BI_AUTMG_1_l22cd4li.xlsx]ReferenceData!R197C7</stp>
        <stp>PX391=20181001</stp>
        <stp>PX392=20181231</stp>
        <stp>DS004=USD</stp>
        <stp>Fill=B</stp>
        <tr r="G197" s="3"/>
      </tp>
      <tp t="s">
        <v>#N/A Connection</v>
        <stp/>
        <stp>##V3_BDPV12</stp>
        <stp>WCARLV Index</stp>
        <stp>PX385</stp>
        <stp>[BI_AUTMG_1_l22cd4li.xlsx]ReferenceData!R200C9</stp>
        <stp>PX391=20180401</stp>
        <stp>PX392=20180630</stp>
        <stp>DS004=USD</stp>
        <stp>Fill=B</stp>
        <tr r="I200" s="3"/>
      </tp>
      <tp t="s">
        <v>#N/A Connection</v>
        <stp/>
        <stp>##V3_BDPV12</stp>
        <stp>WCARCZ Index</stp>
        <stp>PX385</stp>
        <stp>[BI_AUTMG_1_l22cd4li.xlsx]ReferenceData!R197C6</stp>
        <stp>PX391=20190101</stp>
        <stp>PX392=20190331</stp>
        <stp>DS004=USD</stp>
        <stp>Fill=B</stp>
        <tr r="F197" s="3"/>
      </tp>
      <tp t="s">
        <v>#N/A Connection</v>
        <stp/>
        <stp>##V3_BDPV12</stp>
        <stp>WCARLV Index</stp>
        <stp>PX385</stp>
        <stp>[BI_AUTMG_1_l22cd4li.xlsx]ReferenceData!R200C8</stp>
        <stp>PX391=20180701</stp>
        <stp>PX392=20180930</stp>
        <stp>DS004=USD</stp>
        <stp>Fill=B</stp>
        <tr r="H200" s="3"/>
      </tp>
      <tp t="s">
        <v>#N/A Connection</v>
        <stp/>
        <stp>##V3_BDPV12</stp>
        <stp>SINVHR Index</stp>
        <stp>PX385</stp>
        <stp>[BI_AUTMG_1_l22cd4li.xlsx]ReferenceData!R172C7</stp>
        <stp>PX391=20181001</stp>
        <stp>PX392=20181231</stp>
        <stp>DS004=USD</stp>
        <stp>Fill=B</stp>
        <tr r="G172" s="3"/>
      </tp>
      <tp t="s">
        <v>#N/A Connection</v>
        <stp/>
        <stp>##V3_BDHV12</stp>
        <stp>FCAU US Equity</stp>
        <stp>BI047</stp>
        <stp>-60CQ</stp>
        <stp>3/31/2019</stp>
        <stp>[BI_AUTMG_1_l22cd4li.xlsx]ReferenceData!R238C6</stp>
        <stp>Per=CQ</stp>
        <stp>Dts=H</stp>
        <stp>Dir=H</stp>
        <stp>Points=60</stp>
        <stp>Sort=R</stp>
        <stp>Days=A</stp>
        <stp>Fill=B</stp>
        <stp>FX=USD</stp>
        <tr r="F238" s="3"/>
      </tp>
      <tp t="s">
        <v>#N/A Connection</v>
        <stp/>
        <stp>##V3_BDPV12</stp>
        <stp>SINVHR Index</stp>
        <stp>PX385</stp>
        <stp>[BI_AUTMG_1_l22cd4li.xlsx]ReferenceData!R172C6</stp>
        <stp>PX391=20190101</stp>
        <stp>PX392=20190331</stp>
        <stp>DS004=USD</stp>
        <stp>Fill=B</stp>
        <tr r="F172" s="3"/>
      </tp>
      <tp t="s">
        <v>#N/A Connection</v>
        <stp/>
        <stp>##V3_BDPV12</stp>
        <stp>WCARHU Index</stp>
        <stp>PX385</stp>
        <stp>[BI_AUTMG_1_l22cd4li.xlsx]ReferenceData!R199C6</stp>
        <stp>PX391=20190101</stp>
        <stp>PX392=20190331</stp>
        <stp>DS004=USD</stp>
        <stp>Fill=B</stp>
        <tr r="F199" s="3"/>
      </tp>
      <tp t="s">
        <v>#N/A Connection</v>
        <stp/>
        <stp>##V3_BDPV12</stp>
        <stp>WCARHU Index</stp>
        <stp>PX385</stp>
        <stp>[BI_AUTMG_1_l22cd4li.xlsx]ReferenceData!R199C7</stp>
        <stp>PX391=20181001</stp>
        <stp>PX392=20181231</stp>
        <stp>DS004=USD</stp>
        <stp>Fill=B</stp>
        <tr r="G199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[BI_AUTMG_1_l22cd4li.xlsx]ReferenceData!R223C6</stp>
        <stp>Per=CQ</stp>
        <stp>Dts=H</stp>
        <stp>Dir=H</stp>
        <stp>Points=60</stp>
        <stp>Sort=R</stp>
        <stp>Days=A</stp>
        <stp>Fill=B</stp>
        <stp>DZ666=084</stp>
        <stp>DZ381=11111010</stp>
        <stp>DZ667=40</stp>
        <stp>DS276=Y</stp>
        <stp>FX=USD</stp>
        <tr r="F223" s="3"/>
      </tp>
      <tp t="s">
        <v>#N/A Connection</v>
        <stp/>
        <stp>##V3_BDHV12</stp>
        <stp>BMW GR Equity</stp>
        <stp>FS265</stp>
        <stp>-60CQ</stp>
        <stp>3/31/2019</stp>
        <stp>[BI_AUTMG_1_l22cd4li.xlsx]ReferenceData!R246C6</stp>
        <stp>Per=CQ</stp>
        <stp>Dts=H</stp>
        <stp>Dir=H</stp>
        <stp>Points=60</stp>
        <stp>Sort=R</stp>
        <stp>Days=A</stp>
        <stp>Fill=B</stp>
        <stp>FX=USD</stp>
        <tr r="F246" s="3"/>
      </tp>
      <tp t="s">
        <v>#N/A Connection</v>
        <stp/>
        <stp>##V3_BDPV12</stp>
        <stp>WCARHU Index</stp>
        <stp>PX385</stp>
        <stp>[BI_AUTMG_1_l22cd4li.xlsx]ReferenceData!R199C8</stp>
        <stp>PX391=20180701</stp>
        <stp>PX392=20180930</stp>
        <stp>DS004=USD</stp>
        <stp>Fill=B</stp>
        <tr r="H199" s="3"/>
      </tp>
      <tp t="s">
        <v>#N/A Connection</v>
        <stp/>
        <stp>##V3_BDPV12</stp>
        <stp>SINVHR Index</stp>
        <stp>PX385</stp>
        <stp>[BI_AUTMG_1_l22cd4li.xlsx]ReferenceData!R172C9</stp>
        <stp>PX391=20180401</stp>
        <stp>PX392=20180630</stp>
        <stp>DS004=USD</stp>
        <stp>Fill=B</stp>
        <tr r="I172" s="3"/>
      </tp>
      <tp t="s">
        <v>#N/A Connection</v>
        <stp/>
        <stp>##V3_BDPV12</stp>
        <stp>WCARHU Index</stp>
        <stp>PX385</stp>
        <stp>[BI_AUTMG_1_l22cd4li.xlsx]ReferenceData!R199C9</stp>
        <stp>PX391=20180401</stp>
        <stp>PX392=20180630</stp>
        <stp>DS004=USD</stp>
        <stp>Fill=B</stp>
        <tr r="I199" s="3"/>
      </tp>
      <tp t="s">
        <v>#N/A Connection</v>
        <stp/>
        <stp>##V3_BDPV12</stp>
        <stp>SINVHR Index</stp>
        <stp>PX385</stp>
        <stp>[BI_AUTMG_1_l22cd4li.xlsx]ReferenceData!R172C8</stp>
        <stp>PX391=20180701</stp>
        <stp>PX392=20180930</stp>
        <stp>DS004=USD</stp>
        <stp>Fill=B</stp>
        <tr r="H172" s="3"/>
      </tp>
    </main>
    <main first="bloomberg.ccyreader">
      <tp>
        <v>0</v>
        <stp/>
        <stp>#track</stp>
        <stp>DBG</stp>
        <stp>BIHITX</stp>
        <stp>1.0</stp>
        <stp>RepeatHit</stp>
        <tr r="A150" s="3"/>
      </tp>
    </main>
    <main first="bloomberg.rtd">
      <tp t="s">
        <v>#N/A Connection</v>
        <stp/>
        <stp>##V3_BDHV12</stp>
        <stp>005380 KS Equity</stp>
        <stp>FS265</stp>
        <stp>-60CQ</stp>
        <stp>3/31/2019</stp>
        <stp>[BI_AUTMG_1_l22cd4li.xlsx]ReferenceData!R232C6</stp>
        <stp>Per=CQ</stp>
        <stp>Dts=H</stp>
        <stp>Dir=H</stp>
        <stp>Points=60</stp>
        <stp>Sort=R</stp>
        <stp>Days=A</stp>
        <stp>Fill=B</stp>
        <stp>FX=USD</stp>
        <tr r="F232" s="3"/>
      </tp>
      <tp t="s">
        <v>#N/A Connection</v>
        <stp/>
        <stp>##V3_BDHV12</stp>
        <stp>000270 KS Equity</stp>
        <stp>FS265</stp>
        <stp>-60CQ</stp>
        <stp>3/31/2019</stp>
        <stp>[BI_AUTMG_1_l22cd4li.xlsx]ReferenceData!R233C6</stp>
        <stp>Per=CQ</stp>
        <stp>Dts=H</stp>
        <stp>Dir=H</stp>
        <stp>Points=60</stp>
        <stp>Sort=R</stp>
        <stp>Days=A</stp>
        <stp>Fill=B</stp>
        <stp>FX=USD</stp>
        <tr r="F233" s="3"/>
      </tp>
      <tp t="s">
        <v>#N/A Connection</v>
        <stp/>
        <stp>##V3_BDHV12</stp>
        <stp>000927 CH Equity</stp>
        <stp>FS265</stp>
        <stp>-60CQ</stp>
        <stp>3/31/2019</stp>
        <stp>[BI_AUTMG_1_l22cd4li.xlsx]ReferenceData!R252C6</stp>
        <stp>Per=CQ</stp>
        <stp>Dts=H</stp>
        <stp>Dir=H</stp>
        <stp>Points=60</stp>
        <stp>Sort=R</stp>
        <stp>Days=A</stp>
        <stp>Fill=B</stp>
        <stp>FX=USD</stp>
        <tr r="F252" s="3"/>
      </tp>
      <tp t="s">
        <v>#N/A Connection</v>
        <stp/>
        <stp>##V3_BDHV12</stp>
        <stp>000800 CH Equity</stp>
        <stp>FS265</stp>
        <stp>-60CQ</stp>
        <stp>3/31/2019</stp>
        <stp>[BI_AUTMG_1_l22cd4li.xlsx]ReferenceData!R254C6</stp>
        <stp>Per=CQ</stp>
        <stp>Dts=H</stp>
        <stp>Dir=H</stp>
        <stp>Points=60</stp>
        <stp>Sort=R</stp>
        <stp>Days=A</stp>
        <stp>Fill=B</stp>
        <stp>FX=USD</stp>
        <tr r="F254" s="3"/>
      </tp>
      <tp t="s">
        <v>#N/A Connection</v>
        <stp/>
        <stp>##V3_BDHV12</stp>
        <stp>600166 CH Equity</stp>
        <stp>FS265</stp>
        <stp>-60CQ</stp>
        <stp>3/31/2019</stp>
        <stp>[BI_AUTMG_1_l22cd4li.xlsx]ReferenceData!R248C6</stp>
        <stp>Per=CQ</stp>
        <stp>Dts=H</stp>
        <stp>Dir=H</stp>
        <stp>Points=60</stp>
        <stp>Sort=R</stp>
        <stp>Days=A</stp>
        <stp>Fill=B</stp>
        <stp>FX=USD</stp>
        <tr r="F248" s="3"/>
      </tp>
      <tp t="s">
        <v>#N/A Connection</v>
        <stp/>
        <stp>##V3_BDHV12</stp>
        <stp>600104 CH Equity</stp>
        <stp>FS265</stp>
        <stp>-60CQ</stp>
        <stp>3/31/2019</stp>
        <stp>[BI_AUTMG_1_l22cd4li.xlsx]ReferenceData!R237C6</stp>
        <stp>Per=CQ</stp>
        <stp>Dts=H</stp>
        <stp>Dir=H</stp>
        <stp>Points=60</stp>
        <stp>Sort=R</stp>
        <stp>Days=A</stp>
        <stp>Fill=B</stp>
        <stp>FX=USD</stp>
        <tr r="F237" s="3"/>
      </tp>
      <tp t="s">
        <v>#N/A Connection</v>
        <stp/>
        <stp>##V3_BDHV12</stp>
        <stp>200625 CH Equity</stp>
        <stp>FS265</stp>
        <stp>-60CQ</stp>
        <stp>3/31/2019</stp>
        <stp>[BI_AUTMG_1_l22cd4li.xlsx]ReferenceData!R241C6</stp>
        <stp>Per=CQ</stp>
        <stp>Dts=H</stp>
        <stp>Dir=H</stp>
        <stp>Points=60</stp>
        <stp>Sort=R</stp>
        <stp>Days=A</stp>
        <stp>Fill=B</stp>
        <stp>FX=USD</stp>
        <tr r="F241" s="3"/>
      </tp>
      <tp t="s">
        <v>#N/A Connection</v>
        <stp/>
        <stp>##V3_BDHV12</stp>
        <stp>200550 CH Equity</stp>
        <stp>FS265</stp>
        <stp>-60CQ</stp>
        <stp>3/31/2019</stp>
        <stp>[BI_AUTMG_1_l22cd4li.xlsx]ReferenceData!R253C6</stp>
        <stp>Per=CQ</stp>
        <stp>Dts=H</stp>
        <stp>Dir=H</stp>
        <stp>Points=60</stp>
        <stp>Sort=R</stp>
        <stp>Days=A</stp>
        <stp>Fill=B</stp>
        <stp>FX=USD</stp>
        <tr r="F253" s="3"/>
      </tp>
      <tp t="s">
        <v>#N/A Connection</v>
        <stp/>
        <stp>##V3_BDHV12</stp>
        <stp>600418 CH Equity</stp>
        <stp>FS265</stp>
        <stp>-60CQ</stp>
        <stp>3/31/2019</stp>
        <stp>[BI_AUTMG_1_l22cd4li.xlsx]ReferenceData!R249C6</stp>
        <stp>Per=CQ</stp>
        <stp>Dts=H</stp>
        <stp>Dir=H</stp>
        <stp>Points=60</stp>
        <stp>Sort=R</stp>
        <stp>Days=A</stp>
        <stp>Fill=B</stp>
        <stp>FX=USD</stp>
        <tr r="F249" s="3"/>
      </tp>
      <tp t="s">
        <v>#N/A Connection</v>
        <stp/>
        <stp>##V3_BDPV12</stp>
        <stp>INVSDPAS Index</stp>
        <stp>PX385</stp>
        <stp>[BI_AUTMG_1_l22cd4li.xlsx]ReferenceData!R163C7</stp>
        <stp>PX391=20181001</stp>
        <stp>PX392=20181231</stp>
        <stp>DS004=USD</stp>
        <stp>Fill=B</stp>
        <tr r="G163" s="3"/>
      </tp>
      <tp t="s">
        <v>#N/A Connection</v>
        <stp/>
        <stp>##V3_BDPV12</stp>
        <stp>INVSDMUT Index</stp>
        <stp>PX385</stp>
        <stp>[BI_AUTMG_1_l22cd4li.xlsx]ReferenceData!R164C8</stp>
        <stp>PX391=20180701</stp>
        <stp>PX392=20180930</stp>
        <stp>DS004=USD</stp>
        <stp>Fill=B</stp>
        <tr r="H164" s="3"/>
      </tp>
      <tp t="s">
        <v>#N/A Connection</v>
        <stp/>
        <stp>##V3_BDPV12</stp>
        <stp>MAVSTTL Index</stp>
        <stp>PX385</stp>
        <stp>[BI_AUTMG_1_l22cd4li.xlsx]ReferenceData!R168C9</stp>
        <stp>PX391=20180401</stp>
        <stp>PX392=20180630</stp>
        <stp>DS004=USD</stp>
        <stp>Fill=B</stp>
        <tr r="I168" s="3"/>
      </tp>
      <tp t="s">
        <v>#N/A Connection</v>
        <stp/>
        <stp>##V3_BDPV12</stp>
        <stp>TWVSDOM Index</stp>
        <stp>PX385</stp>
        <stp>[BI_AUTMG_1_l22cd4li.xlsx]ReferenceData!R173C9</stp>
        <stp>PX391=20180401</stp>
        <stp>PX392=20180630</stp>
        <stp>DS004=USD</stp>
        <stp>Fill=B</stp>
        <tr r="I173" s="3"/>
      </tp>
      <tp t="s">
        <v>#N/A Connection</v>
        <stp/>
        <stp>##V3_BDPV12</stp>
        <stp>CNVSTTL Index</stp>
        <stp>PX385</stp>
        <stp>[BI_AUTMG_1_l22cd4li.xlsx]ReferenceData!R162C9</stp>
        <stp>PX391=20180401</stp>
        <stp>PX392=20180630</stp>
        <stp>DS004=USD</stp>
        <stp>Fill=B</stp>
        <tr r="I162" s="3"/>
      </tp>
      <tp t="s">
        <v>#N/A Connection</v>
        <stp/>
        <stp>##V3_BDPV12</stp>
        <stp>BZVLTOTL Index</stp>
        <stp>PX385</stp>
        <stp>[BI_AUTMG_1_l22cd4li.xlsx]ReferenceData!R211C8</stp>
        <stp>PX391=20180701</stp>
        <stp>PX392=20180930</stp>
        <stp>DS004=USD</stp>
        <stp>Fill=B</stp>
        <tr r="H211" s="3"/>
      </tp>
      <tp t="s">
        <v>#N/A Connection</v>
        <stp/>
        <stp>##V3_BDPV12</stp>
        <stp>BJTRNPGV Index</stp>
        <stp>PX385</stp>
        <stp>[BI_AUTMG_1_l22cd4li.xlsx]ReferenceData!R215C24</stp>
        <stp>PX391=20140701</stp>
        <stp>PX392=20140930</stp>
        <stp>DS004=USD</stp>
        <stp>Fill=B</stp>
        <tr r="X215" s="3"/>
      </tp>
      <tp t="s">
        <v>#N/A Connection</v>
        <stp/>
        <stp>##V3_BDPV12</stp>
        <stp>INVSDPAS Index</stp>
        <stp>PX385</stp>
        <stp>[BI_AUTMG_1_l22cd4li.xlsx]ReferenceData!R163C35</stp>
        <stp>PX391=20111001</stp>
        <stp>PX392=20111231</stp>
        <stp>DS004=USD</stp>
        <stp>Fill=B</stp>
        <tr r="AI163" s="3"/>
      </tp>
      <tp t="s">
        <v>#N/A Connection</v>
        <stp/>
        <stp>##V3_BDPV12</stp>
        <stp>BJTRNPGV Index</stp>
        <stp>PX385</stp>
        <stp>[BI_AUTMG_1_l22cd4li.xlsx]ReferenceData!R215C20</stp>
        <stp>PX391=20150701</stp>
        <stp>PX392=20150930</stp>
        <stp>DS004=USD</stp>
        <stp>Fill=B</stp>
        <tr r="T215" s="3"/>
      </tp>
      <tp t="s">
        <v>#N/A Connection</v>
        <stp/>
        <stp>##V3_BDPV12</stp>
        <stp>INVSDPAS Index</stp>
        <stp>PX385</stp>
        <stp>[BI_AUTMG_1_l22cd4li.xlsx]ReferenceData!R163C39</stp>
        <stp>PX391=20101001</stp>
        <stp>PX392=20101231</stp>
        <stp>DS004=USD</stp>
        <stp>Fill=B</stp>
        <tr r="AM163" s="3"/>
      </tp>
      <tp t="s">
        <v>#N/A Connection</v>
        <stp/>
        <stp>##V3_BDPV12</stp>
        <stp>BJTRNPGV Index</stp>
        <stp>PX385</stp>
        <stp>[BI_AUTMG_1_l22cd4li.xlsx]ReferenceData!R215C16</stp>
        <stp>PX391=20160701</stp>
        <stp>PX392=20160930</stp>
        <stp>DS004=USD</stp>
        <stp>Fill=B</stp>
        <tr r="P215" s="3"/>
      </tp>
      <tp t="s">
        <v>#N/A Connection</v>
        <stp/>
        <stp>##V3_BDPV12</stp>
        <stp>INVSDPAS Index</stp>
        <stp>PX385</stp>
        <stp>[BI_AUTMG_1_l22cd4li.xlsx]ReferenceData!R163C27</stp>
        <stp>PX391=20131001</stp>
        <stp>PX392=20131231</stp>
        <stp>DS004=USD</stp>
        <stp>Fill=B</stp>
        <tr r="AA163" s="3"/>
      </tp>
      <tp t="s">
        <v>#N/A Connection</v>
        <stp/>
        <stp>##V3_BDPV12</stp>
        <stp>INVSDPAS Index</stp>
        <stp>PX385</stp>
        <stp>[BI_AUTMG_1_l22cd4li.xlsx]ReferenceData!R163C31</stp>
        <stp>PX391=20121001</stp>
        <stp>PX392=20121231</stp>
        <stp>DS004=USD</stp>
        <stp>Fill=B</stp>
        <tr r="AE163" s="3"/>
      </tp>
      <tp t="s">
        <v>#N/A Connection</v>
        <stp/>
        <stp>##V3_BDPV12</stp>
        <stp>BJTRNPGV Index</stp>
        <stp>PX385</stp>
        <stp>[BI_AUTMG_1_l22cd4li.xlsx]ReferenceData!R215C12</stp>
        <stp>PX391=20170701</stp>
        <stp>PX392=20170930</stp>
        <stp>DS004=USD</stp>
        <stp>Fill=B</stp>
        <tr r="L215" s="3"/>
      </tp>
      <tp t="s">
        <v>#N/A Connection</v>
        <stp/>
        <stp>##V3_BDPV12</stp>
        <stp>WCARIC Index</stp>
        <stp>PX385</stp>
        <stp>[BI_AUTMG_1_l22cd4li.xlsx]ReferenceData!R184C45</stp>
        <stp>PX391=20090401</stp>
        <stp>PX392=20090630</stp>
        <stp>DS004=USD</stp>
        <stp>Fill=B</stp>
        <tr r="AS184" s="3"/>
      </tp>
      <tp t="s">
        <v>#N/A Connection</v>
        <stp/>
        <stp>##V3_BDPV12</stp>
        <stp>WCARLV Index</stp>
        <stp>PX385</stp>
        <stp>[BI_AUTMG_1_l22cd4li.xlsx]ReferenceData!R200C47</stp>
        <stp>PX391=20081001</stp>
        <stp>PX392=20081231</stp>
        <stp>DS004=USD</stp>
        <stp>Fill=B</stp>
        <tr r="AU200" s="3"/>
      </tp>
      <tp t="s">
        <v>#N/A Connection</v>
        <stp/>
        <stp>##V3_BDPV12</stp>
        <stp>WCARLI Index</stp>
        <stp>PX385</stp>
        <stp>[BI_AUTMG_1_l22cd4li.xlsx]ReferenceData!R201C50</stp>
        <stp>PX391=20080101</stp>
        <stp>PX392=20080331</stp>
        <stp>DS004=USD</stp>
        <stp>Fill=B</stp>
        <tr r="AX201" s="3"/>
      </tp>
      <tp t="s">
        <v>#N/A Connection</v>
        <stp/>
        <stp>##V3_BDPV12</stp>
        <stp>WCARCZ Index</stp>
        <stp>PX385</stp>
        <stp>[BI_AUTMG_1_l22cd4li.xlsx]ReferenceData!R197C44</stp>
        <stp>PX391=20090701</stp>
        <stp>PX392=20090930</stp>
        <stp>DS004=USD</stp>
        <stp>Fill=B</stp>
        <tr r="AR197" s="3"/>
      </tp>
      <tp t="s">
        <v>#N/A Connection</v>
        <stp/>
        <stp>##V3_BDPV12</stp>
        <stp>BJTRNPGV Index</stp>
        <stp>PX385</stp>
        <stp>[BI_AUTMG_1_l22cd4li.xlsx]ReferenceData!R215C40</stp>
        <stp>PX391=20100701</stp>
        <stp>PX392=20100930</stp>
        <stp>DS004=USD</stp>
        <stp>Fill=B</stp>
        <tr r="AN215" s="3"/>
      </tp>
      <tp t="s">
        <v>#N/A Connection</v>
        <stp/>
        <stp>##V3_BDPV12</stp>
        <stp>INVSDPAS Index</stp>
        <stp>PX385</stp>
        <stp>[BI_AUTMG_1_l22cd4li.xlsx]ReferenceData!R163C19</stp>
        <stp>PX391=20151001</stp>
        <stp>PX392=20151231</stp>
        <stp>DS004=USD</stp>
        <stp>Fill=B</stp>
        <tr r="S163" s="3"/>
      </tp>
      <tp t="s">
        <v>#N/A Connection</v>
        <stp/>
        <stp>##V3_BDPV12</stp>
        <stp>WCARLV Index</stp>
        <stp>PX385</stp>
        <stp>[BI_AUTMG_1_l22cd4li.xlsx]ReferenceData!R200C10</stp>
        <stp>PX391=20180101</stp>
        <stp>PX392=20180331</stp>
        <stp>DS004=USD</stp>
        <stp>Fill=B</stp>
        <tr r="J200" s="3"/>
      </tp>
      <tp t="s">
        <v>#N/A Connection</v>
        <stp/>
        <stp>##V3_BDPV12</stp>
        <stp>WCARIC Index</stp>
        <stp>PX385</stp>
        <stp>[BI_AUTMG_1_l22cd4li.xlsx]ReferenceData!R184C49</stp>
        <stp>PX391=20080401</stp>
        <stp>PX392=20080630</stp>
        <stp>DS004=USD</stp>
        <stp>Fill=B</stp>
        <tr r="AW184" s="3"/>
      </tp>
      <tp t="s">
        <v>#N/A Connection</v>
        <stp/>
        <stp>##V3_BDPV12</stp>
        <stp>WCARLI Index</stp>
        <stp>PX385</stp>
        <stp>[BI_AUTMG_1_l22cd4li.xlsx]ReferenceData!R201C46</stp>
        <stp>PX391=20090101</stp>
        <stp>PX392=20090331</stp>
        <stp>DS004=USD</stp>
        <stp>Fill=B</stp>
        <tr r="AT201" s="3"/>
      </tp>
      <tp t="s">
        <v>#N/A Connection</v>
        <stp/>
        <stp>##V3_BDPV12</stp>
        <stp>WCARLV Index</stp>
        <stp>PX385</stp>
        <stp>[BI_AUTMG_1_l22cd4li.xlsx]ReferenceData!R200C43</stp>
        <stp>PX391=20091001</stp>
        <stp>PX392=20091231</stp>
        <stp>DS004=USD</stp>
        <stp>Fill=B</stp>
        <tr r="AQ200" s="3"/>
      </tp>
      <tp t="s">
        <v>#N/A Connection</v>
        <stp/>
        <stp>##V3_BDPV12</stp>
        <stp>WCARCZ Index</stp>
        <stp>PX385</stp>
        <stp>[BI_AUTMG_1_l22cd4li.xlsx]ReferenceData!R197C48</stp>
        <stp>PX391=20080701</stp>
        <stp>PX392=20080930</stp>
        <stp>DS004=USD</stp>
        <stp>Fill=B</stp>
        <tr r="AV197" s="3"/>
      </tp>
      <tp t="s">
        <v>#N/A Connection</v>
        <stp/>
        <stp>##V3_BDPV12</stp>
        <stp>INVSDPAS Index</stp>
        <stp>PX385</stp>
        <stp>[BI_AUTMG_1_l22cd4li.xlsx]ReferenceData!R163C62</stp>
        <stp>PX391=20050101</stp>
        <stp>PX392=20050331</stp>
        <stp>DS004=USD</stp>
        <stp>Fill=B</stp>
        <tr r="BJ163" s="3"/>
      </tp>
      <tp t="s">
        <v>#N/A Connection</v>
        <stp/>
        <stp>##V3_BDPV12</stp>
        <stp>BJTRNPGV Index</stp>
        <stp>PX385</stp>
        <stp>[BI_AUTMG_1_l22cd4li.xlsx]ReferenceData!R215C36</stp>
        <stp>PX391=20110701</stp>
        <stp>PX392=20110930</stp>
        <stp>DS004=USD</stp>
        <stp>Fill=B</stp>
        <tr r="AJ215" s="3"/>
      </tp>
      <tp t="s">
        <v>#N/A Connection</v>
        <stp/>
        <stp>##V3_BDPV12</stp>
        <stp>INVSDPAS Index</stp>
        <stp>PX385</stp>
        <stp>[BI_AUTMG_1_l22cd4li.xlsx]ReferenceData!R163C23</stp>
        <stp>PX391=20141001</stp>
        <stp>PX392=20141231</stp>
        <stp>DS004=USD</stp>
        <stp>Fill=B</stp>
        <tr r="W163" s="3"/>
      </tp>
      <tp t="s">
        <v>#N/A Connection</v>
        <stp/>
        <stp>##V3_BDPV12</stp>
        <stp>INVSDPAS Index</stp>
        <stp>PX385</stp>
        <stp>[BI_AUTMG_1_l22cd4li.xlsx]ReferenceData!R163C58</stp>
        <stp>PX391=20060101</stp>
        <stp>PX392=20060331</stp>
        <stp>DS004=USD</stp>
        <stp>Fill=B</stp>
        <tr r="BF163" s="3"/>
      </tp>
      <tp t="s">
        <v>#N/A Connection</v>
        <stp/>
        <stp>##V3_BDPV12</stp>
        <stp>BJTRNPGV Index</stp>
        <stp>PX385</stp>
        <stp>[BI_AUTMG_1_l22cd4li.xlsx]ReferenceData!R215C32</stp>
        <stp>PX391=20120701</stp>
        <stp>PX392=20120930</stp>
        <stp>DS004=USD</stp>
        <stp>Fill=B</stp>
        <tr r="AF215" s="3"/>
      </tp>
      <tp t="s">
        <v>#N/A Connection</v>
        <stp/>
        <stp>##V3_BDPV12</stp>
        <stp>INVSDPAS Index</stp>
        <stp>PX385</stp>
        <stp>[BI_AUTMG_1_l22cd4li.xlsx]ReferenceData!R163C11</stp>
        <stp>PX391=20171001</stp>
        <stp>PX392=20171231</stp>
        <stp>DS004=USD</stp>
        <stp>Fill=B</stp>
        <tr r="K163" s="3"/>
      </tp>
      <tp t="s">
        <v>#N/A Connection</v>
        <stp/>
        <stp>##V3_BDPV12</stp>
        <stp>INVSDPAS Index</stp>
        <stp>PX385</stp>
        <stp>[BI_AUTMG_1_l22cd4li.xlsx]ReferenceData!R163C54</stp>
        <stp>PX391=20070101</stp>
        <stp>PX392=20070331</stp>
        <stp>DS004=USD</stp>
        <stp>Fill=B</stp>
        <tr r="BB163" s="3"/>
      </tp>
      <tp t="s">
        <v>#N/A Connection</v>
        <stp/>
        <stp>##V3_BDPV12</stp>
        <stp>INVSDPAS Index</stp>
        <stp>PX385</stp>
        <stp>[BI_AUTMG_1_l22cd4li.xlsx]ReferenceData!R163C15</stp>
        <stp>PX391=20161001</stp>
        <stp>PX392=20161231</stp>
        <stp>DS004=USD</stp>
        <stp>Fill=B</stp>
        <tr r="O163" s="3"/>
      </tp>
      <tp t="s">
        <v>#N/A Connection</v>
        <stp/>
        <stp>##V3_BDPV12</stp>
        <stp>BJTRNPGV Index</stp>
        <stp>PX385</stp>
        <stp>[BI_AUTMG_1_l22cd4li.xlsx]ReferenceData!R215C28</stp>
        <stp>PX391=20130701</stp>
        <stp>PX392=20130930</stp>
        <stp>DS004=USD</stp>
        <stp>Fill=B</stp>
        <tr r="AB215" s="3"/>
      </tp>
      <tp t="s">
        <v>#N/A Connection</v>
        <stp/>
        <stp>##V3_BDPV12</stp>
        <stp>WCARBG Index</stp>
        <stp>PX385</stp>
        <stp>[BI_AUTMG_1_l22cd4li.xlsx]ReferenceData!R196C24</stp>
        <stp>PX391=20140701</stp>
        <stp>PX392=20140930</stp>
        <stp>DS004=USD</stp>
        <stp>Fill=B</stp>
        <tr r="X196" s="3"/>
      </tp>
      <tp t="s">
        <v>#N/A Connection</v>
        <stp/>
        <stp>##V3_BDPV12</stp>
        <stp>WCARCZ Index</stp>
        <stp>PX385</stp>
        <stp>[BI_AUTMG_1_l22cd4li.xlsx]ReferenceData!R197C60</stp>
        <stp>PX391=20050701</stp>
        <stp>PX392=20050930</stp>
        <stp>DS004=USD</stp>
        <stp>Fill=B</stp>
        <tr r="BH197" s="3"/>
      </tp>
      <tp t="s">
        <v>#N/A Connection</v>
        <stp/>
        <stp>##V3_BDPV12</stp>
        <stp>WCARLV Index</stp>
        <stp>PX385</stp>
        <stp>[BI_AUTMG_1_l22cd4li.xlsx]ReferenceData!R200C63</stp>
        <stp>PX391=20041001</stp>
        <stp>PX392=20041231</stp>
        <stp>DS004=USD</stp>
        <stp>Fill=B</stp>
        <tr r="BK200" s="3"/>
      </tp>
      <tp t="s">
        <v>#N/A Connection</v>
        <stp/>
        <stp>##V3_BDPV12</stp>
        <stp>WCARIC Index</stp>
        <stp>PX385</stp>
        <stp>[BI_AUTMG_1_l22cd4li.xlsx]ReferenceData!R184C61</stp>
        <stp>PX391=20050401</stp>
        <stp>PX392=20050630</stp>
        <stp>DS004=USD</stp>
        <stp>Fill=B</stp>
        <tr r="BI184" s="3"/>
      </tp>
      <tp t="s">
        <v>#N/A Connection</v>
        <stp/>
        <stp>##V3_BDPV12</stp>
        <stp>WCARLI Index</stp>
        <stp>PX385</stp>
        <stp>[BI_AUTMG_1_l22cd4li.xlsx]ReferenceData!R201C19</stp>
        <stp>PX391=20151001</stp>
        <stp>PX392=20151231</stp>
        <stp>DS004=USD</stp>
        <stp>Fill=B</stp>
        <tr r="S201" s="3"/>
      </tp>
      <tp t="s">
        <v>#N/A Connection</v>
        <stp/>
        <stp>##V3_BDPV12</stp>
        <stp>WCARLV Index</stp>
        <stp>PX385</stp>
        <stp>[BI_AUTMG_1_l22cd4li.xlsx]ReferenceData!R200C22</stp>
        <stp>PX391=20150101</stp>
        <stp>PX392=20150331</stp>
        <stp>DS004=USD</stp>
        <stp>Fill=B</stp>
        <tr r="V200" s="3"/>
      </tp>
      <tp t="s">
        <v>#N/A Connection</v>
        <stp/>
        <stp>##V3_BDPV12</stp>
        <stp>TUCSMP Index</stp>
        <stp>PX385</stp>
        <stp>[BI_AUTMG_1_l22cd4li.xlsx]ReferenceData!R194C20</stp>
        <stp>PX391=20150701</stp>
        <stp>PX392=20150930</stp>
        <stp>DS004=USD</stp>
        <stp>Fill=B</stp>
        <tr r="T194" s="3"/>
      </tp>
      <tp t="s">
        <v>#N/A Connection</v>
        <stp/>
        <stp>##V3_BDPV12</stp>
        <stp>WCARSK Index</stp>
        <stp>PX385</stp>
        <stp>[BI_AUTMG_1_l22cd4li.xlsx]ReferenceData!R205C25</stp>
        <stp>PX391=20140401</stp>
        <stp>PX392=20140630</stp>
        <stp>DS004=USD</stp>
        <stp>Fill=B</stp>
        <tr r="Y205" s="3"/>
      </tp>
      <tp t="s">
        <v>#N/A Connection</v>
        <stp/>
        <stp>##V3_BDPV12</stp>
        <stp>WCARSI Index</stp>
        <stp>PX385</stp>
        <stp>[BI_AUTMG_1_l22cd4li.xlsx]ReferenceData!R206C24</stp>
        <stp>PX391=20140701</stp>
        <stp>PX392=20140930</stp>
        <stp>DS004=USD</stp>
        <stp>Fill=B</stp>
        <tr r="X206" s="3"/>
      </tp>
      <tp t="s">
        <v>#N/A Connection</v>
        <stp/>
        <stp>##V3_BDPV12</stp>
        <stp>INVSDPAS Index</stp>
        <stp>PX385</stp>
        <stp>[BI_AUTMG_1_l22cd4li.xlsx]ReferenceData!R163C50</stp>
        <stp>PX391=20080101</stp>
        <stp>PX392=20080331</stp>
        <stp>DS004=USD</stp>
        <stp>Fill=B</stp>
        <tr r="AX163" s="3"/>
      </tp>
      <tp t="s">
        <v>#N/A Connection</v>
        <stp/>
        <stp>##V3_BDPV12</stp>
        <stp>WCARBG Index</stp>
        <stp>PX385</stp>
        <stp>[BI_AUTMG_1_l22cd4li.xlsx]ReferenceData!R196C20</stp>
        <stp>PX391=20150701</stp>
        <stp>PX392=20150930</stp>
        <stp>DS004=USD</stp>
        <stp>Fill=B</stp>
        <tr r="T196" s="3"/>
      </tp>
      <tp t="s">
        <v>#N/A Connection</v>
        <stp/>
        <stp>##V3_BDPV12</stp>
        <stp>WCARCZ Index</stp>
        <stp>PX385</stp>
        <stp>[BI_AUTMG_1_l22cd4li.xlsx]ReferenceData!R197C64</stp>
        <stp>PX391=20040701</stp>
        <stp>PX392=20040930</stp>
        <stp>DS004=USD</stp>
        <stp>Fill=B</stp>
        <tr r="BL197" s="3"/>
      </tp>
      <tp t="s">
        <v>#N/A Connection</v>
        <stp/>
        <stp>##V3_BDPV12</stp>
        <stp>WCARLV Index</stp>
        <stp>PX385</stp>
        <stp>[BI_AUTMG_1_l22cd4li.xlsx]ReferenceData!R200C59</stp>
        <stp>PX391=20051001</stp>
        <stp>PX392=20051231</stp>
        <stp>DS004=USD</stp>
        <stp>Fill=B</stp>
        <tr r="BG200" s="3"/>
      </tp>
      <tp t="s">
        <v>#N/A Connection</v>
        <stp/>
        <stp>##V3_BDPV12</stp>
        <stp>WCARLI Index</stp>
        <stp>PX385</stp>
        <stp>[BI_AUTMG_1_l22cd4li.xlsx]ReferenceData!R201C62</stp>
        <stp>PX391=20050101</stp>
        <stp>PX392=20050331</stp>
        <stp>DS004=USD</stp>
        <stp>Fill=B</stp>
        <tr r="BJ201" s="3"/>
      </tp>
      <tp t="s">
        <v>#N/A Connection</v>
        <stp/>
        <stp>##V3_BDPV12</stp>
        <stp>WCARIC Index</stp>
        <stp>PX385</stp>
        <stp>[BI_AUTMG_1_l22cd4li.xlsx]ReferenceData!R184C65</stp>
        <stp>PX391=20040401</stp>
        <stp>PX392=20040630</stp>
        <stp>DS004=USD</stp>
        <stp>Fill=B</stp>
        <tr r="BM184" s="3"/>
      </tp>
      <tp t="s">
        <v>#N/A Connection</v>
        <stp/>
        <stp>##V3_BDPV12</stp>
        <stp>WCARLI Index</stp>
        <stp>PX385</stp>
        <stp>[BI_AUTMG_1_l22cd4li.xlsx]ReferenceData!R201C23</stp>
        <stp>PX391=20141001</stp>
        <stp>PX392=20141231</stp>
        <stp>DS004=USD</stp>
        <stp>Fill=B</stp>
        <tr r="W201" s="3"/>
      </tp>
      <tp t="s">
        <v>#N/A Connection</v>
        <stp/>
        <stp>##V3_BDPV12</stp>
        <stp>TUCSMP Index</stp>
        <stp>PX385</stp>
        <stp>[BI_AUTMG_1_l22cd4li.xlsx]ReferenceData!R194C24</stp>
        <stp>PX391=20140701</stp>
        <stp>PX392=20140930</stp>
        <stp>DS004=USD</stp>
        <stp>Fill=B</stp>
        <tr r="X194" s="3"/>
      </tp>
      <tp t="s">
        <v>#N/A Connection</v>
        <stp/>
        <stp>##V3_BDPV12</stp>
        <stp>WCARLV Index</stp>
        <stp>PX385</stp>
        <stp>[BI_AUTMG_1_l22cd4li.xlsx]ReferenceData!R200C26</stp>
        <stp>PX391=20140101</stp>
        <stp>PX392=20140331</stp>
        <stp>DS004=USD</stp>
        <stp>Fill=B</stp>
        <tr r="Z200" s="3"/>
      </tp>
      <tp t="s">
        <v>#N/A Connection</v>
        <stp/>
        <stp>##V3_BDPV12</stp>
        <stp>WCARSK Index</stp>
        <stp>PX385</stp>
        <stp>[BI_AUTMG_1_l22cd4li.xlsx]ReferenceData!R205C21</stp>
        <stp>PX391=20150401</stp>
        <stp>PX392=20150630</stp>
        <stp>DS004=USD</stp>
        <stp>Fill=B</stp>
        <tr r="U205" s="3"/>
      </tp>
      <tp t="s">
        <v>#N/A Connection</v>
        <stp/>
        <stp>##V3_BDPV12</stp>
        <stp>WCARSI Index</stp>
        <stp>PX385</stp>
        <stp>[BI_AUTMG_1_l22cd4li.xlsx]ReferenceData!R206C20</stp>
        <stp>PX391=20150701</stp>
        <stp>PX392=20150930</stp>
        <stp>DS004=USD</stp>
        <stp>Fill=B</stp>
        <tr r="T206" s="3"/>
      </tp>
      <tp t="s">
        <v>#N/A Connection</v>
        <stp/>
        <stp>##V3_BDPV12</stp>
        <stp>INVSDPAS Index</stp>
        <stp>PX385</stp>
        <stp>[BI_AUTMG_1_l22cd4li.xlsx]ReferenceData!R163C46</stp>
        <stp>PX391=20090101</stp>
        <stp>PX392=20090331</stp>
        <stp>DS004=USD</stp>
        <stp>Fill=B</stp>
        <tr r="AT163" s="3"/>
      </tp>
      <tp t="s">
        <v>#N/A Connection</v>
        <stp/>
        <stp>##V3_BDPV12</stp>
        <stp>WCARBG Index</stp>
        <stp>PX385</stp>
        <stp>[BI_AUTMG_1_l22cd4li.xlsx]ReferenceData!R196C16</stp>
        <stp>PX391=20160701</stp>
        <stp>PX392=20160930</stp>
        <stp>DS004=USD</stp>
        <stp>Fill=B</stp>
        <tr r="P196" s="3"/>
      </tp>
      <tp t="s">
        <v>#N/A Connection</v>
        <stp/>
        <stp>##V3_BDPV12</stp>
        <stp>WCARCZ Index</stp>
        <stp>PX385</stp>
        <stp>[BI_AUTMG_1_l22cd4li.xlsx]ReferenceData!R197C52</stp>
        <stp>PX391=20070701</stp>
        <stp>PX392=20070930</stp>
        <stp>DS004=USD</stp>
        <stp>Fill=B</stp>
        <tr r="AZ197" s="3"/>
      </tp>
      <tp t="s">
        <v>#N/A Connection</v>
        <stp/>
        <stp>##V3_BDPV12</stp>
        <stp>WCARLI Index</stp>
        <stp>PX385</stp>
        <stp>[BI_AUTMG_1_l22cd4li.xlsx]ReferenceData!R201C58</stp>
        <stp>PX391=20060101</stp>
        <stp>PX392=20060331</stp>
        <stp>DS004=USD</stp>
        <stp>Fill=B</stp>
        <tr r="BF201" s="3"/>
      </tp>
      <tp t="s">
        <v>#N/A Connection</v>
        <stp/>
        <stp>##V3_BDPV12</stp>
        <stp>WCARLV Index</stp>
        <stp>PX385</stp>
        <stp>[BI_AUTMG_1_l22cd4li.xlsx]ReferenceData!R200C55</stp>
        <stp>PX391=20061001</stp>
        <stp>PX392=20061231</stp>
        <stp>DS004=USD</stp>
        <stp>Fill=B</stp>
        <tr r="BC200" s="3"/>
      </tp>
      <tp t="s">
        <v>#N/A Connection</v>
        <stp/>
        <stp>##V3_BDPV12</stp>
        <stp>WCARIC Index</stp>
        <stp>PX385</stp>
        <stp>[BI_AUTMG_1_l22cd4li.xlsx]ReferenceData!R184C53</stp>
        <stp>PX391=20070401</stp>
        <stp>PX392=20070630</stp>
        <stp>DS004=USD</stp>
        <stp>Fill=B</stp>
        <tr r="BA184" s="3"/>
      </tp>
      <tp t="s">
        <v>#N/A Connection</v>
        <stp/>
        <stp>##V3_BDPV12</stp>
        <stp>WCARLI Index</stp>
        <stp>PX385</stp>
        <stp>[BI_AUTMG_1_l22cd4li.xlsx]ReferenceData!R201C11</stp>
        <stp>PX391=20171001</stp>
        <stp>PX392=20171231</stp>
        <stp>DS004=USD</stp>
        <stp>Fill=B</stp>
        <tr r="K201" s="3"/>
      </tp>
      <tp t="s">
        <v>#N/A Connection</v>
        <stp/>
        <stp>##V3_BDPV12</stp>
        <stp>TUCSMP Index</stp>
        <stp>PX385</stp>
        <stp>[BI_AUTMG_1_l22cd4li.xlsx]ReferenceData!R194C12</stp>
        <stp>PX391=20170701</stp>
        <stp>PX392=20170930</stp>
        <stp>DS004=USD</stp>
        <stp>Fill=B</stp>
        <tr r="L194" s="3"/>
      </tp>
      <tp t="s">
        <v>#N/A Connection</v>
        <stp/>
        <stp>##V3_BDPV12</stp>
        <stp>WCARLV Index</stp>
        <stp>PX385</stp>
        <stp>[BI_AUTMG_1_l22cd4li.xlsx]ReferenceData!R200C14</stp>
        <stp>PX391=20170101</stp>
        <stp>PX392=20170331</stp>
        <stp>DS004=USD</stp>
        <stp>Fill=B</stp>
        <tr r="N200" s="3"/>
      </tp>
      <tp t="s">
        <v>#N/A Connection</v>
        <stp/>
        <stp>##V3_BDPV12</stp>
        <stp>WCARSK Index</stp>
        <stp>PX385</stp>
        <stp>[BI_AUTMG_1_l22cd4li.xlsx]ReferenceData!R205C17</stp>
        <stp>PX391=20160401</stp>
        <stp>PX392=20160630</stp>
        <stp>DS004=USD</stp>
        <stp>Fill=B</stp>
        <tr r="Q205" s="3"/>
      </tp>
      <tp t="s">
        <v>#N/A Connection</v>
        <stp/>
        <stp>##V3_BDPV12</stp>
        <stp>WCARSI Index</stp>
        <stp>PX385</stp>
        <stp>[BI_AUTMG_1_l22cd4li.xlsx]ReferenceData!R206C16</stp>
        <stp>PX391=20160701</stp>
        <stp>PX392=20160930</stp>
        <stp>DS004=USD</stp>
        <stp>Fill=B</stp>
        <tr r="P206" s="3"/>
      </tp>
      <tp t="s">
        <v>#N/A Connection</v>
        <stp/>
        <stp>##V3_BDPV12</stp>
        <stp>WCARBG Index</stp>
        <stp>PX385</stp>
        <stp>[BI_AUTMG_1_l22cd4li.xlsx]ReferenceData!R196C12</stp>
        <stp>PX391=20170701</stp>
        <stp>PX392=20170930</stp>
        <stp>DS004=USD</stp>
        <stp>Fill=B</stp>
        <tr r="L196" s="3"/>
      </tp>
      <tp t="s">
        <v>#N/A Connection</v>
        <stp/>
        <stp>##V3_BDPV12</stp>
        <stp>WCARCZ Index</stp>
        <stp>PX385</stp>
        <stp>[BI_AUTMG_1_l22cd4li.xlsx]ReferenceData!R197C56</stp>
        <stp>PX391=20060701</stp>
        <stp>PX392=20060930</stp>
        <stp>DS004=USD</stp>
        <stp>Fill=B</stp>
        <tr r="BD197" s="3"/>
      </tp>
      <tp t="s">
        <v>#N/A Connection</v>
        <stp/>
        <stp>##V3_BDPV12</stp>
        <stp>WCARLV Index</stp>
        <stp>PX385</stp>
        <stp>[BI_AUTMG_1_l22cd4li.xlsx]ReferenceData!R200C51</stp>
        <stp>PX391=20071001</stp>
        <stp>PX392=20071231</stp>
        <stp>DS004=USD</stp>
        <stp>Fill=B</stp>
        <tr r="AY200" s="3"/>
      </tp>
      <tp t="s">
        <v>#N/A Connection</v>
        <stp/>
        <stp>##V3_BDPV12</stp>
        <stp>WCARLI Index</stp>
        <stp>PX385</stp>
        <stp>[BI_AUTMG_1_l22cd4li.xlsx]ReferenceData!R201C54</stp>
        <stp>PX391=20070101</stp>
        <stp>PX392=20070331</stp>
        <stp>DS004=USD</stp>
        <stp>Fill=B</stp>
        <tr r="BB201" s="3"/>
      </tp>
      <tp t="s">
        <v>#N/A Connection</v>
        <stp/>
        <stp>##V3_BDPV12</stp>
        <stp>WCARIC Index</stp>
        <stp>PX385</stp>
        <stp>[BI_AUTMG_1_l22cd4li.xlsx]ReferenceData!R184C57</stp>
        <stp>PX391=20060401</stp>
        <stp>PX392=20060630</stp>
        <stp>DS004=USD</stp>
        <stp>Fill=B</stp>
        <tr r="BE184" s="3"/>
      </tp>
      <tp t="s">
        <v>#N/A Connection</v>
        <stp/>
        <stp>##V3_BDPV12</stp>
        <stp>WCARLV Index</stp>
        <stp>PX385</stp>
        <stp>[BI_AUTMG_1_l22cd4li.xlsx]ReferenceData!R200C18</stp>
        <stp>PX391=20160101</stp>
        <stp>PX392=20160331</stp>
        <stp>DS004=USD</stp>
        <stp>Fill=B</stp>
        <tr r="R200" s="3"/>
      </tp>
      <tp t="s">
        <v>#N/A Connection</v>
        <stp/>
        <stp>##V3_BDPV12</stp>
        <stp>WCARLI Index</stp>
        <stp>PX385</stp>
        <stp>[BI_AUTMG_1_l22cd4li.xlsx]ReferenceData!R201C15</stp>
        <stp>PX391=20161001</stp>
        <stp>PX392=20161231</stp>
        <stp>DS004=USD</stp>
        <stp>Fill=B</stp>
        <tr r="O201" s="3"/>
      </tp>
      <tp t="s">
        <v>#N/A Connection</v>
        <stp/>
        <stp>##V3_BDPV12</stp>
        <stp>TUCSMP Index</stp>
        <stp>PX385</stp>
        <stp>[BI_AUTMG_1_l22cd4li.xlsx]ReferenceData!R194C16</stp>
        <stp>PX391=20160701</stp>
        <stp>PX392=20160930</stp>
        <stp>DS004=USD</stp>
        <stp>Fill=B</stp>
        <tr r="P194" s="3"/>
      </tp>
      <tp t="s">
        <v>#N/A Connection</v>
        <stp/>
        <stp>##V3_BDPV12</stp>
        <stp>WCARSK Index</stp>
        <stp>PX385</stp>
        <stp>[BI_AUTMG_1_l22cd4li.xlsx]ReferenceData!R205C13</stp>
        <stp>PX391=20170401</stp>
        <stp>PX392=20170630</stp>
        <stp>DS004=USD</stp>
        <stp>Fill=B</stp>
        <tr r="M205" s="3"/>
      </tp>
      <tp t="s">
        <v>#N/A Connection</v>
        <stp/>
        <stp>##V3_BDPV12</stp>
        <stp>WCARSI Index</stp>
        <stp>PX385</stp>
        <stp>[BI_AUTMG_1_l22cd4li.xlsx]ReferenceData!R206C12</stp>
        <stp>PX391=20170701</stp>
        <stp>PX392=20170930</stp>
        <stp>DS004=USD</stp>
        <stp>Fill=B</stp>
        <tr r="L206" s="3"/>
      </tp>
      <tp t="s">
        <v>#N/A Connection</v>
        <stp/>
        <stp>##V3_BDPV12</stp>
        <stp>WCARBG Index</stp>
        <stp>PX385</stp>
        <stp>[BI_AUTMG_1_l22cd4li.xlsx]ReferenceData!R196C40</stp>
        <stp>PX391=20100701</stp>
        <stp>PX392=20100930</stp>
        <stp>DS004=USD</stp>
        <stp>Fill=B</stp>
        <tr r="AN196" s="3"/>
      </tp>
      <tp t="s">
        <v>#N/A Connection</v>
        <stp/>
        <stp>##V3_BDPV12</stp>
        <stp>WCARLI Index</stp>
        <stp>PX385</stp>
        <stp>[BI_AUTMG_1_l22cd4li.xlsx]ReferenceData!R201C35</stp>
        <stp>PX391=20111001</stp>
        <stp>PX392=20111231</stp>
        <stp>DS004=USD</stp>
        <stp>Fill=B</stp>
        <tr r="AI201" s="3"/>
      </tp>
      <tp t="s">
        <v>#N/A Connection</v>
        <stp/>
        <stp>##V3_BDPV12</stp>
        <stp>TUCSMP Index</stp>
        <stp>PX385</stp>
        <stp>[BI_AUTMG_1_l22cd4li.xlsx]ReferenceData!R194C36</stp>
        <stp>PX391=20110701</stp>
        <stp>PX392=20110930</stp>
        <stp>DS004=USD</stp>
        <stp>Fill=B</stp>
        <tr r="AJ194" s="3"/>
      </tp>
      <tp t="s">
        <v>#N/A Connection</v>
        <stp/>
        <stp>##V3_BDPV12</stp>
        <stp>WCARLV Index</stp>
        <stp>PX385</stp>
        <stp>[BI_AUTMG_1_l22cd4li.xlsx]ReferenceData!R200C38</stp>
        <stp>PX391=20110101</stp>
        <stp>PX392=20110331</stp>
        <stp>DS004=USD</stp>
        <stp>Fill=B</stp>
        <tr r="AL200" s="3"/>
      </tp>
      <tp t="s">
        <v>#N/A Connection</v>
        <stp/>
        <stp>##V3_BDPV12</stp>
        <stp>WCARSK Index</stp>
        <stp>PX385</stp>
        <stp>[BI_AUTMG_1_l22cd4li.xlsx]ReferenceData!R205C41</stp>
        <stp>PX391=20100401</stp>
        <stp>PX392=20100630</stp>
        <stp>DS004=USD</stp>
        <stp>Fill=B</stp>
        <tr r="AO205" s="3"/>
      </tp>
      <tp t="s">
        <v>#N/A Connection</v>
        <stp/>
        <stp>##V3_BDPV12</stp>
        <stp>WCARSI Index</stp>
        <stp>PX385</stp>
        <stp>[BI_AUTMG_1_l22cd4li.xlsx]ReferenceData!R206C40</stp>
        <stp>PX391=20100701</stp>
        <stp>PX392=20100930</stp>
        <stp>DS004=USD</stp>
        <stp>Fill=B</stp>
        <tr r="AN206" s="3"/>
      </tp>
      <tp t="s">
        <v>#N/A Connection</v>
        <stp/>
        <stp>##V3_BDPV12</stp>
        <stp>WCARBG Index</stp>
        <stp>PX385</stp>
        <stp>[BI_AUTMG_1_l22cd4li.xlsx]ReferenceData!R196C36</stp>
        <stp>PX391=20110701</stp>
        <stp>PX392=20110930</stp>
        <stp>DS004=USD</stp>
        <stp>Fill=B</stp>
        <tr r="AJ196" s="3"/>
      </tp>
      <tp t="s">
        <v>#N/A Connection</v>
        <stp/>
        <stp>##V3_BDPV12</stp>
        <stp>WCARLI Index</stp>
        <stp>PX385</stp>
        <stp>[BI_AUTMG_1_l22cd4li.xlsx]ReferenceData!R201C39</stp>
        <stp>PX391=20101001</stp>
        <stp>PX392=20101231</stp>
        <stp>DS004=USD</stp>
        <stp>Fill=B</stp>
        <tr r="AM201" s="3"/>
      </tp>
      <tp t="s">
        <v>#N/A Connection</v>
        <stp/>
        <stp>##V3_BDPV12</stp>
        <stp>TUCSMP Index</stp>
        <stp>PX385</stp>
        <stp>[BI_AUTMG_1_l22cd4li.xlsx]ReferenceData!R194C40</stp>
        <stp>PX391=20100701</stp>
        <stp>PX392=20100930</stp>
        <stp>DS004=USD</stp>
        <stp>Fill=B</stp>
        <tr r="AN194" s="3"/>
      </tp>
      <tp t="s">
        <v>#N/A Connection</v>
        <stp/>
        <stp>##V3_BDPV12</stp>
        <stp>WCARLV Index</stp>
        <stp>PX385</stp>
        <stp>[BI_AUTMG_1_l22cd4li.xlsx]ReferenceData!R200C42</stp>
        <stp>PX391=20100101</stp>
        <stp>PX392=20100331</stp>
        <stp>DS004=USD</stp>
        <stp>Fill=B</stp>
        <tr r="AP200" s="3"/>
      </tp>
      <tp t="s">
        <v>#N/A Connection</v>
        <stp/>
        <stp>##V3_BDPV12</stp>
        <stp>WCARSK Index</stp>
        <stp>PX385</stp>
        <stp>[BI_AUTMG_1_l22cd4li.xlsx]ReferenceData!R205C37</stp>
        <stp>PX391=20110401</stp>
        <stp>PX392=20110630</stp>
        <stp>DS004=USD</stp>
        <stp>Fill=B</stp>
        <tr r="AK205" s="3"/>
      </tp>
      <tp t="s">
        <v>#N/A Connection</v>
        <stp/>
        <stp>##V3_BDPV12</stp>
        <stp>WCARSI Index</stp>
        <stp>PX385</stp>
        <stp>[BI_AUTMG_1_l22cd4li.xlsx]ReferenceData!R206C36</stp>
        <stp>PX391=20110701</stp>
        <stp>PX392=20110930</stp>
        <stp>DS004=USD</stp>
        <stp>Fill=B</stp>
        <tr r="AJ206" s="3"/>
      </tp>
      <tp t="s">
        <v>#N/A Connection</v>
        <stp/>
        <stp>##V3_BDPV12</stp>
        <stp>WCARBG Index</stp>
        <stp>PX385</stp>
        <stp>[BI_AUTMG_1_l22cd4li.xlsx]ReferenceData!R196C32</stp>
        <stp>PX391=20120701</stp>
        <stp>PX392=20120930</stp>
        <stp>DS004=USD</stp>
        <stp>Fill=B</stp>
        <tr r="AF196" s="3"/>
      </tp>
      <tp t="s">
        <v>#N/A Connection</v>
        <stp/>
        <stp>##V3_BDPV12</stp>
        <stp>WCARLV Index</stp>
        <stp>PX385</stp>
        <stp>[BI_AUTMG_1_l22cd4li.xlsx]ReferenceData!R200C30</stp>
        <stp>PX391=20130101</stp>
        <stp>PX392=20130331</stp>
        <stp>DS004=USD</stp>
        <stp>Fill=B</stp>
        <tr r="AD200" s="3"/>
      </tp>
      <tp t="s">
        <v>#N/A Connection</v>
        <stp/>
        <stp>##V3_BDPV12</stp>
        <stp>TUCSMP Index</stp>
        <stp>PX385</stp>
        <stp>[BI_AUTMG_1_l22cd4li.xlsx]ReferenceData!R194C28</stp>
        <stp>PX391=20130701</stp>
        <stp>PX392=20130930</stp>
        <stp>DS004=USD</stp>
        <stp>Fill=B</stp>
        <tr r="AB194" s="3"/>
      </tp>
      <tp t="s">
        <v>#N/A Connection</v>
        <stp/>
        <stp>##V3_BDPV12</stp>
        <stp>WCARLI Index</stp>
        <stp>PX385</stp>
        <stp>[BI_AUTMG_1_l22cd4li.xlsx]ReferenceData!R201C27</stp>
        <stp>PX391=20131001</stp>
        <stp>PX392=20131231</stp>
        <stp>DS004=USD</stp>
        <stp>Fill=B</stp>
        <tr r="AA201" s="3"/>
      </tp>
      <tp t="s">
        <v>#N/A Connection</v>
        <stp/>
        <stp>##V3_BDPV12</stp>
        <stp>WCARSK Index</stp>
        <stp>PX385</stp>
        <stp>[BI_AUTMG_1_l22cd4li.xlsx]ReferenceData!R205C33</stp>
        <stp>PX391=20120401</stp>
        <stp>PX392=20120630</stp>
        <stp>DS004=USD</stp>
        <stp>Fill=B</stp>
        <tr r="AG205" s="3"/>
      </tp>
      <tp t="s">
        <v>#N/A Connection</v>
        <stp/>
        <stp>##V3_BDPV12</stp>
        <stp>WCARSI Index</stp>
        <stp>PX385</stp>
        <stp>[BI_AUTMG_1_l22cd4li.xlsx]ReferenceData!R206C32</stp>
        <stp>PX391=20120701</stp>
        <stp>PX392=20120930</stp>
        <stp>DS004=USD</stp>
        <stp>Fill=B</stp>
        <tr r="AF206" s="3"/>
      </tp>
      <tp t="s">
        <v>#N/A Connection</v>
        <stp/>
        <stp>##V3_BDPV12</stp>
        <stp>WCARBG Index</stp>
        <stp>PX385</stp>
        <stp>[BI_AUTMG_1_l22cd4li.xlsx]ReferenceData!R196C28</stp>
        <stp>PX391=20130701</stp>
        <stp>PX392=20130930</stp>
        <stp>DS004=USD</stp>
        <stp>Fill=B</stp>
        <tr r="AB196" s="3"/>
      </tp>
      <tp t="s">
        <v>#N/A Connection</v>
        <stp/>
        <stp>##V3_BDPV12</stp>
        <stp>WCARLV Index</stp>
        <stp>PX385</stp>
        <stp>[BI_AUTMG_1_l22cd4li.xlsx]ReferenceData!R200C34</stp>
        <stp>PX391=20120101</stp>
        <stp>PX392=20120331</stp>
        <stp>DS004=USD</stp>
        <stp>Fill=B</stp>
        <tr r="AH200" s="3"/>
      </tp>
      <tp t="s">
        <v>#N/A Connection</v>
        <stp/>
        <stp>##V3_BDPV12</stp>
        <stp>WCARLI Index</stp>
        <stp>PX385</stp>
        <stp>[BI_AUTMG_1_l22cd4li.xlsx]ReferenceData!R201C31</stp>
        <stp>PX391=20121001</stp>
        <stp>PX392=20121231</stp>
        <stp>DS004=USD</stp>
        <stp>Fill=B</stp>
        <tr r="AE201" s="3"/>
      </tp>
      <tp t="s">
        <v>#N/A Connection</v>
        <stp/>
        <stp>##V3_BDPV12</stp>
        <stp>TUCSMP Index</stp>
        <stp>PX385</stp>
        <stp>[BI_AUTMG_1_l22cd4li.xlsx]ReferenceData!R194C32</stp>
        <stp>PX391=20120701</stp>
        <stp>PX392=20120930</stp>
        <stp>DS004=USD</stp>
        <stp>Fill=B</stp>
        <tr r="AF194" s="3"/>
      </tp>
      <tp t="s">
        <v>#N/A Connection</v>
        <stp/>
        <stp>##V3_BDPV12</stp>
        <stp>WCARSI Index</stp>
        <stp>PX385</stp>
        <stp>[BI_AUTMG_1_l22cd4li.xlsx]ReferenceData!R206C28</stp>
        <stp>PX391=20130701</stp>
        <stp>PX392=20130930</stp>
        <stp>DS004=USD</stp>
        <stp>Fill=B</stp>
        <tr r="AB206" s="3"/>
      </tp>
      <tp t="s">
        <v>#N/A Connection</v>
        <stp/>
        <stp>##V3_BDPV12</stp>
        <stp>WCARSK Index</stp>
        <stp>PX385</stp>
        <stp>[BI_AUTMG_1_l22cd4li.xlsx]ReferenceData!R205C29</stp>
        <stp>PX391=20130401</stp>
        <stp>PX392=20130630</stp>
        <stp>DS004=USD</stp>
        <stp>Fill=B</stp>
        <tr r="AC205" s="3"/>
      </tp>
      <tp t="s">
        <v>#N/A Connection</v>
        <stp/>
        <stp>##V3_BDPV12</stp>
        <stp>WCARNLI Index</stp>
        <stp>PX385</stp>
        <stp>[BI_AUTMG_1_l22cd4li.xlsx]ReferenceData!R188C20</stp>
        <stp>PX391=20150701</stp>
        <stp>PX392=20150930</stp>
        <stp>DS004=USD</stp>
        <stp>Fill=B</stp>
        <tr r="T188" s="3"/>
      </tp>
      <tp t="s">
        <v>#N/A Connection</v>
        <stp/>
        <stp>##V3_BDPV12</stp>
        <stp>WCARNOI Index</stp>
        <stp>PX385</stp>
        <stp>[BI_AUTMG_1_l22cd4li.xlsx]ReferenceData!R189C64</stp>
        <stp>PX391=20040701</stp>
        <stp>PX392=20040930</stp>
        <stp>DS004=USD</stp>
        <stp>Fill=B</stp>
        <tr r="BL189" s="3"/>
      </tp>
      <tp t="s">
        <v>#N/A Connection</v>
        <stp/>
        <stp>##V3_BDPV12</stp>
        <stp>MAVSTTL Index</stp>
        <stp>PX385</stp>
        <stp>[BI_AUTMG_1_l22cd4li.xlsx]ReferenceData!R168C64</stp>
        <stp>PX391=20040701</stp>
        <stp>PX392=20040930</stp>
        <stp>DS004=USD</stp>
        <stp>Fill=B</stp>
        <tr r="BL168" s="3"/>
      </tp>
      <tp t="s">
        <v>#N/A Connection</v>
        <stp/>
        <stp>##V3_BDPV12</stp>
        <stp>AUTMKRVS Index</stp>
        <stp>PX385</stp>
        <stp>[BI_AUTMG_1_l22cd4li.xlsx]ReferenceData!R171C49</stp>
        <stp>PX391=20080401</stp>
        <stp>PX392=20080630</stp>
        <stp>DS004=USD</stp>
        <stp>Fill=B</stp>
        <tr r="AW171" s="3"/>
      </tp>
      <tp t="s">
        <v>#N/A Connection</v>
        <stp/>
        <stp>##V3_BDPV12</stp>
        <stp>WCARNLI Index</stp>
        <stp>PX385</stp>
        <stp>[BI_AUTMG_1_l22cd4li.xlsx]ReferenceData!R188C24</stp>
        <stp>PX391=20140701</stp>
        <stp>PX392=20140930</stp>
        <stp>DS004=USD</stp>
        <stp>Fill=B</stp>
        <tr r="X188" s="3"/>
      </tp>
      <tp t="s">
        <v>#N/A Connection</v>
        <stp/>
        <stp>##V3_BDPV12</stp>
        <stp>WCARNOI Index</stp>
        <stp>PX385</stp>
        <stp>[BI_AUTMG_1_l22cd4li.xlsx]ReferenceData!R189C60</stp>
        <stp>PX391=20050701</stp>
        <stp>PX392=20050930</stp>
        <stp>DS004=USD</stp>
        <stp>Fill=B</stp>
        <tr r="BH189" s="3"/>
      </tp>
      <tp t="s">
        <v>#N/A Connection</v>
        <stp/>
        <stp>##V3_BDPV12</stp>
        <stp>MAVSTTL Index</stp>
        <stp>PX385</stp>
        <stp>[BI_AUTMG_1_l22cd4li.xlsx]ReferenceData!R168C60</stp>
        <stp>PX391=20050701</stp>
        <stp>PX392=20050930</stp>
        <stp>DS004=USD</stp>
        <stp>Fill=B</stp>
        <tr r="BH168" s="3"/>
      </tp>
      <tp t="s">
        <v>#N/A Connection</v>
        <stp/>
        <stp>##V3_BDPV12</stp>
        <stp>AUTMKRVS Index</stp>
        <stp>PX385</stp>
        <stp>[BI_AUTMG_1_l22cd4li.xlsx]ReferenceData!R171C45</stp>
        <stp>PX391=20090401</stp>
        <stp>PX392=20090630</stp>
        <stp>DS004=USD</stp>
        <stp>Fill=B</stp>
        <tr r="AS171" s="3"/>
      </tp>
      <tp t="s">
        <v>#N/A Connection</v>
        <stp/>
        <stp>##V3_BDPV12</stp>
        <stp>WCARNLI Index</stp>
        <stp>PX385</stp>
        <stp>[BI_AUTMG_1_l22cd4li.xlsx]ReferenceData!R188C12</stp>
        <stp>PX391=20170701</stp>
        <stp>PX392=20170930</stp>
        <stp>DS004=USD</stp>
        <stp>Fill=B</stp>
        <tr r="L188" s="3"/>
      </tp>
      <tp t="s">
        <v>#N/A Connection</v>
        <stp/>
        <stp>##V3_BDPV12</stp>
        <stp>WCARNOI Index</stp>
        <stp>PX385</stp>
        <stp>[BI_AUTMG_1_l22cd4li.xlsx]ReferenceData!R189C56</stp>
        <stp>PX391=20060701</stp>
        <stp>PX392=20060930</stp>
        <stp>DS004=USD</stp>
        <stp>Fill=B</stp>
        <tr r="BD189" s="3"/>
      </tp>
      <tp t="s">
        <v>#N/A Connection</v>
        <stp/>
        <stp>##V3_BDPV12</stp>
        <stp>MAVSTTL Index</stp>
        <stp>PX385</stp>
        <stp>[BI_AUTMG_1_l22cd4li.xlsx]ReferenceData!R168C56</stp>
        <stp>PX391=20060701</stp>
        <stp>PX392=20060930</stp>
        <stp>DS004=USD</stp>
        <stp>Fill=B</stp>
        <tr r="BD168" s="3"/>
      </tp>
      <tp t="s">
        <v>#N/A Connection</v>
        <stp/>
        <stp>##V3_BDPV12</stp>
        <stp>WCARNLI Index</stp>
        <stp>PX385</stp>
        <stp>[BI_AUTMG_1_l22cd4li.xlsx]ReferenceData!R188C16</stp>
        <stp>PX391=20160701</stp>
        <stp>PX392=20160930</stp>
        <stp>DS004=USD</stp>
        <stp>Fill=B</stp>
        <tr r="P188" s="3"/>
      </tp>
      <tp t="s">
        <v>#N/A Connection</v>
        <stp/>
        <stp>##V3_BDPV12</stp>
        <stp>WCARNOI Index</stp>
        <stp>PX385</stp>
        <stp>[BI_AUTMG_1_l22cd4li.xlsx]ReferenceData!R189C52</stp>
        <stp>PX391=20070701</stp>
        <stp>PX392=20070930</stp>
        <stp>DS004=USD</stp>
        <stp>Fill=B</stp>
        <tr r="AZ189" s="3"/>
      </tp>
      <tp t="s">
        <v>#N/A Connection</v>
        <stp/>
        <stp>##V3_BDPV12</stp>
        <stp>MAVSTTL Index</stp>
        <stp>PX385</stp>
        <stp>[BI_AUTMG_1_l22cd4li.xlsx]ReferenceData!R168C52</stp>
        <stp>PX391=20070701</stp>
        <stp>PX392=20070930</stp>
        <stp>DS004=USD</stp>
        <stp>Fill=B</stp>
        <tr r="AZ168" s="3"/>
      </tp>
      <tp t="s">
        <v>#N/A Connection</v>
        <stp/>
        <stp>##V3_BDPV12</stp>
        <stp>WCARNLI Index</stp>
        <stp>PX385</stp>
        <stp>[BI_AUTMG_1_l22cd4li.xlsx]ReferenceData!R188C36</stp>
        <stp>PX391=20110701</stp>
        <stp>PX392=20110930</stp>
        <stp>DS004=USD</stp>
        <stp>Fill=B</stp>
        <tr r="AJ188" s="3"/>
      </tp>
      <tp t="s">
        <v>#N/A Connection</v>
        <stp/>
        <stp>##V3_BDPV12</stp>
        <stp>INVSDMPV Index</stp>
        <stp>PX385</stp>
        <stp>[BI_AUTMG_1_l22cd4li.xlsx]ReferenceData!R165C48</stp>
        <stp>PX391=20080701</stp>
        <stp>PX392=20080930</stp>
        <stp>DS004=USD</stp>
        <stp>Fill=B</stp>
        <tr r="AV165" s="3"/>
      </tp>
      <tp t="s">
        <v>#N/A Connection</v>
        <stp/>
        <stp>##V3_BDPV12</stp>
        <stp>WCARNLI Index</stp>
        <stp>PX385</stp>
        <stp>[BI_AUTMG_1_l22cd4li.xlsx]ReferenceData!R188C40</stp>
        <stp>PX391=20100701</stp>
        <stp>PX392=20100930</stp>
        <stp>DS004=USD</stp>
        <stp>Fill=B</stp>
        <tr r="AN188" s="3"/>
      </tp>
      <tp t="s">
        <v>#N/A Connection</v>
        <stp/>
        <stp>##V3_BDPV12</stp>
        <stp>INVSDMPV Index</stp>
        <stp>PX385</stp>
        <stp>[BI_AUTMG_1_l22cd4li.xlsx]ReferenceData!R165C44</stp>
        <stp>PX391=20090701</stp>
        <stp>PX392=20090930</stp>
        <stp>DS004=USD</stp>
        <stp>Fill=B</stp>
        <tr r="AR165" s="3"/>
      </tp>
      <tp t="s">
        <v>#N/A Connection</v>
        <stp/>
        <stp>##V3_BDPV12</stp>
        <stp>WCARDKI Index</stp>
        <stp>PX385</stp>
        <stp>[BI_AUTMG_1_l22cd4li.xlsx]ReferenceData!R179C48</stp>
        <stp>PX391=20080701</stp>
        <stp>PX392=20080930</stp>
        <stp>DS004=USD</stp>
        <stp>Fill=B</stp>
        <tr r="AV179" s="3"/>
      </tp>
      <tp t="s">
        <v>#N/A Connection</v>
        <stp/>
        <stp>##V3_BDPV12</stp>
        <stp>WCARNLI Index</stp>
        <stp>PX385</stp>
        <stp>[BI_AUTMG_1_l22cd4li.xlsx]ReferenceData!R188C28</stp>
        <stp>PX391=20130701</stp>
        <stp>PX392=20130930</stp>
        <stp>DS004=USD</stp>
        <stp>Fill=B</stp>
        <tr r="AB188" s="3"/>
      </tp>
      <tp t="s">
        <v>#N/A Connection</v>
        <stp/>
        <stp>##V3_BDPV12</stp>
        <stp>WCARDKI Index</stp>
        <stp>PX385</stp>
        <stp>[BI_AUTMG_1_l22cd4li.xlsx]ReferenceData!R179C44</stp>
        <stp>PX391=20090701</stp>
        <stp>PX392=20090930</stp>
        <stp>DS004=USD</stp>
        <stp>Fill=B</stp>
        <tr r="AR179" s="3"/>
      </tp>
      <tp t="s">
        <v>#N/A Connection</v>
        <stp/>
        <stp>##V3_BDPV12</stp>
        <stp>WCARNLI Index</stp>
        <stp>PX385</stp>
        <stp>[BI_AUTMG_1_l22cd4li.xlsx]ReferenceData!R188C32</stp>
        <stp>PX391=20120701</stp>
        <stp>PX392=20120930</stp>
        <stp>DS004=USD</stp>
        <stp>Fill=B</stp>
        <tr r="AF188" s="3"/>
      </tp>
      <tp t="s">
        <v>#N/A Connection</v>
        <stp/>
        <stp>##V3_BDPV12</stp>
        <stp>PAVSCAR Index</stp>
        <stp>PX385</stp>
        <stp>[BI_AUTMG_1_l22cd4li.xlsx]ReferenceData!R169C12</stp>
        <stp>PX391=20170701</stp>
        <stp>PX392=20170930</stp>
        <stp>DS004=USD</stp>
        <stp>Fill=B</stp>
        <tr r="L169" s="3"/>
      </tp>
      <tp t="s">
        <v>#N/A Connection</v>
        <stp/>
        <stp>##V3_BDPV12</stp>
        <stp>WCARDKI Index</stp>
        <stp>PX385</stp>
        <stp>[BI_AUTMG_1_l22cd4li.xlsx]ReferenceData!R179C56</stp>
        <stp>PX391=20060701</stp>
        <stp>PX392=20060930</stp>
        <stp>DS004=USD</stp>
        <stp>Fill=B</stp>
        <tr r="BD179" s="3"/>
      </tp>
      <tp t="s">
        <v>#N/A Connection</v>
        <stp/>
        <stp>##V3_BDPV12</stp>
        <stp>WCARCYI Index</stp>
        <stp>PX385</stp>
        <stp>[BI_AUTMG_1_l22cd4li.xlsx]ReferenceData!R178C40</stp>
        <stp>PX391=20100701</stp>
        <stp>PX392=20100930</stp>
        <stp>DS004=USD</stp>
        <stp>Fill=B</stp>
        <tr r="AN178" s="3"/>
      </tp>
      <tp t="s">
        <v>#N/A Connection</v>
        <stp/>
        <stp>##V3_BDPV12</stp>
        <stp>NAAMCARS Index</stp>
        <stp>PX385</stp>
        <stp>[BI_AUTMG_1_l22cd4li.xlsx]ReferenceData!R217C17</stp>
        <stp>PX391=20160401</stp>
        <stp>PX392=20160630</stp>
        <stp>DS004=USD</stp>
        <stp>Fill=B</stp>
        <tr r="Q217" s="3"/>
      </tp>
      <tp t="s">
        <v>#N/A Connection</v>
        <stp/>
        <stp>##V3_BDPV12</stp>
        <stp>INVSDMUT Index</stp>
        <stp>PX385</stp>
        <stp>[BI_AUTMG_1_l22cd4li.xlsx]ReferenceData!R164C20</stp>
        <stp>PX391=20150701</stp>
        <stp>PX392=20150930</stp>
        <stp>DS004=USD</stp>
        <stp>Fill=B</stp>
        <tr r="T164" s="3"/>
      </tp>
      <tp t="s">
        <v>#N/A Connection</v>
        <stp/>
        <stp>##V3_BDPV12</stp>
        <stp>INVSDMPV Index</stp>
        <stp>PX385</stp>
        <stp>[BI_AUTMG_1_l22cd4li.xlsx]ReferenceData!R165C64</stp>
        <stp>PX391=20040701</stp>
        <stp>PX392=20040930</stp>
        <stp>DS004=USD</stp>
        <stp>Fill=B</stp>
        <tr r="BL165" s="3"/>
      </tp>
      <tp t="s">
        <v>#N/A Connection</v>
        <stp/>
        <stp>##V3_BDPV12</stp>
        <stp>PAVSCAR Index</stp>
        <stp>PX385</stp>
        <stp>[BI_AUTMG_1_l22cd4li.xlsx]ReferenceData!R169C16</stp>
        <stp>PX391=20160701</stp>
        <stp>PX392=20160930</stp>
        <stp>DS004=USD</stp>
        <stp>Fill=B</stp>
        <tr r="P169" s="3"/>
      </tp>
      <tp t="s">
        <v>#N/A Connection</v>
        <stp/>
        <stp>##V3_BDPV12</stp>
        <stp>WCARDKI Index</stp>
        <stp>PX385</stp>
        <stp>[BI_AUTMG_1_l22cd4li.xlsx]ReferenceData!R179C52</stp>
        <stp>PX391=20070701</stp>
        <stp>PX392=20070930</stp>
        <stp>DS004=USD</stp>
        <stp>Fill=B</stp>
        <tr r="AZ179" s="3"/>
      </tp>
      <tp t="s">
        <v>#N/A Connection</v>
        <stp/>
        <stp>##V3_BDPV12</stp>
        <stp>WCARCYI Index</stp>
        <stp>PX385</stp>
        <stp>[BI_AUTMG_1_l22cd4li.xlsx]ReferenceData!R178C36</stp>
        <stp>PX391=20110701</stp>
        <stp>PX392=20110930</stp>
        <stp>DS004=USD</stp>
        <stp>Fill=B</stp>
        <tr r="AJ178" s="3"/>
      </tp>
      <tp t="s">
        <v>#N/A Connection</v>
        <stp/>
        <stp>##V3_BDPV12</stp>
        <stp>NAAMCARS Index</stp>
        <stp>PX385</stp>
        <stp>[BI_AUTMG_1_l22cd4li.xlsx]ReferenceData!R217C13</stp>
        <stp>PX391=20170401</stp>
        <stp>PX392=20170630</stp>
        <stp>DS004=USD</stp>
        <stp>Fill=B</stp>
        <tr r="M217" s="3"/>
      </tp>
      <tp t="s">
        <v>#N/A Connection</v>
        <stp/>
        <stp>##V3_BDPV12</stp>
        <stp>INVSDMPV Index</stp>
        <stp>PX385</stp>
        <stp>[BI_AUTMG_1_l22cd4li.xlsx]ReferenceData!R165C60</stp>
        <stp>PX391=20050701</stp>
        <stp>PX392=20050930</stp>
        <stp>DS004=USD</stp>
        <stp>Fill=B</stp>
        <tr r="BH165" s="3"/>
      </tp>
      <tp t="s">
        <v>#N/A Connection</v>
        <stp/>
        <stp>##V3_BDPV12</stp>
        <stp>INVSDMUT Index</stp>
        <stp>PX385</stp>
        <stp>[BI_AUTMG_1_l22cd4li.xlsx]ReferenceData!R164C24</stp>
        <stp>PX391=20140701</stp>
        <stp>PX392=20140930</stp>
        <stp>DS004=USD</stp>
        <stp>Fill=B</stp>
        <tr r="X164" s="3"/>
      </tp>
      <tp t="s">
        <v>#N/A Connection</v>
        <stp/>
        <stp>##V3_BDPV12</stp>
        <stp>PAVSCAR Index</stp>
        <stp>PX385</stp>
        <stp>[BI_AUTMG_1_l22cd4li.xlsx]ReferenceData!R169C20</stp>
        <stp>PX391=20150701</stp>
        <stp>PX392=20150930</stp>
        <stp>DS004=USD</stp>
        <stp>Fill=B</stp>
        <tr r="T169" s="3"/>
      </tp>
      <tp t="s">
        <v>#N/A Connection</v>
        <stp/>
        <stp>##V3_BDPV12</stp>
        <stp>WCARDKI Index</stp>
        <stp>PX385</stp>
        <stp>[BI_AUTMG_1_l22cd4li.xlsx]ReferenceData!R179C64</stp>
        <stp>PX391=20040701</stp>
        <stp>PX392=20040930</stp>
        <stp>DS004=USD</stp>
        <stp>Fill=B</stp>
        <tr r="BL179" s="3"/>
      </tp>
      <tp t="s">
        <v>#N/A Connection</v>
        <stp/>
        <stp>##V3_BDPV12</stp>
        <stp>WCARCYI Index</stp>
        <stp>PX385</stp>
        <stp>[BI_AUTMG_1_l22cd4li.xlsx]ReferenceData!R178C32</stp>
        <stp>PX391=20120701</stp>
        <stp>PX392=20120930</stp>
        <stp>DS004=USD</stp>
        <stp>Fill=B</stp>
        <tr r="AF178" s="3"/>
      </tp>
      <tp t="s">
        <v>#N/A Connection</v>
        <stp/>
        <stp>##V3_BDPV12</stp>
        <stp>NAAMCARS Index</stp>
        <stp>PX385</stp>
        <stp>[BI_AUTMG_1_l22cd4li.xlsx]ReferenceData!R217C25</stp>
        <stp>PX391=20140401</stp>
        <stp>PX392=20140630</stp>
        <stp>DS004=USD</stp>
        <stp>Fill=B</stp>
        <tr r="Y217" s="3"/>
      </tp>
      <tp t="s">
        <v>#N/A Connection</v>
        <stp/>
        <stp>##V3_BDPV12</stp>
        <stp>INVSDMUT Index</stp>
        <stp>PX385</stp>
        <stp>[BI_AUTMG_1_l22cd4li.xlsx]ReferenceData!R164C12</stp>
        <stp>PX391=20170701</stp>
        <stp>PX392=20170930</stp>
        <stp>DS004=USD</stp>
        <stp>Fill=B</stp>
        <tr r="L164" s="3"/>
      </tp>
      <tp t="s">
        <v>#N/A Connection</v>
        <stp/>
        <stp>##V3_BDPV12</stp>
        <stp>INVSDMPV Index</stp>
        <stp>PX385</stp>
        <stp>[BI_AUTMG_1_l22cd4li.xlsx]ReferenceData!R165C56</stp>
        <stp>PX391=20060701</stp>
        <stp>PX392=20060930</stp>
        <stp>DS004=USD</stp>
        <stp>Fill=B</stp>
        <tr r="BD165" s="3"/>
      </tp>
      <tp t="s">
        <v>#N/A Connection</v>
        <stp/>
        <stp>##V3_BDPV12</stp>
        <stp>PAVSCAR Index</stp>
        <stp>PX385</stp>
        <stp>[BI_AUTMG_1_l22cd4li.xlsx]ReferenceData!R169C24</stp>
        <stp>PX391=20140701</stp>
        <stp>PX392=20140930</stp>
        <stp>DS004=USD</stp>
        <stp>Fill=B</stp>
        <tr r="X169" s="3"/>
      </tp>
      <tp t="s">
        <v>#N/A Connection</v>
        <stp/>
        <stp>##V3_BDPV12</stp>
        <stp>WCARDKI Index</stp>
        <stp>PX385</stp>
        <stp>[BI_AUTMG_1_l22cd4li.xlsx]ReferenceData!R179C60</stp>
        <stp>PX391=20050701</stp>
        <stp>PX392=20050930</stp>
        <stp>DS004=USD</stp>
        <stp>Fill=B</stp>
        <tr r="BH179" s="3"/>
      </tp>
      <tp t="s">
        <v>#N/A Connection</v>
        <stp/>
        <stp>##V3_BDPV12</stp>
        <stp>WCARCYI Index</stp>
        <stp>PX385</stp>
        <stp>[BI_AUTMG_1_l22cd4li.xlsx]ReferenceData!R178C28</stp>
        <stp>PX391=20130701</stp>
        <stp>PX392=20130930</stp>
        <stp>DS004=USD</stp>
        <stp>Fill=B</stp>
        <tr r="AB178" s="3"/>
      </tp>
      <tp t="s">
        <v>#N/A Connection</v>
        <stp/>
        <stp>##V3_BDPV12</stp>
        <stp>NAAMCARS Index</stp>
        <stp>PX385</stp>
        <stp>[BI_AUTMG_1_l22cd4li.xlsx]ReferenceData!R217C21</stp>
        <stp>PX391=20150401</stp>
        <stp>PX392=20150630</stp>
        <stp>DS004=USD</stp>
        <stp>Fill=B</stp>
        <tr r="U217" s="3"/>
      </tp>
      <tp t="s">
        <v>#N/A Connection</v>
        <stp/>
        <stp>##V3_BDPV12</stp>
        <stp>INVSDMPV Index</stp>
        <stp>PX385</stp>
        <stp>[BI_AUTMG_1_l22cd4li.xlsx]ReferenceData!R165C52</stp>
        <stp>PX391=20070701</stp>
        <stp>PX392=20070930</stp>
        <stp>DS004=USD</stp>
        <stp>Fill=B</stp>
        <tr r="AZ165" s="3"/>
      </tp>
      <tp t="s">
        <v>#N/A Connection</v>
        <stp/>
        <stp>##V3_BDPV12</stp>
        <stp>INVSDMUT Index</stp>
        <stp>PX385</stp>
        <stp>[BI_AUTMG_1_l22cd4li.xlsx]ReferenceData!R164C16</stp>
        <stp>PX391=20160701</stp>
        <stp>PX392=20160930</stp>
        <stp>DS004=USD</stp>
        <stp>Fill=B</stp>
        <tr r="P164" s="3"/>
      </tp>
      <tp t="s">
        <v>#N/A Connection</v>
        <stp/>
        <stp>##V3_BDPV12</stp>
        <stp>PAVSCAR Index</stp>
        <stp>PX385</stp>
        <stp>[BI_AUTMG_1_l22cd4li.xlsx]ReferenceData!R169C28</stp>
        <stp>PX391=20130701</stp>
        <stp>PX392=20130930</stp>
        <stp>DS004=USD</stp>
        <stp>Fill=B</stp>
        <tr r="AB169" s="3"/>
      </tp>
      <tp t="s">
        <v>#N/A Connection</v>
        <stp/>
        <stp>##V3_BDPV12</stp>
        <stp>WCARNOI Index</stp>
        <stp>PX385</stp>
        <stp>[BI_AUTMG_1_l22cd4li.xlsx]ReferenceData!R189C48</stp>
        <stp>PX391=20080701</stp>
        <stp>PX392=20080930</stp>
        <stp>DS004=USD</stp>
        <stp>Fill=B</stp>
        <tr r="AV189" s="3"/>
      </tp>
      <tp t="s">
        <v>#N/A Connection</v>
        <stp/>
        <stp>##V3_BDPV12</stp>
        <stp>MAVSTTL Index</stp>
        <stp>PX385</stp>
        <stp>[BI_AUTMG_1_l22cd4li.xlsx]ReferenceData!R168C48</stp>
        <stp>PX391=20080701</stp>
        <stp>PX392=20080930</stp>
        <stp>DS004=USD</stp>
        <stp>Fill=B</stp>
        <tr r="AV168" s="3"/>
      </tp>
      <tp t="s">
        <v>#N/A Connection</v>
        <stp/>
        <stp>##V3_BDPV12</stp>
        <stp>WCARCYI Index</stp>
        <stp>PX385</stp>
        <stp>[BI_AUTMG_1_l22cd4li.xlsx]ReferenceData!R178C24</stp>
        <stp>PX391=20140701</stp>
        <stp>PX392=20140930</stp>
        <stp>DS004=USD</stp>
        <stp>Fill=B</stp>
        <tr r="X178" s="3"/>
      </tp>
      <tp t="s">
        <v>#N/A Connection</v>
        <stp/>
        <stp>##V3_BDPV12</stp>
        <stp>NAAMCARS Index</stp>
        <stp>PX385</stp>
        <stp>[BI_AUTMG_1_l22cd4li.xlsx]ReferenceData!R217C33</stp>
        <stp>PX391=20120401</stp>
        <stp>PX392=20120630</stp>
        <stp>DS004=USD</stp>
        <stp>Fill=B</stp>
        <tr r="AG217" s="3"/>
      </tp>
      <tp t="s">
        <v>#N/A Connection</v>
        <stp/>
        <stp>##V3_BDPV12</stp>
        <stp>INVSDMUT Index</stp>
        <stp>PX385</stp>
        <stp>[BI_AUTMG_1_l22cd4li.xlsx]ReferenceData!R164C36</stp>
        <stp>PX391=20110701</stp>
        <stp>PX392=20110930</stp>
        <stp>DS004=USD</stp>
        <stp>Fill=B</stp>
        <tr r="AJ164" s="3"/>
      </tp>
      <tp t="s">
        <v>#N/A Connection</v>
        <stp/>
        <stp>##V3_BDPV12</stp>
        <stp>AUTMKRVS Index</stp>
        <stp>PX385</stp>
        <stp>[BI_AUTMG_1_l22cd4li.xlsx]ReferenceData!R171C65</stp>
        <stp>PX391=20040401</stp>
        <stp>PX392=20040630</stp>
        <stp>DS004=USD</stp>
        <stp>Fill=B</stp>
        <tr r="BM171" s="3"/>
      </tp>
      <tp t="s">
        <v>#N/A Connection</v>
        <stp/>
        <stp>##V3_BDPV12</stp>
        <stp>WCARNOI Index</stp>
        <stp>PX385</stp>
        <stp>[BI_AUTMG_1_l22cd4li.xlsx]ReferenceData!R189C44</stp>
        <stp>PX391=20090701</stp>
        <stp>PX392=20090930</stp>
        <stp>DS004=USD</stp>
        <stp>Fill=B</stp>
        <tr r="AR189" s="3"/>
      </tp>
      <tp t="s">
        <v>#N/A Connection</v>
        <stp/>
        <stp>##V3_BDPV12</stp>
        <stp>PAVSCAR Index</stp>
        <stp>PX385</stp>
        <stp>[BI_AUTMG_1_l22cd4li.xlsx]ReferenceData!R169C32</stp>
        <stp>PX391=20120701</stp>
        <stp>PX392=20120930</stp>
        <stp>DS004=USD</stp>
        <stp>Fill=B</stp>
        <tr r="AF169" s="3"/>
      </tp>
      <tp t="s">
        <v>#N/A Connection</v>
        <stp/>
        <stp>##V3_BDPV12</stp>
        <stp>MAVSTTL Index</stp>
        <stp>PX385</stp>
        <stp>[BI_AUTMG_1_l22cd4li.xlsx]ReferenceData!R168C44</stp>
        <stp>PX391=20090701</stp>
        <stp>PX392=20090930</stp>
        <stp>DS004=USD</stp>
        <stp>Fill=B</stp>
        <tr r="AR168" s="3"/>
      </tp>
      <tp t="s">
        <v>#N/A Connection</v>
        <stp/>
        <stp>##V3_BDPV12</stp>
        <stp>WCARCYI Index</stp>
        <stp>PX385</stp>
        <stp>[BI_AUTMG_1_l22cd4li.xlsx]ReferenceData!R178C20</stp>
        <stp>PX391=20150701</stp>
        <stp>PX392=20150930</stp>
        <stp>DS004=USD</stp>
        <stp>Fill=B</stp>
        <tr r="T178" s="3"/>
      </tp>
      <tp t="s">
        <v>#N/A Connection</v>
        <stp/>
        <stp>##V3_BDPV12</stp>
        <stp>NAAMCARS Index</stp>
        <stp>PX385</stp>
        <stp>[BI_AUTMG_1_l22cd4li.xlsx]ReferenceData!R217C29</stp>
        <stp>PX391=20130401</stp>
        <stp>PX392=20130630</stp>
        <stp>DS004=USD</stp>
        <stp>Fill=B</stp>
        <tr r="AC217" s="3"/>
      </tp>
      <tp t="s">
        <v>#N/A Connection</v>
        <stp/>
        <stp>##V3_BDPV12</stp>
        <stp>INVSDMUT Index</stp>
        <stp>PX385</stp>
        <stp>[BI_AUTMG_1_l22cd4li.xlsx]ReferenceData!R164C40</stp>
        <stp>PX391=20100701</stp>
        <stp>PX392=20100930</stp>
        <stp>DS004=USD</stp>
        <stp>Fill=B</stp>
        <tr r="AN164" s="3"/>
      </tp>
      <tp t="s">
        <v>#N/A Connection</v>
        <stp/>
        <stp>##V3_BDPV12</stp>
        <stp>AUTMKRVS Index</stp>
        <stp>PX385</stp>
        <stp>[BI_AUTMG_1_l22cd4li.xlsx]ReferenceData!R171C61</stp>
        <stp>PX391=20050401</stp>
        <stp>PX392=20050630</stp>
        <stp>DS004=USD</stp>
        <stp>Fill=B</stp>
        <tr r="BI171" s="3"/>
      </tp>
      <tp t="s">
        <v>#N/A Connection</v>
        <stp/>
        <stp>##V3_BDPV12</stp>
        <stp>PAVSCAR Index</stp>
        <stp>PX385</stp>
        <stp>[BI_AUTMG_1_l22cd4li.xlsx]ReferenceData!R169C36</stp>
        <stp>PX391=20110701</stp>
        <stp>PX392=20110930</stp>
        <stp>DS004=USD</stp>
        <stp>Fill=B</stp>
        <tr r="AJ169" s="3"/>
      </tp>
      <tp t="s">
        <v>#N/A Connection</v>
        <stp/>
        <stp>##V3_BDPV12</stp>
        <stp>WCARCYI Index</stp>
        <stp>PX385</stp>
        <stp>[BI_AUTMG_1_l22cd4li.xlsx]ReferenceData!R178C16</stp>
        <stp>PX391=20160701</stp>
        <stp>PX392=20160930</stp>
        <stp>DS004=USD</stp>
        <stp>Fill=B</stp>
        <tr r="P178" s="3"/>
      </tp>
      <tp t="s">
        <v>#N/A Connection</v>
        <stp/>
        <stp>##V3_BDPV12</stp>
        <stp>NAAMCARS Index</stp>
        <stp>PX385</stp>
        <stp>[BI_AUTMG_1_l22cd4li.xlsx]ReferenceData!R217C41</stp>
        <stp>PX391=20100401</stp>
        <stp>PX392=20100630</stp>
        <stp>DS004=USD</stp>
        <stp>Fill=B</stp>
        <tr r="AO217" s="3"/>
      </tp>
      <tp t="s">
        <v>#N/A Connection</v>
        <stp/>
        <stp>##V3_BDPV12</stp>
        <stp>INVSDMUT Index</stp>
        <stp>PX385</stp>
        <stp>[BI_AUTMG_1_l22cd4li.xlsx]ReferenceData!R164C28</stp>
        <stp>PX391=20130701</stp>
        <stp>PX392=20130930</stp>
        <stp>DS004=USD</stp>
        <stp>Fill=B</stp>
        <tr r="AB164" s="3"/>
      </tp>
      <tp t="s">
        <v>#N/A Connection</v>
        <stp/>
        <stp>##V3_BDPV12</stp>
        <stp>AUTMKRVS Index</stp>
        <stp>PX385</stp>
        <stp>[BI_AUTMG_1_l22cd4li.xlsx]ReferenceData!R171C57</stp>
        <stp>PX391=20060401</stp>
        <stp>PX392=20060630</stp>
        <stp>DS004=USD</stp>
        <stp>Fill=B</stp>
        <tr r="BE171" s="3"/>
      </tp>
      <tp t="s">
        <v>#N/A Connection</v>
        <stp/>
        <stp>##V3_BDPV12</stp>
        <stp>PAVSCAR Index</stp>
        <stp>PX385</stp>
        <stp>[BI_AUTMG_1_l22cd4li.xlsx]ReferenceData!R169C40</stp>
        <stp>PX391=20100701</stp>
        <stp>PX392=20100930</stp>
        <stp>DS004=USD</stp>
        <stp>Fill=B</stp>
        <tr r="AN169" s="3"/>
      </tp>
      <tp t="s">
        <v>#N/A Connection</v>
        <stp/>
        <stp>##V3_BDPV12</stp>
        <stp>WCARCYI Index</stp>
        <stp>PX385</stp>
        <stp>[BI_AUTMG_1_l22cd4li.xlsx]ReferenceData!R178C12</stp>
        <stp>PX391=20170701</stp>
        <stp>PX392=20170930</stp>
        <stp>DS004=USD</stp>
        <stp>Fill=B</stp>
        <tr r="L178" s="3"/>
      </tp>
      <tp t="s">
        <v>#N/A Connection</v>
        <stp/>
        <stp>##V3_BDPV12</stp>
        <stp>NAAMCARS Index</stp>
        <stp>PX385</stp>
        <stp>[BI_AUTMG_1_l22cd4li.xlsx]ReferenceData!R217C37</stp>
        <stp>PX391=20110401</stp>
        <stp>PX392=20110630</stp>
        <stp>DS004=USD</stp>
        <stp>Fill=B</stp>
        <tr r="AK217" s="3"/>
      </tp>
      <tp t="s">
        <v>#N/A Connection</v>
        <stp/>
        <stp>##V3_BDPV12</stp>
        <stp>INVSDMUT Index</stp>
        <stp>PX385</stp>
        <stp>[BI_AUTMG_1_l22cd4li.xlsx]ReferenceData!R164C32</stp>
        <stp>PX391=20120701</stp>
        <stp>PX392=20120930</stp>
        <stp>DS004=USD</stp>
        <stp>Fill=B</stp>
        <tr r="AF164" s="3"/>
      </tp>
      <tp t="s">
        <v>#N/A Connection</v>
        <stp/>
        <stp>##V3_BDPV12</stp>
        <stp>AUTMKRVS Index</stp>
        <stp>PX385</stp>
        <stp>[BI_AUTMG_1_l22cd4li.xlsx]ReferenceData!R171C53</stp>
        <stp>PX391=20070401</stp>
        <stp>PX392=20070630</stp>
        <stp>DS004=USD</stp>
        <stp>Fill=B</stp>
        <tr r="BA171" s="3"/>
      </tp>
      <tp t="s">
        <v>#N/A Connection</v>
        <stp/>
        <stp>##V3_BDPV12</stp>
        <stp>INVSDPAS Index</stp>
        <stp>PX385</stp>
        <stp>[BI_AUTMG_1_l22cd4li.xlsx]ReferenceData!R163C6</stp>
        <stp>PX391=20190101</stp>
        <stp>PX392=20190331</stp>
        <stp>DS004=USD</stp>
        <stp>Fill=B</stp>
        <tr r="F163" s="3"/>
      </tp>
      <tp t="s">
        <v>#N/A Connection</v>
        <stp/>
        <stp>##V3_BDPV12</stp>
        <stp>INVSDMPV Index</stp>
        <stp>PX385</stp>
        <stp>[BI_AUTMG_1_l22cd4li.xlsx]ReferenceData!R165C9</stp>
        <stp>PX391=20180401</stp>
        <stp>PX392=20180630</stp>
        <stp>DS004=USD</stp>
        <stp>Fill=B</stp>
        <tr r="I165" s="3"/>
      </tp>
      <tp t="s">
        <v>#N/A Connection</v>
        <stp/>
        <stp>##V3_BDPV12</stp>
        <stp>COVSTCAR Index</stp>
        <stp>PX385</stp>
        <stp>[BI_AUTMG_1_l22cd4li.xlsx]ReferenceData!R213C8</stp>
        <stp>PX391=20180701</stp>
        <stp>PX392=20180930</stp>
        <stp>DS004=USD</stp>
        <stp>Fill=B</stp>
        <tr r="H213" s="3"/>
      </tp>
      <tp t="s">
        <v>#N/A Connection</v>
        <stp/>
        <stp>##V3_BDPV12</stp>
        <stp>INVSDPAS Index</stp>
        <stp>PX385</stp>
        <stp>[BI_AUTMG_1_l22cd4li.xlsx]ReferenceData!R163C38</stp>
        <stp>PX391=20110101</stp>
        <stp>PX392=20110331</stp>
        <stp>DS004=USD</stp>
        <stp>Fill=B</stp>
        <tr r="AL163" s="3"/>
      </tp>
      <tp t="s">
        <v>#N/A Connection</v>
        <stp/>
        <stp>##V3_BDPV12</stp>
        <stp>BJTRNPGV Index</stp>
        <stp>PX385</stp>
        <stp>[BI_AUTMG_1_l22cd4li.xlsx]ReferenceData!R215C60</stp>
        <stp>PX391=20050701</stp>
        <stp>PX392=20050930</stp>
        <stp>DS004=USD</stp>
        <stp>Fill=B</stp>
        <tr r="BH215" s="3"/>
      </tp>
      <tp t="s">
        <v>#N/A Connection</v>
        <stp/>
        <stp>##V3_BDPV12</stp>
        <stp>INVSDPAS Index</stp>
        <stp>PX385</stp>
        <stp>[BI_AUTMG_1_l22cd4li.xlsx]ReferenceData!R163C42</stp>
        <stp>PX391=20100101</stp>
        <stp>PX392=20100331</stp>
        <stp>DS004=USD</stp>
        <stp>Fill=B</stp>
        <tr r="AP163" s="3"/>
      </tp>
      <tp t="s">
        <v>#N/A Connection</v>
        <stp/>
        <stp>##V3_BDPV12</stp>
        <stp>BJTRNPGV Index</stp>
        <stp>PX385</stp>
        <stp>[BI_AUTMG_1_l22cd4li.xlsx]ReferenceData!R215C64</stp>
        <stp>PX391=20040701</stp>
        <stp>PX392=20040930</stp>
        <stp>DS004=USD</stp>
        <stp>Fill=B</stp>
        <tr r="BL215" s="3"/>
      </tp>
      <tp t="s">
        <v>#N/A Connection</v>
        <stp/>
        <stp>##V3_BDPV12</stp>
        <stp>INVSDPAS Index</stp>
        <stp>PX385</stp>
        <stp>[BI_AUTMG_1_l22cd4li.xlsx]ReferenceData!R163C30</stp>
        <stp>PX391=20130101</stp>
        <stp>PX392=20130331</stp>
        <stp>DS004=USD</stp>
        <stp>Fill=B</stp>
        <tr r="AD163" s="3"/>
      </tp>
      <tp t="s">
        <v>#N/A Connection</v>
        <stp/>
        <stp>##V3_BDPV12</stp>
        <stp>BJTRNPGV Index</stp>
        <stp>PX385</stp>
        <stp>[BI_AUTMG_1_l22cd4li.xlsx]ReferenceData!R215C52</stp>
        <stp>PX391=20070701</stp>
        <stp>PX392=20070930</stp>
        <stp>DS004=USD</stp>
        <stp>Fill=B</stp>
        <tr r="AZ215" s="3"/>
      </tp>
      <tp t="s">
        <v>#N/A Connection</v>
        <stp/>
        <stp>##V3_BDPV12</stp>
        <stp>INVSDPAS Index</stp>
        <stp>PX385</stp>
        <stp>[BI_AUTMG_1_l22cd4li.xlsx]ReferenceData!R163C34</stp>
        <stp>PX391=20120101</stp>
        <stp>PX392=20120331</stp>
        <stp>DS004=USD</stp>
        <stp>Fill=B</stp>
        <tr r="AH163" s="3"/>
      </tp>
      <tp t="s">
        <v>#N/A Connection</v>
        <stp/>
        <stp>##V3_BDPV12</stp>
        <stp>BJTRNPGV Index</stp>
        <stp>PX385</stp>
        <stp>[BI_AUTMG_1_l22cd4li.xlsx]ReferenceData!R215C56</stp>
        <stp>PX391=20060701</stp>
        <stp>PX392=20060930</stp>
        <stp>DS004=USD</stp>
        <stp>Fill=B</stp>
        <tr r="BD215" s="3"/>
      </tp>
      <tp t="s">
        <v>#N/A Connection</v>
        <stp/>
        <stp>##V3_BDPV12</stp>
        <stp>WCARLV Index</stp>
        <stp>PX385</stp>
        <stp>[BI_AUTMG_1_l22cd4li.xlsx]ReferenceData!R200C50</stp>
        <stp>PX391=20080101</stp>
        <stp>PX392=20080331</stp>
        <stp>DS004=USD</stp>
        <stp>Fill=B</stp>
        <tr r="AX200" s="3"/>
      </tp>
      <tp t="s">
        <v>#N/A Connection</v>
        <stp/>
        <stp>##V3_BDPV12</stp>
        <stp>TUCSMP Index</stp>
        <stp>PX385</stp>
        <stp>[BI_AUTMG_1_l22cd4li.xlsx]ReferenceData!R194C48</stp>
        <stp>PX391=20080701</stp>
        <stp>PX392=20080930</stp>
        <stp>DS004=USD</stp>
        <stp>Fill=B</stp>
        <tr r="AV194" s="3"/>
      </tp>
      <tp t="s">
        <v>#N/A Connection</v>
        <stp/>
        <stp>##V3_BDPV12</stp>
        <stp>WCARLI Index</stp>
        <stp>PX385</stp>
        <stp>[BI_AUTMG_1_l22cd4li.xlsx]ReferenceData!R201C47</stp>
        <stp>PX391=20081001</stp>
        <stp>PX392=20081231</stp>
        <stp>DS004=USD</stp>
        <stp>Fill=B</stp>
        <tr r="AU201" s="3"/>
      </tp>
      <tp t="s">
        <v>#N/A Connection</v>
        <stp/>
        <stp>##V3_BDPV12</stp>
        <stp>WCARBG Index</stp>
        <stp>PX385</stp>
        <stp>[BI_AUTMG_1_l22cd4li.xlsx]ReferenceData!R196C44</stp>
        <stp>PX391=20090701</stp>
        <stp>PX392=20090930</stp>
        <stp>DS004=USD</stp>
        <stp>Fill=B</stp>
        <tr r="AR196" s="3"/>
      </tp>
      <tp t="s">
        <v>#N/A Connection</v>
        <stp/>
        <stp>##V3_BDPV12</stp>
        <stp>WCARSK Index</stp>
        <stp>PX385</stp>
        <stp>[BI_AUTMG_1_l22cd4li.xlsx]ReferenceData!R205C45</stp>
        <stp>PX391=20090401</stp>
        <stp>PX392=20090630</stp>
        <stp>DS004=USD</stp>
        <stp>Fill=B</stp>
        <tr r="AS205" s="3"/>
      </tp>
      <tp t="s">
        <v>#N/A Connection</v>
        <stp/>
        <stp>##V3_BDPV12</stp>
        <stp>WCARSI Index</stp>
        <stp>PX385</stp>
        <stp>[BI_AUTMG_1_l22cd4li.xlsx]ReferenceData!R206C44</stp>
        <stp>PX391=20090701</stp>
        <stp>PX392=20090930</stp>
        <stp>DS004=USD</stp>
        <stp>Fill=B</stp>
        <tr r="AR206" s="3"/>
      </tp>
      <tp t="s">
        <v>#N/A Connection</v>
        <stp/>
        <stp>##V3_BDPV12</stp>
        <stp>INVSDPAS Index</stp>
        <stp>PX385</stp>
        <stp>[BI_AUTMG_1_l22cd4li.xlsx]ReferenceData!R163C63</stp>
        <stp>PX391=20041001</stp>
        <stp>PX392=20041231</stp>
        <stp>DS004=USD</stp>
        <stp>Fill=B</stp>
        <tr r="BK163" s="3"/>
      </tp>
      <tp t="s">
        <v>#N/A Connection</v>
        <stp/>
        <stp>##V3_BDPV12</stp>
        <stp>INVSDPAS Index</stp>
        <stp>PX385</stp>
        <stp>[BI_AUTMG_1_l22cd4li.xlsx]ReferenceData!R163C22</stp>
        <stp>PX391=20150101</stp>
        <stp>PX392=20150331</stp>
        <stp>DS004=USD</stp>
        <stp>Fill=B</stp>
        <tr r="V163" s="3"/>
      </tp>
      <tp t="s">
        <v>#N/A Connection</v>
        <stp/>
        <stp>##V3_BDPV12</stp>
        <stp>WCARLI Index</stp>
        <stp>PX385</stp>
        <stp>[BI_AUTMG_1_l22cd4li.xlsx]ReferenceData!R201C10</stp>
        <stp>PX391=20180101</stp>
        <stp>PX392=20180331</stp>
        <stp>DS004=USD</stp>
        <stp>Fill=B</stp>
        <tr r="J201" s="3"/>
      </tp>
      <tp t="s">
        <v>#N/A Connection</v>
        <stp/>
        <stp>##V3_BDPV12</stp>
        <stp>WCARLV Index</stp>
        <stp>PX385</stp>
        <stp>[BI_AUTMG_1_l22cd4li.xlsx]ReferenceData!R200C46</stp>
        <stp>PX391=20090101</stp>
        <stp>PX392=20090331</stp>
        <stp>DS004=USD</stp>
        <stp>Fill=B</stp>
        <tr r="AT200" s="3"/>
      </tp>
      <tp t="s">
        <v>#N/A Connection</v>
        <stp/>
        <stp>##V3_BDPV12</stp>
        <stp>WCARLI Index</stp>
        <stp>PX385</stp>
        <stp>[BI_AUTMG_1_l22cd4li.xlsx]ReferenceData!R201C43</stp>
        <stp>PX391=20091001</stp>
        <stp>PX392=20091231</stp>
        <stp>DS004=USD</stp>
        <stp>Fill=B</stp>
        <tr r="AQ201" s="3"/>
      </tp>
      <tp t="s">
        <v>#N/A Connection</v>
        <stp/>
        <stp>##V3_BDPV12</stp>
        <stp>TUCSMP Index</stp>
        <stp>PX385</stp>
        <stp>[BI_AUTMG_1_l22cd4li.xlsx]ReferenceData!R194C44</stp>
        <stp>PX391=20090701</stp>
        <stp>PX392=20090930</stp>
        <stp>DS004=USD</stp>
        <stp>Fill=B</stp>
        <tr r="AR194" s="3"/>
      </tp>
      <tp t="s">
        <v>#N/A Connection</v>
        <stp/>
        <stp>##V3_BDPV12</stp>
        <stp>WCARBG Index</stp>
        <stp>PX385</stp>
        <stp>[BI_AUTMG_1_l22cd4li.xlsx]ReferenceData!R196C48</stp>
        <stp>PX391=20080701</stp>
        <stp>PX392=20080930</stp>
        <stp>DS004=USD</stp>
        <stp>Fill=B</stp>
        <tr r="AV196" s="3"/>
      </tp>
      <tp t="s">
        <v>#N/A Connection</v>
        <stp/>
        <stp>##V3_BDPV12</stp>
        <stp>WCARSI Index</stp>
        <stp>PX385</stp>
        <stp>[BI_AUTMG_1_l22cd4li.xlsx]ReferenceData!R206C48</stp>
        <stp>PX391=20080701</stp>
        <stp>PX392=20080930</stp>
        <stp>DS004=USD</stp>
        <stp>Fill=B</stp>
        <tr r="AV206" s="3"/>
      </tp>
      <tp t="s">
        <v>#N/A Connection</v>
        <stp/>
        <stp>##V3_BDPV12</stp>
        <stp>WCARSK Index</stp>
        <stp>PX385</stp>
        <stp>[BI_AUTMG_1_l22cd4li.xlsx]ReferenceData!R205C49</stp>
        <stp>PX391=20080401</stp>
        <stp>PX392=20080630</stp>
        <stp>DS004=USD</stp>
        <stp>Fill=B</stp>
        <tr r="AW205" s="3"/>
      </tp>
      <tp t="s">
        <v>#N/A Connection</v>
        <stp/>
        <stp>##V3_BDPV12</stp>
        <stp>INVSDPAS Index</stp>
        <stp>PX385</stp>
        <stp>[BI_AUTMG_1_l22cd4li.xlsx]ReferenceData!R163C59</stp>
        <stp>PX391=20051001</stp>
        <stp>PX392=20051231</stp>
        <stp>DS004=USD</stp>
        <stp>Fill=B</stp>
        <tr r="BG163" s="3"/>
      </tp>
      <tp t="s">
        <v>#N/A Connection</v>
        <stp/>
        <stp>##V3_BDPV12</stp>
        <stp>INVSDPAS Index</stp>
        <stp>PX385</stp>
        <stp>[BI_AUTMG_1_l22cd4li.xlsx]ReferenceData!R163C26</stp>
        <stp>PX391=20140101</stp>
        <stp>PX392=20140331</stp>
        <stp>DS004=USD</stp>
        <stp>Fill=B</stp>
        <tr r="Z163" s="3"/>
      </tp>
      <tp t="s">
        <v>#N/A Connection</v>
        <stp/>
        <stp>##V3_BDPV12</stp>
        <stp>INVSDPAS Index</stp>
        <stp>PX385</stp>
        <stp>[BI_AUTMG_1_l22cd4li.xlsx]ReferenceData!R163C55</stp>
        <stp>PX391=20061001</stp>
        <stp>PX392=20061231</stp>
        <stp>DS004=USD</stp>
        <stp>Fill=B</stp>
        <tr r="BC163" s="3"/>
      </tp>
      <tp t="s">
        <v>#N/A Connection</v>
        <stp/>
        <stp>##V3_BDPV12</stp>
        <stp>INVSDPAS Index</stp>
        <stp>PX385</stp>
        <stp>[BI_AUTMG_1_l22cd4li.xlsx]ReferenceData!R163C14</stp>
        <stp>PX391=20170101</stp>
        <stp>PX392=20170331</stp>
        <stp>DS004=USD</stp>
        <stp>Fill=B</stp>
        <tr r="N163" s="3"/>
      </tp>
      <tp t="s">
        <v>#N/A Connection</v>
        <stp/>
        <stp>##V3_BDPV12</stp>
        <stp>INVSDPAS Index</stp>
        <stp>PX385</stp>
        <stp>[BI_AUTMG_1_l22cd4li.xlsx]ReferenceData!R163C51</stp>
        <stp>PX391=20071001</stp>
        <stp>PX392=20071231</stp>
        <stp>DS004=USD</stp>
        <stp>Fill=B</stp>
        <tr r="AY163" s="3"/>
      </tp>
      <tp t="s">
        <v>#N/A Connection</v>
        <stp/>
        <stp>##V3_BDPV12</stp>
        <stp>INVSDPAS Index</stp>
        <stp>PX385</stp>
        <stp>[BI_AUTMG_1_l22cd4li.xlsx]ReferenceData!R163C18</stp>
        <stp>PX391=20160101</stp>
        <stp>PX392=20160331</stp>
        <stp>DS004=USD</stp>
        <stp>Fill=B</stp>
        <tr r="R163" s="3"/>
      </tp>
      <tp t="s">
        <v>#N/A Connection</v>
        <stp/>
        <stp>##V3_BDPV12</stp>
        <stp>WCARCZ Index</stp>
        <stp>PX385</stp>
        <stp>[BI_AUTMG_1_l22cd4li.xlsx]ReferenceData!R197C24</stp>
        <stp>PX391=20140701</stp>
        <stp>PX392=20140930</stp>
        <stp>DS004=USD</stp>
        <stp>Fill=B</stp>
        <tr r="X197" s="3"/>
      </tp>
      <tp t="s">
        <v>#N/A Connection</v>
        <stp/>
        <stp>##V3_BDPV12</stp>
        <stp>WCARBG Index</stp>
        <stp>PX385</stp>
        <stp>[BI_AUTMG_1_l22cd4li.xlsx]ReferenceData!R196C60</stp>
        <stp>PX391=20050701</stp>
        <stp>PX392=20050930</stp>
        <stp>DS004=USD</stp>
        <stp>Fill=B</stp>
        <tr r="BH196" s="3"/>
      </tp>
      <tp t="s">
        <v>#N/A Connection</v>
        <stp/>
        <stp>##V3_BDPV12</stp>
        <stp>WCARIC Index</stp>
        <stp>PX385</stp>
        <stp>[BI_AUTMG_1_l22cd4li.xlsx]ReferenceData!R184C25</stp>
        <stp>PX391=20140401</stp>
        <stp>PX392=20140630</stp>
        <stp>DS004=USD</stp>
        <stp>Fill=B</stp>
        <tr r="Y184" s="3"/>
      </tp>
      <tp t="s">
        <v>#N/A Connection</v>
        <stp/>
        <stp>##V3_BDPV12</stp>
        <stp>WCARLI Index</stp>
        <stp>PX385</stp>
        <stp>[BI_AUTMG_1_l22cd4li.xlsx]ReferenceData!R201C63</stp>
        <stp>PX391=20041001</stp>
        <stp>PX392=20041231</stp>
        <stp>DS004=USD</stp>
        <stp>Fill=B</stp>
        <tr r="BK201" s="3"/>
      </tp>
      <tp t="s">
        <v>#N/A Connection</v>
        <stp/>
        <stp>##V3_BDPV12</stp>
        <stp>TUCSMP Index</stp>
        <stp>PX385</stp>
        <stp>[BI_AUTMG_1_l22cd4li.xlsx]ReferenceData!R194C64</stp>
        <stp>PX391=20040701</stp>
        <stp>PX392=20040930</stp>
        <stp>DS004=USD</stp>
        <stp>Fill=B</stp>
        <tr r="BL194" s="3"/>
      </tp>
      <tp t="s">
        <v>#N/A Connection</v>
        <stp/>
        <stp>##V3_BDPV12</stp>
        <stp>WCARLV Index</stp>
        <stp>PX385</stp>
        <stp>[BI_AUTMG_1_l22cd4li.xlsx]ReferenceData!R200C19</stp>
        <stp>PX391=20151001</stp>
        <stp>PX392=20151231</stp>
        <stp>DS004=USD</stp>
        <stp>Fill=B</stp>
        <tr r="S200" s="3"/>
      </tp>
      <tp t="s">
        <v>#N/A Connection</v>
        <stp/>
        <stp>##V3_BDPV12</stp>
        <stp>WCARLI Index</stp>
        <stp>PX385</stp>
        <stp>[BI_AUTMG_1_l22cd4li.xlsx]ReferenceData!R201C22</stp>
        <stp>PX391=20150101</stp>
        <stp>PX392=20150331</stp>
        <stp>DS004=USD</stp>
        <stp>Fill=B</stp>
        <tr r="V201" s="3"/>
      </tp>
      <tp t="s">
        <v>#N/A Connection</v>
        <stp/>
        <stp>##V3_BDPV12</stp>
        <stp>WCARSK Index</stp>
        <stp>PX385</stp>
        <stp>[BI_AUTMG_1_l22cd4li.xlsx]ReferenceData!R205C61</stp>
        <stp>PX391=20050401</stp>
        <stp>PX392=20050630</stp>
        <stp>DS004=USD</stp>
        <stp>Fill=B</stp>
        <tr r="BI205" s="3"/>
      </tp>
      <tp t="s">
        <v>#N/A Connection</v>
        <stp/>
        <stp>##V3_BDPV12</stp>
        <stp>WCARSI Index</stp>
        <stp>PX385</stp>
        <stp>[BI_AUTMG_1_l22cd4li.xlsx]ReferenceData!R206C60</stp>
        <stp>PX391=20050701</stp>
        <stp>PX392=20050930</stp>
        <stp>DS004=USD</stp>
        <stp>Fill=B</stp>
        <tr r="BH206" s="3"/>
      </tp>
      <tp t="s">
        <v>#N/A Connection</v>
        <stp/>
        <stp>##V3_BDPV12</stp>
        <stp>INVSDPAS Index</stp>
        <stp>PX385</stp>
        <stp>[BI_AUTMG_1_l22cd4li.xlsx]ReferenceData!R163C47</stp>
        <stp>PX391=20081001</stp>
        <stp>PX392=20081231</stp>
        <stp>DS004=USD</stp>
        <stp>Fill=B</stp>
        <tr r="AU163" s="3"/>
      </tp>
      <tp t="s">
        <v>#N/A Connection</v>
        <stp/>
        <stp>##V3_BDPV12</stp>
        <stp>WCARCZ Index</stp>
        <stp>PX385</stp>
        <stp>[BI_AUTMG_1_l22cd4li.xlsx]ReferenceData!R197C20</stp>
        <stp>PX391=20150701</stp>
        <stp>PX392=20150930</stp>
        <stp>DS004=USD</stp>
        <stp>Fill=B</stp>
        <tr r="T197" s="3"/>
      </tp>
      <tp t="s">
        <v>#N/A Connection</v>
        <stp/>
        <stp>##V3_BDPV12</stp>
        <stp>WCARBG Index</stp>
        <stp>PX385</stp>
        <stp>[BI_AUTMG_1_l22cd4li.xlsx]ReferenceData!R196C64</stp>
        <stp>PX391=20040701</stp>
        <stp>PX392=20040930</stp>
        <stp>DS004=USD</stp>
        <stp>Fill=B</stp>
        <tr r="BL196" s="3"/>
      </tp>
      <tp t="s">
        <v>#N/A Connection</v>
        <stp/>
        <stp>##V3_BDPV12</stp>
        <stp>WCARIC Index</stp>
        <stp>PX385</stp>
        <stp>[BI_AUTMG_1_l22cd4li.xlsx]ReferenceData!R184C21</stp>
        <stp>PX391=20150401</stp>
        <stp>PX392=20150630</stp>
        <stp>DS004=USD</stp>
        <stp>Fill=B</stp>
        <tr r="U184" s="3"/>
      </tp>
      <tp t="s">
        <v>#N/A Connection</v>
        <stp/>
        <stp>##V3_BDPV12</stp>
        <stp>WCARLI Index</stp>
        <stp>PX385</stp>
        <stp>[BI_AUTMG_1_l22cd4li.xlsx]ReferenceData!R201C59</stp>
        <stp>PX391=20051001</stp>
        <stp>PX392=20051231</stp>
        <stp>DS004=USD</stp>
        <stp>Fill=B</stp>
        <tr r="BG201" s="3"/>
      </tp>
      <tp t="s">
        <v>#N/A Connection</v>
        <stp/>
        <stp>##V3_BDPV12</stp>
        <stp>WCARLV Index</stp>
        <stp>PX385</stp>
        <stp>[BI_AUTMG_1_l22cd4li.xlsx]ReferenceData!R200C62</stp>
        <stp>PX391=20050101</stp>
        <stp>PX392=20050331</stp>
        <stp>DS004=USD</stp>
        <stp>Fill=B</stp>
        <tr r="BJ200" s="3"/>
      </tp>
      <tp t="s">
        <v>#N/A Connection</v>
        <stp/>
        <stp>##V3_BDPV12</stp>
        <stp>TUCSMP Index</stp>
        <stp>PX385</stp>
        <stp>[BI_AUTMG_1_l22cd4li.xlsx]ReferenceData!R194C60</stp>
        <stp>PX391=20050701</stp>
        <stp>PX392=20050930</stp>
        <stp>DS004=USD</stp>
        <stp>Fill=B</stp>
        <tr r="BH194" s="3"/>
      </tp>
      <tp t="s">
        <v>#N/A Connection</v>
        <stp/>
        <stp>##V3_BDPV12</stp>
        <stp>WCARLV Index</stp>
        <stp>PX385</stp>
        <stp>[BI_AUTMG_1_l22cd4li.xlsx]ReferenceData!R200C23</stp>
        <stp>PX391=20141001</stp>
        <stp>PX392=20141231</stp>
        <stp>DS004=USD</stp>
        <stp>Fill=B</stp>
        <tr r="W200" s="3"/>
      </tp>
      <tp t="s">
        <v>#N/A Connection</v>
        <stp/>
        <stp>##V3_BDPV12</stp>
        <stp>WCARLI Index</stp>
        <stp>PX385</stp>
        <stp>[BI_AUTMG_1_l22cd4li.xlsx]ReferenceData!R201C26</stp>
        <stp>PX391=20140101</stp>
        <stp>PX392=20140331</stp>
        <stp>DS004=USD</stp>
        <stp>Fill=B</stp>
        <tr r="Z201" s="3"/>
      </tp>
      <tp t="s">
        <v>#N/A Connection</v>
        <stp/>
        <stp>##V3_BDPV12</stp>
        <stp>WCARSK Index</stp>
        <stp>PX385</stp>
        <stp>[BI_AUTMG_1_l22cd4li.xlsx]ReferenceData!R205C65</stp>
        <stp>PX391=20040401</stp>
        <stp>PX392=20040630</stp>
        <stp>DS004=USD</stp>
        <stp>Fill=B</stp>
        <tr r="BM205" s="3"/>
      </tp>
      <tp t="s">
        <v>#N/A Connection</v>
        <stp/>
        <stp>##V3_BDPV12</stp>
        <stp>WCARSI Index</stp>
        <stp>PX385</stp>
        <stp>[BI_AUTMG_1_l22cd4li.xlsx]ReferenceData!R206C64</stp>
        <stp>PX391=20040701</stp>
        <stp>PX392=20040930</stp>
        <stp>DS004=USD</stp>
        <stp>Fill=B</stp>
        <tr r="BL206" s="3"/>
      </tp>
      <tp t="s">
        <v>#N/A Connection</v>
        <stp/>
        <stp>##V3_BDPV12</stp>
        <stp>INVSDPAS Index</stp>
        <stp>PX385</stp>
        <stp>[BI_AUTMG_1_l22cd4li.xlsx]ReferenceData!R163C10</stp>
        <stp>PX391=20180101</stp>
        <stp>PX392=20180331</stp>
        <stp>DS004=USD</stp>
        <stp>Fill=B</stp>
        <tr r="J163" s="3"/>
      </tp>
      <tp t="s">
        <v>#N/A Connection</v>
        <stp/>
        <stp>##V3_BDPV12</stp>
        <stp>INVSDPAS Index</stp>
        <stp>PX385</stp>
        <stp>[BI_AUTMG_1_l22cd4li.xlsx]ReferenceData!R163C43</stp>
        <stp>PX391=20091001</stp>
        <stp>PX392=20091231</stp>
        <stp>DS004=USD</stp>
        <stp>Fill=B</stp>
        <tr r="AQ163" s="3"/>
      </tp>
      <tp t="s">
        <v>#N/A Connection</v>
        <stp/>
        <stp>##V3_BDPV12</stp>
        <stp>WCARCZ Index</stp>
        <stp>PX385</stp>
        <stp>[BI_AUTMG_1_l22cd4li.xlsx]ReferenceData!R197C16</stp>
        <stp>PX391=20160701</stp>
        <stp>PX392=20160930</stp>
        <stp>DS004=USD</stp>
        <stp>Fill=B</stp>
        <tr r="P197" s="3"/>
      </tp>
      <tp t="s">
        <v>#N/A Connection</v>
        <stp/>
        <stp>##V3_BDPV12</stp>
        <stp>WCARBG Index</stp>
        <stp>PX385</stp>
        <stp>[BI_AUTMG_1_l22cd4li.xlsx]ReferenceData!R196C52</stp>
        <stp>PX391=20070701</stp>
        <stp>PX392=20070930</stp>
        <stp>DS004=USD</stp>
        <stp>Fill=B</stp>
        <tr r="AZ196" s="3"/>
      </tp>
      <tp t="s">
        <v>#N/A Connection</v>
        <stp/>
        <stp>##V3_BDPV12</stp>
        <stp>WCARIC Index</stp>
        <stp>PX385</stp>
        <stp>[BI_AUTMG_1_l22cd4li.xlsx]ReferenceData!R184C17</stp>
        <stp>PX391=20160401</stp>
        <stp>PX392=20160630</stp>
        <stp>DS004=USD</stp>
        <stp>Fill=B</stp>
        <tr r="Q184" s="3"/>
      </tp>
      <tp t="s">
        <v>#N/A Connection</v>
        <stp/>
        <stp>##V3_BDPV12</stp>
        <stp>WCARLV Index</stp>
        <stp>PX385</stp>
        <stp>[BI_AUTMG_1_l22cd4li.xlsx]ReferenceData!R200C58</stp>
        <stp>PX391=20060101</stp>
        <stp>PX392=20060331</stp>
        <stp>DS004=USD</stp>
        <stp>Fill=B</stp>
        <tr r="BF200" s="3"/>
      </tp>
      <tp t="s">
        <v>#N/A Connection</v>
        <stp/>
        <stp>##V3_BDPV12</stp>
        <stp>WCARLI Index</stp>
        <stp>PX385</stp>
        <stp>[BI_AUTMG_1_l22cd4li.xlsx]ReferenceData!R201C55</stp>
        <stp>PX391=20061001</stp>
        <stp>PX392=20061231</stp>
        <stp>DS004=USD</stp>
        <stp>Fill=B</stp>
        <tr r="BC201" s="3"/>
      </tp>
      <tp t="s">
        <v>#N/A Connection</v>
        <stp/>
        <stp>##V3_BDPV12</stp>
        <stp>TUCSMP Index</stp>
        <stp>PX385</stp>
        <stp>[BI_AUTMG_1_l22cd4li.xlsx]ReferenceData!R194C56</stp>
        <stp>PX391=20060701</stp>
        <stp>PX392=20060930</stp>
        <stp>DS004=USD</stp>
        <stp>Fill=B</stp>
        <tr r="BD194" s="3"/>
      </tp>
      <tp t="s">
        <v>#N/A Connection</v>
        <stp/>
        <stp>##V3_BDPV12</stp>
        <stp>WCARLV Index</stp>
        <stp>PX385</stp>
        <stp>[BI_AUTMG_1_l22cd4li.xlsx]ReferenceData!R200C11</stp>
        <stp>PX391=20171001</stp>
        <stp>PX392=20171231</stp>
        <stp>DS004=USD</stp>
        <stp>Fill=B</stp>
        <tr r="K200" s="3"/>
      </tp>
      <tp t="s">
        <v>#N/A Connection</v>
        <stp/>
        <stp>##V3_BDPV12</stp>
        <stp>WCARLI Index</stp>
        <stp>PX385</stp>
        <stp>[BI_AUTMG_1_l22cd4li.xlsx]ReferenceData!R201C14</stp>
        <stp>PX391=20170101</stp>
        <stp>PX392=20170331</stp>
        <stp>DS004=USD</stp>
        <stp>Fill=B</stp>
        <tr r="N201" s="3"/>
      </tp>
      <tp t="s">
        <v>#N/A Connection</v>
        <stp/>
        <stp>##V3_BDPV12</stp>
        <stp>WCARSK Index</stp>
        <stp>PX385</stp>
        <stp>[BI_AUTMG_1_l22cd4li.xlsx]ReferenceData!R205C53</stp>
        <stp>PX391=20070401</stp>
        <stp>PX392=20070630</stp>
        <stp>DS004=USD</stp>
        <stp>Fill=B</stp>
        <tr r="BA205" s="3"/>
      </tp>
      <tp t="s">
        <v>#N/A Connection</v>
        <stp/>
        <stp>##V3_BDPV12</stp>
        <stp>WCARSI Index</stp>
        <stp>PX385</stp>
        <stp>[BI_AUTMG_1_l22cd4li.xlsx]ReferenceData!R206C52</stp>
        <stp>PX391=20070701</stp>
        <stp>PX392=20070930</stp>
        <stp>DS004=USD</stp>
        <stp>Fill=B</stp>
        <tr r="AZ206" s="3"/>
      </tp>
      <tp t="s">
        <v>#N/A Connection</v>
        <stp/>
        <stp>##V3_BDPV12</stp>
        <stp>WCARCZ Index</stp>
        <stp>PX385</stp>
        <stp>[BI_AUTMG_1_l22cd4li.xlsx]ReferenceData!R197C12</stp>
        <stp>PX391=20170701</stp>
        <stp>PX392=20170930</stp>
        <stp>DS004=USD</stp>
        <stp>Fill=B</stp>
        <tr r="L197" s="3"/>
      </tp>
      <tp t="s">
        <v>#N/A Connection</v>
        <stp/>
        <stp>##V3_BDPV12</stp>
        <stp>WCARBG Index</stp>
        <stp>PX385</stp>
        <stp>[BI_AUTMG_1_l22cd4li.xlsx]ReferenceData!R196C56</stp>
        <stp>PX391=20060701</stp>
        <stp>PX392=20060930</stp>
        <stp>DS004=USD</stp>
        <stp>Fill=B</stp>
        <tr r="BD196" s="3"/>
      </tp>
      <tp t="s">
        <v>#N/A Connection</v>
        <stp/>
        <stp>##V3_BDPV12</stp>
        <stp>WCARIC Index</stp>
        <stp>PX385</stp>
        <stp>[BI_AUTMG_1_l22cd4li.xlsx]ReferenceData!R184C13</stp>
        <stp>PX391=20170401</stp>
        <stp>PX392=20170630</stp>
        <stp>DS004=USD</stp>
        <stp>Fill=B</stp>
        <tr r="M184" s="3"/>
      </tp>
      <tp t="s">
        <v>#N/A Connection</v>
        <stp/>
        <stp>##V3_BDPV12</stp>
        <stp>WCARLI Index</stp>
        <stp>PX385</stp>
        <stp>[BI_AUTMG_1_l22cd4li.xlsx]ReferenceData!R201C51</stp>
        <stp>PX391=20071001</stp>
        <stp>PX392=20071231</stp>
        <stp>DS004=USD</stp>
        <stp>Fill=B</stp>
        <tr r="AY201" s="3"/>
      </tp>
      <tp t="s">
        <v>#N/A Connection</v>
        <stp/>
        <stp>##V3_BDPV12</stp>
        <stp>TUCSMP Index</stp>
        <stp>PX385</stp>
        <stp>[BI_AUTMG_1_l22cd4li.xlsx]ReferenceData!R194C52</stp>
        <stp>PX391=20070701</stp>
        <stp>PX392=20070930</stp>
        <stp>DS004=USD</stp>
        <stp>Fill=B</stp>
        <tr r="AZ194" s="3"/>
      </tp>
      <tp t="s">
        <v>#N/A Connection</v>
        <stp/>
        <stp>##V3_BDPV12</stp>
        <stp>WCARLV Index</stp>
        <stp>PX385</stp>
        <stp>[BI_AUTMG_1_l22cd4li.xlsx]ReferenceData!R200C54</stp>
        <stp>PX391=20070101</stp>
        <stp>PX392=20070331</stp>
        <stp>DS004=USD</stp>
        <stp>Fill=B</stp>
        <tr r="BB200" s="3"/>
      </tp>
      <tp t="s">
        <v>#N/A Connection</v>
        <stp/>
        <stp>##V3_BDPV12</stp>
        <stp>WCARLI Index</stp>
        <stp>PX385</stp>
        <stp>[BI_AUTMG_1_l22cd4li.xlsx]ReferenceData!R201C18</stp>
        <stp>PX391=20160101</stp>
        <stp>PX392=20160331</stp>
        <stp>DS004=USD</stp>
        <stp>Fill=B</stp>
        <tr r="R201" s="3"/>
      </tp>
      <tp t="s">
        <v>#N/A Connection</v>
        <stp/>
        <stp>##V3_BDPV12</stp>
        <stp>WCARLV Index</stp>
        <stp>PX385</stp>
        <stp>[BI_AUTMG_1_l22cd4li.xlsx]ReferenceData!R200C15</stp>
        <stp>PX391=20161001</stp>
        <stp>PX392=20161231</stp>
        <stp>DS004=USD</stp>
        <stp>Fill=B</stp>
        <tr r="O200" s="3"/>
      </tp>
      <tp t="s">
        <v>#N/A Connection</v>
        <stp/>
        <stp>##V3_BDPV12</stp>
        <stp>WCARSK Index</stp>
        <stp>PX385</stp>
        <stp>[BI_AUTMG_1_l22cd4li.xlsx]ReferenceData!R205C57</stp>
        <stp>PX391=20060401</stp>
        <stp>PX392=20060630</stp>
        <stp>DS004=USD</stp>
        <stp>Fill=B</stp>
        <tr r="BE205" s="3"/>
      </tp>
      <tp t="s">
        <v>#N/A Connection</v>
        <stp/>
        <stp>##V3_BDPV12</stp>
        <stp>WCARSI Index</stp>
        <stp>PX385</stp>
        <stp>[BI_AUTMG_1_l22cd4li.xlsx]ReferenceData!R206C56</stp>
        <stp>PX391=20060701</stp>
        <stp>PX392=20060930</stp>
        <stp>DS004=USD</stp>
        <stp>Fill=B</stp>
        <tr r="BD206" s="3"/>
      </tp>
      <tp t="s">
        <v>#N/A Connection</v>
        <stp/>
        <stp>##V3_BDPV12</stp>
        <stp>WCARCZ Index</stp>
        <stp>PX385</stp>
        <stp>[BI_AUTMG_1_l22cd4li.xlsx]ReferenceData!R197C40</stp>
        <stp>PX391=20100701</stp>
        <stp>PX392=20100930</stp>
        <stp>DS004=USD</stp>
        <stp>Fill=B</stp>
        <tr r="AN197" s="3"/>
      </tp>
      <tp t="s">
        <v>#N/A Connection</v>
        <stp/>
        <stp>##V3_BDPV12</stp>
        <stp>WCARLV Index</stp>
        <stp>PX385</stp>
        <stp>[BI_AUTMG_1_l22cd4li.xlsx]ReferenceData!R200C35</stp>
        <stp>PX391=20111001</stp>
        <stp>PX392=20111231</stp>
        <stp>DS004=USD</stp>
        <stp>Fill=B</stp>
        <tr r="AI200" s="3"/>
      </tp>
      <tp t="s">
        <v>#N/A Connection</v>
        <stp/>
        <stp>##V3_BDPV12</stp>
        <stp>WCARIC Index</stp>
        <stp>PX385</stp>
        <stp>[BI_AUTMG_1_l22cd4li.xlsx]ReferenceData!R184C41</stp>
        <stp>PX391=20100401</stp>
        <stp>PX392=20100630</stp>
        <stp>DS004=USD</stp>
        <stp>Fill=B</stp>
        <tr r="AO184" s="3"/>
      </tp>
      <tp t="s">
        <v>#N/A Connection</v>
        <stp/>
        <stp>##V3_BDPV12</stp>
        <stp>WCARLI Index</stp>
        <stp>PX385</stp>
        <stp>[BI_AUTMG_1_l22cd4li.xlsx]ReferenceData!R201C38</stp>
        <stp>PX391=20110101</stp>
        <stp>PX392=20110331</stp>
        <stp>DS004=USD</stp>
        <stp>Fill=B</stp>
        <tr r="AL201" s="3"/>
      </tp>
      <tp t="s">
        <v>#N/A Connection</v>
        <stp/>
        <stp>##V3_BDPV12</stp>
        <stp>BJTRNPGV Index</stp>
        <stp>PX385</stp>
        <stp>[BI_AUTMG_1_l22cd4li.xlsx]ReferenceData!R215C44</stp>
        <stp>PX391=20090701</stp>
        <stp>PX392=20090930</stp>
        <stp>DS004=USD</stp>
        <stp>Fill=B</stp>
        <tr r="AR215" s="3"/>
      </tp>
      <tp t="s">
        <v>#N/A Connection</v>
        <stp/>
        <stp>##V3_BDPV12</stp>
        <stp>WCARCZ Index</stp>
        <stp>PX385</stp>
        <stp>[BI_AUTMG_1_l22cd4li.xlsx]ReferenceData!R197C36</stp>
        <stp>PX391=20110701</stp>
        <stp>PX392=20110930</stp>
        <stp>DS004=USD</stp>
        <stp>Fill=B</stp>
        <tr r="AJ197" s="3"/>
      </tp>
      <tp t="s">
        <v>#N/A Connection</v>
        <stp/>
        <stp>##V3_BDPV12</stp>
        <stp>WCARLV Index</stp>
        <stp>PX385</stp>
        <stp>[BI_AUTMG_1_l22cd4li.xlsx]ReferenceData!R200C39</stp>
        <stp>PX391=20101001</stp>
        <stp>PX392=20101231</stp>
        <stp>DS004=USD</stp>
        <stp>Fill=B</stp>
        <tr r="AM200" s="3"/>
      </tp>
      <tp t="s">
        <v>#N/A Connection</v>
        <stp/>
        <stp>##V3_BDPV12</stp>
        <stp>WCARIC Index</stp>
        <stp>PX385</stp>
        <stp>[BI_AUTMG_1_l22cd4li.xlsx]ReferenceData!R184C37</stp>
        <stp>PX391=20110401</stp>
        <stp>PX392=20110630</stp>
        <stp>DS004=USD</stp>
        <stp>Fill=B</stp>
        <tr r="AK184" s="3"/>
      </tp>
      <tp t="s">
        <v>#N/A Connection</v>
        <stp/>
        <stp>##V3_BDPV12</stp>
        <stp>WCARLI Index</stp>
        <stp>PX385</stp>
        <stp>[BI_AUTMG_1_l22cd4li.xlsx]ReferenceData!R201C42</stp>
        <stp>PX391=20100101</stp>
        <stp>PX392=20100331</stp>
        <stp>DS004=USD</stp>
        <stp>Fill=B</stp>
        <tr r="AP201" s="3"/>
      </tp>
      <tp t="s">
        <v>#N/A Connection</v>
        <stp/>
        <stp>##V3_BDPV12</stp>
        <stp>BJTRNPGV Index</stp>
        <stp>PX385</stp>
        <stp>[BI_AUTMG_1_l22cd4li.xlsx]ReferenceData!R215C48</stp>
        <stp>PX391=20080701</stp>
        <stp>PX392=20080930</stp>
        <stp>DS004=USD</stp>
        <stp>Fill=B</stp>
        <tr r="AV215" s="3"/>
      </tp>
      <tp t="s">
        <v>#N/A Connection</v>
        <stp/>
        <stp>##V3_BDPV12</stp>
        <stp>WCARCZ Index</stp>
        <stp>PX385</stp>
        <stp>[BI_AUTMG_1_l22cd4li.xlsx]ReferenceData!R197C32</stp>
        <stp>PX391=20120701</stp>
        <stp>PX392=20120930</stp>
        <stp>DS004=USD</stp>
        <stp>Fill=B</stp>
        <tr r="AF197" s="3"/>
      </tp>
      <tp t="s">
        <v>#N/A Connection</v>
        <stp/>
        <stp>##V3_BDPV12</stp>
        <stp>WCARLV Index</stp>
        <stp>PX385</stp>
        <stp>[BI_AUTMG_1_l22cd4li.xlsx]ReferenceData!R200C27</stp>
        <stp>PX391=20131001</stp>
        <stp>PX392=20131231</stp>
        <stp>DS004=USD</stp>
        <stp>Fill=B</stp>
        <tr r="AA200" s="3"/>
      </tp>
      <tp t="s">
        <v>#N/A Connection</v>
        <stp/>
        <stp>##V3_BDPV12</stp>
        <stp>WCARLI Index</stp>
        <stp>PX385</stp>
        <stp>[BI_AUTMG_1_l22cd4li.xlsx]ReferenceData!R201C30</stp>
        <stp>PX391=20130101</stp>
        <stp>PX392=20130331</stp>
        <stp>DS004=USD</stp>
        <stp>Fill=B</stp>
        <tr r="AD201" s="3"/>
      </tp>
      <tp t="s">
        <v>#N/A Connection</v>
        <stp/>
        <stp>##V3_BDPV12</stp>
        <stp>WCARIC Index</stp>
        <stp>PX385</stp>
        <stp>[BI_AUTMG_1_l22cd4li.xlsx]ReferenceData!R184C33</stp>
        <stp>PX391=20120401</stp>
        <stp>PX392=20120630</stp>
        <stp>DS004=USD</stp>
        <stp>Fill=B</stp>
        <tr r="AG184" s="3"/>
      </tp>
      <tp t="s">
        <v>#N/A Connection</v>
        <stp/>
        <stp>##V3_BDPV12</stp>
        <stp>WCARCZ Index</stp>
        <stp>PX385</stp>
        <stp>[BI_AUTMG_1_l22cd4li.xlsx]ReferenceData!R197C28</stp>
        <stp>PX391=20130701</stp>
        <stp>PX392=20130930</stp>
        <stp>DS004=USD</stp>
        <stp>Fill=B</stp>
        <tr r="AB197" s="3"/>
      </tp>
      <tp t="s">
        <v>#N/A Connection</v>
        <stp/>
        <stp>##V3_BDPV12</stp>
        <stp>WCARLI Index</stp>
        <stp>PX385</stp>
        <stp>[BI_AUTMG_1_l22cd4li.xlsx]ReferenceData!R201C34</stp>
        <stp>PX391=20120101</stp>
        <stp>PX392=20120331</stp>
        <stp>DS004=USD</stp>
        <stp>Fill=B</stp>
        <tr r="AH201" s="3"/>
      </tp>
      <tp t="s">
        <v>#N/A Connection</v>
        <stp/>
        <stp>##V3_BDPV12</stp>
        <stp>WCARLV Index</stp>
        <stp>PX385</stp>
        <stp>[BI_AUTMG_1_l22cd4li.xlsx]ReferenceData!R200C31</stp>
        <stp>PX391=20121001</stp>
        <stp>PX392=20121231</stp>
        <stp>DS004=USD</stp>
        <stp>Fill=B</stp>
        <tr r="AE200" s="3"/>
      </tp>
      <tp t="s">
        <v>#N/A Connection</v>
        <stp/>
        <stp>##V3_BDPV12</stp>
        <stp>WCARIC Index</stp>
        <stp>PX385</stp>
        <stp>[BI_AUTMG_1_l22cd4li.xlsx]ReferenceData!R184C29</stp>
        <stp>PX391=20130401</stp>
        <stp>PX392=20130630</stp>
        <stp>DS004=USD</stp>
        <stp>Fill=B</stp>
        <tr r="AC184" s="3"/>
      </tp>
      <tp t="s">
        <v>#N/A Connection</v>
        <stp/>
        <stp>##V3_BDPV12</stp>
        <stp>WCARNOI Index</stp>
        <stp>PX385</stp>
        <stp>[BI_AUTMG_1_l22cd4li.xlsx]ReferenceData!R189C20</stp>
        <stp>PX391=20150701</stp>
        <stp>PX392=20150930</stp>
        <stp>DS004=USD</stp>
        <stp>Fill=B</stp>
        <tr r="T189" s="3"/>
      </tp>
      <tp t="s">
        <v>#N/A Connection</v>
        <stp/>
        <stp>##V3_BDPV12</stp>
        <stp>WCARNLI Index</stp>
        <stp>PX385</stp>
        <stp>[BI_AUTMG_1_l22cd4li.xlsx]ReferenceData!R188C64</stp>
        <stp>PX391=20040701</stp>
        <stp>PX392=20040930</stp>
        <stp>DS004=USD</stp>
        <stp>Fill=B</stp>
        <tr r="BL188" s="3"/>
      </tp>
      <tp t="s">
        <v>#N/A Connection</v>
        <stp/>
        <stp>##V3_BDPV12</stp>
        <stp>MAVSTTL Index</stp>
        <stp>PX385</stp>
        <stp>[BI_AUTMG_1_l22cd4li.xlsx]ReferenceData!R168C20</stp>
        <stp>PX391=20150701</stp>
        <stp>PX392=20150930</stp>
        <stp>DS004=USD</stp>
        <stp>Fill=B</stp>
        <tr r="T168" s="3"/>
      </tp>
      <tp t="s">
        <v>#N/A Connection</v>
        <stp/>
        <stp>##V3_BDPV12</stp>
        <stp>WCARCYI Index</stp>
        <stp>PX385</stp>
        <stp>[BI_AUTMG_1_l22cd4li.xlsx]ReferenceData!R178C44</stp>
        <stp>PX391=20090701</stp>
        <stp>PX392=20090930</stp>
        <stp>DS004=USD</stp>
        <stp>Fill=B</stp>
        <tr r="AR178" s="3"/>
      </tp>
      <tp t="s">
        <v>#N/A Connection</v>
        <stp/>
        <stp>##V3_BDPV12</stp>
        <stp>WCARNOI Index</stp>
        <stp>PX385</stp>
        <stp>[BI_AUTMG_1_l22cd4li.xlsx]ReferenceData!R189C24</stp>
        <stp>PX391=20140701</stp>
        <stp>PX392=20140930</stp>
        <stp>DS004=USD</stp>
        <stp>Fill=B</stp>
        <tr r="X189" s="3"/>
      </tp>
      <tp t="s">
        <v>#N/A Connection</v>
        <stp/>
        <stp>##V3_BDPV12</stp>
        <stp>WCARNLI Index</stp>
        <stp>PX385</stp>
        <stp>[BI_AUTMG_1_l22cd4li.xlsx]ReferenceData!R188C60</stp>
        <stp>PX391=20050701</stp>
        <stp>PX392=20050930</stp>
        <stp>DS004=USD</stp>
        <stp>Fill=B</stp>
        <tr r="BH188" s="3"/>
      </tp>
      <tp t="s">
        <v>#N/A Connection</v>
        <stp/>
        <stp>##V3_BDPV12</stp>
        <stp>MAVSTTL Index</stp>
        <stp>PX385</stp>
        <stp>[BI_AUTMG_1_l22cd4li.xlsx]ReferenceData!R168C24</stp>
        <stp>PX391=20140701</stp>
        <stp>PX392=20140930</stp>
        <stp>DS004=USD</stp>
        <stp>Fill=B</stp>
        <tr r="X168" s="3"/>
      </tp>
      <tp t="s">
        <v>#N/A Connection</v>
        <stp/>
        <stp>##V3_BDPV12</stp>
        <stp>WCARCYI Index</stp>
        <stp>PX385</stp>
        <stp>[BI_AUTMG_1_l22cd4li.xlsx]ReferenceData!R178C48</stp>
        <stp>PX391=20080701</stp>
        <stp>PX392=20080930</stp>
        <stp>DS004=USD</stp>
        <stp>Fill=B</stp>
        <tr r="AV178" s="3"/>
      </tp>
      <tp t="s">
        <v>#N/A Connection</v>
        <stp/>
        <stp>##V3_BDPV12</stp>
        <stp>WCARNOI Index</stp>
        <stp>PX385</stp>
        <stp>[BI_AUTMG_1_l22cd4li.xlsx]ReferenceData!R189C12</stp>
        <stp>PX391=20170701</stp>
        <stp>PX392=20170930</stp>
        <stp>DS004=USD</stp>
        <stp>Fill=B</stp>
        <tr r="L189" s="3"/>
      </tp>
      <tp t="s">
        <v>#N/A Connection</v>
        <stp/>
        <stp>##V3_BDPV12</stp>
        <stp>WCARNLI Index</stp>
        <stp>PX385</stp>
        <stp>[BI_AUTMG_1_l22cd4li.xlsx]ReferenceData!R188C56</stp>
        <stp>PX391=20060701</stp>
        <stp>PX392=20060930</stp>
        <stp>DS004=USD</stp>
        <stp>Fill=B</stp>
        <tr r="BD188" s="3"/>
      </tp>
      <tp t="s">
        <v>#N/A Connection</v>
        <stp/>
        <stp>##V3_BDPV12</stp>
        <stp>MAVSTTL Index</stp>
        <stp>PX385</stp>
        <stp>[BI_AUTMG_1_l22cd4li.xlsx]ReferenceData!R168C12</stp>
        <stp>PX391=20170701</stp>
        <stp>PX392=20170930</stp>
        <stp>DS004=USD</stp>
        <stp>Fill=B</stp>
        <tr r="L168" s="3"/>
      </tp>
      <tp t="s">
        <v>#N/A Connection</v>
        <stp/>
        <stp>##V3_BDPV12</stp>
        <stp>WCARNOI Index</stp>
        <stp>PX385</stp>
        <stp>[BI_AUTMG_1_l22cd4li.xlsx]ReferenceData!R189C16</stp>
        <stp>PX391=20160701</stp>
        <stp>PX392=20160930</stp>
        <stp>DS004=USD</stp>
        <stp>Fill=B</stp>
        <tr r="P189" s="3"/>
      </tp>
      <tp t="s">
        <v>#N/A Connection</v>
        <stp/>
        <stp>##V3_BDPV12</stp>
        <stp>WCARNLI Index</stp>
        <stp>PX385</stp>
        <stp>[BI_AUTMG_1_l22cd4li.xlsx]ReferenceData!R188C52</stp>
        <stp>PX391=20070701</stp>
        <stp>PX392=20070930</stp>
        <stp>DS004=USD</stp>
        <stp>Fill=B</stp>
        <tr r="AZ188" s="3"/>
      </tp>
      <tp t="s">
        <v>#N/A Connection</v>
        <stp/>
        <stp>##V3_BDPV12</stp>
        <stp>MAVSTTL Index</stp>
        <stp>PX385</stp>
        <stp>[BI_AUTMG_1_l22cd4li.xlsx]ReferenceData!R168C16</stp>
        <stp>PX391=20160701</stp>
        <stp>PX392=20160930</stp>
        <stp>DS004=USD</stp>
        <stp>Fill=B</stp>
        <tr r="P168" s="3"/>
      </tp>
      <tp t="s">
        <v>#N/A Connection</v>
        <stp/>
        <stp>##V3_BDPV12</stp>
        <stp>WCARNOI Index</stp>
        <stp>PX385</stp>
        <stp>[BI_AUTMG_1_l22cd4li.xlsx]ReferenceData!R189C36</stp>
        <stp>PX391=20110701</stp>
        <stp>PX392=20110930</stp>
        <stp>DS004=USD</stp>
        <stp>Fill=B</stp>
        <tr r="AJ189" s="3"/>
      </tp>
      <tp t="s">
        <v>#N/A Connection</v>
        <stp/>
        <stp>##V3_BDPV12</stp>
        <stp>MAVSTTL Index</stp>
        <stp>PX385</stp>
        <stp>[BI_AUTMG_1_l22cd4li.xlsx]ReferenceData!R168C36</stp>
        <stp>PX391=20110701</stp>
        <stp>PX392=20110930</stp>
        <stp>DS004=USD</stp>
        <stp>Fill=B</stp>
        <tr r="AJ168" s="3"/>
      </tp>
      <tp t="s">
        <v>#N/A Connection</v>
        <stp/>
        <stp>##V3_BDPV12</stp>
        <stp>INVSDMUT Index</stp>
        <stp>PX385</stp>
        <stp>[BI_AUTMG_1_l22cd4li.xlsx]ReferenceData!R164C48</stp>
        <stp>PX391=20080701</stp>
        <stp>PX392=20080930</stp>
        <stp>DS004=USD</stp>
        <stp>Fill=B</stp>
        <tr r="AV164" s="3"/>
      </tp>
      <tp t="s">
        <v>#N/A Connection</v>
        <stp/>
        <stp>##V3_BDPV12</stp>
        <stp>WCARNOI Index</stp>
        <stp>PX385</stp>
        <stp>[BI_AUTMG_1_l22cd4li.xlsx]ReferenceData!R189C40</stp>
        <stp>PX391=20100701</stp>
        <stp>PX392=20100930</stp>
        <stp>DS004=USD</stp>
        <stp>Fill=B</stp>
        <tr r="AN189" s="3"/>
      </tp>
      <tp t="s">
        <v>#N/A Connection</v>
        <stp/>
        <stp>##V3_BDPV12</stp>
        <stp>MAVSTTL Index</stp>
        <stp>PX385</stp>
        <stp>[BI_AUTMG_1_l22cd4li.xlsx]ReferenceData!R168C40</stp>
        <stp>PX391=20100701</stp>
        <stp>PX392=20100930</stp>
        <stp>DS004=USD</stp>
        <stp>Fill=B</stp>
        <tr r="AN168" s="3"/>
      </tp>
      <tp t="s">
        <v>#N/A Connection</v>
        <stp/>
        <stp>##V3_BDPV12</stp>
        <stp>INVSDMUT Index</stp>
        <stp>PX385</stp>
        <stp>[BI_AUTMG_1_l22cd4li.xlsx]ReferenceData!R164C44</stp>
        <stp>PX391=20090701</stp>
        <stp>PX392=20090930</stp>
        <stp>DS004=USD</stp>
        <stp>Fill=B</stp>
        <tr r="AR164" s="3"/>
      </tp>
      <tp t="s">
        <v>#N/A Connection</v>
        <stp/>
        <stp>##V3_BDPV12</stp>
        <stp>WCARNOI Index</stp>
        <stp>PX385</stp>
        <stp>[BI_AUTMG_1_l22cd4li.xlsx]ReferenceData!R189C28</stp>
        <stp>PX391=20130701</stp>
        <stp>PX392=20130930</stp>
        <stp>DS004=USD</stp>
        <stp>Fill=B</stp>
        <tr r="AB189" s="3"/>
      </tp>
      <tp t="s">
        <v>#N/A Connection</v>
        <stp/>
        <stp>##V3_BDPV12</stp>
        <stp>PAVSCAR Index</stp>
        <stp>PX385</stp>
        <stp>[BI_AUTMG_1_l22cd4li.xlsx]ReferenceData!R169C48</stp>
        <stp>PX391=20080701</stp>
        <stp>PX392=20080930</stp>
        <stp>DS004=USD</stp>
        <stp>Fill=B</stp>
        <tr r="AV169" s="3"/>
      </tp>
      <tp t="s">
        <v>#N/A Connection</v>
        <stp/>
        <stp>##V3_BDPV12</stp>
        <stp>MAVSTTL Index</stp>
        <stp>PX385</stp>
        <stp>[BI_AUTMG_1_l22cd4li.xlsx]ReferenceData!R168C28</stp>
        <stp>PX391=20130701</stp>
        <stp>PX392=20130930</stp>
        <stp>DS004=USD</stp>
        <stp>Fill=B</stp>
        <tr r="AB168" s="3"/>
      </tp>
      <tp t="s">
        <v>#N/A Connection</v>
        <stp/>
        <stp>##V3_BDPV12</stp>
        <stp>NAAMCARS Index</stp>
        <stp>PX385</stp>
        <stp>[BI_AUTMG_1_l22cd4li.xlsx]ReferenceData!R217C45</stp>
        <stp>PX391=20090401</stp>
        <stp>PX392=20090630</stp>
        <stp>DS004=USD</stp>
        <stp>Fill=B</stp>
        <tr r="AS217" s="3"/>
      </tp>
      <tp t="s">
        <v>#N/A Connection</v>
        <stp/>
        <stp>##V3_BDPV12</stp>
        <stp>PAVSCAR Index</stp>
        <stp>PX385</stp>
        <stp>[BI_AUTMG_1_l22cd4li.xlsx]ReferenceData!R169C44</stp>
        <stp>PX391=20090701</stp>
        <stp>PX392=20090930</stp>
        <stp>DS004=USD</stp>
        <stp>Fill=B</stp>
        <tr r="AR169" s="3"/>
      </tp>
      <tp t="s">
        <v>#N/A Connection</v>
        <stp/>
        <stp>##V3_BDPV12</stp>
        <stp>WCARNOI Index</stp>
        <stp>PX385</stp>
        <stp>[BI_AUTMG_1_l22cd4li.xlsx]ReferenceData!R189C32</stp>
        <stp>PX391=20120701</stp>
        <stp>PX392=20120930</stp>
        <stp>DS004=USD</stp>
        <stp>Fill=B</stp>
        <tr r="AF189" s="3"/>
      </tp>
      <tp t="s">
        <v>#N/A Connection</v>
        <stp/>
        <stp>##V3_BDPV12</stp>
        <stp>MAVSTTL Index</stp>
        <stp>PX385</stp>
        <stp>[BI_AUTMG_1_l22cd4li.xlsx]ReferenceData!R168C32</stp>
        <stp>PX391=20120701</stp>
        <stp>PX392=20120930</stp>
        <stp>DS004=USD</stp>
        <stp>Fill=B</stp>
        <tr r="AF168" s="3"/>
      </tp>
      <tp t="s">
        <v>#N/A Connection</v>
        <stp/>
        <stp>##V3_BDPV12</stp>
        <stp>NAAMCARS Index</stp>
        <stp>PX385</stp>
        <stp>[BI_AUTMG_1_l22cd4li.xlsx]ReferenceData!R217C49</stp>
        <stp>PX391=20080401</stp>
        <stp>PX392=20080630</stp>
        <stp>DS004=USD</stp>
        <stp>Fill=B</stp>
        <tr r="AW217" s="3"/>
      </tp>
      <tp t="s">
        <v>#N/A Connection</v>
        <stp/>
        <stp>##V3_BDPV12</stp>
        <stp>PAVSCAR Index</stp>
        <stp>PX385</stp>
        <stp>[BI_AUTMG_1_l22cd4li.xlsx]ReferenceData!R169C56</stp>
        <stp>PX391=20060701</stp>
        <stp>PX392=20060930</stp>
        <stp>DS004=USD</stp>
        <stp>Fill=B</stp>
        <tr r="BD169" s="3"/>
      </tp>
      <tp t="s">
        <v>#N/A Connection</v>
        <stp/>
        <stp>##V3_BDPV12</stp>
        <stp>WCARDKI Index</stp>
        <stp>PX385</stp>
        <stp>[BI_AUTMG_1_l22cd4li.xlsx]ReferenceData!R179C12</stp>
        <stp>PX391=20170701</stp>
        <stp>PX392=20170930</stp>
        <stp>DS004=USD</stp>
        <stp>Fill=B</stp>
        <tr r="L179" s="3"/>
      </tp>
      <tp t="s">
        <v>#N/A Connection</v>
        <stp/>
        <stp>##V3_BDPV12</stp>
        <stp>NAAMCARS Index</stp>
        <stp>PX385</stp>
        <stp>[BI_AUTMG_1_l22cd4li.xlsx]ReferenceData!R217C53</stp>
        <stp>PX391=20070401</stp>
        <stp>PX392=20070630</stp>
        <stp>DS004=USD</stp>
        <stp>Fill=B</stp>
        <tr r="BA217" s="3"/>
      </tp>
      <tp t="s">
        <v>#N/A Connection</v>
        <stp/>
        <stp>##V3_BDPV12</stp>
        <stp>INVSDMPV Index</stp>
        <stp>PX385</stp>
        <stp>[BI_AUTMG_1_l22cd4li.xlsx]ReferenceData!R165C20</stp>
        <stp>PX391=20150701</stp>
        <stp>PX392=20150930</stp>
        <stp>DS004=USD</stp>
        <stp>Fill=B</stp>
        <tr r="T165" s="3"/>
      </tp>
      <tp t="s">
        <v>#N/A Connection</v>
        <stp/>
        <stp>##V3_BDPV12</stp>
        <stp>INVSDMUT Index</stp>
        <stp>PX385</stp>
        <stp>[BI_AUTMG_1_l22cd4li.xlsx]ReferenceData!R164C64</stp>
        <stp>PX391=20040701</stp>
        <stp>PX392=20040930</stp>
        <stp>DS004=USD</stp>
        <stp>Fill=B</stp>
        <tr r="BL164" s="3"/>
      </tp>
      <tp t="s">
        <v>#N/A Connection</v>
        <stp/>
        <stp>##V3_BDPV12</stp>
        <stp>AUTMKRVS Index</stp>
        <stp>PX385</stp>
        <stp>[BI_AUTMG_1_l22cd4li.xlsx]ReferenceData!R171C37</stp>
        <stp>PX391=20110401</stp>
        <stp>PX392=20110630</stp>
        <stp>DS004=USD</stp>
        <stp>Fill=B</stp>
        <tr r="AK171" s="3"/>
      </tp>
      <tp t="s">
        <v>#N/A Connection</v>
        <stp/>
        <stp>##V3_BDPV12</stp>
        <stp>PAVSCAR Index</stp>
        <stp>PX385</stp>
        <stp>[BI_AUTMG_1_l22cd4li.xlsx]ReferenceData!R169C52</stp>
        <stp>PX391=20070701</stp>
        <stp>PX392=20070930</stp>
        <stp>DS004=USD</stp>
        <stp>Fill=B</stp>
        <tr r="AZ169" s="3"/>
      </tp>
      <tp t="s">
        <v>#N/A Connection</v>
        <stp/>
        <stp>##V3_BDPV12</stp>
        <stp>WCARDKI Index</stp>
        <stp>PX385</stp>
        <stp>[BI_AUTMG_1_l22cd4li.xlsx]ReferenceData!R179C16</stp>
        <stp>PX391=20160701</stp>
        <stp>PX392=20160930</stp>
        <stp>DS004=USD</stp>
        <stp>Fill=B</stp>
        <tr r="P179" s="3"/>
      </tp>
      <tp t="s">
        <v>#N/A Connection</v>
        <stp/>
        <stp>##V3_BDPV12</stp>
        <stp>NAAMCARS Index</stp>
        <stp>PX385</stp>
        <stp>[BI_AUTMG_1_l22cd4li.xlsx]ReferenceData!R217C57</stp>
        <stp>PX391=20060401</stp>
        <stp>PX392=20060630</stp>
        <stp>DS004=USD</stp>
        <stp>Fill=B</stp>
        <tr r="BE217" s="3"/>
      </tp>
      <tp t="s">
        <v>#N/A Connection</v>
        <stp/>
        <stp>##V3_BDPV12</stp>
        <stp>AUTMKRVS Index</stp>
        <stp>PX385</stp>
        <stp>[BI_AUTMG_1_l22cd4li.xlsx]ReferenceData!R171C41</stp>
        <stp>PX391=20100401</stp>
        <stp>PX392=20100630</stp>
        <stp>DS004=USD</stp>
        <stp>Fill=B</stp>
        <tr r="AO171" s="3"/>
      </tp>
      <tp t="s">
        <v>#N/A Connection</v>
        <stp/>
        <stp>##V3_BDPV12</stp>
        <stp>INVSDMUT Index</stp>
        <stp>PX385</stp>
        <stp>[BI_AUTMG_1_l22cd4li.xlsx]ReferenceData!R164C60</stp>
        <stp>PX391=20050701</stp>
        <stp>PX392=20050930</stp>
        <stp>DS004=USD</stp>
        <stp>Fill=B</stp>
        <tr r="BH164" s="3"/>
      </tp>
      <tp t="s">
        <v>#N/A Connection</v>
        <stp/>
        <stp>##V3_BDPV12</stp>
        <stp>INVSDMPV Index</stp>
        <stp>PX385</stp>
        <stp>[BI_AUTMG_1_l22cd4li.xlsx]ReferenceData!R165C24</stp>
        <stp>PX391=20140701</stp>
        <stp>PX392=20140930</stp>
        <stp>DS004=USD</stp>
        <stp>Fill=B</stp>
        <tr r="X165" s="3"/>
      </tp>
      <tp t="s">
        <v>#N/A Connection</v>
        <stp/>
        <stp>##V3_BDPV12</stp>
        <stp>PAVSCAR Index</stp>
        <stp>PX385</stp>
        <stp>[BI_AUTMG_1_l22cd4li.xlsx]ReferenceData!R169C64</stp>
        <stp>PX391=20040701</stp>
        <stp>PX392=20040930</stp>
        <stp>DS004=USD</stp>
        <stp>Fill=B</stp>
        <tr r="BL169" s="3"/>
      </tp>
      <tp t="s">
        <v>#N/A Connection</v>
        <stp/>
        <stp>##V3_BDPV12</stp>
        <stp>WCARDKI Index</stp>
        <stp>PX385</stp>
        <stp>[BI_AUTMG_1_l22cd4li.xlsx]ReferenceData!R179C20</stp>
        <stp>PX391=20150701</stp>
        <stp>PX392=20150930</stp>
        <stp>DS004=USD</stp>
        <stp>Fill=B</stp>
        <tr r="T179" s="3"/>
      </tp>
      <tp t="s">
        <v>#N/A Connection</v>
        <stp/>
        <stp>##V3_BDPV12</stp>
        <stp>NAAMCARS Index</stp>
        <stp>PX385</stp>
        <stp>[BI_AUTMG_1_l22cd4li.xlsx]ReferenceData!R217C61</stp>
        <stp>PX391=20050401</stp>
        <stp>PX392=20050630</stp>
        <stp>DS004=USD</stp>
        <stp>Fill=B</stp>
        <tr r="BI217" s="3"/>
      </tp>
      <tp t="s">
        <v>#N/A Connection</v>
        <stp/>
        <stp>##V3_BDPV12</stp>
        <stp>AUTMKRVS Index</stp>
        <stp>PX385</stp>
        <stp>[BI_AUTMG_1_l22cd4li.xlsx]ReferenceData!R171C29</stp>
        <stp>PX391=20130401</stp>
        <stp>PX392=20130630</stp>
        <stp>DS004=USD</stp>
        <stp>Fill=B</stp>
        <tr r="AC171" s="3"/>
      </tp>
      <tp t="s">
        <v>#N/A Connection</v>
        <stp/>
        <stp>##V3_BDPV12</stp>
        <stp>INVSDMPV Index</stp>
        <stp>PX385</stp>
        <stp>[BI_AUTMG_1_l22cd4li.xlsx]ReferenceData!R165C12</stp>
        <stp>PX391=20170701</stp>
        <stp>PX392=20170930</stp>
        <stp>DS004=USD</stp>
        <stp>Fill=B</stp>
        <tr r="L165" s="3"/>
      </tp>
      <tp t="s">
        <v>#N/A Connection</v>
        <stp/>
        <stp>##V3_BDPV12</stp>
        <stp>INVSDMUT Index</stp>
        <stp>PX385</stp>
        <stp>[BI_AUTMG_1_l22cd4li.xlsx]ReferenceData!R164C56</stp>
        <stp>PX391=20060701</stp>
        <stp>PX392=20060930</stp>
        <stp>DS004=USD</stp>
        <stp>Fill=B</stp>
        <tr r="BD164" s="3"/>
      </tp>
      <tp t="s">
        <v>#N/A Connection</v>
        <stp/>
        <stp>##V3_BDPV12</stp>
        <stp>PAVSCAR Index</stp>
        <stp>PX385</stp>
        <stp>[BI_AUTMG_1_l22cd4li.xlsx]ReferenceData!R169C60</stp>
        <stp>PX391=20050701</stp>
        <stp>PX392=20050930</stp>
        <stp>DS004=USD</stp>
        <stp>Fill=B</stp>
        <tr r="BH169" s="3"/>
      </tp>
      <tp t="s">
        <v>#N/A Connection</v>
        <stp/>
        <stp>##V3_BDPV12</stp>
        <stp>WCARDKI Index</stp>
        <stp>PX385</stp>
        <stp>[BI_AUTMG_1_l22cd4li.xlsx]ReferenceData!R179C24</stp>
        <stp>PX391=20140701</stp>
        <stp>PX392=20140930</stp>
        <stp>DS004=USD</stp>
        <stp>Fill=B</stp>
        <tr r="X179" s="3"/>
      </tp>
      <tp t="s">
        <v>#N/A Connection</v>
        <stp/>
        <stp>##V3_BDPV12</stp>
        <stp>NAAMCARS Index</stp>
        <stp>PX385</stp>
        <stp>[BI_AUTMG_1_l22cd4li.xlsx]ReferenceData!R217C65</stp>
        <stp>PX391=20040401</stp>
        <stp>PX392=20040630</stp>
        <stp>DS004=USD</stp>
        <stp>Fill=B</stp>
        <tr r="BM217" s="3"/>
      </tp>
      <tp t="s">
        <v>#N/A Connection</v>
        <stp/>
        <stp>##V3_BDPV12</stp>
        <stp>AUTMKRVS Index</stp>
        <stp>PX385</stp>
        <stp>[BI_AUTMG_1_l22cd4li.xlsx]ReferenceData!R171C33</stp>
        <stp>PX391=20120401</stp>
        <stp>PX392=20120630</stp>
        <stp>DS004=USD</stp>
        <stp>Fill=B</stp>
        <tr r="AG171" s="3"/>
      </tp>
      <tp t="s">
        <v>#N/A Connection</v>
        <stp/>
        <stp>##V3_BDPV12</stp>
        <stp>INVSDMUT Index</stp>
        <stp>PX385</stp>
        <stp>[BI_AUTMG_1_l22cd4li.xlsx]ReferenceData!R164C52</stp>
        <stp>PX391=20070701</stp>
        <stp>PX392=20070930</stp>
        <stp>DS004=USD</stp>
        <stp>Fill=B</stp>
        <tr r="AZ164" s="3"/>
      </tp>
      <tp t="s">
        <v>#N/A Connection</v>
        <stp/>
        <stp>##V3_BDPV12</stp>
        <stp>INVSDMPV Index</stp>
        <stp>PX385</stp>
        <stp>[BI_AUTMG_1_l22cd4li.xlsx]ReferenceData!R165C16</stp>
        <stp>PX391=20160701</stp>
        <stp>PX392=20160930</stp>
        <stp>DS004=USD</stp>
        <stp>Fill=B</stp>
        <tr r="P165" s="3"/>
      </tp>
      <tp t="s">
        <v>#N/A Connection</v>
        <stp/>
        <stp>##V3_BDPV12</stp>
        <stp>WCARNLI Index</stp>
        <stp>PX385</stp>
        <stp>[BI_AUTMG_1_l22cd4li.xlsx]ReferenceData!R188C48</stp>
        <stp>PX391=20080701</stp>
        <stp>PX392=20080930</stp>
        <stp>DS004=USD</stp>
        <stp>Fill=B</stp>
        <tr r="AV188" s="3"/>
      </tp>
      <tp t="s">
        <v>#N/A Connection</v>
        <stp/>
        <stp>##V3_BDPV12</stp>
        <stp>WCARDKI Index</stp>
        <stp>PX385</stp>
        <stp>[BI_AUTMG_1_l22cd4li.xlsx]ReferenceData!R179C28</stp>
        <stp>PX391=20130701</stp>
        <stp>PX392=20130930</stp>
        <stp>DS004=USD</stp>
        <stp>Fill=B</stp>
        <tr r="AB179" s="3"/>
      </tp>
      <tp t="s">
        <v>#N/A Connection</v>
        <stp/>
        <stp>##V3_BDPV12</stp>
        <stp>WCARCYI Index</stp>
        <stp>PX385</stp>
        <stp>[BI_AUTMG_1_l22cd4li.xlsx]ReferenceData!R178C60</stp>
        <stp>PX391=20050701</stp>
        <stp>PX392=20050930</stp>
        <stp>DS004=USD</stp>
        <stp>Fill=B</stp>
        <tr r="BH178" s="3"/>
      </tp>
      <tp t="s">
        <v>#N/A Connection</v>
        <stp/>
        <stp>##V3_BDPV12</stp>
        <stp>AUTMKRVS Index</stp>
        <stp>PX385</stp>
        <stp>[BI_AUTMG_1_l22cd4li.xlsx]ReferenceData!R171C21</stp>
        <stp>PX391=20150401</stp>
        <stp>PX392=20150630</stp>
        <stp>DS004=USD</stp>
        <stp>Fill=B</stp>
        <tr r="U171" s="3"/>
      </tp>
      <tp t="s">
        <v>#N/A Connection</v>
        <stp/>
        <stp>##V3_BDPV12</stp>
        <stp>INVSDMPV Index</stp>
        <stp>PX385</stp>
        <stp>[BI_AUTMG_1_l22cd4li.xlsx]ReferenceData!R165C36</stp>
        <stp>PX391=20110701</stp>
        <stp>PX392=20110930</stp>
        <stp>DS004=USD</stp>
        <stp>Fill=B</stp>
        <tr r="AJ165" s="3"/>
      </tp>
      <tp t="s">
        <v>#N/A Connection</v>
        <stp/>
        <stp>##V3_BDPV12</stp>
        <stp>WCARNLI Index</stp>
        <stp>PX385</stp>
        <stp>[BI_AUTMG_1_l22cd4li.xlsx]ReferenceData!R188C44</stp>
        <stp>PX391=20090701</stp>
        <stp>PX392=20090930</stp>
        <stp>DS004=USD</stp>
        <stp>Fill=B</stp>
        <tr r="AR188" s="3"/>
      </tp>
      <tp t="s">
        <v>#N/A Connection</v>
        <stp/>
        <stp>##V3_BDPV12</stp>
        <stp>WCARDKI Index</stp>
        <stp>PX385</stp>
        <stp>[BI_AUTMG_1_l22cd4li.xlsx]ReferenceData!R179C32</stp>
        <stp>PX391=20120701</stp>
        <stp>PX392=20120930</stp>
        <stp>DS004=USD</stp>
        <stp>Fill=B</stp>
        <tr r="AF179" s="3"/>
      </tp>
      <tp t="s">
        <v>#N/A Connection</v>
        <stp/>
        <stp>##V3_BDPV12</stp>
        <stp>WCARCYI Index</stp>
        <stp>PX385</stp>
        <stp>[BI_AUTMG_1_l22cd4li.xlsx]ReferenceData!R178C64</stp>
        <stp>PX391=20040701</stp>
        <stp>PX392=20040930</stp>
        <stp>DS004=USD</stp>
        <stp>Fill=B</stp>
        <tr r="BL178" s="3"/>
      </tp>
      <tp t="s">
        <v>#N/A Connection</v>
        <stp/>
        <stp>##V3_BDPV12</stp>
        <stp>AUTMKRVS Index</stp>
        <stp>PX385</stp>
        <stp>[BI_AUTMG_1_l22cd4li.xlsx]ReferenceData!R171C25</stp>
        <stp>PX391=20140401</stp>
        <stp>PX392=20140630</stp>
        <stp>DS004=USD</stp>
        <stp>Fill=B</stp>
        <tr r="Y171" s="3"/>
      </tp>
      <tp t="s">
        <v>#N/A Connection</v>
        <stp/>
        <stp>##V3_BDPV12</stp>
        <stp>INVSDMPV Index</stp>
        <stp>PX385</stp>
        <stp>[BI_AUTMG_1_l22cd4li.xlsx]ReferenceData!R165C40</stp>
        <stp>PX391=20100701</stp>
        <stp>PX392=20100930</stp>
        <stp>DS004=USD</stp>
        <stp>Fill=B</stp>
        <tr r="AN165" s="3"/>
      </tp>
      <tp t="s">
        <v>#N/A Connection</v>
        <stp/>
        <stp>##V3_BDPV12</stp>
        <stp>WCARDKI Index</stp>
        <stp>PX385</stp>
        <stp>[BI_AUTMG_1_l22cd4li.xlsx]ReferenceData!R179C36</stp>
        <stp>PX391=20110701</stp>
        <stp>PX392=20110930</stp>
        <stp>DS004=USD</stp>
        <stp>Fill=B</stp>
        <tr r="AJ179" s="3"/>
      </tp>
      <tp t="s">
        <v>#N/A Connection</v>
        <stp/>
        <stp>##V3_BDPV12</stp>
        <stp>WCARCYI Index</stp>
        <stp>PX385</stp>
        <stp>[BI_AUTMG_1_l22cd4li.xlsx]ReferenceData!R178C52</stp>
        <stp>PX391=20070701</stp>
        <stp>PX392=20070930</stp>
        <stp>DS004=USD</stp>
        <stp>Fill=B</stp>
        <tr r="AZ178" s="3"/>
      </tp>
      <tp t="s">
        <v>#N/A Connection</v>
        <stp/>
        <stp>##V3_BDPV12</stp>
        <stp>INVSDMPV Index</stp>
        <stp>PX385</stp>
        <stp>[BI_AUTMG_1_l22cd4li.xlsx]ReferenceData!R165C28</stp>
        <stp>PX391=20130701</stp>
        <stp>PX392=20130930</stp>
        <stp>DS004=USD</stp>
        <stp>Fill=B</stp>
        <tr r="AB165" s="3"/>
      </tp>
      <tp t="s">
        <v>#N/A Connection</v>
        <stp/>
        <stp>##V3_BDPV12</stp>
        <stp>AUTMKRVS Index</stp>
        <stp>PX385</stp>
        <stp>[BI_AUTMG_1_l22cd4li.xlsx]ReferenceData!R171C13</stp>
        <stp>PX391=20170401</stp>
        <stp>PX392=20170630</stp>
        <stp>DS004=USD</stp>
        <stp>Fill=B</stp>
        <tr r="M171" s="3"/>
      </tp>
      <tp t="s">
        <v>#N/A Connection</v>
        <stp/>
        <stp>##V3_BDPV12</stp>
        <stp>WCARDKI Index</stp>
        <stp>PX385</stp>
        <stp>[BI_AUTMG_1_l22cd4li.xlsx]ReferenceData!R179C40</stp>
        <stp>PX391=20100701</stp>
        <stp>PX392=20100930</stp>
        <stp>DS004=USD</stp>
        <stp>Fill=B</stp>
        <tr r="AN179" s="3"/>
      </tp>
      <tp t="s">
        <v>#N/A Connection</v>
        <stp/>
        <stp>##V3_BDPV12</stp>
        <stp>WCARCYI Index</stp>
        <stp>PX385</stp>
        <stp>[BI_AUTMG_1_l22cd4li.xlsx]ReferenceData!R178C56</stp>
        <stp>PX391=20060701</stp>
        <stp>PX392=20060930</stp>
        <stp>DS004=USD</stp>
        <stp>Fill=B</stp>
        <tr r="BD178" s="3"/>
      </tp>
      <tp t="s">
        <v>#N/A Connection</v>
        <stp/>
        <stp>##V3_BDPV12</stp>
        <stp>INVSDMPV Index</stp>
        <stp>PX385</stp>
        <stp>[BI_AUTMG_1_l22cd4li.xlsx]ReferenceData!R165C32</stp>
        <stp>PX391=20120701</stp>
        <stp>PX392=20120930</stp>
        <stp>DS004=USD</stp>
        <stp>Fill=B</stp>
        <tr r="AF165" s="3"/>
      </tp>
      <tp t="s">
        <v>#N/A Connection</v>
        <stp/>
        <stp>##V3_BDPV12</stp>
        <stp>AUTMKRVS Index</stp>
        <stp>PX385</stp>
        <stp>[BI_AUTMG_1_l22cd4li.xlsx]ReferenceData!R171C17</stp>
        <stp>PX391=20160401</stp>
        <stp>PX392=20160630</stp>
        <stp>DS004=USD</stp>
        <stp>Fill=B</stp>
        <tr r="Q171" s="3"/>
      </tp>
      <tp t="s">
        <v>#N/A Connection</v>
        <stp/>
        <stp>##V3_BDPV12</stp>
        <stp>BJTRNPGV Index</stp>
        <stp>PX385</stp>
        <stp>[BI_AUTMG_1_l22cd4li.xlsx]ReferenceData!R215C6</stp>
        <stp>PX391=20190101</stp>
        <stp>PX392=20190331</stp>
        <stp>DS004=USD</stp>
        <stp>Fill=B</stp>
        <tr r="F215" s="3"/>
      </tp>
      <tp t="s">
        <v>#N/A Connection</v>
        <stp/>
        <stp>##V3_BDPV12</stp>
        <stp>INVSDMPV Index</stp>
        <stp>PX385</stp>
        <stp>[BI_AUTMG_1_l22cd4li.xlsx]ReferenceData!R165C8</stp>
        <stp>PX391=20180701</stp>
        <stp>PX392=20180930</stp>
        <stp>DS004=USD</stp>
        <stp>Fill=B</stp>
        <tr r="H165" s="3"/>
      </tp>
      <tp t="s">
        <v>#N/A Connection</v>
        <stp/>
        <stp>##V3_BDPV12</stp>
        <stp>MXVHTOTL Index</stp>
        <stp>PX385</stp>
        <stp>[BI_AUTMG_1_l22cd4li.xlsx]ReferenceData!R207C7</stp>
        <stp>PX391=20181001</stp>
        <stp>PX392=20181231</stp>
        <stp>DS004=USD</stp>
        <stp>Fill=B</stp>
        <tr r="G207" s="3"/>
      </tp>
      <tp t="s">
        <v>#N/A Connection</v>
        <stp/>
        <stp>##V3_BDPV12</stp>
        <stp>ASTOTTRK Index</stp>
        <stp>PX385</stp>
        <stp>[BI_AUTMG_1_l22cd4li.xlsx]ReferenceData!R209C7</stp>
        <stp>PX391=20181001</stp>
        <stp>PX392=20181231</stp>
        <stp>DS004=USD</stp>
        <stp>Fill=B</stp>
        <tr r="G209" s="3"/>
      </tp>
      <tp t="s">
        <v>#N/A Connection</v>
        <stp/>
        <stp>##V3_BDPV12</stp>
        <stp>COVSTCAR Index</stp>
        <stp>PX385</stp>
        <stp>[BI_AUTMG_1_l22cd4li.xlsx]ReferenceData!R213C9</stp>
        <stp>PX391=20180401</stp>
        <stp>PX392=20180630</stp>
        <stp>DS004=USD</stp>
        <stp>Fill=B</stp>
        <tr r="I213" s="3"/>
      </tp>
      <tp t="s">
        <v>#N/A Connection</v>
        <stp/>
        <stp>##V3_BDPV12</stp>
        <stp>BJTRNPGV Index</stp>
        <stp>PX385</stp>
        <stp>[BI_AUTMG_1_l22cd4li.xlsx]ReferenceData!R215C61</stp>
        <stp>PX391=20050401</stp>
        <stp>PX392=20050630</stp>
        <stp>DS004=USD</stp>
        <stp>Fill=B</stp>
        <tr r="BI215" s="3"/>
      </tp>
      <tp t="s">
        <v>#N/A Connection</v>
        <stp/>
        <stp>##V3_BDPV12</stp>
        <stp>BJTRNPGV Index</stp>
        <stp>PX385</stp>
        <stp>[BI_AUTMG_1_l22cd4li.xlsx]ReferenceData!R215C65</stp>
        <stp>PX391=20040401</stp>
        <stp>PX392=20040630</stp>
        <stp>DS004=USD</stp>
        <stp>Fill=B</stp>
        <tr r="BM215" s="3"/>
      </tp>
      <tp t="s">
        <v>#N/A Connection</v>
        <stp/>
        <stp>##V3_BDPV12</stp>
        <stp>BJTRNPGV Index</stp>
        <stp>PX385</stp>
        <stp>[BI_AUTMG_1_l22cd4li.xlsx]ReferenceData!R215C53</stp>
        <stp>PX391=20070401</stp>
        <stp>PX392=20070630</stp>
        <stp>DS004=USD</stp>
        <stp>Fill=B</stp>
        <tr r="BA215" s="3"/>
      </tp>
      <tp t="s">
        <v>#N/A Connection</v>
        <stp/>
        <stp>##V3_BDPV12</stp>
        <stp>BJTRNPGV Index</stp>
        <stp>PX385</stp>
        <stp>[BI_AUTMG_1_l22cd4li.xlsx]ReferenceData!R215C57</stp>
        <stp>PX391=20060401</stp>
        <stp>PX392=20060630</stp>
        <stp>DS004=USD</stp>
        <stp>Fill=B</stp>
        <tr r="BE215" s="3"/>
      </tp>
      <tp t="s">
        <v>#N/A Connection</v>
        <stp/>
        <stp>##V3_BDPV12</stp>
        <stp>TUCSMP Index</stp>
        <stp>PX385</stp>
        <stp>[BI_AUTMG_1_l22cd4li.xlsx]ReferenceData!R194C49</stp>
        <stp>PX391=20080401</stp>
        <stp>PX392=20080630</stp>
        <stp>DS004=USD</stp>
        <stp>Fill=B</stp>
        <tr r="AW194" s="3"/>
      </tp>
      <tp t="s">
        <v>#N/A Connection</v>
        <stp/>
        <stp>##V3_BDPV12</stp>
        <stp>WCARBG Index</stp>
        <stp>PX385</stp>
        <stp>[BI_AUTMG_1_l22cd4li.xlsx]ReferenceData!R196C45</stp>
        <stp>PX391=20090401</stp>
        <stp>PX392=20090630</stp>
        <stp>DS004=USD</stp>
        <stp>Fill=B</stp>
        <tr r="AS196" s="3"/>
      </tp>
      <tp t="s">
        <v>#N/A Connection</v>
        <stp/>
        <stp>##V3_BDPV12</stp>
        <stp>WCARPO Index</stp>
        <stp>PX385</stp>
        <stp>[BI_AUTMG_1_l22cd4li.xlsx]ReferenceData!R202C47</stp>
        <stp>PX391=20081001</stp>
        <stp>PX392=20081231</stp>
        <stp>DS004=USD</stp>
        <stp>Fill=B</stp>
        <tr r="AU202" s="3"/>
      </tp>
      <tp t="s">
        <v>#N/A Connection</v>
        <stp/>
        <stp>##V3_BDPV12</stp>
        <stp>WCARRO Index</stp>
        <stp>PX385</stp>
        <stp>[BI_AUTMG_1_l22cd4li.xlsx]ReferenceData!R203C50</stp>
        <stp>PX391=20080101</stp>
        <stp>PX392=20080331</stp>
        <stp>DS004=USD</stp>
        <stp>Fill=B</stp>
        <tr r="AX203" s="3"/>
      </tp>
      <tp t="s">
        <v>#N/A Connection</v>
        <stp/>
        <stp>##V3_BDPV12</stp>
        <stp>WCARSI Index</stp>
        <stp>PX385</stp>
        <stp>[BI_AUTMG_1_l22cd4li.xlsx]ReferenceData!R206C45</stp>
        <stp>PX391=20090401</stp>
        <stp>PX392=20090630</stp>
        <stp>DS004=USD</stp>
        <stp>Fill=B</stp>
        <tr r="AS206" s="3"/>
      </tp>
      <tp t="s">
        <v>#N/A Connection</v>
        <stp/>
        <stp>##V3_BDPV12</stp>
        <stp>WCARSK Index</stp>
        <stp>PX385</stp>
        <stp>[BI_AUTMG_1_l22cd4li.xlsx]ReferenceData!R205C44</stp>
        <stp>PX391=20090701</stp>
        <stp>PX392=20090930</stp>
        <stp>DS004=USD</stp>
        <stp>Fill=B</stp>
        <tr r="AR205" s="3"/>
      </tp>
      <tp t="s">
        <v>#N/A Connection</v>
        <stp/>
        <stp>##V3_BDPV12</stp>
        <stp>TUCSMP Index</stp>
        <stp>PX385</stp>
        <stp>[BI_AUTMG_1_l22cd4li.xlsx]ReferenceData!R194C45</stp>
        <stp>PX391=20090401</stp>
        <stp>PX392=20090630</stp>
        <stp>DS004=USD</stp>
        <stp>Fill=B</stp>
        <tr r="AS194" s="3"/>
      </tp>
      <tp t="s">
        <v>#N/A Connection</v>
        <stp/>
        <stp>##V3_BDPV12</stp>
        <stp>WCARBG Index</stp>
        <stp>PX385</stp>
        <stp>[BI_AUTMG_1_l22cd4li.xlsx]ReferenceData!R196C49</stp>
        <stp>PX391=20080401</stp>
        <stp>PX392=20080630</stp>
        <stp>DS004=USD</stp>
        <stp>Fill=B</stp>
        <tr r="AW196" s="3"/>
      </tp>
      <tp t="s">
        <v>#N/A Connection</v>
        <stp/>
        <stp>##V3_BDPV12</stp>
        <stp>WCARPO Index</stp>
        <stp>PX385</stp>
        <stp>[BI_AUTMG_1_l22cd4li.xlsx]ReferenceData!R202C43</stp>
        <stp>PX391=20091001</stp>
        <stp>PX392=20091231</stp>
        <stp>DS004=USD</stp>
        <stp>Fill=B</stp>
        <tr r="AQ202" s="3"/>
      </tp>
      <tp t="s">
        <v>#N/A Connection</v>
        <stp/>
        <stp>##V3_BDPV12</stp>
        <stp>WCARRO Index</stp>
        <stp>PX385</stp>
        <stp>[BI_AUTMG_1_l22cd4li.xlsx]ReferenceData!R203C46</stp>
        <stp>PX391=20090101</stp>
        <stp>PX392=20090331</stp>
        <stp>DS004=USD</stp>
        <stp>Fill=B</stp>
        <tr r="AT203" s="3"/>
      </tp>
      <tp t="s">
        <v>#N/A Connection</v>
        <stp/>
        <stp>##V3_BDPV12</stp>
        <stp>WCARSK Index</stp>
        <stp>PX385</stp>
        <stp>[BI_AUTMG_1_l22cd4li.xlsx]ReferenceData!R205C48</stp>
        <stp>PX391=20080701</stp>
        <stp>PX392=20080930</stp>
        <stp>DS004=USD</stp>
        <stp>Fill=B</stp>
        <tr r="AV205" s="3"/>
      </tp>
      <tp t="s">
        <v>#N/A Connection</v>
        <stp/>
        <stp>##V3_BDPV12</stp>
        <stp>WCARSI Index</stp>
        <stp>PX385</stp>
        <stp>[BI_AUTMG_1_l22cd4li.xlsx]ReferenceData!R206C49</stp>
        <stp>PX391=20080401</stp>
        <stp>PX392=20080630</stp>
        <stp>DS004=USD</stp>
        <stp>Fill=B</stp>
        <tr r="AW206" s="3"/>
      </tp>
      <tp t="s">
        <v>#N/A Connection</v>
        <stp/>
        <stp>##V3_BDPV12</stp>
        <stp>WCARPO Index</stp>
        <stp>PX385</stp>
        <stp>[BI_AUTMG_1_l22cd4li.xlsx]ReferenceData!R202C10</stp>
        <stp>PX391=20180101</stp>
        <stp>PX392=20180331</stp>
        <stp>DS004=USD</stp>
        <stp>Fill=B</stp>
        <tr r="J202" s="3"/>
      </tp>
      <tp t="s">
        <v>#N/A Connection</v>
        <stp/>
        <stp>##V3_BDPV12</stp>
        <stp>WCARCZ Index</stp>
        <stp>PX385</stp>
        <stp>[BI_AUTMG_1_l22cd4li.xlsx]ReferenceData!R197C25</stp>
        <stp>PX391=20140401</stp>
        <stp>PX392=20140630</stp>
        <stp>DS004=USD</stp>
        <stp>Fill=B</stp>
        <tr r="Y197" s="3"/>
      </tp>
      <tp t="s">
        <v>#N/A Connection</v>
        <stp/>
        <stp>##V3_BDPV12</stp>
        <stp>WCARBG Index</stp>
        <stp>PX385</stp>
        <stp>[BI_AUTMG_1_l22cd4li.xlsx]ReferenceData!R196C61</stp>
        <stp>PX391=20050401</stp>
        <stp>PX392=20050630</stp>
        <stp>DS004=USD</stp>
        <stp>Fill=B</stp>
        <tr r="BI196" s="3"/>
      </tp>
      <tp t="s">
        <v>#N/A Connection</v>
        <stp/>
        <stp>##V3_BDPV12</stp>
        <stp>WCARIC Index</stp>
        <stp>PX385</stp>
        <stp>[BI_AUTMG_1_l22cd4li.xlsx]ReferenceData!R184C24</stp>
        <stp>PX391=20140701</stp>
        <stp>PX392=20140930</stp>
        <stp>DS004=USD</stp>
        <stp>Fill=B</stp>
        <tr r="X184" s="3"/>
      </tp>
      <tp t="s">
        <v>#N/A Connection</v>
        <stp/>
        <stp>##V3_BDPV12</stp>
        <stp>TUCSMP Index</stp>
        <stp>PX385</stp>
        <stp>[BI_AUTMG_1_l22cd4li.xlsx]ReferenceData!R194C65</stp>
        <stp>PX391=20040401</stp>
        <stp>PX392=20040630</stp>
        <stp>DS004=USD</stp>
        <stp>Fill=B</stp>
        <tr r="BM194" s="3"/>
      </tp>
      <tp t="s">
        <v>#N/A Connection</v>
        <stp/>
        <stp>##V3_BDPV12</stp>
        <stp>WCARPO Index</stp>
        <stp>PX385</stp>
        <stp>[BI_AUTMG_1_l22cd4li.xlsx]ReferenceData!R202C22</stp>
        <stp>PX391=20150101</stp>
        <stp>PX392=20150331</stp>
        <stp>DS004=USD</stp>
        <stp>Fill=B</stp>
        <tr r="V202" s="3"/>
      </tp>
      <tp t="s">
        <v>#N/A Connection</v>
        <stp/>
        <stp>##V3_BDPV12</stp>
        <stp>WCARRO Index</stp>
        <stp>PX385</stp>
        <stp>[BI_AUTMG_1_l22cd4li.xlsx]ReferenceData!R203C19</stp>
        <stp>PX391=20151001</stp>
        <stp>PX392=20151231</stp>
        <stp>DS004=USD</stp>
        <stp>Fill=B</stp>
        <tr r="S203" s="3"/>
      </tp>
      <tp t="s">
        <v>#N/A Connection</v>
        <stp/>
        <stp>##V3_BDPV12</stp>
        <stp>WCARSI Index</stp>
        <stp>PX385</stp>
        <stp>[BI_AUTMG_1_l22cd4li.xlsx]ReferenceData!R206C61</stp>
        <stp>PX391=20050401</stp>
        <stp>PX392=20050630</stp>
        <stp>DS004=USD</stp>
        <stp>Fill=B</stp>
        <tr r="BI206" s="3"/>
      </tp>
      <tp t="s">
        <v>#N/A Connection</v>
        <stp/>
        <stp>##V3_BDPV12</stp>
        <stp>WCARSK Index</stp>
        <stp>PX385</stp>
        <stp>[BI_AUTMG_1_l22cd4li.xlsx]ReferenceData!R205C60</stp>
        <stp>PX391=20050701</stp>
        <stp>PX392=20050930</stp>
        <stp>DS004=USD</stp>
        <stp>Fill=B</stp>
        <tr r="BH205" s="3"/>
      </tp>
      <tp t="s">
        <v>#N/A Connection</v>
        <stp/>
        <stp>##V3_BDPV12</stp>
        <stp>WCARPO Index</stp>
        <stp>PX385</stp>
        <stp>[BI_AUTMG_1_l22cd4li.xlsx]ReferenceData!R202C63</stp>
        <stp>PX391=20041001</stp>
        <stp>PX392=20041231</stp>
        <stp>DS004=USD</stp>
        <stp>Fill=B</stp>
        <tr r="BK202" s="3"/>
      </tp>
      <tp t="s">
        <v>#N/A Connection</v>
        <stp/>
        <stp>##V3_BDPV12</stp>
        <stp>WCARCZ Index</stp>
        <stp>PX385</stp>
        <stp>[BI_AUTMG_1_l22cd4li.xlsx]ReferenceData!R197C21</stp>
        <stp>PX391=20150401</stp>
        <stp>PX392=20150630</stp>
        <stp>DS004=USD</stp>
        <stp>Fill=B</stp>
        <tr r="U197" s="3"/>
      </tp>
      <tp t="s">
        <v>#N/A Connection</v>
        <stp/>
        <stp>##V3_BDPV12</stp>
        <stp>WCARBG Index</stp>
        <stp>PX385</stp>
        <stp>[BI_AUTMG_1_l22cd4li.xlsx]ReferenceData!R196C65</stp>
        <stp>PX391=20040401</stp>
        <stp>PX392=20040630</stp>
        <stp>DS004=USD</stp>
        <stp>Fill=B</stp>
        <tr r="BM196" s="3"/>
      </tp>
      <tp t="s">
        <v>#N/A Connection</v>
        <stp/>
        <stp>##V3_BDPV12</stp>
        <stp>WCARIC Index</stp>
        <stp>PX385</stp>
        <stp>[BI_AUTMG_1_l22cd4li.xlsx]ReferenceData!R184C20</stp>
        <stp>PX391=20150701</stp>
        <stp>PX392=20150930</stp>
        <stp>DS004=USD</stp>
        <stp>Fill=B</stp>
        <tr r="T184" s="3"/>
      </tp>
      <tp t="s">
        <v>#N/A Connection</v>
        <stp/>
        <stp>##V3_BDPV12</stp>
        <stp>TUCSMP Index</stp>
        <stp>PX385</stp>
        <stp>[BI_AUTMG_1_l22cd4li.xlsx]ReferenceData!R194C61</stp>
        <stp>PX391=20050401</stp>
        <stp>PX392=20050630</stp>
        <stp>DS004=USD</stp>
        <stp>Fill=B</stp>
        <tr r="BI194" s="3"/>
      </tp>
      <tp t="s">
        <v>#N/A Connection</v>
        <stp/>
        <stp>##V3_BDPV12</stp>
        <stp>WCARRO Index</stp>
        <stp>PX385</stp>
        <stp>[BI_AUTMG_1_l22cd4li.xlsx]ReferenceData!R203C23</stp>
        <stp>PX391=20141001</stp>
        <stp>PX392=20141231</stp>
        <stp>DS004=USD</stp>
        <stp>Fill=B</stp>
        <tr r="W203" s="3"/>
      </tp>
      <tp t="s">
        <v>#N/A Connection</v>
        <stp/>
        <stp>##V3_BDPV12</stp>
        <stp>WCARPO Index</stp>
        <stp>PX385</stp>
        <stp>[BI_AUTMG_1_l22cd4li.xlsx]ReferenceData!R202C26</stp>
        <stp>PX391=20140101</stp>
        <stp>PX392=20140331</stp>
        <stp>DS004=USD</stp>
        <stp>Fill=B</stp>
        <tr r="Z202" s="3"/>
      </tp>
      <tp t="s">
        <v>#N/A Connection</v>
        <stp/>
        <stp>##V3_BDPV12</stp>
        <stp>WCARSI Index</stp>
        <stp>PX385</stp>
        <stp>[BI_AUTMG_1_l22cd4li.xlsx]ReferenceData!R206C65</stp>
        <stp>PX391=20040401</stp>
        <stp>PX392=20040630</stp>
        <stp>DS004=USD</stp>
        <stp>Fill=B</stp>
        <tr r="BM206" s="3"/>
      </tp>
      <tp t="s">
        <v>#N/A Connection</v>
        <stp/>
        <stp>##V3_BDPV12</stp>
        <stp>WCARRO Index</stp>
        <stp>PX385</stp>
        <stp>[BI_AUTMG_1_l22cd4li.xlsx]ReferenceData!R203C62</stp>
        <stp>PX391=20050101</stp>
        <stp>PX392=20050331</stp>
        <stp>DS004=USD</stp>
        <stp>Fill=B</stp>
        <tr r="BJ203" s="3"/>
      </tp>
      <tp t="s">
        <v>#N/A Connection</v>
        <stp/>
        <stp>##V3_BDPV12</stp>
        <stp>WCARSK Index</stp>
        <stp>PX385</stp>
        <stp>[BI_AUTMG_1_l22cd4li.xlsx]ReferenceData!R205C64</stp>
        <stp>PX391=20040701</stp>
        <stp>PX392=20040930</stp>
        <stp>DS004=USD</stp>
        <stp>Fill=B</stp>
        <tr r="BL205" s="3"/>
      </tp>
      <tp t="s">
        <v>#N/A Connection</v>
        <stp/>
        <stp>##V3_BDPV12</stp>
        <stp>WCARPO Index</stp>
        <stp>PX385</stp>
        <stp>[BI_AUTMG_1_l22cd4li.xlsx]ReferenceData!R202C59</stp>
        <stp>PX391=20051001</stp>
        <stp>PX392=20051231</stp>
        <stp>DS004=USD</stp>
        <stp>Fill=B</stp>
        <tr r="BG202" s="3"/>
      </tp>
      <tp t="s">
        <v>#N/A Connection</v>
        <stp/>
        <stp>##V3_BDPV12</stp>
        <stp>WCARCZ Index</stp>
        <stp>PX385</stp>
        <stp>[BI_AUTMG_1_l22cd4li.xlsx]ReferenceData!R197C17</stp>
        <stp>PX391=20160401</stp>
        <stp>PX392=20160630</stp>
        <stp>DS004=USD</stp>
        <stp>Fill=B</stp>
        <tr r="Q197" s="3"/>
      </tp>
      <tp t="s">
        <v>#N/A Connection</v>
        <stp/>
        <stp>##V3_BDPV12</stp>
        <stp>WCARBG Index</stp>
        <stp>PX385</stp>
        <stp>[BI_AUTMG_1_l22cd4li.xlsx]ReferenceData!R196C53</stp>
        <stp>PX391=20070401</stp>
        <stp>PX392=20070630</stp>
        <stp>DS004=USD</stp>
        <stp>Fill=B</stp>
        <tr r="BA196" s="3"/>
      </tp>
      <tp t="s">
        <v>#N/A Connection</v>
        <stp/>
        <stp>##V3_BDPV12</stp>
        <stp>WCARIC Index</stp>
        <stp>PX385</stp>
        <stp>[BI_AUTMG_1_l22cd4li.xlsx]ReferenceData!R184C16</stp>
        <stp>PX391=20160701</stp>
        <stp>PX392=20160930</stp>
        <stp>DS004=USD</stp>
        <stp>Fill=B</stp>
        <tr r="P184" s="3"/>
      </tp>
      <tp t="s">
        <v>#N/A Connection</v>
        <stp/>
        <stp>##V3_BDPV12</stp>
        <stp>TUCSMP Index</stp>
        <stp>PX385</stp>
        <stp>[BI_AUTMG_1_l22cd4li.xlsx]ReferenceData!R194C57</stp>
        <stp>PX391=20060401</stp>
        <stp>PX392=20060630</stp>
        <stp>DS004=USD</stp>
        <stp>Fill=B</stp>
        <tr r="BE194" s="3"/>
      </tp>
      <tp t="s">
        <v>#N/A Connection</v>
        <stp/>
        <stp>##V3_BDPV12</stp>
        <stp>WCARRO Index</stp>
        <stp>PX385</stp>
        <stp>[BI_AUTMG_1_l22cd4li.xlsx]ReferenceData!R203C11</stp>
        <stp>PX391=20171001</stp>
        <stp>PX392=20171231</stp>
        <stp>DS004=USD</stp>
        <stp>Fill=B</stp>
        <tr r="K203" s="3"/>
      </tp>
      <tp t="s">
        <v>#N/A Connection</v>
        <stp/>
        <stp>##V3_BDPV12</stp>
        <stp>WCARPO Index</stp>
        <stp>PX385</stp>
        <stp>[BI_AUTMG_1_l22cd4li.xlsx]ReferenceData!R202C14</stp>
        <stp>PX391=20170101</stp>
        <stp>PX392=20170331</stp>
        <stp>DS004=USD</stp>
        <stp>Fill=B</stp>
        <tr r="N202" s="3"/>
      </tp>
      <tp t="s">
        <v>#N/A Connection</v>
        <stp/>
        <stp>##V3_BDPV12</stp>
        <stp>WCARSI Index</stp>
        <stp>PX385</stp>
        <stp>[BI_AUTMG_1_l22cd4li.xlsx]ReferenceData!R206C53</stp>
        <stp>PX391=20070401</stp>
        <stp>PX392=20070630</stp>
        <stp>DS004=USD</stp>
        <stp>Fill=B</stp>
        <tr r="BA206" s="3"/>
      </tp>
      <tp t="s">
        <v>#N/A Connection</v>
        <stp/>
        <stp>##V3_BDPV12</stp>
        <stp>WCARSK Index</stp>
        <stp>PX385</stp>
        <stp>[BI_AUTMG_1_l22cd4li.xlsx]ReferenceData!R205C52</stp>
        <stp>PX391=20070701</stp>
        <stp>PX392=20070930</stp>
        <stp>DS004=USD</stp>
        <stp>Fill=B</stp>
        <tr r="AZ205" s="3"/>
      </tp>
      <tp t="s">
        <v>#N/A Connection</v>
        <stp/>
        <stp>##V3_BDPV12</stp>
        <stp>WCARRO Index</stp>
        <stp>PX385</stp>
        <stp>[BI_AUTMG_1_l22cd4li.xlsx]ReferenceData!R203C58</stp>
        <stp>PX391=20060101</stp>
        <stp>PX392=20060331</stp>
        <stp>DS004=USD</stp>
        <stp>Fill=B</stp>
        <tr r="BF203" s="3"/>
      </tp>
      <tp t="s">
        <v>#N/A Connection</v>
        <stp/>
        <stp>##V3_BDPV12</stp>
        <stp>WCARPO Index</stp>
        <stp>PX385</stp>
        <stp>[BI_AUTMG_1_l22cd4li.xlsx]ReferenceData!R202C55</stp>
        <stp>PX391=20061001</stp>
        <stp>PX392=20061231</stp>
        <stp>DS004=USD</stp>
        <stp>Fill=B</stp>
        <tr r="BC202" s="3"/>
      </tp>
      <tp t="s">
        <v>#N/A Connection</v>
        <stp/>
        <stp>##V3_BDPV12</stp>
        <stp>WCARCZ Index</stp>
        <stp>PX385</stp>
        <stp>[BI_AUTMG_1_l22cd4li.xlsx]ReferenceData!R197C13</stp>
        <stp>PX391=20170401</stp>
        <stp>PX392=20170630</stp>
        <stp>DS004=USD</stp>
        <stp>Fill=B</stp>
        <tr r="M197" s="3"/>
      </tp>
      <tp t="s">
        <v>#N/A Connection</v>
        <stp/>
        <stp>##V3_BDPV12</stp>
        <stp>WCARBG Index</stp>
        <stp>PX385</stp>
        <stp>[BI_AUTMG_1_l22cd4li.xlsx]ReferenceData!R196C57</stp>
        <stp>PX391=20060401</stp>
        <stp>PX392=20060630</stp>
        <stp>DS004=USD</stp>
        <stp>Fill=B</stp>
        <tr r="BE196" s="3"/>
      </tp>
      <tp t="s">
        <v>#N/A Connection</v>
        <stp/>
        <stp>##V3_BDPV12</stp>
        <stp>WCARIC Index</stp>
        <stp>PX385</stp>
        <stp>[BI_AUTMG_1_l22cd4li.xlsx]ReferenceData!R184C12</stp>
        <stp>PX391=20170701</stp>
        <stp>PX392=20170930</stp>
        <stp>DS004=USD</stp>
        <stp>Fill=B</stp>
        <tr r="L184" s="3"/>
      </tp>
      <tp t="s">
        <v>#N/A Connection</v>
        <stp/>
        <stp>##V3_BDPV12</stp>
        <stp>TUCSMP Index</stp>
        <stp>PX385</stp>
        <stp>[BI_AUTMG_1_l22cd4li.xlsx]ReferenceData!R194C53</stp>
        <stp>PX391=20070401</stp>
        <stp>PX392=20070630</stp>
        <stp>DS004=USD</stp>
        <stp>Fill=B</stp>
        <tr r="BA194" s="3"/>
      </tp>
      <tp t="s">
        <v>#N/A Connection</v>
        <stp/>
        <stp>##V3_BDPV12</stp>
        <stp>WCARRO Index</stp>
        <stp>PX385</stp>
        <stp>[BI_AUTMG_1_l22cd4li.xlsx]ReferenceData!R203C15</stp>
        <stp>PX391=20161001</stp>
        <stp>PX392=20161231</stp>
        <stp>DS004=USD</stp>
        <stp>Fill=B</stp>
        <tr r="O203" s="3"/>
      </tp>
      <tp t="s">
        <v>#N/A Connection</v>
        <stp/>
        <stp>##V3_BDPV12</stp>
        <stp>WCARPO Index</stp>
        <stp>PX385</stp>
        <stp>[BI_AUTMG_1_l22cd4li.xlsx]ReferenceData!R202C18</stp>
        <stp>PX391=20160101</stp>
        <stp>PX392=20160331</stp>
        <stp>DS004=USD</stp>
        <stp>Fill=B</stp>
        <tr r="R202" s="3"/>
      </tp>
      <tp t="s">
        <v>#N/A Connection</v>
        <stp/>
        <stp>##V3_BDPV12</stp>
        <stp>WCARRO Index</stp>
        <stp>PX385</stp>
        <stp>[BI_AUTMG_1_l22cd4li.xlsx]ReferenceData!R203C54</stp>
        <stp>PX391=20070101</stp>
        <stp>PX392=20070331</stp>
        <stp>DS004=USD</stp>
        <stp>Fill=B</stp>
        <tr r="BB203" s="3"/>
      </tp>
      <tp t="s">
        <v>#N/A Connection</v>
        <stp/>
        <stp>##V3_BDPV12</stp>
        <stp>WCARSI Index</stp>
        <stp>PX385</stp>
        <stp>[BI_AUTMG_1_l22cd4li.xlsx]ReferenceData!R206C57</stp>
        <stp>PX391=20060401</stp>
        <stp>PX392=20060630</stp>
        <stp>DS004=USD</stp>
        <stp>Fill=B</stp>
        <tr r="BE206" s="3"/>
      </tp>
      <tp t="s">
        <v>#N/A Connection</v>
        <stp/>
        <stp>##V3_BDPV12</stp>
        <stp>WCARSK Index</stp>
        <stp>PX385</stp>
        <stp>[BI_AUTMG_1_l22cd4li.xlsx]ReferenceData!R205C56</stp>
        <stp>PX391=20060701</stp>
        <stp>PX392=20060930</stp>
        <stp>DS004=USD</stp>
        <stp>Fill=B</stp>
        <tr r="BD205" s="3"/>
      </tp>
      <tp t="s">
        <v>#N/A Connection</v>
        <stp/>
        <stp>##V3_BDPV12</stp>
        <stp>WCARPO Index</stp>
        <stp>PX385</stp>
        <stp>[BI_AUTMG_1_l22cd4li.xlsx]ReferenceData!R202C51</stp>
        <stp>PX391=20071001</stp>
        <stp>PX392=20071231</stp>
        <stp>DS004=USD</stp>
        <stp>Fill=B</stp>
        <tr r="AY202" s="3"/>
      </tp>
      <tp t="s">
        <v>#N/A Connection</v>
        <stp/>
        <stp>##V3_BDPV12</stp>
        <stp>WCARCZ Index</stp>
        <stp>PX385</stp>
        <stp>[BI_AUTMG_1_l22cd4li.xlsx]ReferenceData!R197C41</stp>
        <stp>PX391=20100401</stp>
        <stp>PX392=20100630</stp>
        <stp>DS004=USD</stp>
        <stp>Fill=B</stp>
        <tr r="AO197" s="3"/>
      </tp>
      <tp t="s">
        <v>#N/A Connection</v>
        <stp/>
        <stp>##V3_BDPV12</stp>
        <stp>WCARIC Index</stp>
        <stp>PX385</stp>
        <stp>[BI_AUTMG_1_l22cd4li.xlsx]ReferenceData!R184C40</stp>
        <stp>PX391=20100701</stp>
        <stp>PX392=20100930</stp>
        <stp>DS004=USD</stp>
        <stp>Fill=B</stp>
        <tr r="AN184" s="3"/>
      </tp>
      <tp t="s">
        <v>#N/A Connection</v>
        <stp/>
        <stp>##V3_BDPV12</stp>
        <stp>WCARRO Index</stp>
        <stp>PX385</stp>
        <stp>[BI_AUTMG_1_l22cd4li.xlsx]ReferenceData!R203C35</stp>
        <stp>PX391=20111001</stp>
        <stp>PX392=20111231</stp>
        <stp>DS004=USD</stp>
        <stp>Fill=B</stp>
        <tr r="AI203" s="3"/>
      </tp>
      <tp t="s">
        <v>#N/A Connection</v>
        <stp/>
        <stp>##V3_BDPV12</stp>
        <stp>WCARPO Index</stp>
        <stp>PX385</stp>
        <stp>[BI_AUTMG_1_l22cd4li.xlsx]ReferenceData!R202C38</stp>
        <stp>PX391=20110101</stp>
        <stp>PX392=20110331</stp>
        <stp>DS004=USD</stp>
        <stp>Fill=B</stp>
        <tr r="AL202" s="3"/>
      </tp>
      <tp t="s">
        <v>#N/A Connection</v>
        <stp/>
        <stp>##V3_BDPV12</stp>
        <stp>BJTRNPGV Index</stp>
        <stp>PX385</stp>
        <stp>[BI_AUTMG_1_l22cd4li.xlsx]ReferenceData!R215C45</stp>
        <stp>PX391=20090401</stp>
        <stp>PX392=20090630</stp>
        <stp>DS004=USD</stp>
        <stp>Fill=B</stp>
        <tr r="AS215" s="3"/>
      </tp>
      <tp t="s">
        <v>#N/A Connection</v>
        <stp/>
        <stp>##V3_BDPV12</stp>
        <stp>WCARCZ Index</stp>
        <stp>PX385</stp>
        <stp>[BI_AUTMG_1_l22cd4li.xlsx]ReferenceData!R197C37</stp>
        <stp>PX391=20110401</stp>
        <stp>PX392=20110630</stp>
        <stp>DS004=USD</stp>
        <stp>Fill=B</stp>
        <tr r="AK197" s="3"/>
      </tp>
      <tp t="s">
        <v>#N/A Connection</v>
        <stp/>
        <stp>##V3_BDPV12</stp>
        <stp>WCARIC Index</stp>
        <stp>PX385</stp>
        <stp>[BI_AUTMG_1_l22cd4li.xlsx]ReferenceData!R184C36</stp>
        <stp>PX391=20110701</stp>
        <stp>PX392=20110930</stp>
        <stp>DS004=USD</stp>
        <stp>Fill=B</stp>
        <tr r="AJ184" s="3"/>
      </tp>
      <tp t="s">
        <v>#N/A Connection</v>
        <stp/>
        <stp>##V3_BDPV12</stp>
        <stp>WCARPO Index</stp>
        <stp>PX385</stp>
        <stp>[BI_AUTMG_1_l22cd4li.xlsx]ReferenceData!R202C42</stp>
        <stp>PX391=20100101</stp>
        <stp>PX392=20100331</stp>
        <stp>DS004=USD</stp>
        <stp>Fill=B</stp>
        <tr r="AP202" s="3"/>
      </tp>
      <tp t="s">
        <v>#N/A Connection</v>
        <stp/>
        <stp>##V3_BDPV12</stp>
        <stp>WCARRO Index</stp>
        <stp>PX385</stp>
        <stp>[BI_AUTMG_1_l22cd4li.xlsx]ReferenceData!R203C39</stp>
        <stp>PX391=20101001</stp>
        <stp>PX392=20101231</stp>
        <stp>DS004=USD</stp>
        <stp>Fill=B</stp>
        <tr r="AM203" s="3"/>
      </tp>
      <tp t="s">
        <v>#N/A Connection</v>
        <stp/>
        <stp>##V3_BDPV12</stp>
        <stp>BJTRNPGV Index</stp>
        <stp>PX385</stp>
        <stp>[BI_AUTMG_1_l22cd4li.xlsx]ReferenceData!R215C49</stp>
        <stp>PX391=20080401</stp>
        <stp>PX392=20080630</stp>
        <stp>DS004=USD</stp>
        <stp>Fill=B</stp>
        <tr r="AW215" s="3"/>
      </tp>
      <tp t="s">
        <v>#N/A Connection</v>
        <stp/>
        <stp>##V3_BDPV12</stp>
        <stp>WCARCZ Index</stp>
        <stp>PX385</stp>
        <stp>[BI_AUTMG_1_l22cd4li.xlsx]ReferenceData!R197C33</stp>
        <stp>PX391=20120401</stp>
        <stp>PX392=20120630</stp>
        <stp>DS004=USD</stp>
        <stp>Fill=B</stp>
        <tr r="AG197" s="3"/>
      </tp>
      <tp t="s">
        <v>#N/A Connection</v>
        <stp/>
        <stp>##V3_BDPV12</stp>
        <stp>WCARIC Index</stp>
        <stp>PX385</stp>
        <stp>[BI_AUTMG_1_l22cd4li.xlsx]ReferenceData!R184C32</stp>
        <stp>PX391=20120701</stp>
        <stp>PX392=20120930</stp>
        <stp>DS004=USD</stp>
        <stp>Fill=B</stp>
        <tr r="AF184" s="3"/>
      </tp>
      <tp t="s">
        <v>#N/A Connection</v>
        <stp/>
        <stp>##V3_BDPV12</stp>
        <stp>WCARPO Index</stp>
        <stp>PX385</stp>
        <stp>[BI_AUTMG_1_l22cd4li.xlsx]ReferenceData!R202C30</stp>
        <stp>PX391=20130101</stp>
        <stp>PX392=20130331</stp>
        <stp>DS004=USD</stp>
        <stp>Fill=B</stp>
        <tr r="AD202" s="3"/>
      </tp>
      <tp t="s">
        <v>#N/A Connection</v>
        <stp/>
        <stp>##V3_BDPV12</stp>
        <stp>WCARRO Index</stp>
        <stp>PX385</stp>
        <stp>[BI_AUTMG_1_l22cd4li.xlsx]ReferenceData!R203C27</stp>
        <stp>PX391=20131001</stp>
        <stp>PX392=20131231</stp>
        <stp>DS004=USD</stp>
        <stp>Fill=B</stp>
        <tr r="AA203" s="3"/>
      </tp>
      <tp t="s">
        <v>#N/A Connection</v>
        <stp/>
        <stp>##V3_BDPV12</stp>
        <stp>WCARCZ Index</stp>
        <stp>PX385</stp>
        <stp>[BI_AUTMG_1_l22cd4li.xlsx]ReferenceData!R197C29</stp>
        <stp>PX391=20130401</stp>
        <stp>PX392=20130630</stp>
        <stp>DS004=USD</stp>
        <stp>Fill=B</stp>
        <tr r="AC197" s="3"/>
      </tp>
      <tp t="s">
        <v>#N/A Connection</v>
        <stp/>
        <stp>##V3_BDPV12</stp>
        <stp>WCARIC Index</stp>
        <stp>PX385</stp>
        <stp>[BI_AUTMG_1_l22cd4li.xlsx]ReferenceData!R184C28</stp>
        <stp>PX391=20130701</stp>
        <stp>PX392=20130930</stp>
        <stp>DS004=USD</stp>
        <stp>Fill=B</stp>
        <tr r="AB184" s="3"/>
      </tp>
      <tp t="s">
        <v>#N/A Connection</v>
        <stp/>
        <stp>##V3_BDPV12</stp>
        <stp>WCARPO Index</stp>
        <stp>PX385</stp>
        <stp>[BI_AUTMG_1_l22cd4li.xlsx]ReferenceData!R202C34</stp>
        <stp>PX391=20120101</stp>
        <stp>PX392=20120331</stp>
        <stp>DS004=USD</stp>
        <stp>Fill=B</stp>
        <tr r="AH202" s="3"/>
      </tp>
      <tp t="s">
        <v>#N/A Connection</v>
        <stp/>
        <stp>##V3_BDPV12</stp>
        <stp>WCARRO Index</stp>
        <stp>PX385</stp>
        <stp>[BI_AUTMG_1_l22cd4li.xlsx]ReferenceData!R203C31</stp>
        <stp>PX391=20121001</stp>
        <stp>PX392=20121231</stp>
        <stp>DS004=USD</stp>
        <stp>Fill=B</stp>
        <tr r="AE203" s="3"/>
      </tp>
      <tp t="s">
        <v>#N/A Connection</v>
        <stp/>
        <stp>##V3_BDPV12</stp>
        <stp>WCARNOI Index</stp>
        <stp>PX385</stp>
        <stp>[BI_AUTMG_1_l22cd4li.xlsx]ReferenceData!R189C21</stp>
        <stp>PX391=20150401</stp>
        <stp>PX392=20150630</stp>
        <stp>DS004=USD</stp>
        <stp>Fill=B</stp>
        <tr r="U189" s="3"/>
      </tp>
      <tp t="s">
        <v>#N/A Connection</v>
        <stp/>
        <stp>##V3_BDPV12</stp>
        <stp>WCARNLI Index</stp>
        <stp>PX385</stp>
        <stp>[BI_AUTMG_1_l22cd4li.xlsx]ReferenceData!R188C65</stp>
        <stp>PX391=20040401</stp>
        <stp>PX392=20040630</stp>
        <stp>DS004=USD</stp>
        <stp>Fill=B</stp>
        <tr r="BM188" s="3"/>
      </tp>
      <tp t="s">
        <v>#N/A Connection</v>
        <stp/>
        <stp>##V3_BDPV12</stp>
        <stp>MAVSTTL Index</stp>
        <stp>PX385</stp>
        <stp>[BI_AUTMG_1_l22cd4li.xlsx]ReferenceData!R168C21</stp>
        <stp>PX391=20150401</stp>
        <stp>PX392=20150630</stp>
        <stp>DS004=USD</stp>
        <stp>Fill=B</stp>
        <tr r="U168" s="3"/>
      </tp>
      <tp t="s">
        <v>#N/A Connection</v>
        <stp/>
        <stp>##V3_BDPV12</stp>
        <stp>WCARCYI Index</stp>
        <stp>PX385</stp>
        <stp>[BI_AUTMG_1_l22cd4li.xlsx]ReferenceData!R178C45</stp>
        <stp>PX391=20090401</stp>
        <stp>PX392=20090630</stp>
        <stp>DS004=USD</stp>
        <stp>Fill=B</stp>
        <tr r="AS178" s="3"/>
      </tp>
      <tp t="s">
        <v>#N/A Connection</v>
        <stp/>
        <stp>##V3_BDPV12</stp>
        <stp>IDVHCLOC Index</stp>
        <stp>PX385</stp>
        <stp>[BI_AUTMG_1_l22cd4li.xlsx]ReferenceData!R166C11</stp>
        <stp>PX391=20171001</stp>
        <stp>PX392=20171231</stp>
        <stp>DS004=USD</stp>
        <stp>Fill=B</stp>
        <tr r="K166" s="3"/>
      </tp>
      <tp t="s">
        <v>#N/A Connection</v>
        <stp/>
        <stp>##V3_BDPV12</stp>
        <stp>IDVHCLOC Index</stp>
        <stp>PX385</stp>
        <stp>[BI_AUTMG_1_l22cd4li.xlsx]ReferenceData!R166C58</stp>
        <stp>PX391=20060101</stp>
        <stp>PX392=20060331</stp>
        <stp>DS004=USD</stp>
        <stp>Fill=B</stp>
        <tr r="BF166" s="3"/>
      </tp>
      <tp t="s">
        <v>#N/A Connection</v>
        <stp/>
        <stp>##V3_BDPV12</stp>
        <stp>WCARNOI Index</stp>
        <stp>PX385</stp>
        <stp>[BI_AUTMG_1_l22cd4li.xlsx]ReferenceData!R189C25</stp>
        <stp>PX391=20140401</stp>
        <stp>PX392=20140630</stp>
        <stp>DS004=USD</stp>
        <stp>Fill=B</stp>
        <tr r="Y189" s="3"/>
      </tp>
      <tp t="s">
        <v>#N/A Connection</v>
        <stp/>
        <stp>##V3_BDPV12</stp>
        <stp>WCARNLI Index</stp>
        <stp>PX385</stp>
        <stp>[BI_AUTMG_1_l22cd4li.xlsx]ReferenceData!R188C61</stp>
        <stp>PX391=20050401</stp>
        <stp>PX392=20050630</stp>
        <stp>DS004=USD</stp>
        <stp>Fill=B</stp>
        <tr r="BI188" s="3"/>
      </tp>
      <tp t="s">
        <v>#N/A Connection</v>
        <stp/>
        <stp>##V3_BDPV12</stp>
        <stp>MAVSTTL Index</stp>
        <stp>PX385</stp>
        <stp>[BI_AUTMG_1_l22cd4li.xlsx]ReferenceData!R168C25</stp>
        <stp>PX391=20140401</stp>
        <stp>PX392=20140630</stp>
        <stp>DS004=USD</stp>
        <stp>Fill=B</stp>
        <tr r="Y168" s="3"/>
      </tp>
      <tp t="s">
        <v>#N/A Connection</v>
        <stp/>
        <stp>##V3_BDPV12</stp>
        <stp>WCARCYI Index</stp>
        <stp>PX385</stp>
        <stp>[BI_AUTMG_1_l22cd4li.xlsx]ReferenceData!R178C49</stp>
        <stp>PX391=20080401</stp>
        <stp>PX392=20080630</stp>
        <stp>DS004=USD</stp>
        <stp>Fill=B</stp>
        <tr r="AW178" s="3"/>
      </tp>
      <tp t="s">
        <v>#N/A Connection</v>
        <stp/>
        <stp>##V3_BDPV12</stp>
        <stp>IDVHCLOC Index</stp>
        <stp>PX385</stp>
        <stp>[BI_AUTMG_1_l22cd4li.xlsx]ReferenceData!R166C15</stp>
        <stp>PX391=20161001</stp>
        <stp>PX392=20161231</stp>
        <stp>DS004=USD</stp>
        <stp>Fill=B</stp>
        <tr r="O166" s="3"/>
      </tp>
      <tp t="s">
        <v>#N/A Connection</v>
        <stp/>
        <stp>##V3_BDPV12</stp>
        <stp>IDVHCLOC Index</stp>
        <stp>PX385</stp>
        <stp>[BI_AUTMG_1_l22cd4li.xlsx]ReferenceData!R166C54</stp>
        <stp>PX391=20070101</stp>
        <stp>PX392=20070331</stp>
        <stp>DS004=USD</stp>
        <stp>Fill=B</stp>
        <tr r="BB166" s="3"/>
      </tp>
      <tp t="s">
        <v>#N/A Connection</v>
        <stp/>
        <stp>##V3_BDPV12</stp>
        <stp>WCARNOI Index</stp>
        <stp>PX385</stp>
        <stp>[BI_AUTMG_1_l22cd4li.xlsx]ReferenceData!R189C13</stp>
        <stp>PX391=20170401</stp>
        <stp>PX392=20170630</stp>
        <stp>DS004=USD</stp>
        <stp>Fill=B</stp>
        <tr r="M189" s="3"/>
      </tp>
      <tp t="s">
        <v>#N/A Connection</v>
        <stp/>
        <stp>##V3_BDPV12</stp>
        <stp>WCARNLI Index</stp>
        <stp>PX385</stp>
        <stp>[BI_AUTMG_1_l22cd4li.xlsx]ReferenceData!R188C57</stp>
        <stp>PX391=20060401</stp>
        <stp>PX392=20060630</stp>
        <stp>DS004=USD</stp>
        <stp>Fill=B</stp>
        <tr r="BE188" s="3"/>
      </tp>
      <tp t="s">
        <v>#N/A Connection</v>
        <stp/>
        <stp>##V3_BDPV12</stp>
        <stp>MAVSTTL Index</stp>
        <stp>PX385</stp>
        <stp>[BI_AUTMG_1_l22cd4li.xlsx]ReferenceData!R168C13</stp>
        <stp>PX391=20170401</stp>
        <stp>PX392=20170630</stp>
        <stp>DS004=USD</stp>
        <stp>Fill=B</stp>
        <tr r="M168" s="3"/>
      </tp>
      <tp t="s">
        <v>#N/A Connection</v>
        <stp/>
        <stp>##V3_BDPV12</stp>
        <stp>IDVHCLOC Index</stp>
        <stp>PX385</stp>
        <stp>[BI_AUTMG_1_l22cd4li.xlsx]ReferenceData!R166C19</stp>
        <stp>PX391=20151001</stp>
        <stp>PX392=20151231</stp>
        <stp>DS004=USD</stp>
        <stp>Fill=B</stp>
        <tr r="S166" s="3"/>
      </tp>
      <tp t="s">
        <v>#N/A Connection</v>
        <stp/>
        <stp>##V3_BDPV12</stp>
        <stp>WCARNOI Index</stp>
        <stp>PX385</stp>
        <stp>[BI_AUTMG_1_l22cd4li.xlsx]ReferenceData!R189C17</stp>
        <stp>PX391=20160401</stp>
        <stp>PX392=20160630</stp>
        <stp>DS004=USD</stp>
        <stp>Fill=B</stp>
        <tr r="Q189" s="3"/>
      </tp>
      <tp t="s">
        <v>#N/A Connection</v>
        <stp/>
        <stp>##V3_BDPV12</stp>
        <stp>WCARNLI Index</stp>
        <stp>PX385</stp>
        <stp>[BI_AUTMG_1_l22cd4li.xlsx]ReferenceData!R188C53</stp>
        <stp>PX391=20070401</stp>
        <stp>PX392=20070630</stp>
        <stp>DS004=USD</stp>
        <stp>Fill=B</stp>
        <tr r="BA188" s="3"/>
      </tp>
      <tp t="s">
        <v>#N/A Connection</v>
        <stp/>
        <stp>##V3_BDPV12</stp>
        <stp>MAVSTTL Index</stp>
        <stp>PX385</stp>
        <stp>[BI_AUTMG_1_l22cd4li.xlsx]ReferenceData!R168C17</stp>
        <stp>PX391=20160401</stp>
        <stp>PX392=20160630</stp>
        <stp>DS004=USD</stp>
        <stp>Fill=B</stp>
        <tr r="Q168" s="3"/>
      </tp>
      <tp t="s">
        <v>#N/A Connection</v>
        <stp/>
        <stp>##V3_BDPV12</stp>
        <stp>IDVHCLOC Index</stp>
        <stp>PX385</stp>
        <stp>[BI_AUTMG_1_l22cd4li.xlsx]ReferenceData!R166C23</stp>
        <stp>PX391=20141001</stp>
        <stp>PX392=20141231</stp>
        <stp>DS004=USD</stp>
        <stp>Fill=B</stp>
        <tr r="W166" s="3"/>
      </tp>
      <tp t="s">
        <v>#N/A Connection</v>
        <stp/>
        <stp>##V3_BDPV12</stp>
        <stp>IDVHCLOC Index</stp>
        <stp>PX385</stp>
        <stp>[BI_AUTMG_1_l22cd4li.xlsx]ReferenceData!R166C62</stp>
        <stp>PX391=20050101</stp>
        <stp>PX392=20050331</stp>
        <stp>DS004=USD</stp>
        <stp>Fill=B</stp>
        <tr r="BJ166" s="3"/>
      </tp>
      <tp t="s">
        <v>#N/A Connection</v>
        <stp/>
        <stp>##V3_BDPV12</stp>
        <stp>WCARNOI Index</stp>
        <stp>PX385</stp>
        <stp>[BI_AUTMG_1_l22cd4li.xlsx]ReferenceData!R189C37</stp>
        <stp>PX391=20110401</stp>
        <stp>PX392=20110630</stp>
        <stp>DS004=USD</stp>
        <stp>Fill=B</stp>
        <tr r="AK189" s="3"/>
      </tp>
      <tp t="s">
        <v>#N/A Connection</v>
        <stp/>
        <stp>##V3_BDPV12</stp>
        <stp>MAVSTTL Index</stp>
        <stp>PX385</stp>
        <stp>[BI_AUTMG_1_l22cd4li.xlsx]ReferenceData!R168C37</stp>
        <stp>PX391=20110401</stp>
        <stp>PX392=20110630</stp>
        <stp>DS004=USD</stp>
        <stp>Fill=B</stp>
        <tr r="AK168" s="3"/>
      </tp>
      <tp t="s">
        <v>#N/A Connection</v>
        <stp/>
        <stp>##V3_BDPV12</stp>
        <stp>IDVHCLOC Index</stp>
        <stp>PX385</stp>
        <stp>[BI_AUTMG_1_l22cd4li.xlsx]ReferenceData!R166C27</stp>
        <stp>PX391=20131001</stp>
        <stp>PX392=20131231</stp>
        <stp>DS004=USD</stp>
        <stp>Fill=B</stp>
        <tr r="AA166" s="3"/>
      </tp>
      <tp t="s">
        <v>#N/A Connection</v>
        <stp/>
        <stp>##V3_BDPV12</stp>
        <stp>INVSDMUT Index</stp>
        <stp>PX385</stp>
        <stp>[BI_AUTMG_1_l22cd4li.xlsx]ReferenceData!R164C49</stp>
        <stp>PX391=20080401</stp>
        <stp>PX392=20080630</stp>
        <stp>DS004=USD</stp>
        <stp>Fill=B</stp>
        <tr r="AW164" s="3"/>
      </tp>
      <tp t="s">
        <v>#N/A Connection</v>
        <stp/>
        <stp>##V3_BDPV12</stp>
        <stp>WCARNOI Index</stp>
        <stp>PX385</stp>
        <stp>[BI_AUTMG_1_l22cd4li.xlsx]ReferenceData!R189C41</stp>
        <stp>PX391=20100401</stp>
        <stp>PX392=20100630</stp>
        <stp>DS004=USD</stp>
        <stp>Fill=B</stp>
        <tr r="AO189" s="3"/>
      </tp>
      <tp t="s">
        <v>#N/A Connection</v>
        <stp/>
        <stp>##V3_BDPV12</stp>
        <stp>MAVSTTL Index</stp>
        <stp>PX385</stp>
        <stp>[BI_AUTMG_1_l22cd4li.xlsx]ReferenceData!R168C41</stp>
        <stp>PX391=20100401</stp>
        <stp>PX392=20100630</stp>
        <stp>DS004=USD</stp>
        <stp>Fill=B</stp>
        <tr r="AO168" s="3"/>
      </tp>
      <tp t="s">
        <v>#N/A Connection</v>
        <stp/>
        <stp>##V3_BDPV12</stp>
        <stp>IDVHCLOC Index</stp>
        <stp>PX385</stp>
        <stp>[BI_AUTMG_1_l22cd4li.xlsx]ReferenceData!R166C31</stp>
        <stp>PX391=20121001</stp>
        <stp>PX392=20121231</stp>
        <stp>DS004=USD</stp>
        <stp>Fill=B</stp>
        <tr r="AE166" s="3"/>
      </tp>
      <tp t="s">
        <v>#N/A Connection</v>
        <stp/>
        <stp>##V3_BDPV12</stp>
        <stp>INVSDMUT Index</stp>
        <stp>PX385</stp>
        <stp>[BI_AUTMG_1_l22cd4li.xlsx]ReferenceData!R164C45</stp>
        <stp>PX391=20090401</stp>
        <stp>PX392=20090630</stp>
        <stp>DS004=USD</stp>
        <stp>Fill=B</stp>
        <tr r="AS164" s="3"/>
      </tp>
      <tp t="s">
        <v>#N/A Connection</v>
        <stp/>
        <stp>##V3_BDPV12</stp>
        <stp>WCARNOI Index</stp>
        <stp>PX385</stp>
        <stp>[BI_AUTMG_1_l22cd4li.xlsx]ReferenceData!R189C29</stp>
        <stp>PX391=20130401</stp>
        <stp>PX392=20130630</stp>
        <stp>DS004=USD</stp>
        <stp>Fill=B</stp>
        <tr r="AC189" s="3"/>
      </tp>
      <tp t="s">
        <v>#N/A Connection</v>
        <stp/>
        <stp>##V3_BDPV12</stp>
        <stp>PAVSCAR Index</stp>
        <stp>PX385</stp>
        <stp>[BI_AUTMG_1_l22cd4li.xlsx]ReferenceData!R169C49</stp>
        <stp>PX391=20080401</stp>
        <stp>PX392=20080630</stp>
        <stp>DS004=USD</stp>
        <stp>Fill=B</stp>
        <tr r="AW169" s="3"/>
      </tp>
      <tp t="s">
        <v>#N/A Connection</v>
        <stp/>
        <stp>##V3_BDPV12</stp>
        <stp>MAVSTTL Index</stp>
        <stp>PX385</stp>
        <stp>[BI_AUTMG_1_l22cd4li.xlsx]ReferenceData!R168C29</stp>
        <stp>PX391=20130401</stp>
        <stp>PX392=20130630</stp>
        <stp>DS004=USD</stp>
        <stp>Fill=B</stp>
        <tr r="AC168" s="3"/>
      </tp>
      <tp t="s">
        <v>#N/A Connection</v>
        <stp/>
        <stp>##V3_BDPV12</stp>
        <stp>NAAMCARS Index</stp>
        <stp>PX385</stp>
        <stp>[BI_AUTMG_1_l22cd4li.xlsx]ReferenceData!R217C44</stp>
        <stp>PX391=20090701</stp>
        <stp>PX392=20090930</stp>
        <stp>DS004=USD</stp>
        <stp>Fill=B</stp>
        <tr r="AR217" s="3"/>
      </tp>
      <tp t="s">
        <v>#N/A Connection</v>
        <stp/>
        <stp>##V3_BDPV12</stp>
        <stp>IDVHCLOC Index</stp>
        <stp>PX385</stp>
        <stp>[BI_AUTMG_1_l22cd4li.xlsx]ReferenceData!R166C35</stp>
        <stp>PX391=20111001</stp>
        <stp>PX392=20111231</stp>
        <stp>DS004=USD</stp>
        <stp>Fill=B</stp>
        <tr r="AI166" s="3"/>
      </tp>
      <tp t="s">
        <v>#N/A Connection</v>
        <stp/>
        <stp>##V3_BDPV12</stp>
        <stp>WCARNOI Index</stp>
        <stp>PX385</stp>
        <stp>[BI_AUTMG_1_l22cd4li.xlsx]ReferenceData!R189C33</stp>
        <stp>PX391=20120401</stp>
        <stp>PX392=20120630</stp>
        <stp>DS004=USD</stp>
        <stp>Fill=B</stp>
        <tr r="AG189" s="3"/>
      </tp>
      <tp t="s">
        <v>#N/A Connection</v>
        <stp/>
        <stp>##V3_BDPV12</stp>
        <stp>PAVSCAR Index</stp>
        <stp>PX385</stp>
        <stp>[BI_AUTMG_1_l22cd4li.xlsx]ReferenceData!R169C45</stp>
        <stp>PX391=20090401</stp>
        <stp>PX392=20090630</stp>
        <stp>DS004=USD</stp>
        <stp>Fill=B</stp>
        <tr r="AS169" s="3"/>
      </tp>
      <tp t="s">
        <v>#N/A Connection</v>
        <stp/>
        <stp>##V3_BDPV12</stp>
        <stp>MAVSTTL Index</stp>
        <stp>PX385</stp>
        <stp>[BI_AUTMG_1_l22cd4li.xlsx]ReferenceData!R168C33</stp>
        <stp>PX391=20120401</stp>
        <stp>PX392=20120630</stp>
        <stp>DS004=USD</stp>
        <stp>Fill=B</stp>
        <tr r="AG168" s="3"/>
      </tp>
      <tp t="s">
        <v>#N/A Connection</v>
        <stp/>
        <stp>##V3_BDPV12</stp>
        <stp>NAAMCARS Index</stp>
        <stp>PX385</stp>
        <stp>[BI_AUTMG_1_l22cd4li.xlsx]ReferenceData!R217C48</stp>
        <stp>PX391=20080701</stp>
        <stp>PX392=20080930</stp>
        <stp>DS004=USD</stp>
        <stp>Fill=B</stp>
        <tr r="AV217" s="3"/>
      </tp>
      <tp t="s">
        <v>#N/A Connection</v>
        <stp/>
        <stp>##V3_BDPV12</stp>
        <stp>IDVHCLOC Index</stp>
        <stp>PX385</stp>
        <stp>[BI_AUTMG_1_l22cd4li.xlsx]ReferenceData!R166C39</stp>
        <stp>PX391=20101001</stp>
        <stp>PX392=20101231</stp>
        <stp>DS004=USD</stp>
        <stp>Fill=B</stp>
        <tr r="AM166" s="3"/>
      </tp>
      <tp t="s">
        <v>#N/A Connection</v>
        <stp/>
        <stp>##V3_BDPV12</stp>
        <stp>PAVSCAR Index</stp>
        <stp>PX385</stp>
        <stp>[BI_AUTMG_1_l22cd4li.xlsx]ReferenceData!R169C57</stp>
        <stp>PX391=20060401</stp>
        <stp>PX392=20060630</stp>
        <stp>DS004=USD</stp>
        <stp>Fill=B</stp>
        <tr r="BE169" s="3"/>
      </tp>
      <tp t="s">
        <v>#N/A Connection</v>
        <stp/>
        <stp>##V3_BDPV12</stp>
        <stp>WCARDKI Index</stp>
        <stp>PX385</stp>
        <stp>[BI_AUTMG_1_l22cd4li.xlsx]ReferenceData!R179C13</stp>
        <stp>PX391=20170401</stp>
        <stp>PX392=20170630</stp>
        <stp>DS004=USD</stp>
        <stp>Fill=B</stp>
        <tr r="M179" s="3"/>
      </tp>
      <tp t="s">
        <v>#N/A Connection</v>
        <stp/>
        <stp>##V3_BDPV12</stp>
        <stp>NAAMCARS Index</stp>
        <stp>PX385</stp>
        <stp>[BI_AUTMG_1_l22cd4li.xlsx]ReferenceData!R217C52</stp>
        <stp>PX391=20070701</stp>
        <stp>PX392=20070930</stp>
        <stp>DS004=USD</stp>
        <stp>Fill=B</stp>
        <tr r="AZ217" s="3"/>
      </tp>
      <tp t="s">
        <v>#N/A Connection</v>
        <stp/>
        <stp>##V3_BDPV12</stp>
        <stp>INVSDMUT Index</stp>
        <stp>PX385</stp>
        <stp>[BI_AUTMG_1_l22cd4li.xlsx]ReferenceData!R164C65</stp>
        <stp>PX391=20040401</stp>
        <stp>PX392=20040630</stp>
        <stp>DS004=USD</stp>
        <stp>Fill=B</stp>
        <tr r="BM164" s="3"/>
      </tp>
      <tp t="s">
        <v>#N/A Connection</v>
        <stp/>
        <stp>##V3_BDPV12</stp>
        <stp>INVSDMPV Index</stp>
        <stp>PX385</stp>
        <stp>[BI_AUTMG_1_l22cd4li.xlsx]ReferenceData!R165C21</stp>
        <stp>PX391=20150401</stp>
        <stp>PX392=20150630</stp>
        <stp>DS004=USD</stp>
        <stp>Fill=B</stp>
        <tr r="U165" s="3"/>
      </tp>
      <tp t="s">
        <v>#N/A Connection</v>
        <stp/>
        <stp>##V3_BDPV12</stp>
        <stp>AUTMKRVS Index</stp>
        <stp>PX385</stp>
        <stp>[BI_AUTMG_1_l22cd4li.xlsx]ReferenceData!R171C36</stp>
        <stp>PX391=20110701</stp>
        <stp>PX392=20110930</stp>
        <stp>DS004=USD</stp>
        <stp>Fill=B</stp>
        <tr r="AJ171" s="3"/>
      </tp>
      <tp t="s">
        <v>#N/A Connection</v>
        <stp/>
        <stp>##V3_BDPV12</stp>
        <stp>PAVSCAR Index</stp>
        <stp>PX385</stp>
        <stp>[BI_AUTMG_1_l22cd4li.xlsx]ReferenceData!R169C53</stp>
        <stp>PX391=20070401</stp>
        <stp>PX392=20070630</stp>
        <stp>DS004=USD</stp>
        <stp>Fill=B</stp>
        <tr r="BA169" s="3"/>
      </tp>
      <tp t="s">
        <v>#N/A Connection</v>
        <stp/>
        <stp>##V3_BDPV12</stp>
        <stp>WCARDKI Index</stp>
        <stp>PX385</stp>
        <stp>[BI_AUTMG_1_l22cd4li.xlsx]ReferenceData!R179C17</stp>
        <stp>PX391=20160401</stp>
        <stp>PX392=20160630</stp>
        <stp>DS004=USD</stp>
        <stp>Fill=B</stp>
        <tr r="Q179" s="3"/>
      </tp>
      <tp t="s">
        <v>#N/A Connection</v>
        <stp/>
        <stp>##V3_BDPV12</stp>
        <stp>NAAMCARS Index</stp>
        <stp>PX385</stp>
        <stp>[BI_AUTMG_1_l22cd4li.xlsx]ReferenceData!R217C56</stp>
        <stp>PX391=20060701</stp>
        <stp>PX392=20060930</stp>
        <stp>DS004=USD</stp>
        <stp>Fill=B</stp>
        <tr r="BD217" s="3"/>
      </tp>
      <tp t="s">
        <v>#N/A Connection</v>
        <stp/>
        <stp>##V3_BDPV12</stp>
        <stp>AUTMKRVS Index</stp>
        <stp>PX385</stp>
        <stp>[BI_AUTMG_1_l22cd4li.xlsx]ReferenceData!R171C40</stp>
        <stp>PX391=20100701</stp>
        <stp>PX392=20100930</stp>
        <stp>DS004=USD</stp>
        <stp>Fill=B</stp>
        <tr r="AN171" s="3"/>
      </tp>
      <tp t="s">
        <v>#N/A Connection</v>
        <stp/>
        <stp>##V3_BDPV12</stp>
        <stp>INVSDMPV Index</stp>
        <stp>PX385</stp>
        <stp>[BI_AUTMG_1_l22cd4li.xlsx]ReferenceData!R165C25</stp>
        <stp>PX391=20140401</stp>
        <stp>PX392=20140630</stp>
        <stp>DS004=USD</stp>
        <stp>Fill=B</stp>
        <tr r="Y165" s="3"/>
      </tp>
      <tp t="s">
        <v>#N/A Connection</v>
        <stp/>
        <stp>##V3_BDPV12</stp>
        <stp>INVSDMUT Index</stp>
        <stp>PX385</stp>
        <stp>[BI_AUTMG_1_l22cd4li.xlsx]ReferenceData!R164C61</stp>
        <stp>PX391=20050401</stp>
        <stp>PX392=20050630</stp>
        <stp>DS004=USD</stp>
        <stp>Fill=B</stp>
        <tr r="BI164" s="3"/>
      </tp>
      <tp t="s">
        <v>#N/A Connection</v>
        <stp/>
        <stp>##V3_BDPV12</stp>
        <stp>PAVSCAR Index</stp>
        <stp>PX385</stp>
        <stp>[BI_AUTMG_1_l22cd4li.xlsx]ReferenceData!R169C65</stp>
        <stp>PX391=20040401</stp>
        <stp>PX392=20040630</stp>
        <stp>DS004=USD</stp>
        <stp>Fill=B</stp>
        <tr r="BM169" s="3"/>
      </tp>
      <tp t="s">
        <v>#N/A Connection</v>
        <stp/>
        <stp>##V3_BDPV12</stp>
        <stp>WCARDKI Index</stp>
        <stp>PX385</stp>
        <stp>[BI_AUTMG_1_l22cd4li.xlsx]ReferenceData!R179C21</stp>
        <stp>PX391=20150401</stp>
        <stp>PX392=20150630</stp>
        <stp>DS004=USD</stp>
        <stp>Fill=B</stp>
        <tr r="U179" s="3"/>
      </tp>
      <tp t="s">
        <v>#N/A Connection</v>
        <stp/>
        <stp>##V3_BDPV12</stp>
        <stp>NAAMCARS Index</stp>
        <stp>PX385</stp>
        <stp>[BI_AUTMG_1_l22cd4li.xlsx]ReferenceData!R217C60</stp>
        <stp>PX391=20050701</stp>
        <stp>PX392=20050930</stp>
        <stp>DS004=USD</stp>
        <stp>Fill=B</stp>
        <tr r="BH217" s="3"/>
      </tp>
      <tp t="s">
        <v>#N/A Connection</v>
        <stp/>
        <stp>##V3_BDPV12</stp>
        <stp>AUTMKRVS Index</stp>
        <stp>PX385</stp>
        <stp>[BI_AUTMG_1_l22cd4li.xlsx]ReferenceData!R171C28</stp>
        <stp>PX391=20130701</stp>
        <stp>PX392=20130930</stp>
        <stp>DS004=USD</stp>
        <stp>Fill=B</stp>
        <tr r="AB171" s="3"/>
      </tp>
      <tp t="s">
        <v>#N/A Connection</v>
        <stp/>
        <stp>##V3_BDPV12</stp>
        <stp>INVSDMUT Index</stp>
        <stp>PX385</stp>
        <stp>[BI_AUTMG_1_l22cd4li.xlsx]ReferenceData!R164C57</stp>
        <stp>PX391=20060401</stp>
        <stp>PX392=20060630</stp>
        <stp>DS004=USD</stp>
        <stp>Fill=B</stp>
        <tr r="BE164" s="3"/>
      </tp>
      <tp t="s">
        <v>#N/A Connection</v>
        <stp/>
        <stp>##V3_BDPV12</stp>
        <stp>INVSDMPV Index</stp>
        <stp>PX385</stp>
        <stp>[BI_AUTMG_1_l22cd4li.xlsx]ReferenceData!R165C13</stp>
        <stp>PX391=20170401</stp>
        <stp>PX392=20170630</stp>
        <stp>DS004=USD</stp>
        <stp>Fill=B</stp>
        <tr r="M165" s="3"/>
      </tp>
      <tp t="s">
        <v>#N/A Connection</v>
        <stp/>
        <stp>##V3_BDPV12</stp>
        <stp>PAVSCAR Index</stp>
        <stp>PX385</stp>
        <stp>[BI_AUTMG_1_l22cd4li.xlsx]ReferenceData!R169C61</stp>
        <stp>PX391=20050401</stp>
        <stp>PX392=20050630</stp>
        <stp>DS004=USD</stp>
        <stp>Fill=B</stp>
        <tr r="BI169" s="3"/>
      </tp>
      <tp t="s">
        <v>#N/A Connection</v>
        <stp/>
        <stp>##V3_BDPV12</stp>
        <stp>WCARDKI Index</stp>
        <stp>PX385</stp>
        <stp>[BI_AUTMG_1_l22cd4li.xlsx]ReferenceData!R179C25</stp>
        <stp>PX391=20140401</stp>
        <stp>PX392=20140630</stp>
        <stp>DS004=USD</stp>
        <stp>Fill=B</stp>
        <tr r="Y179" s="3"/>
      </tp>
      <tp t="s">
        <v>#N/A Connection</v>
        <stp/>
        <stp>##V3_BDPV12</stp>
        <stp>NAAMCARS Index</stp>
        <stp>PX385</stp>
        <stp>[BI_AUTMG_1_l22cd4li.xlsx]ReferenceData!R217C64</stp>
        <stp>PX391=20040701</stp>
        <stp>PX392=20040930</stp>
        <stp>DS004=USD</stp>
        <stp>Fill=B</stp>
        <tr r="BL217" s="3"/>
      </tp>
      <tp t="s">
        <v>#N/A Connection</v>
        <stp/>
        <stp>##V3_BDPV12</stp>
        <stp>AUTMKRVS Index</stp>
        <stp>PX385</stp>
        <stp>[BI_AUTMG_1_l22cd4li.xlsx]ReferenceData!R171C32</stp>
        <stp>PX391=20120701</stp>
        <stp>PX392=20120930</stp>
        <stp>DS004=USD</stp>
        <stp>Fill=B</stp>
        <tr r="AF171" s="3"/>
      </tp>
      <tp t="s">
        <v>#N/A Connection</v>
        <stp/>
        <stp>##V3_BDPV12</stp>
        <stp>INVSDMPV Index</stp>
        <stp>PX385</stp>
        <stp>[BI_AUTMG_1_l22cd4li.xlsx]ReferenceData!R165C17</stp>
        <stp>PX391=20160401</stp>
        <stp>PX392=20160630</stp>
        <stp>DS004=USD</stp>
        <stp>Fill=B</stp>
        <tr r="Q165" s="3"/>
      </tp>
      <tp t="s">
        <v>#N/A Connection</v>
        <stp/>
        <stp>##V3_BDPV12</stp>
        <stp>INVSDMUT Index</stp>
        <stp>PX385</stp>
        <stp>[BI_AUTMG_1_l22cd4li.xlsx]ReferenceData!R164C53</stp>
        <stp>PX391=20070401</stp>
        <stp>PX392=20070630</stp>
        <stp>DS004=USD</stp>
        <stp>Fill=B</stp>
        <tr r="BA164" s="3"/>
      </tp>
      <tp t="s">
        <v>#N/A Connection</v>
        <stp/>
        <stp>##V3_BDPV12</stp>
        <stp>WCARNLI Index</stp>
        <stp>PX385</stp>
        <stp>[BI_AUTMG_1_l22cd4li.xlsx]ReferenceData!R188C49</stp>
        <stp>PX391=20080401</stp>
        <stp>PX392=20080630</stp>
        <stp>DS004=USD</stp>
        <stp>Fill=B</stp>
        <tr r="AW188" s="3"/>
      </tp>
      <tp t="s">
        <v>#N/A Connection</v>
        <stp/>
        <stp>##V3_BDPV12</stp>
        <stp>WCARDKI Index</stp>
        <stp>PX385</stp>
        <stp>[BI_AUTMG_1_l22cd4li.xlsx]ReferenceData!R179C29</stp>
        <stp>PX391=20130401</stp>
        <stp>PX392=20130630</stp>
        <stp>DS004=USD</stp>
        <stp>Fill=B</stp>
        <tr r="AC179" s="3"/>
      </tp>
      <tp t="s">
        <v>#N/A Connection</v>
        <stp/>
        <stp>##V3_BDPV12</stp>
        <stp>WCARCYI Index</stp>
        <stp>PX385</stp>
        <stp>[BI_AUTMG_1_l22cd4li.xlsx]ReferenceData!R178C61</stp>
        <stp>PX391=20050401</stp>
        <stp>PX392=20050630</stp>
        <stp>DS004=USD</stp>
        <stp>Fill=B</stp>
        <tr r="BI178" s="3"/>
      </tp>
      <tp t="s">
        <v>#N/A Connection</v>
        <stp/>
        <stp>##V3_BDPV12</stp>
        <stp>AUTMKRVS Index</stp>
        <stp>PX385</stp>
        <stp>[BI_AUTMG_1_l22cd4li.xlsx]ReferenceData!R171C20</stp>
        <stp>PX391=20150701</stp>
        <stp>PX392=20150930</stp>
        <stp>DS004=USD</stp>
        <stp>Fill=B</stp>
        <tr r="T171" s="3"/>
      </tp>
      <tp t="s">
        <v>#N/A Connection</v>
        <stp/>
        <stp>##V3_BDPV12</stp>
        <stp>INVSDMPV Index</stp>
        <stp>PX385</stp>
        <stp>[BI_AUTMG_1_l22cd4li.xlsx]ReferenceData!R165C37</stp>
        <stp>PX391=20110401</stp>
        <stp>PX392=20110630</stp>
        <stp>DS004=USD</stp>
        <stp>Fill=B</stp>
        <tr r="AK165" s="3"/>
      </tp>
      <tp t="s">
        <v>#N/A Connection</v>
        <stp/>
        <stp>##V3_BDPV12</stp>
        <stp>WCARNLI Index</stp>
        <stp>PX385</stp>
        <stp>[BI_AUTMG_1_l22cd4li.xlsx]ReferenceData!R188C45</stp>
        <stp>PX391=20090401</stp>
        <stp>PX392=20090630</stp>
        <stp>DS004=USD</stp>
        <stp>Fill=B</stp>
        <tr r="AS188" s="3"/>
      </tp>
      <tp t="s">
        <v>#N/A Connection</v>
        <stp/>
        <stp>##V3_BDPV12</stp>
        <stp>WCARDKI Index</stp>
        <stp>PX385</stp>
        <stp>[BI_AUTMG_1_l22cd4li.xlsx]ReferenceData!R179C33</stp>
        <stp>PX391=20120401</stp>
        <stp>PX392=20120630</stp>
        <stp>DS004=USD</stp>
        <stp>Fill=B</stp>
        <tr r="AG179" s="3"/>
      </tp>
      <tp t="s">
        <v>#N/A Connection</v>
        <stp/>
        <stp>##V3_BDPV12</stp>
        <stp>WCARCYI Index</stp>
        <stp>PX385</stp>
        <stp>[BI_AUTMG_1_l22cd4li.xlsx]ReferenceData!R178C65</stp>
        <stp>PX391=20040401</stp>
        <stp>PX392=20040630</stp>
        <stp>DS004=USD</stp>
        <stp>Fill=B</stp>
        <tr r="BM178" s="3"/>
      </tp>
      <tp t="s">
        <v>#N/A Connection</v>
        <stp/>
        <stp>##V3_BDPV12</stp>
        <stp>AUTMKRVS Index</stp>
        <stp>PX385</stp>
        <stp>[BI_AUTMG_1_l22cd4li.xlsx]ReferenceData!R171C24</stp>
        <stp>PX391=20140701</stp>
        <stp>PX392=20140930</stp>
        <stp>DS004=USD</stp>
        <stp>Fill=B</stp>
        <tr r="X171" s="3"/>
      </tp>
      <tp t="s">
        <v>#N/A Connection</v>
        <stp/>
        <stp>##V3_BDPV12</stp>
        <stp>INVSDMPV Index</stp>
        <stp>PX385</stp>
        <stp>[BI_AUTMG_1_l22cd4li.xlsx]ReferenceData!R165C41</stp>
        <stp>PX391=20100401</stp>
        <stp>PX392=20100630</stp>
        <stp>DS004=USD</stp>
        <stp>Fill=B</stp>
        <tr r="AO165" s="3"/>
      </tp>
      <tp t="s">
        <v>#N/A Connection</v>
        <stp/>
        <stp>##V3_BDPV12</stp>
        <stp>WCARDKI Index</stp>
        <stp>PX385</stp>
        <stp>[BI_AUTMG_1_l22cd4li.xlsx]ReferenceData!R179C37</stp>
        <stp>PX391=20110401</stp>
        <stp>PX392=20110630</stp>
        <stp>DS004=USD</stp>
        <stp>Fill=B</stp>
        <tr r="AK179" s="3"/>
      </tp>
      <tp t="s">
        <v>#N/A Connection</v>
        <stp/>
        <stp>##V3_BDPV12</stp>
        <stp>WCARCYI Index</stp>
        <stp>PX385</stp>
        <stp>[BI_AUTMG_1_l22cd4li.xlsx]ReferenceData!R178C53</stp>
        <stp>PX391=20070401</stp>
        <stp>PX392=20070630</stp>
        <stp>DS004=USD</stp>
        <stp>Fill=B</stp>
        <tr r="BA178" s="3"/>
      </tp>
      <tp t="s">
        <v>#N/A Connection</v>
        <stp/>
        <stp>##V3_BDPV12</stp>
        <stp>IDVHCLOC Index</stp>
        <stp>PX385</stp>
        <stp>[BI_AUTMG_1_l22cd4li.xlsx]ReferenceData!R166C50</stp>
        <stp>PX391=20080101</stp>
        <stp>PX392=20080331</stp>
        <stp>DS004=USD</stp>
        <stp>Fill=B</stp>
        <tr r="AX166" s="3"/>
      </tp>
      <tp t="s">
        <v>#N/A Connection</v>
        <stp/>
        <stp>##V3_BDPV12</stp>
        <stp>INVSDMPV Index</stp>
        <stp>PX385</stp>
        <stp>[BI_AUTMG_1_l22cd4li.xlsx]ReferenceData!R165C29</stp>
        <stp>PX391=20130401</stp>
        <stp>PX392=20130630</stp>
        <stp>DS004=USD</stp>
        <stp>Fill=B</stp>
        <tr r="AC165" s="3"/>
      </tp>
      <tp t="s">
        <v>#N/A Connection</v>
        <stp/>
        <stp>##V3_BDPV12</stp>
        <stp>AUTMKRVS Index</stp>
        <stp>PX385</stp>
        <stp>[BI_AUTMG_1_l22cd4li.xlsx]ReferenceData!R171C12</stp>
        <stp>PX391=20170701</stp>
        <stp>PX392=20170930</stp>
        <stp>DS004=USD</stp>
        <stp>Fill=B</stp>
        <tr r="L171" s="3"/>
      </tp>
      <tp t="s">
        <v>#N/A Connection</v>
        <stp/>
        <stp>##V3_BDPV12</stp>
        <stp>WCARDKI Index</stp>
        <stp>PX385</stp>
        <stp>[BI_AUTMG_1_l22cd4li.xlsx]ReferenceData!R179C41</stp>
        <stp>PX391=20100401</stp>
        <stp>PX392=20100630</stp>
        <stp>DS004=USD</stp>
        <stp>Fill=B</stp>
        <tr r="AO179" s="3"/>
      </tp>
      <tp t="s">
        <v>#N/A Connection</v>
        <stp/>
        <stp>##V3_BDPV12</stp>
        <stp>WCARCYI Index</stp>
        <stp>PX385</stp>
        <stp>[BI_AUTMG_1_l22cd4li.xlsx]ReferenceData!R178C57</stp>
        <stp>PX391=20060401</stp>
        <stp>PX392=20060630</stp>
        <stp>DS004=USD</stp>
        <stp>Fill=B</stp>
        <tr r="BE178" s="3"/>
      </tp>
      <tp t="s">
        <v>#N/A Connection</v>
        <stp/>
        <stp>##V3_BDPV12</stp>
        <stp>IDVHCLOC Index</stp>
        <stp>PX385</stp>
        <stp>[BI_AUTMG_1_l22cd4li.xlsx]ReferenceData!R166C46</stp>
        <stp>PX391=20090101</stp>
        <stp>PX392=20090331</stp>
        <stp>DS004=USD</stp>
        <stp>Fill=B</stp>
        <tr r="AT166" s="3"/>
      </tp>
      <tp t="s">
        <v>#N/A Connection</v>
        <stp/>
        <stp>##V3_BDPV12</stp>
        <stp>INVSDMPV Index</stp>
        <stp>PX385</stp>
        <stp>[BI_AUTMG_1_l22cd4li.xlsx]ReferenceData!R165C33</stp>
        <stp>PX391=20120401</stp>
        <stp>PX392=20120630</stp>
        <stp>DS004=USD</stp>
        <stp>Fill=B</stp>
        <tr r="AG165" s="3"/>
      </tp>
      <tp t="s">
        <v>#N/A Connection</v>
        <stp/>
        <stp>##V3_BDPV12</stp>
        <stp>AUTMKRVS Index</stp>
        <stp>PX385</stp>
        <stp>[BI_AUTMG_1_l22cd4li.xlsx]ReferenceData!R171C16</stp>
        <stp>PX391=20160701</stp>
        <stp>PX392=20160930</stp>
        <stp>DS004=USD</stp>
        <stp>Fill=B</stp>
        <tr r="P171" s="3"/>
      </tp>
      <tp t="s">
        <v>#N/A Connection</v>
        <stp/>
        <stp>##V3_BDPV12</stp>
        <stp>INVSDMUT Index</stp>
        <stp>PX385</stp>
        <stp>[BI_AUTMG_1_l22cd4li.xlsx]ReferenceData!R164C9</stp>
        <stp>PX391=20180401</stp>
        <stp>PX392=20180630</stp>
        <stp>DS004=USD</stp>
        <stp>Fill=B</stp>
        <tr r="I164" s="3"/>
      </tp>
      <tp t="s">
        <v>#N/A Connection</v>
        <stp/>
        <stp>##V3_BDPV12</stp>
        <stp>BJTRNPGV Index</stp>
        <stp>PX385</stp>
        <stp>[BI_AUTMG_1_l22cd4li.xlsx]ReferenceData!R215C7</stp>
        <stp>PX391=20181001</stp>
        <stp>PX392=20181231</stp>
        <stp>DS004=USD</stp>
        <stp>Fill=B</stp>
        <tr r="G215" s="3"/>
      </tp>
      <tp t="s">
        <v>#N/A Connection</v>
        <stp/>
        <stp>##V3_BDPV12</stp>
        <stp>MAVSTTL Index</stp>
        <stp>PX385</stp>
        <stp>[BI_AUTMG_1_l22cd4li.xlsx]ReferenceData!R168C8</stp>
        <stp>PX391=20180701</stp>
        <stp>PX392=20180930</stp>
        <stp>DS004=USD</stp>
        <stp>Fill=B</stp>
        <tr r="H168" s="3"/>
      </tp>
      <tp t="s">
        <v>#N/A Connection</v>
        <stp/>
        <stp>##V3_BDPV12</stp>
        <stp>TWVSDOM Index</stp>
        <stp>PX385</stp>
        <stp>[BI_AUTMG_1_l22cd4li.xlsx]ReferenceData!R173C8</stp>
        <stp>PX391=20180701</stp>
        <stp>PX392=20180930</stp>
        <stp>DS004=USD</stp>
        <stp>Fill=B</stp>
        <tr r="H173" s="3"/>
      </tp>
      <tp t="s">
        <v>#N/A Connection</v>
        <stp/>
        <stp>##V3_BDPV12</stp>
        <stp>CNVSTTL Index</stp>
        <stp>PX385</stp>
        <stp>[BI_AUTMG_1_l22cd4li.xlsx]ReferenceData!R162C8</stp>
        <stp>PX391=20180701</stp>
        <stp>PX392=20180930</stp>
        <stp>DS004=USD</stp>
        <stp>Fill=B</stp>
        <tr r="H162" s="3"/>
      </tp>
      <tp t="s">
        <v>#N/A Connection</v>
        <stp/>
        <stp>##V3_BDPV12</stp>
        <stp>MXVHTOTL Index</stp>
        <stp>PX385</stp>
        <stp>[BI_AUTMG_1_l22cd4li.xlsx]ReferenceData!R207C6</stp>
        <stp>PX391=20190101</stp>
        <stp>PX392=20190331</stp>
        <stp>DS004=USD</stp>
        <stp>Fill=B</stp>
        <tr r="F207" s="3"/>
      </tp>
      <tp t="s">
        <v>#N/A Connection</v>
        <stp/>
        <stp>##V3_BDPV12</stp>
        <stp>ASTOTTRK Index</stp>
        <stp>PX385</stp>
        <stp>[BI_AUTMG_1_l22cd4li.xlsx]ReferenceData!R209C6</stp>
        <stp>PX391=20190101</stp>
        <stp>PX392=20190331</stp>
        <stp>DS004=USD</stp>
        <stp>Fill=B</stp>
        <tr r="F209" s="3"/>
      </tp>
      <tp t="s">
        <v>#N/A Connection</v>
        <stp/>
        <stp>##V3_BDPV12</stp>
        <stp>BZVLTOTL Index</stp>
        <stp>PX385</stp>
        <stp>[BI_AUTMG_1_l22cd4li.xlsx]ReferenceData!R211C9</stp>
        <stp>PX391=20180401</stp>
        <stp>PX392=20180630</stp>
        <stp>DS004=USD</stp>
        <stp>Fill=B</stp>
        <tr r="I211" s="3"/>
      </tp>
      <tp t="s">
        <v>#N/A Connection</v>
        <stp/>
        <stp>##V3_BDPV12</stp>
        <stp>BJTRNPGV Index</stp>
        <stp>PX385</stp>
        <stp>[BI_AUTMG_1_l22cd4li.xlsx]ReferenceData!R215C25</stp>
        <stp>PX391=20140401</stp>
        <stp>PX392=20140630</stp>
        <stp>DS004=USD</stp>
        <stp>Fill=B</stp>
        <tr r="Y215" s="3"/>
      </tp>
      <tp t="s">
        <v>#N/A Connection</v>
        <stp/>
        <stp>##V3_BDPV12</stp>
        <stp>BJTRNPGV Index</stp>
        <stp>PX385</stp>
        <stp>[BI_AUTMG_1_l22cd4li.xlsx]ReferenceData!R215C21</stp>
        <stp>PX391=20150401</stp>
        <stp>PX392=20150630</stp>
        <stp>DS004=USD</stp>
        <stp>Fill=B</stp>
        <tr r="U215" s="3"/>
      </tp>
      <tp t="s">
        <v>#N/A Connection</v>
        <stp/>
        <stp>##V3_BDPV12</stp>
        <stp>BJTRNPGV Index</stp>
        <stp>PX385</stp>
        <stp>[BI_AUTMG_1_l22cd4li.xlsx]ReferenceData!R215C17</stp>
        <stp>PX391=20160401</stp>
        <stp>PX392=20160630</stp>
        <stp>DS004=USD</stp>
        <stp>Fill=B</stp>
        <tr r="Q215" s="3"/>
      </tp>
      <tp t="s">
        <v>#N/A Connection</v>
        <stp/>
        <stp>##V3_BDPV12</stp>
        <stp>BJTRNPGV Index</stp>
        <stp>PX385</stp>
        <stp>[BI_AUTMG_1_l22cd4li.xlsx]ReferenceData!R215C13</stp>
        <stp>PX391=20170401</stp>
        <stp>PX392=20170630</stp>
        <stp>DS004=USD</stp>
        <stp>Fill=B</stp>
        <tr r="M215" s="3"/>
      </tp>
      <tp t="s">
        <v>#N/A Connection</v>
        <stp/>
        <stp>##V3_BDPV12</stp>
        <stp>WCARIC Index</stp>
        <stp>PX385</stp>
        <stp>[BI_AUTMG_1_l22cd4li.xlsx]ReferenceData!R184C44</stp>
        <stp>PX391=20090701</stp>
        <stp>PX392=20090930</stp>
        <stp>DS004=USD</stp>
        <stp>Fill=B</stp>
        <tr r="AR184" s="3"/>
      </tp>
      <tp t="s">
        <v>#N/A Connection</v>
        <stp/>
        <stp>##V3_BDPV12</stp>
        <stp>WCARCZ Index</stp>
        <stp>PX385</stp>
        <stp>[BI_AUTMG_1_l22cd4li.xlsx]ReferenceData!R197C45</stp>
        <stp>PX391=20090401</stp>
        <stp>PX392=20090630</stp>
        <stp>DS004=USD</stp>
        <stp>Fill=B</stp>
        <tr r="AS197" s="3"/>
      </tp>
      <tp t="s">
        <v>#N/A Connection</v>
        <stp/>
        <stp>##V3_BDPV12</stp>
        <stp>WCARPO Index</stp>
        <stp>PX385</stp>
        <stp>[BI_AUTMG_1_l22cd4li.xlsx]ReferenceData!R202C50</stp>
        <stp>PX391=20080101</stp>
        <stp>PX392=20080331</stp>
        <stp>DS004=USD</stp>
        <stp>Fill=B</stp>
        <tr r="AX202" s="3"/>
      </tp>
      <tp t="s">
        <v>#N/A Connection</v>
        <stp/>
        <stp>##V3_BDPV12</stp>
        <stp>WCARRO Index</stp>
        <stp>PX385</stp>
        <stp>[BI_AUTMG_1_l22cd4li.xlsx]ReferenceData!R203C47</stp>
        <stp>PX391=20081001</stp>
        <stp>PX392=20081231</stp>
        <stp>DS004=USD</stp>
        <stp>Fill=B</stp>
        <tr r="AU203" s="3"/>
      </tp>
      <tp t="s">
        <v>#N/A Connection</v>
        <stp/>
        <stp>##V3_BDPV12</stp>
        <stp>BJTRNPGV Index</stp>
        <stp>PX385</stp>
        <stp>[BI_AUTMG_1_l22cd4li.xlsx]ReferenceData!R215C41</stp>
        <stp>PX391=20100401</stp>
        <stp>PX392=20100630</stp>
        <stp>DS004=USD</stp>
        <stp>Fill=B</stp>
        <tr r="AO215" s="3"/>
      </tp>
      <tp t="s">
        <v>#N/A Connection</v>
        <stp/>
        <stp>##V3_BDPV12</stp>
        <stp>WCARIC Index</stp>
        <stp>PX385</stp>
        <stp>[BI_AUTMG_1_l22cd4li.xlsx]ReferenceData!R184C48</stp>
        <stp>PX391=20080701</stp>
        <stp>PX392=20080930</stp>
        <stp>DS004=USD</stp>
        <stp>Fill=B</stp>
        <tr r="AV184" s="3"/>
      </tp>
      <tp t="s">
        <v>#N/A Connection</v>
        <stp/>
        <stp>##V3_BDPV12</stp>
        <stp>WCARCZ Index</stp>
        <stp>PX385</stp>
        <stp>[BI_AUTMG_1_l22cd4li.xlsx]ReferenceData!R197C49</stp>
        <stp>PX391=20080401</stp>
        <stp>PX392=20080630</stp>
        <stp>DS004=USD</stp>
        <stp>Fill=B</stp>
        <tr r="AW197" s="3"/>
      </tp>
      <tp t="s">
        <v>#N/A Connection</v>
        <stp/>
        <stp>##V3_BDPV12</stp>
        <stp>WCARPO Index</stp>
        <stp>PX385</stp>
        <stp>[BI_AUTMG_1_l22cd4li.xlsx]ReferenceData!R202C46</stp>
        <stp>PX391=20090101</stp>
        <stp>PX392=20090331</stp>
        <stp>DS004=USD</stp>
        <stp>Fill=B</stp>
        <tr r="AT202" s="3"/>
      </tp>
      <tp t="s">
        <v>#N/A Connection</v>
        <stp/>
        <stp>##V3_BDPV12</stp>
        <stp>WCARRO Index</stp>
        <stp>PX385</stp>
        <stp>[BI_AUTMG_1_l22cd4li.xlsx]ReferenceData!R203C43</stp>
        <stp>PX391=20091001</stp>
        <stp>PX392=20091231</stp>
        <stp>DS004=USD</stp>
        <stp>Fill=B</stp>
        <tr r="AQ203" s="3"/>
      </tp>
      <tp t="s">
        <v>#N/A Connection</v>
        <stp/>
        <stp>##V3_BDPV12</stp>
        <stp>WCARRO Index</stp>
        <stp>PX385</stp>
        <stp>[BI_AUTMG_1_l22cd4li.xlsx]ReferenceData!R203C10</stp>
        <stp>PX391=20180101</stp>
        <stp>PX392=20180331</stp>
        <stp>DS004=USD</stp>
        <stp>Fill=B</stp>
        <tr r="J203" s="3"/>
      </tp>
      <tp t="s">
        <v>#N/A Connection</v>
        <stp/>
        <stp>##V3_BDPV12</stp>
        <stp>BJTRNPGV Index</stp>
        <stp>PX385</stp>
        <stp>[BI_AUTMG_1_l22cd4li.xlsx]ReferenceData!R215C37</stp>
        <stp>PX391=20110401</stp>
        <stp>PX392=20110630</stp>
        <stp>DS004=USD</stp>
        <stp>Fill=B</stp>
        <tr r="AK215" s="3"/>
      </tp>
      <tp t="s">
        <v>#N/A Connection</v>
        <stp/>
        <stp>##V3_BDPV12</stp>
        <stp>BJTRNPGV Index</stp>
        <stp>PX385</stp>
        <stp>[BI_AUTMG_1_l22cd4li.xlsx]ReferenceData!R215C33</stp>
        <stp>PX391=20120401</stp>
        <stp>PX392=20120630</stp>
        <stp>DS004=USD</stp>
        <stp>Fill=B</stp>
        <tr r="AG215" s="3"/>
      </tp>
      <tp t="s">
        <v>#N/A Connection</v>
        <stp/>
        <stp>##V3_BDPV12</stp>
        <stp>BJTRNPGV Index</stp>
        <stp>PX385</stp>
        <stp>[BI_AUTMG_1_l22cd4li.xlsx]ReferenceData!R215C29</stp>
        <stp>PX391=20130401</stp>
        <stp>PX392=20130630</stp>
        <stp>DS004=USD</stp>
        <stp>Fill=B</stp>
        <tr r="AC215" s="3"/>
      </tp>
      <tp t="s">
        <v>#N/A Connection</v>
        <stp/>
        <stp>##V3_BDPV12</stp>
        <stp>WCARBG Index</stp>
        <stp>PX385</stp>
        <stp>[BI_AUTMG_1_l22cd4li.xlsx]ReferenceData!R196C25</stp>
        <stp>PX391=20140401</stp>
        <stp>PX392=20140630</stp>
        <stp>DS004=USD</stp>
        <stp>Fill=B</stp>
        <tr r="Y196" s="3"/>
      </tp>
      <tp t="s">
        <v>#N/A Connection</v>
        <stp/>
        <stp>##V3_BDPV12</stp>
        <stp>WCARCZ Index</stp>
        <stp>PX385</stp>
        <stp>[BI_AUTMG_1_l22cd4li.xlsx]ReferenceData!R197C61</stp>
        <stp>PX391=20050401</stp>
        <stp>PX392=20050630</stp>
        <stp>DS004=USD</stp>
        <stp>Fill=B</stp>
        <tr r="BI197" s="3"/>
      </tp>
      <tp t="s">
        <v>#N/A Connection</v>
        <stp/>
        <stp>##V3_BDPV12</stp>
        <stp>WCARIC Index</stp>
        <stp>PX385</stp>
        <stp>[BI_AUTMG_1_l22cd4li.xlsx]ReferenceData!R184C60</stp>
        <stp>PX391=20050701</stp>
        <stp>PX392=20050930</stp>
        <stp>DS004=USD</stp>
        <stp>Fill=B</stp>
        <tr r="BH184" s="3"/>
      </tp>
      <tp t="s">
        <v>#N/A Connection</v>
        <stp/>
        <stp>##V3_BDPV12</stp>
        <stp>TUCSMP Index</stp>
        <stp>PX385</stp>
        <stp>[BI_AUTMG_1_l22cd4li.xlsx]ReferenceData!R194C21</stp>
        <stp>PX391=20150401</stp>
        <stp>PX392=20150630</stp>
        <stp>DS004=USD</stp>
        <stp>Fill=B</stp>
        <tr r="U194" s="3"/>
      </tp>
      <tp t="s">
        <v>#N/A Connection</v>
        <stp/>
        <stp>##V3_BDPV12</stp>
        <stp>WCARSI Index</stp>
        <stp>PX385</stp>
        <stp>[BI_AUTMG_1_l22cd4li.xlsx]ReferenceData!R206C25</stp>
        <stp>PX391=20140401</stp>
        <stp>PX392=20140630</stp>
        <stp>DS004=USD</stp>
        <stp>Fill=B</stp>
        <tr r="Y206" s="3"/>
      </tp>
      <tp t="s">
        <v>#N/A Connection</v>
        <stp/>
        <stp>##V3_BDPV12</stp>
        <stp>WCARRO Index</stp>
        <stp>PX385</stp>
        <stp>[BI_AUTMG_1_l22cd4li.xlsx]ReferenceData!R203C22</stp>
        <stp>PX391=20150101</stp>
        <stp>PX392=20150331</stp>
        <stp>DS004=USD</stp>
        <stp>Fill=B</stp>
        <tr r="V203" s="3"/>
      </tp>
      <tp t="s">
        <v>#N/A Connection</v>
        <stp/>
        <stp>##V3_BDPV12</stp>
        <stp>WCARSK Index</stp>
        <stp>PX385</stp>
        <stp>[BI_AUTMG_1_l22cd4li.xlsx]ReferenceData!R205C24</stp>
        <stp>PX391=20140701</stp>
        <stp>PX392=20140930</stp>
        <stp>DS004=USD</stp>
        <stp>Fill=B</stp>
        <tr r="X205" s="3"/>
      </tp>
      <tp t="s">
        <v>#N/A Connection</v>
        <stp/>
        <stp>##V3_BDPV12</stp>
        <stp>WCARPO Index</stp>
        <stp>PX385</stp>
        <stp>[BI_AUTMG_1_l22cd4li.xlsx]ReferenceData!R202C19</stp>
        <stp>PX391=20151001</stp>
        <stp>PX392=20151231</stp>
        <stp>DS004=USD</stp>
        <stp>Fill=B</stp>
        <tr r="S202" s="3"/>
      </tp>
      <tp t="s">
        <v>#N/A Connection</v>
        <stp/>
        <stp>##V3_BDPV12</stp>
        <stp>WCARRO Index</stp>
        <stp>PX385</stp>
        <stp>[BI_AUTMG_1_l22cd4li.xlsx]ReferenceData!R203C63</stp>
        <stp>PX391=20041001</stp>
        <stp>PX392=20041231</stp>
        <stp>DS004=USD</stp>
        <stp>Fill=B</stp>
        <tr r="BK203" s="3"/>
      </tp>
      <tp t="s">
        <v>#N/A Connection</v>
        <stp/>
        <stp>##V3_BDPV12</stp>
        <stp>WCARBG Index</stp>
        <stp>PX385</stp>
        <stp>[BI_AUTMG_1_l22cd4li.xlsx]ReferenceData!R196C21</stp>
        <stp>PX391=20150401</stp>
        <stp>PX392=20150630</stp>
        <stp>DS004=USD</stp>
        <stp>Fill=B</stp>
        <tr r="U196" s="3"/>
      </tp>
      <tp t="s">
        <v>#N/A Connection</v>
        <stp/>
        <stp>##V3_BDPV12</stp>
        <stp>WCARCZ Index</stp>
        <stp>PX385</stp>
        <stp>[BI_AUTMG_1_l22cd4li.xlsx]ReferenceData!R197C65</stp>
        <stp>PX391=20040401</stp>
        <stp>PX392=20040630</stp>
        <stp>DS004=USD</stp>
        <stp>Fill=B</stp>
        <tr r="BM197" s="3"/>
      </tp>
      <tp t="s">
        <v>#N/A Connection</v>
        <stp/>
        <stp>##V3_BDPV12</stp>
        <stp>WCARIC Index</stp>
        <stp>PX385</stp>
        <stp>[BI_AUTMG_1_l22cd4li.xlsx]ReferenceData!R184C64</stp>
        <stp>PX391=20040701</stp>
        <stp>PX392=20040930</stp>
        <stp>DS004=USD</stp>
        <stp>Fill=B</stp>
        <tr r="BL184" s="3"/>
      </tp>
      <tp t="s">
        <v>#N/A Connection</v>
        <stp/>
        <stp>##V3_BDPV12</stp>
        <stp>TUCSMP Index</stp>
        <stp>PX385</stp>
        <stp>[BI_AUTMG_1_l22cd4li.xlsx]ReferenceData!R194C25</stp>
        <stp>PX391=20140401</stp>
        <stp>PX392=20140630</stp>
        <stp>DS004=USD</stp>
        <stp>Fill=B</stp>
        <tr r="Y194" s="3"/>
      </tp>
      <tp t="s">
        <v>#N/A Connection</v>
        <stp/>
        <stp>##V3_BDPV12</stp>
        <stp>WCARRO Index</stp>
        <stp>PX385</stp>
        <stp>[BI_AUTMG_1_l22cd4li.xlsx]ReferenceData!R203C26</stp>
        <stp>PX391=20140101</stp>
        <stp>PX392=20140331</stp>
        <stp>DS004=USD</stp>
        <stp>Fill=B</stp>
        <tr r="Z203" s="3"/>
      </tp>
      <tp t="s">
        <v>#N/A Connection</v>
        <stp/>
        <stp>##V3_BDPV12</stp>
        <stp>WCARSI Index</stp>
        <stp>PX385</stp>
        <stp>[BI_AUTMG_1_l22cd4li.xlsx]ReferenceData!R206C21</stp>
        <stp>PX391=20150401</stp>
        <stp>PX392=20150630</stp>
        <stp>DS004=USD</stp>
        <stp>Fill=B</stp>
        <tr r="U206" s="3"/>
      </tp>
      <tp t="s">
        <v>#N/A Connection</v>
        <stp/>
        <stp>##V3_BDPV12</stp>
        <stp>WCARSK Index</stp>
        <stp>PX385</stp>
        <stp>[BI_AUTMG_1_l22cd4li.xlsx]ReferenceData!R205C20</stp>
        <stp>PX391=20150701</stp>
        <stp>PX392=20150930</stp>
        <stp>DS004=USD</stp>
        <stp>Fill=B</stp>
        <tr r="T205" s="3"/>
      </tp>
      <tp t="s">
        <v>#N/A Connection</v>
        <stp/>
        <stp>##V3_BDPV12</stp>
        <stp>WCARPO Index</stp>
        <stp>PX385</stp>
        <stp>[BI_AUTMG_1_l22cd4li.xlsx]ReferenceData!R202C23</stp>
        <stp>PX391=20141001</stp>
        <stp>PX392=20141231</stp>
        <stp>DS004=USD</stp>
        <stp>Fill=B</stp>
        <tr r="W202" s="3"/>
      </tp>
      <tp t="s">
        <v>#N/A Connection</v>
        <stp/>
        <stp>##V3_BDPV12</stp>
        <stp>WCARPO Index</stp>
        <stp>PX385</stp>
        <stp>[BI_AUTMG_1_l22cd4li.xlsx]ReferenceData!R202C62</stp>
        <stp>PX391=20050101</stp>
        <stp>PX392=20050331</stp>
        <stp>DS004=USD</stp>
        <stp>Fill=B</stp>
        <tr r="BJ202" s="3"/>
      </tp>
      <tp t="s">
        <v>#N/A Connection</v>
        <stp/>
        <stp>##V3_BDPV12</stp>
        <stp>WCARRO Index</stp>
        <stp>PX385</stp>
        <stp>[BI_AUTMG_1_l22cd4li.xlsx]ReferenceData!R203C59</stp>
        <stp>PX391=20051001</stp>
        <stp>PX392=20051231</stp>
        <stp>DS004=USD</stp>
        <stp>Fill=B</stp>
        <tr r="BG203" s="3"/>
      </tp>
      <tp t="s">
        <v>#N/A Connection</v>
        <stp/>
        <stp>##V3_BDPV12</stp>
        <stp>WCARBG Index</stp>
        <stp>PX385</stp>
        <stp>[BI_AUTMG_1_l22cd4li.xlsx]ReferenceData!R196C17</stp>
        <stp>PX391=20160401</stp>
        <stp>PX392=20160630</stp>
        <stp>DS004=USD</stp>
        <stp>Fill=B</stp>
        <tr r="Q196" s="3"/>
      </tp>
      <tp t="s">
        <v>#N/A Connection</v>
        <stp/>
        <stp>##V3_BDPV12</stp>
        <stp>WCARCZ Index</stp>
        <stp>PX385</stp>
        <stp>[BI_AUTMG_1_l22cd4li.xlsx]ReferenceData!R197C53</stp>
        <stp>PX391=20070401</stp>
        <stp>PX392=20070630</stp>
        <stp>DS004=USD</stp>
        <stp>Fill=B</stp>
        <tr r="BA197" s="3"/>
      </tp>
      <tp t="s">
        <v>#N/A Connection</v>
        <stp/>
        <stp>##V3_BDPV12</stp>
        <stp>WCARIC Index</stp>
        <stp>PX385</stp>
        <stp>[BI_AUTMG_1_l22cd4li.xlsx]ReferenceData!R184C52</stp>
        <stp>PX391=20070701</stp>
        <stp>PX392=20070930</stp>
        <stp>DS004=USD</stp>
        <stp>Fill=B</stp>
        <tr r="AZ184" s="3"/>
      </tp>
      <tp t="s">
        <v>#N/A Connection</v>
        <stp/>
        <stp>##V3_BDPV12</stp>
        <stp>TUCSMP Index</stp>
        <stp>PX385</stp>
        <stp>[BI_AUTMG_1_l22cd4li.xlsx]ReferenceData!R194C13</stp>
        <stp>PX391=20170401</stp>
        <stp>PX392=20170630</stp>
        <stp>DS004=USD</stp>
        <stp>Fill=B</stp>
        <tr r="M194" s="3"/>
      </tp>
      <tp t="s">
        <v>#N/A Connection</v>
        <stp/>
        <stp>##V3_BDPV12</stp>
        <stp>WCARRO Index</stp>
        <stp>PX385</stp>
        <stp>[BI_AUTMG_1_l22cd4li.xlsx]ReferenceData!R203C14</stp>
        <stp>PX391=20170101</stp>
        <stp>PX392=20170331</stp>
        <stp>DS004=USD</stp>
        <stp>Fill=B</stp>
        <tr r="N203" s="3"/>
      </tp>
      <tp t="s">
        <v>#N/A Connection</v>
        <stp/>
        <stp>##V3_BDPV12</stp>
        <stp>WCARSI Index</stp>
        <stp>PX385</stp>
        <stp>[BI_AUTMG_1_l22cd4li.xlsx]ReferenceData!R206C17</stp>
        <stp>PX391=20160401</stp>
        <stp>PX392=20160630</stp>
        <stp>DS004=USD</stp>
        <stp>Fill=B</stp>
        <tr r="Q206" s="3"/>
      </tp>
      <tp t="s">
        <v>#N/A Connection</v>
        <stp/>
        <stp>##V3_BDPV12</stp>
        <stp>WCARSK Index</stp>
        <stp>PX385</stp>
        <stp>[BI_AUTMG_1_l22cd4li.xlsx]ReferenceData!R205C16</stp>
        <stp>PX391=20160701</stp>
        <stp>PX392=20160930</stp>
        <stp>DS004=USD</stp>
        <stp>Fill=B</stp>
        <tr r="P205" s="3"/>
      </tp>
      <tp t="s">
        <v>#N/A Connection</v>
        <stp/>
        <stp>##V3_BDPV12</stp>
        <stp>WCARPO Index</stp>
        <stp>PX385</stp>
        <stp>[BI_AUTMG_1_l22cd4li.xlsx]ReferenceData!R202C11</stp>
        <stp>PX391=20171001</stp>
        <stp>PX392=20171231</stp>
        <stp>DS004=USD</stp>
        <stp>Fill=B</stp>
        <tr r="K202" s="3"/>
      </tp>
      <tp t="s">
        <v>#N/A Connection</v>
        <stp/>
        <stp>##V3_BDPV12</stp>
        <stp>WCARRO Index</stp>
        <stp>PX385</stp>
        <stp>[BI_AUTMG_1_l22cd4li.xlsx]ReferenceData!R203C55</stp>
        <stp>PX391=20061001</stp>
        <stp>PX392=20061231</stp>
        <stp>DS004=USD</stp>
        <stp>Fill=B</stp>
        <tr r="BC203" s="3"/>
      </tp>
      <tp t="s">
        <v>#N/A Connection</v>
        <stp/>
        <stp>##V3_BDPV12</stp>
        <stp>WCARPO Index</stp>
        <stp>PX385</stp>
        <stp>[BI_AUTMG_1_l22cd4li.xlsx]ReferenceData!R202C58</stp>
        <stp>PX391=20060101</stp>
        <stp>PX392=20060331</stp>
        <stp>DS004=USD</stp>
        <stp>Fill=B</stp>
        <tr r="BF202" s="3"/>
      </tp>
      <tp t="s">
        <v>#N/A Connection</v>
        <stp/>
        <stp>##V3_BDPV12</stp>
        <stp>WCARBG Index</stp>
        <stp>PX385</stp>
        <stp>[BI_AUTMG_1_l22cd4li.xlsx]ReferenceData!R196C13</stp>
        <stp>PX391=20170401</stp>
        <stp>PX392=20170630</stp>
        <stp>DS004=USD</stp>
        <stp>Fill=B</stp>
        <tr r="M196" s="3"/>
      </tp>
      <tp t="s">
        <v>#N/A Connection</v>
        <stp/>
        <stp>##V3_BDPV12</stp>
        <stp>WCARCZ Index</stp>
        <stp>PX385</stp>
        <stp>[BI_AUTMG_1_l22cd4li.xlsx]ReferenceData!R197C57</stp>
        <stp>PX391=20060401</stp>
        <stp>PX392=20060630</stp>
        <stp>DS004=USD</stp>
        <stp>Fill=B</stp>
        <tr r="BE197" s="3"/>
      </tp>
      <tp t="s">
        <v>#N/A Connection</v>
        <stp/>
        <stp>##V3_BDPV12</stp>
        <stp>WCARIC Index</stp>
        <stp>PX385</stp>
        <stp>[BI_AUTMG_1_l22cd4li.xlsx]ReferenceData!R184C56</stp>
        <stp>PX391=20060701</stp>
        <stp>PX392=20060930</stp>
        <stp>DS004=USD</stp>
        <stp>Fill=B</stp>
        <tr r="BD184" s="3"/>
      </tp>
      <tp t="s">
        <v>#N/A Connection</v>
        <stp/>
        <stp>##V3_BDPV12</stp>
        <stp>TUCSMP Index</stp>
        <stp>PX385</stp>
        <stp>[BI_AUTMG_1_l22cd4li.xlsx]ReferenceData!R194C17</stp>
        <stp>PX391=20160401</stp>
        <stp>PX392=20160630</stp>
        <stp>DS004=USD</stp>
        <stp>Fill=B</stp>
        <tr r="Q194" s="3"/>
      </tp>
      <tp t="s">
        <v>#N/A Connection</v>
        <stp/>
        <stp>##V3_BDPV12</stp>
        <stp>WCARSI Index</stp>
        <stp>PX385</stp>
        <stp>[BI_AUTMG_1_l22cd4li.xlsx]ReferenceData!R206C13</stp>
        <stp>PX391=20170401</stp>
        <stp>PX392=20170630</stp>
        <stp>DS004=USD</stp>
        <stp>Fill=B</stp>
        <tr r="M206" s="3"/>
      </tp>
      <tp t="s">
        <v>#N/A Connection</v>
        <stp/>
        <stp>##V3_BDPV12</stp>
        <stp>WCARSK Index</stp>
        <stp>PX385</stp>
        <stp>[BI_AUTMG_1_l22cd4li.xlsx]ReferenceData!R205C12</stp>
        <stp>PX391=20170701</stp>
        <stp>PX392=20170930</stp>
        <stp>DS004=USD</stp>
        <stp>Fill=B</stp>
        <tr r="L205" s="3"/>
      </tp>
      <tp t="s">
        <v>#N/A Connection</v>
        <stp/>
        <stp>##V3_BDPV12</stp>
        <stp>WCARRO Index</stp>
        <stp>PX385</stp>
        <stp>[BI_AUTMG_1_l22cd4li.xlsx]ReferenceData!R203C18</stp>
        <stp>PX391=20160101</stp>
        <stp>PX392=20160331</stp>
        <stp>DS004=USD</stp>
        <stp>Fill=B</stp>
        <tr r="R203" s="3"/>
      </tp>
      <tp t="s">
        <v>#N/A Connection</v>
        <stp/>
        <stp>##V3_BDPV12</stp>
        <stp>WCARPO Index</stp>
        <stp>PX385</stp>
        <stp>[BI_AUTMG_1_l22cd4li.xlsx]ReferenceData!R202C15</stp>
        <stp>PX391=20161001</stp>
        <stp>PX392=20161231</stp>
        <stp>DS004=USD</stp>
        <stp>Fill=B</stp>
        <tr r="O202" s="3"/>
      </tp>
      <tp t="s">
        <v>#N/A Connection</v>
        <stp/>
        <stp>##V3_BDPV12</stp>
        <stp>WCARRO Index</stp>
        <stp>PX385</stp>
        <stp>[BI_AUTMG_1_l22cd4li.xlsx]ReferenceData!R203C51</stp>
        <stp>PX391=20071001</stp>
        <stp>PX392=20071231</stp>
        <stp>DS004=USD</stp>
        <stp>Fill=B</stp>
        <tr r="AY203" s="3"/>
      </tp>
      <tp t="s">
        <v>#N/A Connection</v>
        <stp/>
        <stp>##V3_BDPV12</stp>
        <stp>WCARPO Index</stp>
        <stp>PX385</stp>
        <stp>[BI_AUTMG_1_l22cd4li.xlsx]ReferenceData!R202C54</stp>
        <stp>PX391=20070101</stp>
        <stp>PX392=20070331</stp>
        <stp>DS004=USD</stp>
        <stp>Fill=B</stp>
        <tr r="BB202" s="3"/>
      </tp>
      <tp t="s">
        <v>#N/A Connection</v>
        <stp/>
        <stp>##V3_BDPV12</stp>
        <stp>WCARBG Index</stp>
        <stp>PX385</stp>
        <stp>[BI_AUTMG_1_l22cd4li.xlsx]ReferenceData!R196C41</stp>
        <stp>PX391=20100401</stp>
        <stp>PX392=20100630</stp>
        <stp>DS004=USD</stp>
        <stp>Fill=B</stp>
        <tr r="AO196" s="3"/>
      </tp>
      <tp t="s">
        <v>#N/A Connection</v>
        <stp/>
        <stp>##V3_BDPV12</stp>
        <stp>TUCSMP Index</stp>
        <stp>PX385</stp>
        <stp>[BI_AUTMG_1_l22cd4li.xlsx]ReferenceData!R194C37</stp>
        <stp>PX391=20110401</stp>
        <stp>PX392=20110630</stp>
        <stp>DS004=USD</stp>
        <stp>Fill=B</stp>
        <tr r="AK194" s="3"/>
      </tp>
      <tp t="s">
        <v>#N/A Connection</v>
        <stp/>
        <stp>##V3_BDPV12</stp>
        <stp>WCARSI Index</stp>
        <stp>PX385</stp>
        <stp>[BI_AUTMG_1_l22cd4li.xlsx]ReferenceData!R206C41</stp>
        <stp>PX391=20100401</stp>
        <stp>PX392=20100630</stp>
        <stp>DS004=USD</stp>
        <stp>Fill=B</stp>
        <tr r="AO206" s="3"/>
      </tp>
      <tp t="s">
        <v>#N/A Connection</v>
        <stp/>
        <stp>##V3_BDPV12</stp>
        <stp>WCARSK Index</stp>
        <stp>PX385</stp>
        <stp>[BI_AUTMG_1_l22cd4li.xlsx]ReferenceData!R205C40</stp>
        <stp>PX391=20100701</stp>
        <stp>PX392=20100930</stp>
        <stp>DS004=USD</stp>
        <stp>Fill=B</stp>
        <tr r="AN205" s="3"/>
      </tp>
      <tp t="s">
        <v>#N/A Connection</v>
        <stp/>
        <stp>##V3_BDPV12</stp>
        <stp>WCARRO Index</stp>
        <stp>PX385</stp>
        <stp>[BI_AUTMG_1_l22cd4li.xlsx]ReferenceData!R203C38</stp>
        <stp>PX391=20110101</stp>
        <stp>PX392=20110331</stp>
        <stp>DS004=USD</stp>
        <stp>Fill=B</stp>
        <tr r="AL203" s="3"/>
      </tp>
      <tp t="s">
        <v>#N/A Connection</v>
        <stp/>
        <stp>##V3_BDPV12</stp>
        <stp>WCARPO Index</stp>
        <stp>PX385</stp>
        <stp>[BI_AUTMG_1_l22cd4li.xlsx]ReferenceData!R202C35</stp>
        <stp>PX391=20111001</stp>
        <stp>PX392=20111231</stp>
        <stp>DS004=USD</stp>
        <stp>Fill=B</stp>
        <tr r="AI202" s="3"/>
      </tp>
      <tp t="s">
        <v>#N/A Connection</v>
        <stp/>
        <stp>##V3_BDPV12</stp>
        <stp>WCARBG Index</stp>
        <stp>PX385</stp>
        <stp>[BI_AUTMG_1_l22cd4li.xlsx]ReferenceData!R196C37</stp>
        <stp>PX391=20110401</stp>
        <stp>PX392=20110630</stp>
        <stp>DS004=USD</stp>
        <stp>Fill=B</stp>
        <tr r="AK196" s="3"/>
      </tp>
      <tp t="s">
        <v>#N/A Connection</v>
        <stp/>
        <stp>##V3_BDPV12</stp>
        <stp>TUCSMP Index</stp>
        <stp>PX385</stp>
        <stp>[BI_AUTMG_1_l22cd4li.xlsx]ReferenceData!R194C41</stp>
        <stp>PX391=20100401</stp>
        <stp>PX392=20100630</stp>
        <stp>DS004=USD</stp>
        <stp>Fill=B</stp>
        <tr r="AO194" s="3"/>
      </tp>
      <tp t="s">
        <v>#N/A Connection</v>
        <stp/>
        <stp>##V3_BDPV12</stp>
        <stp>WCARRO Index</stp>
        <stp>PX385</stp>
        <stp>[BI_AUTMG_1_l22cd4li.xlsx]ReferenceData!R203C42</stp>
        <stp>PX391=20100101</stp>
        <stp>PX392=20100331</stp>
        <stp>DS004=USD</stp>
        <stp>Fill=B</stp>
        <tr r="AP203" s="3"/>
      </tp>
      <tp t="s">
        <v>#N/A Connection</v>
        <stp/>
        <stp>##V3_BDPV12</stp>
        <stp>WCARSI Index</stp>
        <stp>PX385</stp>
        <stp>[BI_AUTMG_1_l22cd4li.xlsx]ReferenceData!R206C37</stp>
        <stp>PX391=20110401</stp>
        <stp>PX392=20110630</stp>
        <stp>DS004=USD</stp>
        <stp>Fill=B</stp>
        <tr r="AK206" s="3"/>
      </tp>
      <tp t="s">
        <v>#N/A Connection</v>
        <stp/>
        <stp>##V3_BDPV12</stp>
        <stp>WCARSK Index</stp>
        <stp>PX385</stp>
        <stp>[BI_AUTMG_1_l22cd4li.xlsx]ReferenceData!R205C36</stp>
        <stp>PX391=20110701</stp>
        <stp>PX392=20110930</stp>
        <stp>DS004=USD</stp>
        <stp>Fill=B</stp>
        <tr r="AJ205" s="3"/>
      </tp>
      <tp t="s">
        <v>#N/A Connection</v>
        <stp/>
        <stp>##V3_BDPV12</stp>
        <stp>WCARPO Index</stp>
        <stp>PX385</stp>
        <stp>[BI_AUTMG_1_l22cd4li.xlsx]ReferenceData!R202C39</stp>
        <stp>PX391=20101001</stp>
        <stp>PX392=20101231</stp>
        <stp>DS004=USD</stp>
        <stp>Fill=B</stp>
        <tr r="AM202" s="3"/>
      </tp>
      <tp t="s">
        <v>#N/A Connection</v>
        <stp/>
        <stp>##V3_BDPV12</stp>
        <stp>WCARBG Index</stp>
        <stp>PX385</stp>
        <stp>[BI_AUTMG_1_l22cd4li.xlsx]ReferenceData!R196C33</stp>
        <stp>PX391=20120401</stp>
        <stp>PX392=20120630</stp>
        <stp>DS004=USD</stp>
        <stp>Fill=B</stp>
        <tr r="AG196" s="3"/>
      </tp>
      <tp t="s">
        <v>#N/A Connection</v>
        <stp/>
        <stp>##V3_BDPV12</stp>
        <stp>TUCSMP Index</stp>
        <stp>PX385</stp>
        <stp>[BI_AUTMG_1_l22cd4li.xlsx]ReferenceData!R194C29</stp>
        <stp>PX391=20130401</stp>
        <stp>PX392=20130630</stp>
        <stp>DS004=USD</stp>
        <stp>Fill=B</stp>
        <tr r="AC194" s="3"/>
      </tp>
      <tp t="s">
        <v>#N/A Connection</v>
        <stp/>
        <stp>##V3_BDPV12</stp>
        <stp>WCARPO Index</stp>
        <stp>PX385</stp>
        <stp>[BI_AUTMG_1_l22cd4li.xlsx]ReferenceData!R202C27</stp>
        <stp>PX391=20131001</stp>
        <stp>PX392=20131231</stp>
        <stp>DS004=USD</stp>
        <stp>Fill=B</stp>
        <tr r="AA202" s="3"/>
      </tp>
      <tp t="s">
        <v>#N/A Connection</v>
        <stp/>
        <stp>##V3_BDPV12</stp>
        <stp>WCARRO Index</stp>
        <stp>PX385</stp>
        <stp>[BI_AUTMG_1_l22cd4li.xlsx]ReferenceData!R203C30</stp>
        <stp>PX391=20130101</stp>
        <stp>PX392=20130331</stp>
        <stp>DS004=USD</stp>
        <stp>Fill=B</stp>
        <tr r="AD203" s="3"/>
      </tp>
      <tp t="s">
        <v>#N/A Connection</v>
        <stp/>
        <stp>##V3_BDPV12</stp>
        <stp>WCARSI Index</stp>
        <stp>PX385</stp>
        <stp>[BI_AUTMG_1_l22cd4li.xlsx]ReferenceData!R206C33</stp>
        <stp>PX391=20120401</stp>
        <stp>PX392=20120630</stp>
        <stp>DS004=USD</stp>
        <stp>Fill=B</stp>
        <tr r="AG206" s="3"/>
      </tp>
      <tp t="s">
        <v>#N/A Connection</v>
        <stp/>
        <stp>##V3_BDPV12</stp>
        <stp>WCARSK Index</stp>
        <stp>PX385</stp>
        <stp>[BI_AUTMG_1_l22cd4li.xlsx]ReferenceData!R205C32</stp>
        <stp>PX391=20120701</stp>
        <stp>PX392=20120930</stp>
        <stp>DS004=USD</stp>
        <stp>Fill=B</stp>
        <tr r="AF205" s="3"/>
      </tp>
      <tp t="s">
        <v>#N/A Connection</v>
        <stp/>
        <stp>##V3_BDPV12</stp>
        <stp>WCARBG Index</stp>
        <stp>PX385</stp>
        <stp>[BI_AUTMG_1_l22cd4li.xlsx]ReferenceData!R196C29</stp>
        <stp>PX391=20130401</stp>
        <stp>PX392=20130630</stp>
        <stp>DS004=USD</stp>
        <stp>Fill=B</stp>
        <tr r="AC196" s="3"/>
      </tp>
      <tp t="s">
        <v>#N/A Connection</v>
        <stp/>
        <stp>##V3_BDPV12</stp>
        <stp>TUCSMP Index</stp>
        <stp>PX385</stp>
        <stp>[BI_AUTMG_1_l22cd4li.xlsx]ReferenceData!R194C33</stp>
        <stp>PX391=20120401</stp>
        <stp>PX392=20120630</stp>
        <stp>DS004=USD</stp>
        <stp>Fill=B</stp>
        <tr r="AG194" s="3"/>
      </tp>
      <tp t="s">
        <v>#N/A Connection</v>
        <stp/>
        <stp>##V3_BDPV12</stp>
        <stp>WCARPO Index</stp>
        <stp>PX385</stp>
        <stp>[BI_AUTMG_1_l22cd4li.xlsx]ReferenceData!R202C31</stp>
        <stp>PX391=20121001</stp>
        <stp>PX392=20121231</stp>
        <stp>DS004=USD</stp>
        <stp>Fill=B</stp>
        <tr r="AE202" s="3"/>
      </tp>
      <tp t="s">
        <v>#N/A Connection</v>
        <stp/>
        <stp>##V3_BDPV12</stp>
        <stp>WCARRO Index</stp>
        <stp>PX385</stp>
        <stp>[BI_AUTMG_1_l22cd4li.xlsx]ReferenceData!R203C34</stp>
        <stp>PX391=20120101</stp>
        <stp>PX392=20120331</stp>
        <stp>DS004=USD</stp>
        <stp>Fill=B</stp>
        <tr r="AH203" s="3"/>
      </tp>
      <tp t="s">
        <v>#N/A Connection</v>
        <stp/>
        <stp>##V3_BDPV12</stp>
        <stp>WCARSK Index</stp>
        <stp>PX385</stp>
        <stp>[BI_AUTMG_1_l22cd4li.xlsx]ReferenceData!R205C28</stp>
        <stp>PX391=20130701</stp>
        <stp>PX392=20130930</stp>
        <stp>DS004=USD</stp>
        <stp>Fill=B</stp>
        <tr r="AB205" s="3"/>
      </tp>
      <tp t="s">
        <v>#N/A Connection</v>
        <stp/>
        <stp>##V3_BDPV12</stp>
        <stp>WCARSI Index</stp>
        <stp>PX385</stp>
        <stp>[BI_AUTMG_1_l22cd4li.xlsx]ReferenceData!R206C29</stp>
        <stp>PX391=20130401</stp>
        <stp>PX392=20130630</stp>
        <stp>DS004=USD</stp>
        <stp>Fill=B</stp>
        <tr r="AC206" s="3"/>
      </tp>
      <tp t="s">
        <v>#N/A Connection</v>
        <stp/>
        <stp>##V3_BDPV12</stp>
        <stp>WCARNLI Index</stp>
        <stp>PX385</stp>
        <stp>[BI_AUTMG_1_l22cd4li.xlsx]ReferenceData!R188C21</stp>
        <stp>PX391=20150401</stp>
        <stp>PX392=20150630</stp>
        <stp>DS004=USD</stp>
        <stp>Fill=B</stp>
        <tr r="U188" s="3"/>
      </tp>
      <tp t="s">
        <v>#N/A Connection</v>
        <stp/>
        <stp>##V3_BDPV12</stp>
        <stp>WCARNOI Index</stp>
        <stp>PX385</stp>
        <stp>[BI_AUTMG_1_l22cd4li.xlsx]ReferenceData!R189C65</stp>
        <stp>PX391=20040401</stp>
        <stp>PX392=20040630</stp>
        <stp>DS004=USD</stp>
        <stp>Fill=B</stp>
        <tr r="BM189" s="3"/>
      </tp>
      <tp t="s">
        <v>#N/A Connection</v>
        <stp/>
        <stp>##V3_BDPV12</stp>
        <stp>MAVSTTL Index</stp>
        <stp>PX385</stp>
        <stp>[BI_AUTMG_1_l22cd4li.xlsx]ReferenceData!R168C65</stp>
        <stp>PX391=20040401</stp>
        <stp>PX392=20040630</stp>
        <stp>DS004=USD</stp>
        <stp>Fill=B</stp>
        <tr r="BM168" s="3"/>
      </tp>
      <tp t="s">
        <v>#N/A Connection</v>
        <stp/>
        <stp>##V3_BDPV12</stp>
        <stp>IDVHCLOC Index</stp>
        <stp>PX385</stp>
        <stp>[BI_AUTMG_1_l22cd4li.xlsx]ReferenceData!R166C14</stp>
        <stp>PX391=20170101</stp>
        <stp>PX392=20170331</stp>
        <stp>DS004=USD</stp>
        <stp>Fill=B</stp>
        <tr r="N166" s="3"/>
      </tp>
      <tp t="s">
        <v>#N/A Connection</v>
        <stp/>
        <stp>##V3_BDPV12</stp>
        <stp>IDVHCLOC Index</stp>
        <stp>PX385</stp>
        <stp>[BI_AUTMG_1_l22cd4li.xlsx]ReferenceData!R166C55</stp>
        <stp>PX391=20061001</stp>
        <stp>PX392=20061231</stp>
        <stp>DS004=USD</stp>
        <stp>Fill=B</stp>
        <tr r="BC166" s="3"/>
      </tp>
      <tp t="s">
        <v>#N/A Connection</v>
        <stp/>
        <stp>##V3_BDPV12</stp>
        <stp>AUTMKRVS Index</stp>
        <stp>PX385</stp>
        <stp>[BI_AUTMG_1_l22cd4li.xlsx]ReferenceData!R171C48</stp>
        <stp>PX391=20080701</stp>
        <stp>PX392=20080930</stp>
        <stp>DS004=USD</stp>
        <stp>Fill=B</stp>
        <tr r="AV171" s="3"/>
      </tp>
      <tp t="s">
        <v>#N/A Connection</v>
        <stp/>
        <stp>##V3_BDPV12</stp>
        <stp>WCARNLI Index</stp>
        <stp>PX385</stp>
        <stp>[BI_AUTMG_1_l22cd4li.xlsx]ReferenceData!R188C25</stp>
        <stp>PX391=20140401</stp>
        <stp>PX392=20140630</stp>
        <stp>DS004=USD</stp>
        <stp>Fill=B</stp>
        <tr r="Y188" s="3"/>
      </tp>
      <tp t="s">
        <v>#N/A Connection</v>
        <stp/>
        <stp>##V3_BDPV12</stp>
        <stp>WCARNOI Index</stp>
        <stp>PX385</stp>
        <stp>[BI_AUTMG_1_l22cd4li.xlsx]ReferenceData!R189C61</stp>
        <stp>PX391=20050401</stp>
        <stp>PX392=20050630</stp>
        <stp>DS004=USD</stp>
        <stp>Fill=B</stp>
        <tr r="BI189" s="3"/>
      </tp>
      <tp t="s">
        <v>#N/A Connection</v>
        <stp/>
        <stp>##V3_BDPV12</stp>
        <stp>MAVSTTL Index</stp>
        <stp>PX385</stp>
        <stp>[BI_AUTMG_1_l22cd4li.xlsx]ReferenceData!R168C61</stp>
        <stp>PX391=20050401</stp>
        <stp>PX392=20050630</stp>
        <stp>DS004=USD</stp>
        <stp>Fill=B</stp>
        <tr r="BI168" s="3"/>
      </tp>
      <tp t="s">
        <v>#N/A Connection</v>
        <stp/>
        <stp>##V3_BDPV12</stp>
        <stp>IDVHCLOC Index</stp>
        <stp>PX385</stp>
        <stp>[BI_AUTMG_1_l22cd4li.xlsx]ReferenceData!R166C18</stp>
        <stp>PX391=20160101</stp>
        <stp>PX392=20160331</stp>
        <stp>DS004=USD</stp>
        <stp>Fill=B</stp>
        <tr r="R166" s="3"/>
      </tp>
      <tp t="s">
        <v>#N/A Connection</v>
        <stp/>
        <stp>##V3_BDPV12</stp>
        <stp>IDVHCLOC Index</stp>
        <stp>PX385</stp>
        <stp>[BI_AUTMG_1_l22cd4li.xlsx]ReferenceData!R166C51</stp>
        <stp>PX391=20071001</stp>
        <stp>PX392=20071231</stp>
        <stp>DS004=USD</stp>
        <stp>Fill=B</stp>
        <tr r="AY166" s="3"/>
      </tp>
      <tp t="s">
        <v>#N/A Connection</v>
        <stp/>
        <stp>##V3_BDPV12</stp>
        <stp>AUTMKRVS Index</stp>
        <stp>PX385</stp>
        <stp>[BI_AUTMG_1_l22cd4li.xlsx]ReferenceData!R171C44</stp>
        <stp>PX391=20090701</stp>
        <stp>PX392=20090930</stp>
        <stp>DS004=USD</stp>
        <stp>Fill=B</stp>
        <tr r="AR171" s="3"/>
      </tp>
      <tp t="s">
        <v>#N/A Connection</v>
        <stp/>
        <stp>##V3_BDPV12</stp>
        <stp>WCARNLI Index</stp>
        <stp>PX385</stp>
        <stp>[BI_AUTMG_1_l22cd4li.xlsx]ReferenceData!R188C13</stp>
        <stp>PX391=20170401</stp>
        <stp>PX392=20170630</stp>
        <stp>DS004=USD</stp>
        <stp>Fill=B</stp>
        <tr r="M188" s="3"/>
      </tp>
      <tp t="s">
        <v>#N/A Connection</v>
        <stp/>
        <stp>##V3_BDPV12</stp>
        <stp>WCARNOI Index</stp>
        <stp>PX385</stp>
        <stp>[BI_AUTMG_1_l22cd4li.xlsx]ReferenceData!R189C57</stp>
        <stp>PX391=20060401</stp>
        <stp>PX392=20060630</stp>
        <stp>DS004=USD</stp>
        <stp>Fill=B</stp>
        <tr r="BE189" s="3"/>
      </tp>
      <tp t="s">
        <v>#N/A Connection</v>
        <stp/>
        <stp>##V3_BDPV12</stp>
        <stp>MAVSTTL Index</stp>
        <stp>PX385</stp>
        <stp>[BI_AUTMG_1_l22cd4li.xlsx]ReferenceData!R168C57</stp>
        <stp>PX391=20060401</stp>
        <stp>PX392=20060630</stp>
        <stp>DS004=USD</stp>
        <stp>Fill=B</stp>
        <tr r="BE168" s="3"/>
      </tp>
      <tp t="s">
        <v>#N/A Connection</v>
        <stp/>
        <stp>##V3_BDPV12</stp>
        <stp>IDVHCLOC Index</stp>
        <stp>PX385</stp>
        <stp>[BI_AUTMG_1_l22cd4li.xlsx]ReferenceData!R166C22</stp>
        <stp>PX391=20150101</stp>
        <stp>PX392=20150331</stp>
        <stp>DS004=USD</stp>
        <stp>Fill=B</stp>
        <tr r="V166" s="3"/>
      </tp>
      <tp t="s">
        <v>#N/A Connection</v>
        <stp/>
        <stp>##V3_BDPV12</stp>
        <stp>IDVHCLOC Index</stp>
        <stp>PX385</stp>
        <stp>[BI_AUTMG_1_l22cd4li.xlsx]ReferenceData!R166C63</stp>
        <stp>PX391=20041001</stp>
        <stp>PX392=20041231</stp>
        <stp>DS004=USD</stp>
        <stp>Fill=B</stp>
        <tr r="BK166" s="3"/>
      </tp>
      <tp t="s">
        <v>#N/A Connection</v>
        <stp/>
        <stp>##V3_BDPV12</stp>
        <stp>WCARNLI Index</stp>
        <stp>PX385</stp>
        <stp>[BI_AUTMG_1_l22cd4li.xlsx]ReferenceData!R188C17</stp>
        <stp>PX391=20160401</stp>
        <stp>PX392=20160630</stp>
        <stp>DS004=USD</stp>
        <stp>Fill=B</stp>
        <tr r="Q188" s="3"/>
      </tp>
      <tp t="s">
        <v>#N/A Connection</v>
        <stp/>
        <stp>##V3_BDPV12</stp>
        <stp>WCARNOI Index</stp>
        <stp>PX385</stp>
        <stp>[BI_AUTMG_1_l22cd4li.xlsx]ReferenceData!R189C53</stp>
        <stp>PX391=20070401</stp>
        <stp>PX392=20070630</stp>
        <stp>DS004=USD</stp>
        <stp>Fill=B</stp>
        <tr r="BA189" s="3"/>
      </tp>
      <tp t="s">
        <v>#N/A Connection</v>
        <stp/>
        <stp>##V3_BDPV12</stp>
        <stp>MAVSTTL Index</stp>
        <stp>PX385</stp>
        <stp>[BI_AUTMG_1_l22cd4li.xlsx]ReferenceData!R168C53</stp>
        <stp>PX391=20070401</stp>
        <stp>PX392=20070630</stp>
        <stp>DS004=USD</stp>
        <stp>Fill=B</stp>
        <tr r="BA168" s="3"/>
      </tp>
      <tp t="s">
        <v>#N/A Connection</v>
        <stp/>
        <stp>##V3_BDPV12</stp>
        <stp>IDVHCLOC Index</stp>
        <stp>PX385</stp>
        <stp>[BI_AUTMG_1_l22cd4li.xlsx]ReferenceData!R166C26</stp>
        <stp>PX391=20140101</stp>
        <stp>PX392=20140331</stp>
        <stp>DS004=USD</stp>
        <stp>Fill=B</stp>
        <tr r="Z166" s="3"/>
      </tp>
      <tp t="s">
        <v>#N/A Connection</v>
        <stp/>
        <stp>##V3_BDPV12</stp>
        <stp>IDVHCLOC Index</stp>
        <stp>PX385</stp>
        <stp>[BI_AUTMG_1_l22cd4li.xlsx]ReferenceData!R166C59</stp>
        <stp>PX391=20051001</stp>
        <stp>PX392=20051231</stp>
        <stp>DS004=USD</stp>
        <stp>Fill=B</stp>
        <tr r="BG166" s="3"/>
      </tp>
      <tp t="s">
        <v>#N/A Connection</v>
        <stp/>
        <stp>##V3_BDPV12</stp>
        <stp>WCARNLI Index</stp>
        <stp>PX385</stp>
        <stp>[BI_AUTMG_1_l22cd4li.xlsx]ReferenceData!R188C37</stp>
        <stp>PX391=20110401</stp>
        <stp>PX392=20110630</stp>
        <stp>DS004=USD</stp>
        <stp>Fill=B</stp>
        <tr r="AK188" s="3"/>
      </tp>
      <tp t="s">
        <v>#N/A Connection</v>
        <stp/>
        <stp>##V3_BDPV12</stp>
        <stp>IDVHCLOC Index</stp>
        <stp>PX385</stp>
        <stp>[BI_AUTMG_1_l22cd4li.xlsx]ReferenceData!R166C30</stp>
        <stp>PX391=20130101</stp>
        <stp>PX392=20130331</stp>
        <stp>DS004=USD</stp>
        <stp>Fill=B</stp>
        <tr r="AD166" s="3"/>
      </tp>
      <tp t="s">
        <v>#N/A Connection</v>
        <stp/>
        <stp>##V3_BDPV12</stp>
        <stp>INVSDMPV Index</stp>
        <stp>PX385</stp>
        <stp>[BI_AUTMG_1_l22cd4li.xlsx]ReferenceData!R165C49</stp>
        <stp>PX391=20080401</stp>
        <stp>PX392=20080630</stp>
        <stp>DS004=USD</stp>
        <stp>Fill=B</stp>
        <tr r="AW165" s="3"/>
      </tp>
      <tp t="s">
        <v>#N/A Connection</v>
        <stp/>
        <stp>##V3_BDPV12</stp>
        <stp>WCARNLI Index</stp>
        <stp>PX385</stp>
        <stp>[BI_AUTMG_1_l22cd4li.xlsx]ReferenceData!R188C41</stp>
        <stp>PX391=20100401</stp>
        <stp>PX392=20100630</stp>
        <stp>DS004=USD</stp>
        <stp>Fill=B</stp>
        <tr r="AO188" s="3"/>
      </tp>
      <tp t="s">
        <v>#N/A Connection</v>
        <stp/>
        <stp>##V3_BDPV12</stp>
        <stp>IDVHCLOC Index</stp>
        <stp>PX385</stp>
        <stp>[BI_AUTMG_1_l22cd4li.xlsx]ReferenceData!R166C34</stp>
        <stp>PX391=20120101</stp>
        <stp>PX392=20120331</stp>
        <stp>DS004=USD</stp>
        <stp>Fill=B</stp>
        <tr r="AH166" s="3"/>
      </tp>
      <tp t="s">
        <v>#N/A Connection</v>
        <stp/>
        <stp>##V3_BDPV12</stp>
        <stp>INVSDMPV Index</stp>
        <stp>PX385</stp>
        <stp>[BI_AUTMG_1_l22cd4li.xlsx]ReferenceData!R165C45</stp>
        <stp>PX391=20090401</stp>
        <stp>PX392=20090630</stp>
        <stp>DS004=USD</stp>
        <stp>Fill=B</stp>
        <tr r="AS165" s="3"/>
      </tp>
      <tp t="s">
        <v>#N/A Connection</v>
        <stp/>
        <stp>##V3_BDPV12</stp>
        <stp>WCARDKI Index</stp>
        <stp>PX385</stp>
        <stp>[BI_AUTMG_1_l22cd4li.xlsx]ReferenceData!R179C49</stp>
        <stp>PX391=20080401</stp>
        <stp>PX392=20080630</stp>
        <stp>DS004=USD</stp>
        <stp>Fill=B</stp>
        <tr r="AW179" s="3"/>
      </tp>
      <tp t="s">
        <v>#N/A Connection</v>
        <stp/>
        <stp>##V3_BDPV12</stp>
        <stp>WCARNLI Index</stp>
        <stp>PX385</stp>
        <stp>[BI_AUTMG_1_l22cd4li.xlsx]ReferenceData!R188C29</stp>
        <stp>PX391=20130401</stp>
        <stp>PX392=20130630</stp>
        <stp>DS004=USD</stp>
        <stp>Fill=B</stp>
        <tr r="AC188" s="3"/>
      </tp>
      <tp t="s">
        <v>#N/A Connection</v>
        <stp/>
        <stp>##V3_BDPV12</stp>
        <stp>IDVHCLOC Index</stp>
        <stp>PX385</stp>
        <stp>[BI_AUTMG_1_l22cd4li.xlsx]ReferenceData!R166C38</stp>
        <stp>PX391=20110101</stp>
        <stp>PX392=20110331</stp>
        <stp>DS004=USD</stp>
        <stp>Fill=B</stp>
        <tr r="AL166" s="3"/>
      </tp>
      <tp t="s">
        <v>#N/A Connection</v>
        <stp/>
        <stp>##V3_BDPV12</stp>
        <stp>WCARDKI Index</stp>
        <stp>PX385</stp>
        <stp>[BI_AUTMG_1_l22cd4li.xlsx]ReferenceData!R179C45</stp>
        <stp>PX391=20090401</stp>
        <stp>PX392=20090630</stp>
        <stp>DS004=USD</stp>
        <stp>Fill=B</stp>
        <tr r="AS179" s="3"/>
      </tp>
      <tp t="s">
        <v>#N/A Connection</v>
        <stp/>
        <stp>##V3_BDPV12</stp>
        <stp>WCARNLI Index</stp>
        <stp>PX385</stp>
        <stp>[BI_AUTMG_1_l22cd4li.xlsx]ReferenceData!R188C33</stp>
        <stp>PX391=20120401</stp>
        <stp>PX392=20120630</stp>
        <stp>DS004=USD</stp>
        <stp>Fill=B</stp>
        <tr r="AG188" s="3"/>
      </tp>
      <tp t="s">
        <v>#N/A Connection</v>
        <stp/>
        <stp>##V3_BDPV12</stp>
        <stp>IDVHCLOC Index</stp>
        <stp>PX385</stp>
        <stp>[BI_AUTMG_1_l22cd4li.xlsx]ReferenceData!R166C42</stp>
        <stp>PX391=20100101</stp>
        <stp>PX392=20100331</stp>
        <stp>DS004=USD</stp>
        <stp>Fill=B</stp>
        <tr r="AP166" s="3"/>
      </tp>
      <tp t="s">
        <v>#N/A Connection</v>
        <stp/>
        <stp>##V3_BDPV12</stp>
        <stp>PAVSCAR Index</stp>
        <stp>PX385</stp>
        <stp>[BI_AUTMG_1_l22cd4li.xlsx]ReferenceData!R169C13</stp>
        <stp>PX391=20170401</stp>
        <stp>PX392=20170630</stp>
        <stp>DS004=USD</stp>
        <stp>Fill=B</stp>
        <tr r="M169" s="3"/>
      </tp>
      <tp t="s">
        <v>#N/A Connection</v>
        <stp/>
        <stp>##V3_BDPV12</stp>
        <stp>WCARDKI Index</stp>
        <stp>PX385</stp>
        <stp>[BI_AUTMG_1_l22cd4li.xlsx]ReferenceData!R179C57</stp>
        <stp>PX391=20060401</stp>
        <stp>PX392=20060630</stp>
        <stp>DS004=USD</stp>
        <stp>Fill=B</stp>
        <tr r="BE179" s="3"/>
      </tp>
      <tp t="s">
        <v>#N/A Connection</v>
        <stp/>
        <stp>##V3_BDPV12</stp>
        <stp>WCARCYI Index</stp>
        <stp>PX385</stp>
        <stp>[BI_AUTMG_1_l22cd4li.xlsx]ReferenceData!R178C41</stp>
        <stp>PX391=20100401</stp>
        <stp>PX392=20100630</stp>
        <stp>DS004=USD</stp>
        <stp>Fill=B</stp>
        <tr r="AO178" s="3"/>
      </tp>
      <tp t="s">
        <v>#N/A Connection</v>
        <stp/>
        <stp>##V3_BDPV12</stp>
        <stp>NAAMCARS Index</stp>
        <stp>PX385</stp>
        <stp>[BI_AUTMG_1_l22cd4li.xlsx]ReferenceData!R217C16</stp>
        <stp>PX391=20160701</stp>
        <stp>PX392=20160930</stp>
        <stp>DS004=USD</stp>
        <stp>Fill=B</stp>
        <tr r="P217" s="3"/>
      </tp>
      <tp t="s">
        <v>#N/A Connection</v>
        <stp/>
        <stp>##V3_BDPV12</stp>
        <stp>INVSDMPV Index</stp>
        <stp>PX385</stp>
        <stp>[BI_AUTMG_1_l22cd4li.xlsx]ReferenceData!R165C65</stp>
        <stp>PX391=20040401</stp>
        <stp>PX392=20040630</stp>
        <stp>DS004=USD</stp>
        <stp>Fill=B</stp>
        <tr r="BM165" s="3"/>
      </tp>
      <tp t="s">
        <v>#N/A Connection</v>
        <stp/>
        <stp>##V3_BDPV12</stp>
        <stp>INVSDMUT Index</stp>
        <stp>PX385</stp>
        <stp>[BI_AUTMG_1_l22cd4li.xlsx]ReferenceData!R164C21</stp>
        <stp>PX391=20150401</stp>
        <stp>PX392=20150630</stp>
        <stp>DS004=USD</stp>
        <stp>Fill=B</stp>
        <tr r="U164" s="3"/>
      </tp>
      <tp t="s">
        <v>#N/A Connection</v>
        <stp/>
        <stp>##V3_BDPV12</stp>
        <stp>PAVSCAR Index</stp>
        <stp>PX385</stp>
        <stp>[BI_AUTMG_1_l22cd4li.xlsx]ReferenceData!R169C17</stp>
        <stp>PX391=20160401</stp>
        <stp>PX392=20160630</stp>
        <stp>DS004=USD</stp>
        <stp>Fill=B</stp>
        <tr r="Q169" s="3"/>
      </tp>
      <tp t="s">
        <v>#N/A Connection</v>
        <stp/>
        <stp>##V3_BDPV12</stp>
        <stp>WCARDKI Index</stp>
        <stp>PX385</stp>
        <stp>[BI_AUTMG_1_l22cd4li.xlsx]ReferenceData!R179C53</stp>
        <stp>PX391=20070401</stp>
        <stp>PX392=20070630</stp>
        <stp>DS004=USD</stp>
        <stp>Fill=B</stp>
        <tr r="BA179" s="3"/>
      </tp>
      <tp t="s">
        <v>#N/A Connection</v>
        <stp/>
        <stp>##V3_BDPV12</stp>
        <stp>WCARCYI Index</stp>
        <stp>PX385</stp>
        <stp>[BI_AUTMG_1_l22cd4li.xlsx]ReferenceData!R178C37</stp>
        <stp>PX391=20110401</stp>
        <stp>PX392=20110630</stp>
        <stp>DS004=USD</stp>
        <stp>Fill=B</stp>
        <tr r="AK178" s="3"/>
      </tp>
      <tp t="s">
        <v>#N/A Connection</v>
        <stp/>
        <stp>##V3_BDPV12</stp>
        <stp>NAAMCARS Index</stp>
        <stp>PX385</stp>
        <stp>[BI_AUTMG_1_l22cd4li.xlsx]ReferenceData!R217C12</stp>
        <stp>PX391=20170701</stp>
        <stp>PX392=20170930</stp>
        <stp>DS004=USD</stp>
        <stp>Fill=B</stp>
        <tr r="L217" s="3"/>
      </tp>
      <tp t="s">
        <v>#N/A Connection</v>
        <stp/>
        <stp>##V3_BDPV12</stp>
        <stp>INVSDMUT Index</stp>
        <stp>PX385</stp>
        <stp>[BI_AUTMG_1_l22cd4li.xlsx]ReferenceData!R164C25</stp>
        <stp>PX391=20140401</stp>
        <stp>PX392=20140630</stp>
        <stp>DS004=USD</stp>
        <stp>Fill=B</stp>
        <tr r="Y164" s="3"/>
      </tp>
      <tp t="s">
        <v>#N/A Connection</v>
        <stp/>
        <stp>##V3_BDPV12</stp>
        <stp>INVSDMPV Index</stp>
        <stp>PX385</stp>
        <stp>[BI_AUTMG_1_l22cd4li.xlsx]ReferenceData!R165C61</stp>
        <stp>PX391=20050401</stp>
        <stp>PX392=20050630</stp>
        <stp>DS004=USD</stp>
        <stp>Fill=B</stp>
        <tr r="BI165" s="3"/>
      </tp>
      <tp t="s">
        <v>#N/A Connection</v>
        <stp/>
        <stp>##V3_BDPV12</stp>
        <stp>PAVSCAR Index</stp>
        <stp>PX385</stp>
        <stp>[BI_AUTMG_1_l22cd4li.xlsx]ReferenceData!R169C21</stp>
        <stp>PX391=20150401</stp>
        <stp>PX392=20150630</stp>
        <stp>DS004=USD</stp>
        <stp>Fill=B</stp>
        <tr r="U169" s="3"/>
      </tp>
      <tp t="s">
        <v>#N/A Connection</v>
        <stp/>
        <stp>##V3_BDPV12</stp>
        <stp>WCARDKI Index</stp>
        <stp>PX385</stp>
        <stp>[BI_AUTMG_1_l22cd4li.xlsx]ReferenceData!R179C65</stp>
        <stp>PX391=20040401</stp>
        <stp>PX392=20040630</stp>
        <stp>DS004=USD</stp>
        <stp>Fill=B</stp>
        <tr r="BM179" s="3"/>
      </tp>
      <tp t="s">
        <v>#N/A Connection</v>
        <stp/>
        <stp>##V3_BDPV12</stp>
        <stp>WCARCYI Index</stp>
        <stp>PX385</stp>
        <stp>[BI_AUTMG_1_l22cd4li.xlsx]ReferenceData!R178C33</stp>
        <stp>PX391=20120401</stp>
        <stp>PX392=20120630</stp>
        <stp>DS004=USD</stp>
        <stp>Fill=B</stp>
        <tr r="AG178" s="3"/>
      </tp>
      <tp t="s">
        <v>#N/A Connection</v>
        <stp/>
        <stp>##V3_BDPV12</stp>
        <stp>NAAMCARS Index</stp>
        <stp>PX385</stp>
        <stp>[BI_AUTMG_1_l22cd4li.xlsx]ReferenceData!R217C24</stp>
        <stp>PX391=20140701</stp>
        <stp>PX392=20140930</stp>
        <stp>DS004=USD</stp>
        <stp>Fill=B</stp>
        <tr r="X217" s="3"/>
      </tp>
      <tp t="s">
        <v>#N/A Connection</v>
        <stp/>
        <stp>##V3_BDPV12</stp>
        <stp>INVSDMPV Index</stp>
        <stp>PX385</stp>
        <stp>[BI_AUTMG_1_l22cd4li.xlsx]ReferenceData!R165C57</stp>
        <stp>PX391=20060401</stp>
        <stp>PX392=20060630</stp>
        <stp>DS004=USD</stp>
        <stp>Fill=B</stp>
        <tr r="BE165" s="3"/>
      </tp>
      <tp t="s">
        <v>#N/A Connection</v>
        <stp/>
        <stp>##V3_BDPV12</stp>
        <stp>INVSDMUT Index</stp>
        <stp>PX385</stp>
        <stp>[BI_AUTMG_1_l22cd4li.xlsx]ReferenceData!R164C13</stp>
        <stp>PX391=20170401</stp>
        <stp>PX392=20170630</stp>
        <stp>DS004=USD</stp>
        <stp>Fill=B</stp>
        <tr r="M164" s="3"/>
      </tp>
      <tp t="s">
        <v>#N/A Connection</v>
        <stp/>
        <stp>##V3_BDPV12</stp>
        <stp>PAVSCAR Index</stp>
        <stp>PX385</stp>
        <stp>[BI_AUTMG_1_l22cd4li.xlsx]ReferenceData!R169C25</stp>
        <stp>PX391=20140401</stp>
        <stp>PX392=20140630</stp>
        <stp>DS004=USD</stp>
        <stp>Fill=B</stp>
        <tr r="Y169" s="3"/>
      </tp>
      <tp t="s">
        <v>#N/A Connection</v>
        <stp/>
        <stp>##V3_BDPV12</stp>
        <stp>WCARDKI Index</stp>
        <stp>PX385</stp>
        <stp>[BI_AUTMG_1_l22cd4li.xlsx]ReferenceData!R179C61</stp>
        <stp>PX391=20050401</stp>
        <stp>PX392=20050630</stp>
        <stp>DS004=USD</stp>
        <stp>Fill=B</stp>
        <tr r="BI179" s="3"/>
      </tp>
      <tp t="s">
        <v>#N/A Connection</v>
        <stp/>
        <stp>##V3_BDPV12</stp>
        <stp>WCARCYI Index</stp>
        <stp>PX385</stp>
        <stp>[BI_AUTMG_1_l22cd4li.xlsx]ReferenceData!R178C29</stp>
        <stp>PX391=20130401</stp>
        <stp>PX392=20130630</stp>
        <stp>DS004=USD</stp>
        <stp>Fill=B</stp>
        <tr r="AC178" s="3"/>
      </tp>
      <tp t="s">
        <v>#N/A Connection</v>
        <stp/>
        <stp>##V3_BDPV12</stp>
        <stp>NAAMCARS Index</stp>
        <stp>PX385</stp>
        <stp>[BI_AUTMG_1_l22cd4li.xlsx]ReferenceData!R217C20</stp>
        <stp>PX391=20150701</stp>
        <stp>PX392=20150930</stp>
        <stp>DS004=USD</stp>
        <stp>Fill=B</stp>
        <tr r="T217" s="3"/>
      </tp>
      <tp t="s">
        <v>#N/A Connection</v>
        <stp/>
        <stp>##V3_BDPV12</stp>
        <stp>INVSDMUT Index</stp>
        <stp>PX385</stp>
        <stp>[BI_AUTMG_1_l22cd4li.xlsx]ReferenceData!R164C17</stp>
        <stp>PX391=20160401</stp>
        <stp>PX392=20160630</stp>
        <stp>DS004=USD</stp>
        <stp>Fill=B</stp>
        <tr r="Q164" s="3"/>
      </tp>
      <tp t="s">
        <v>#N/A Connection</v>
        <stp/>
        <stp>##V3_BDPV12</stp>
        <stp>INVSDMPV Index</stp>
        <stp>PX385</stp>
        <stp>[BI_AUTMG_1_l22cd4li.xlsx]ReferenceData!R165C53</stp>
        <stp>PX391=20070401</stp>
        <stp>PX392=20070630</stp>
        <stp>DS004=USD</stp>
        <stp>Fill=B</stp>
        <tr r="BA165" s="3"/>
      </tp>
      <tp t="s">
        <v>#N/A Connection</v>
        <stp/>
        <stp>##V3_BDPV12</stp>
        <stp>PAVSCAR Index</stp>
        <stp>PX385</stp>
        <stp>[BI_AUTMG_1_l22cd4li.xlsx]ReferenceData!R169C29</stp>
        <stp>PX391=20130401</stp>
        <stp>PX392=20130630</stp>
        <stp>DS004=USD</stp>
        <stp>Fill=B</stp>
        <tr r="AC169" s="3"/>
      </tp>
      <tp t="s">
        <v>#N/A Connection</v>
        <stp/>
        <stp>##V3_BDPV12</stp>
        <stp>WCARNOI Index</stp>
        <stp>PX385</stp>
        <stp>[BI_AUTMG_1_l22cd4li.xlsx]ReferenceData!R189C49</stp>
        <stp>PX391=20080401</stp>
        <stp>PX392=20080630</stp>
        <stp>DS004=USD</stp>
        <stp>Fill=B</stp>
        <tr r="AW189" s="3"/>
      </tp>
      <tp t="s">
        <v>#N/A Connection</v>
        <stp/>
        <stp>##V3_BDPV12</stp>
        <stp>MAVSTTL Index</stp>
        <stp>PX385</stp>
        <stp>[BI_AUTMG_1_l22cd4li.xlsx]ReferenceData!R168C49</stp>
        <stp>PX391=20080401</stp>
        <stp>PX392=20080630</stp>
        <stp>DS004=USD</stp>
        <stp>Fill=B</stp>
        <tr r="AW168" s="3"/>
      </tp>
      <tp t="s">
        <v>#N/A Connection</v>
        <stp/>
        <stp>##V3_BDPV12</stp>
        <stp>WCARCYI Index</stp>
        <stp>PX385</stp>
        <stp>[BI_AUTMG_1_l22cd4li.xlsx]ReferenceData!R178C25</stp>
        <stp>PX391=20140401</stp>
        <stp>PX392=20140630</stp>
        <stp>DS004=USD</stp>
        <stp>Fill=B</stp>
        <tr r="Y178" s="3"/>
      </tp>
      <tp t="s">
        <v>#N/A Connection</v>
        <stp/>
        <stp>##V3_BDPV12</stp>
        <stp>NAAMCARS Index</stp>
        <stp>PX385</stp>
        <stp>[BI_AUTMG_1_l22cd4li.xlsx]ReferenceData!R217C32</stp>
        <stp>PX391=20120701</stp>
        <stp>PX392=20120930</stp>
        <stp>DS004=USD</stp>
        <stp>Fill=B</stp>
        <tr r="AF217" s="3"/>
      </tp>
      <tp t="s">
        <v>#N/A Connection</v>
        <stp/>
        <stp>##V3_BDPV12</stp>
        <stp>INVSDMUT Index</stp>
        <stp>PX385</stp>
        <stp>[BI_AUTMG_1_l22cd4li.xlsx]ReferenceData!R164C37</stp>
        <stp>PX391=20110401</stp>
        <stp>PX392=20110630</stp>
        <stp>DS004=USD</stp>
        <stp>Fill=B</stp>
        <tr r="AK164" s="3"/>
      </tp>
      <tp t="s">
        <v>#N/A Connection</v>
        <stp/>
        <stp>##V3_BDPV12</stp>
        <stp>AUTMKRVS Index</stp>
        <stp>PX385</stp>
        <stp>[BI_AUTMG_1_l22cd4li.xlsx]ReferenceData!R171C64</stp>
        <stp>PX391=20040701</stp>
        <stp>PX392=20040930</stp>
        <stp>DS004=USD</stp>
        <stp>Fill=B</stp>
        <tr r="BL171" s="3"/>
      </tp>
      <tp t="s">
        <v>#N/A Connection</v>
        <stp/>
        <stp>##V3_BDPV12</stp>
        <stp>PAVSCAR Index</stp>
        <stp>PX385</stp>
        <stp>[BI_AUTMG_1_l22cd4li.xlsx]ReferenceData!R169C33</stp>
        <stp>PX391=20120401</stp>
        <stp>PX392=20120630</stp>
        <stp>DS004=USD</stp>
        <stp>Fill=B</stp>
        <tr r="AG169" s="3"/>
      </tp>
      <tp t="s">
        <v>#N/A Connection</v>
        <stp/>
        <stp>##V3_BDPV12</stp>
        <stp>WCARNOI Index</stp>
        <stp>PX385</stp>
        <stp>[BI_AUTMG_1_l22cd4li.xlsx]ReferenceData!R189C45</stp>
        <stp>PX391=20090401</stp>
        <stp>PX392=20090630</stp>
        <stp>DS004=USD</stp>
        <stp>Fill=B</stp>
        <tr r="AS189" s="3"/>
      </tp>
      <tp t="s">
        <v>#N/A Connection</v>
        <stp/>
        <stp>##V3_BDPV12</stp>
        <stp>MAVSTTL Index</stp>
        <stp>PX385</stp>
        <stp>[BI_AUTMG_1_l22cd4li.xlsx]ReferenceData!R168C45</stp>
        <stp>PX391=20090401</stp>
        <stp>PX392=20090630</stp>
        <stp>DS004=USD</stp>
        <stp>Fill=B</stp>
        <tr r="AS168" s="3"/>
      </tp>
      <tp t="s">
        <v>#N/A Connection</v>
        <stp/>
        <stp>##V3_BDPV12</stp>
        <stp>WCARCYI Index</stp>
        <stp>PX385</stp>
        <stp>[BI_AUTMG_1_l22cd4li.xlsx]ReferenceData!R178C21</stp>
        <stp>PX391=20150401</stp>
        <stp>PX392=20150630</stp>
        <stp>DS004=USD</stp>
        <stp>Fill=B</stp>
        <tr r="U178" s="3"/>
      </tp>
      <tp t="s">
        <v>#N/A Connection</v>
        <stp/>
        <stp>##V3_BDPV12</stp>
        <stp>NAAMCARS Index</stp>
        <stp>PX385</stp>
        <stp>[BI_AUTMG_1_l22cd4li.xlsx]ReferenceData!R217C28</stp>
        <stp>PX391=20130701</stp>
        <stp>PX392=20130930</stp>
        <stp>DS004=USD</stp>
        <stp>Fill=B</stp>
        <tr r="AB217" s="3"/>
      </tp>
      <tp t="s">
        <v>#N/A Connection</v>
        <stp/>
        <stp>##V3_BDPV12</stp>
        <stp>INVSDMUT Index</stp>
        <stp>PX385</stp>
        <stp>[BI_AUTMG_1_l22cd4li.xlsx]ReferenceData!R164C41</stp>
        <stp>PX391=20100401</stp>
        <stp>PX392=20100630</stp>
        <stp>DS004=USD</stp>
        <stp>Fill=B</stp>
        <tr r="AO164" s="3"/>
      </tp>
      <tp t="s">
        <v>#N/A Connection</v>
        <stp/>
        <stp>##V3_BDPV12</stp>
        <stp>AUTMKRVS Index</stp>
        <stp>PX385</stp>
        <stp>[BI_AUTMG_1_l22cd4li.xlsx]ReferenceData!R171C60</stp>
        <stp>PX391=20050701</stp>
        <stp>PX392=20050930</stp>
        <stp>DS004=USD</stp>
        <stp>Fill=B</stp>
        <tr r="BH171" s="3"/>
      </tp>
      <tp t="s">
        <v>#N/A Connection</v>
        <stp/>
        <stp>##V3_BDPV12</stp>
        <stp>PAVSCAR Index</stp>
        <stp>PX385</stp>
        <stp>[BI_AUTMG_1_l22cd4li.xlsx]ReferenceData!R169C37</stp>
        <stp>PX391=20110401</stp>
        <stp>PX392=20110630</stp>
        <stp>DS004=USD</stp>
        <stp>Fill=B</stp>
        <tr r="AK169" s="3"/>
      </tp>
      <tp t="s">
        <v>#N/A Connection</v>
        <stp/>
        <stp>##V3_BDPV12</stp>
        <stp>WCARCYI Index</stp>
        <stp>PX385</stp>
        <stp>[BI_AUTMG_1_l22cd4li.xlsx]ReferenceData!R178C17</stp>
        <stp>PX391=20160401</stp>
        <stp>PX392=20160630</stp>
        <stp>DS004=USD</stp>
        <stp>Fill=B</stp>
        <tr r="Q178" s="3"/>
      </tp>
      <tp t="s">
        <v>#N/A Connection</v>
        <stp/>
        <stp>##V3_BDPV12</stp>
        <stp>NAAMCARS Index</stp>
        <stp>PX385</stp>
        <stp>[BI_AUTMG_1_l22cd4li.xlsx]ReferenceData!R217C40</stp>
        <stp>PX391=20100701</stp>
        <stp>PX392=20100930</stp>
        <stp>DS004=USD</stp>
        <stp>Fill=B</stp>
        <tr r="AN217" s="3"/>
      </tp>
      <tp t="s">
        <v>#N/A Connection</v>
        <stp/>
        <stp>##V3_BDPV12</stp>
        <stp>IDVHCLOC Index</stp>
        <stp>PX385</stp>
        <stp>[BI_AUTMG_1_l22cd4li.xlsx]ReferenceData!R166C47</stp>
        <stp>PX391=20081001</stp>
        <stp>PX392=20081231</stp>
        <stp>DS004=USD</stp>
        <stp>Fill=B</stp>
        <tr r="AU166" s="3"/>
      </tp>
      <tp t="s">
        <v>#N/A Connection</v>
        <stp/>
        <stp>##V3_BDPV12</stp>
        <stp>INVSDMUT Index</stp>
        <stp>PX385</stp>
        <stp>[BI_AUTMG_1_l22cd4li.xlsx]ReferenceData!R164C29</stp>
        <stp>PX391=20130401</stp>
        <stp>PX392=20130630</stp>
        <stp>DS004=USD</stp>
        <stp>Fill=B</stp>
        <tr r="AC164" s="3"/>
      </tp>
      <tp t="s">
        <v>#N/A Connection</v>
        <stp/>
        <stp>##V3_BDPV12</stp>
        <stp>AUTMKRVS Index</stp>
        <stp>PX385</stp>
        <stp>[BI_AUTMG_1_l22cd4li.xlsx]ReferenceData!R171C56</stp>
        <stp>PX391=20060701</stp>
        <stp>PX392=20060930</stp>
        <stp>DS004=USD</stp>
        <stp>Fill=B</stp>
        <tr r="BD171" s="3"/>
      </tp>
      <tp t="s">
        <v>#N/A Connection</v>
        <stp/>
        <stp>##V3_BDPV12</stp>
        <stp>PAVSCAR Index</stp>
        <stp>PX385</stp>
        <stp>[BI_AUTMG_1_l22cd4li.xlsx]ReferenceData!R169C41</stp>
        <stp>PX391=20100401</stp>
        <stp>PX392=20100630</stp>
        <stp>DS004=USD</stp>
        <stp>Fill=B</stp>
        <tr r="AO169" s="3"/>
      </tp>
      <tp t="s">
        <v>#N/A Connection</v>
        <stp/>
        <stp>##V3_BDPV12</stp>
        <stp>WCARCYI Index</stp>
        <stp>PX385</stp>
        <stp>[BI_AUTMG_1_l22cd4li.xlsx]ReferenceData!R178C13</stp>
        <stp>PX391=20170401</stp>
        <stp>PX392=20170630</stp>
        <stp>DS004=USD</stp>
        <stp>Fill=B</stp>
        <tr r="M178" s="3"/>
      </tp>
      <tp t="s">
        <v>#N/A Connection</v>
        <stp/>
        <stp>##V3_BDPV12</stp>
        <stp>IDVHCLOC Index</stp>
        <stp>PX385</stp>
        <stp>[BI_AUTMG_1_l22cd4li.xlsx]ReferenceData!R166C43</stp>
        <stp>PX391=20091001</stp>
        <stp>PX392=20091231</stp>
        <stp>DS004=USD</stp>
        <stp>Fill=B</stp>
        <tr r="AQ166" s="3"/>
      </tp>
      <tp t="s">
        <v>#N/A Connection</v>
        <stp/>
        <stp>##V3_BDPV12</stp>
        <stp>NAAMCARS Index</stp>
        <stp>PX385</stp>
        <stp>[BI_AUTMG_1_l22cd4li.xlsx]ReferenceData!R217C36</stp>
        <stp>PX391=20110701</stp>
        <stp>PX392=20110930</stp>
        <stp>DS004=USD</stp>
        <stp>Fill=B</stp>
        <tr r="AJ217" s="3"/>
      </tp>
      <tp t="s">
        <v>#N/A Connection</v>
        <stp/>
        <stp>##V3_BDPV12</stp>
        <stp>IDVHCLOC Index</stp>
        <stp>PX385</stp>
        <stp>[BI_AUTMG_1_l22cd4li.xlsx]ReferenceData!R166C10</stp>
        <stp>PX391=20180101</stp>
        <stp>PX392=20180331</stp>
        <stp>DS004=USD</stp>
        <stp>Fill=B</stp>
        <tr r="J166" s="3"/>
      </tp>
      <tp t="s">
        <v>#N/A Connection</v>
        <stp/>
        <stp>##V3_BDPV12</stp>
        <stp>INVSDMUT Index</stp>
        <stp>PX385</stp>
        <stp>[BI_AUTMG_1_l22cd4li.xlsx]ReferenceData!R164C33</stp>
        <stp>PX391=20120401</stp>
        <stp>PX392=20120630</stp>
        <stp>DS004=USD</stp>
        <stp>Fill=B</stp>
        <tr r="AG164" s="3"/>
      </tp>
      <tp t="s">
        <v>#N/A Connection</v>
        <stp/>
        <stp>##V3_BDPV12</stp>
        <stp>AUTMKRVS Index</stp>
        <stp>PX385</stp>
        <stp>[BI_AUTMG_1_l22cd4li.xlsx]ReferenceData!R171C52</stp>
        <stp>PX391=20070701</stp>
        <stp>PX392=20070930</stp>
        <stp>DS004=USD</stp>
        <stp>Fill=B</stp>
        <tr r="AZ171" s="3"/>
      </tp>
      <tp t="s">
        <v>#N/A Connection</v>
        <stp/>
        <stp>##V3_BDPV12</stp>
        <stp>INVSDPAS Index</stp>
        <stp>PX385</stp>
        <stp>[BI_AUTMG_1_l22cd4li.xlsx]ReferenceData!R163C9</stp>
        <stp>PX391=20180401</stp>
        <stp>PX392=20180630</stp>
        <stp>DS004=USD</stp>
        <stp>Fill=B</stp>
        <tr r="I163" s="3"/>
      </tp>
      <tp t="s">
        <v>#N/A Connection</v>
        <stp/>
        <stp>##V3_BDPV12</stp>
        <stp>BJTRNPGV Index</stp>
        <stp>PX385</stp>
        <stp>[BI_AUTMG_1_l22cd4li.xlsx]ReferenceData!R215C8</stp>
        <stp>PX391=20180701</stp>
        <stp>PX392=20180930</stp>
        <stp>DS004=USD</stp>
        <stp>Fill=B</stp>
        <tr r="H215" s="3"/>
      </tp>
      <tp t="s">
        <v>#N/A Connection</v>
        <stp/>
        <stp>##V3_BDPV12</stp>
        <stp>MAVSTTL Index</stp>
        <stp>PX385</stp>
        <stp>[BI_AUTMG_1_l22cd4li.xlsx]ReferenceData!R168C7</stp>
        <stp>PX391=20181001</stp>
        <stp>PX392=20181231</stp>
        <stp>DS004=USD</stp>
        <stp>Fill=B</stp>
        <tr r="G168" s="3"/>
      </tp>
      <tp t="s">
        <v>#N/A Connection</v>
        <stp/>
        <stp>##V3_BDPV12</stp>
        <stp>INVSDMPV Index</stp>
        <stp>PX385</stp>
        <stp>[BI_AUTMG_1_l22cd4li.xlsx]ReferenceData!R165C6</stp>
        <stp>PX391=20190101</stp>
        <stp>PX392=20190331</stp>
        <stp>DS004=USD</stp>
        <stp>Fill=B</stp>
        <tr r="F165" s="3"/>
      </tp>
      <tp t="s">
        <v>#N/A Connection</v>
        <stp/>
        <stp>##V3_BDPV12</stp>
        <stp>CNVSTTL Index</stp>
        <stp>PX385</stp>
        <stp>[BI_AUTMG_1_l22cd4li.xlsx]ReferenceData!R162C7</stp>
        <stp>PX391=20181001</stp>
        <stp>PX392=20181231</stp>
        <stp>DS004=USD</stp>
        <stp>Fill=B</stp>
        <tr r="G162" s="3"/>
      </tp>
      <tp t="s">
        <v>#N/A Connection</v>
        <stp/>
        <stp>##V3_BDPV12</stp>
        <stp>TWVSDOM Index</stp>
        <stp>PX385</stp>
        <stp>[BI_AUTMG_1_l22cd4li.xlsx]ReferenceData!R173C7</stp>
        <stp>PX391=20181001</stp>
        <stp>PX392=20181231</stp>
        <stp>DS004=USD</stp>
        <stp>Fill=B</stp>
        <tr r="G173" s="3"/>
      </tp>
      <tp t="s">
        <v>#N/A Connection</v>
        <stp/>
        <stp>##V3_BDPV12</stp>
        <stp>INVSDPAS Index</stp>
        <stp>PX385</stp>
        <stp>[BI_AUTMG_1_l22cd4li.xlsx]ReferenceData!R163C41</stp>
        <stp>PX391=20100401</stp>
        <stp>PX392=20100630</stp>
        <stp>DS004=USD</stp>
        <stp>Fill=B</stp>
        <tr r="AO163" s="3"/>
      </tp>
      <tp t="s">
        <v>#N/A Connection</v>
        <stp/>
        <stp>##V3_BDPV12</stp>
        <stp>INVSDPAS Index</stp>
        <stp>PX385</stp>
        <stp>[BI_AUTMG_1_l22cd4li.xlsx]ReferenceData!R163C37</stp>
        <stp>PX391=20110401</stp>
        <stp>PX392=20110630</stp>
        <stp>DS004=USD</stp>
        <stp>Fill=B</stp>
        <tr r="AK163" s="3"/>
      </tp>
      <tp t="s">
        <v>#N/A Connection</v>
        <stp/>
        <stp>##V3_BDPV12</stp>
        <stp>INVSDPAS Index</stp>
        <stp>PX385</stp>
        <stp>[BI_AUTMG_1_l22cd4li.xlsx]ReferenceData!R163C33</stp>
        <stp>PX391=20120401</stp>
        <stp>PX392=20120630</stp>
        <stp>DS004=USD</stp>
        <stp>Fill=B</stp>
        <tr r="AG163" s="3"/>
      </tp>
      <tp t="s">
        <v>#N/A Connection</v>
        <stp/>
        <stp>##V3_BDPV12</stp>
        <stp>INVSDPAS Index</stp>
        <stp>PX385</stp>
        <stp>[BI_AUTMG_1_l22cd4li.xlsx]ReferenceData!R163C29</stp>
        <stp>PX391=20130401</stp>
        <stp>PX392=20130630</stp>
        <stp>DS004=USD</stp>
        <stp>Fill=B</stp>
        <tr r="AC163" s="3"/>
      </tp>
      <tp t="s">
        <v>#N/A Connection</v>
        <stp/>
        <stp>##V3_BDPV12</stp>
        <stp>WCARIC Index</stp>
        <stp>PX385</stp>
        <stp>[BI_AUTMG_1_l22cd4li.xlsx]ReferenceData!R184C47</stp>
        <stp>PX391=20081001</stp>
        <stp>PX392=20081231</stp>
        <stp>DS004=USD</stp>
        <stp>Fill=B</stp>
        <tr r="AU184" s="3"/>
      </tp>
      <tp t="s">
        <v>#N/A Connection</v>
        <stp/>
        <stp>##V3_BDPV12</stp>
        <stp>WCARLV Index</stp>
        <stp>PX385</stp>
        <stp>[BI_AUTMG_1_l22cd4li.xlsx]ReferenceData!R200C45</stp>
        <stp>PX391=20090401</stp>
        <stp>PX392=20090630</stp>
        <stp>DS004=USD</stp>
        <stp>Fill=B</stp>
        <tr r="AS200" s="3"/>
      </tp>
      <tp t="s">
        <v>#N/A Connection</v>
        <stp/>
        <stp>##V3_BDPV12</stp>
        <stp>WCARRO Index</stp>
        <stp>PX385</stp>
        <stp>[BI_AUTMG_1_l22cd4li.xlsx]ReferenceData!R203C44</stp>
        <stp>PX391=20090701</stp>
        <stp>PX392=20090930</stp>
        <stp>DS004=USD</stp>
        <stp>Fill=B</stp>
        <tr r="AR203" s="3"/>
      </tp>
      <tp t="s">
        <v>#N/A Connection</v>
        <stp/>
        <stp>##V3_BDPV12</stp>
        <stp>WCARSK Index</stp>
        <stp>PX385</stp>
        <stp>[BI_AUTMG_1_l22cd4li.xlsx]ReferenceData!R205C50</stp>
        <stp>PX391=20080101</stp>
        <stp>PX392=20080331</stp>
        <stp>DS004=USD</stp>
        <stp>Fill=B</stp>
        <tr r="AX205" s="3"/>
      </tp>
      <tp t="s">
        <v>#N/A Connection</v>
        <stp/>
        <stp>##V3_BDPV12</stp>
        <stp>INVSDPAS Index</stp>
        <stp>PX385</stp>
        <stp>[BI_AUTMG_1_l22cd4li.xlsx]ReferenceData!R163C25</stp>
        <stp>PX391=20140401</stp>
        <stp>PX392=20140630</stp>
        <stp>DS004=USD</stp>
        <stp>Fill=B</stp>
        <tr r="Y163" s="3"/>
      </tp>
      <tp t="s">
        <v>#N/A Connection</v>
        <stp/>
        <stp>##V3_BDPV12</stp>
        <stp>WCARIC Index</stp>
        <stp>PX385</stp>
        <stp>[BI_AUTMG_1_l22cd4li.xlsx]ReferenceData!R184C43</stp>
        <stp>PX391=20091001</stp>
        <stp>PX392=20091231</stp>
        <stp>DS004=USD</stp>
        <stp>Fill=B</stp>
        <tr r="AQ184" s="3"/>
      </tp>
      <tp t="s">
        <v>#N/A Connection</v>
        <stp/>
        <stp>##V3_BDPV12</stp>
        <stp>WCARLV Index</stp>
        <stp>PX385</stp>
        <stp>[BI_AUTMG_1_l22cd4li.xlsx]ReferenceData!R200C49</stp>
        <stp>PX391=20080401</stp>
        <stp>PX392=20080630</stp>
        <stp>DS004=USD</stp>
        <stp>Fill=B</stp>
        <tr r="AW200" s="3"/>
      </tp>
      <tp t="s">
        <v>#N/A Connection</v>
        <stp/>
        <stp>##V3_BDPV12</stp>
        <stp>WCARIC Index</stp>
        <stp>PX385</stp>
        <stp>[BI_AUTMG_1_l22cd4li.xlsx]ReferenceData!R184C10</stp>
        <stp>PX391=20180101</stp>
        <stp>PX392=20180331</stp>
        <stp>DS004=USD</stp>
        <stp>Fill=B</stp>
        <tr r="J184" s="3"/>
      </tp>
      <tp t="s">
        <v>#N/A Connection</v>
        <stp/>
        <stp>##V3_BDPV12</stp>
        <stp>WCARRO Index</stp>
        <stp>PX385</stp>
        <stp>[BI_AUTMG_1_l22cd4li.xlsx]ReferenceData!R203C48</stp>
        <stp>PX391=20080701</stp>
        <stp>PX392=20080930</stp>
        <stp>DS004=USD</stp>
        <stp>Fill=B</stp>
        <tr r="AV203" s="3"/>
      </tp>
      <tp t="s">
        <v>#N/A Connection</v>
        <stp/>
        <stp>##V3_BDPV12</stp>
        <stp>WCARSK Index</stp>
        <stp>PX385</stp>
        <stp>[BI_AUTMG_1_l22cd4li.xlsx]ReferenceData!R205C46</stp>
        <stp>PX391=20090101</stp>
        <stp>PX392=20090331</stp>
        <stp>DS004=USD</stp>
        <stp>Fill=B</stp>
        <tr r="AT205" s="3"/>
      </tp>
      <tp t="s">
        <v>#N/A Connection</v>
        <stp/>
        <stp>##V3_BDPV12</stp>
        <stp>INVSDPAS Index</stp>
        <stp>PX385</stp>
        <stp>[BI_AUTMG_1_l22cd4li.xlsx]ReferenceData!R163C21</stp>
        <stp>PX391=20150401</stp>
        <stp>PX392=20150630</stp>
        <stp>DS004=USD</stp>
        <stp>Fill=B</stp>
        <tr r="U163" s="3"/>
      </tp>
      <tp t="s">
        <v>#N/A Connection</v>
        <stp/>
        <stp>##V3_BDPV12</stp>
        <stp>INVSDPAS Index</stp>
        <stp>PX385</stp>
        <stp>[BI_AUTMG_1_l22cd4li.xlsx]ReferenceData!R163C17</stp>
        <stp>PX391=20160401</stp>
        <stp>PX392=20160630</stp>
        <stp>DS004=USD</stp>
        <stp>Fill=B</stp>
        <tr r="Q163" s="3"/>
      </tp>
      <tp t="s">
        <v>#N/A Connection</v>
        <stp/>
        <stp>##V3_BDPV12</stp>
        <stp>INVSDPAS Index</stp>
        <stp>PX385</stp>
        <stp>[BI_AUTMG_1_l22cd4li.xlsx]ReferenceData!R163C13</stp>
        <stp>PX391=20170401</stp>
        <stp>PX392=20170630</stp>
        <stp>DS004=USD</stp>
        <stp>Fill=B</stp>
        <tr r="M163" s="3"/>
      </tp>
      <tp t="s">
        <v>#N/A Connection</v>
        <stp/>
        <stp>##V3_BDPV12</stp>
        <stp>WCARIC Index</stp>
        <stp>PX385</stp>
        <stp>[BI_AUTMG_1_l22cd4li.xlsx]ReferenceData!R184C22</stp>
        <stp>PX391=20150101</stp>
        <stp>PX392=20150331</stp>
        <stp>DS004=USD</stp>
        <stp>Fill=B</stp>
        <tr r="V184" s="3"/>
      </tp>
      <tp t="s">
        <v>#N/A Connection</v>
        <stp/>
        <stp>##V3_BDPV12</stp>
        <stp>WCARLV Index</stp>
        <stp>PX385</stp>
        <stp>[BI_AUTMG_1_l22cd4li.xlsx]ReferenceData!R200C61</stp>
        <stp>PX391=20050401</stp>
        <stp>PX392=20050630</stp>
        <stp>DS004=USD</stp>
        <stp>Fill=B</stp>
        <tr r="BI200" s="3"/>
      </tp>
      <tp t="s">
        <v>#N/A Connection</v>
        <stp/>
        <stp>##V3_BDPV12</stp>
        <stp>WCARIC Index</stp>
        <stp>PX385</stp>
        <stp>[BI_AUTMG_1_l22cd4li.xlsx]ReferenceData!R184C63</stp>
        <stp>PX391=20041001</stp>
        <stp>PX392=20041231</stp>
        <stp>DS004=USD</stp>
        <stp>Fill=B</stp>
        <tr r="BK184" s="3"/>
      </tp>
      <tp t="s">
        <v>#N/A Connection</v>
        <stp/>
        <stp>##V3_BDPV12</stp>
        <stp>WCARLI Index</stp>
        <stp>PX385</stp>
        <stp>[BI_AUTMG_1_l22cd4li.xlsx]ReferenceData!R201C25</stp>
        <stp>PX391=20140401</stp>
        <stp>PX392=20140630</stp>
        <stp>DS004=USD</stp>
        <stp>Fill=B</stp>
        <tr r="Y201" s="3"/>
      </tp>
      <tp t="s">
        <v>#N/A Connection</v>
        <stp/>
        <stp>##V3_BDPV12</stp>
        <stp>WCARPO Index</stp>
        <stp>PX385</stp>
        <stp>[BI_AUTMG_1_l22cd4li.xlsx]ReferenceData!R202C24</stp>
        <stp>PX391=20140701</stp>
        <stp>PX392=20140930</stp>
        <stp>DS004=USD</stp>
        <stp>Fill=B</stp>
        <tr r="X202" s="3"/>
      </tp>
      <tp t="s">
        <v>#N/A Connection</v>
        <stp/>
        <stp>##V3_BDPV12</stp>
        <stp>WCARSK Index</stp>
        <stp>PX385</stp>
        <stp>[BI_AUTMG_1_l22cd4li.xlsx]ReferenceData!R205C19</stp>
        <stp>PX391=20151001</stp>
        <stp>PX392=20151231</stp>
        <stp>DS004=USD</stp>
        <stp>Fill=B</stp>
        <tr r="S205" s="3"/>
      </tp>
      <tp t="s">
        <v>#N/A Connection</v>
        <stp/>
        <stp>##V3_BDPV12</stp>
        <stp>WCARRO Index</stp>
        <stp>PX385</stp>
        <stp>[BI_AUTMG_1_l22cd4li.xlsx]ReferenceData!R203C60</stp>
        <stp>PX391=20050701</stp>
        <stp>PX392=20050930</stp>
        <stp>DS004=USD</stp>
        <stp>Fill=B</stp>
        <tr r="BH203" s="3"/>
      </tp>
      <tp t="s">
        <v>#N/A Connection</v>
        <stp/>
        <stp>##V3_BDPV12</stp>
        <stp>WCARIC Index</stp>
        <stp>PX385</stp>
        <stp>[BI_AUTMG_1_l22cd4li.xlsx]ReferenceData!R184C26</stp>
        <stp>PX391=20140101</stp>
        <stp>PX392=20140331</stp>
        <stp>DS004=USD</stp>
        <stp>Fill=B</stp>
        <tr r="Z184" s="3"/>
      </tp>
      <tp t="s">
        <v>#N/A Connection</v>
        <stp/>
        <stp>##V3_BDPV12</stp>
        <stp>WCARLV Index</stp>
        <stp>PX385</stp>
        <stp>[BI_AUTMG_1_l22cd4li.xlsx]ReferenceData!R200C65</stp>
        <stp>PX391=20040401</stp>
        <stp>PX392=20040630</stp>
        <stp>DS004=USD</stp>
        <stp>Fill=B</stp>
        <tr r="BM200" s="3"/>
      </tp>
      <tp t="s">
        <v>#N/A Connection</v>
        <stp/>
        <stp>##V3_BDPV12</stp>
        <stp>WCARLI Index</stp>
        <stp>PX385</stp>
        <stp>[BI_AUTMG_1_l22cd4li.xlsx]ReferenceData!R201C21</stp>
        <stp>PX391=20150401</stp>
        <stp>PX392=20150630</stp>
        <stp>DS004=USD</stp>
        <stp>Fill=B</stp>
        <tr r="U201" s="3"/>
      </tp>
      <tp t="s">
        <v>#N/A Connection</v>
        <stp/>
        <stp>##V3_BDPV12</stp>
        <stp>WCARIC Index</stp>
        <stp>PX385</stp>
        <stp>[BI_AUTMG_1_l22cd4li.xlsx]ReferenceData!R184C59</stp>
        <stp>PX391=20051001</stp>
        <stp>PX392=20051231</stp>
        <stp>DS004=USD</stp>
        <stp>Fill=B</stp>
        <tr r="BG184" s="3"/>
      </tp>
      <tp t="s">
        <v>#N/A Connection</v>
        <stp/>
        <stp>##V3_BDPV12</stp>
        <stp>WCARSK Index</stp>
        <stp>PX385</stp>
        <stp>[BI_AUTMG_1_l22cd4li.xlsx]ReferenceData!R205C23</stp>
        <stp>PX391=20141001</stp>
        <stp>PX392=20141231</stp>
        <stp>DS004=USD</stp>
        <stp>Fill=B</stp>
        <tr r="W205" s="3"/>
      </tp>
      <tp t="s">
        <v>#N/A Connection</v>
        <stp/>
        <stp>##V3_BDPV12</stp>
        <stp>WCARPO Index</stp>
        <stp>PX385</stp>
        <stp>[BI_AUTMG_1_l22cd4li.xlsx]ReferenceData!R202C20</stp>
        <stp>PX391=20150701</stp>
        <stp>PX392=20150930</stp>
        <stp>DS004=USD</stp>
        <stp>Fill=B</stp>
        <tr r="T202" s="3"/>
      </tp>
      <tp t="s">
        <v>#N/A Connection</v>
        <stp/>
        <stp>##V3_BDPV12</stp>
        <stp>WCARSK Index</stp>
        <stp>PX385</stp>
        <stp>[BI_AUTMG_1_l22cd4li.xlsx]ReferenceData!R205C62</stp>
        <stp>PX391=20050101</stp>
        <stp>PX392=20050331</stp>
        <stp>DS004=USD</stp>
        <stp>Fill=B</stp>
        <tr r="BJ205" s="3"/>
      </tp>
      <tp t="s">
        <v>#N/A Connection</v>
        <stp/>
        <stp>##V3_BDPV12</stp>
        <stp>WCARRO Index</stp>
        <stp>PX385</stp>
        <stp>[BI_AUTMG_1_l22cd4li.xlsx]ReferenceData!R203C64</stp>
        <stp>PX391=20040701</stp>
        <stp>PX392=20040930</stp>
        <stp>DS004=USD</stp>
        <stp>Fill=B</stp>
        <tr r="BL203" s="3"/>
      </tp>
      <tp t="s">
        <v>#N/A Connection</v>
        <stp/>
        <stp>##V3_BDPV12</stp>
        <stp>WCARIC Index</stp>
        <stp>PX385</stp>
        <stp>[BI_AUTMG_1_l22cd4li.xlsx]ReferenceData!R184C14</stp>
        <stp>PX391=20170101</stp>
        <stp>PX392=20170331</stp>
        <stp>DS004=USD</stp>
        <stp>Fill=B</stp>
        <tr r="N184" s="3"/>
      </tp>
      <tp t="s">
        <v>#N/A Connection</v>
        <stp/>
        <stp>##V3_BDPV12</stp>
        <stp>WCARLV Index</stp>
        <stp>PX385</stp>
        <stp>[BI_AUTMG_1_l22cd4li.xlsx]ReferenceData!R200C53</stp>
        <stp>PX391=20070401</stp>
        <stp>PX392=20070630</stp>
        <stp>DS004=USD</stp>
        <stp>Fill=B</stp>
        <tr r="BA200" s="3"/>
      </tp>
      <tp t="s">
        <v>#N/A Connection</v>
        <stp/>
        <stp>##V3_BDPV12</stp>
        <stp>WCARIC Index</stp>
        <stp>PX385</stp>
        <stp>[BI_AUTMG_1_l22cd4li.xlsx]ReferenceData!R184C55</stp>
        <stp>PX391=20061001</stp>
        <stp>PX392=20061231</stp>
        <stp>DS004=USD</stp>
        <stp>Fill=B</stp>
        <tr r="BC184" s="3"/>
      </tp>
      <tp t="s">
        <v>#N/A Connection</v>
        <stp/>
        <stp>##V3_BDPV12</stp>
        <stp>WCARLI Index</stp>
        <stp>PX385</stp>
        <stp>[BI_AUTMG_1_l22cd4li.xlsx]ReferenceData!R201C17</stp>
        <stp>PX391=20160401</stp>
        <stp>PX392=20160630</stp>
        <stp>DS004=USD</stp>
        <stp>Fill=B</stp>
        <tr r="Q201" s="3"/>
      </tp>
      <tp t="s">
        <v>#N/A Connection</v>
        <stp/>
        <stp>##V3_BDPV12</stp>
        <stp>WCARSK Index</stp>
        <stp>PX385</stp>
        <stp>[BI_AUTMG_1_l22cd4li.xlsx]ReferenceData!R205C11</stp>
        <stp>PX391=20171001</stp>
        <stp>PX392=20171231</stp>
        <stp>DS004=USD</stp>
        <stp>Fill=B</stp>
        <tr r="K205" s="3"/>
      </tp>
      <tp t="s">
        <v>#N/A Connection</v>
        <stp/>
        <stp>##V3_BDPV12</stp>
        <stp>WCARPO Index</stp>
        <stp>PX385</stp>
        <stp>[BI_AUTMG_1_l22cd4li.xlsx]ReferenceData!R202C16</stp>
        <stp>PX391=20160701</stp>
        <stp>PX392=20160930</stp>
        <stp>DS004=USD</stp>
        <stp>Fill=B</stp>
        <tr r="P202" s="3"/>
      </tp>
      <tp t="s">
        <v>#N/A Connection</v>
        <stp/>
        <stp>##V3_BDPV12</stp>
        <stp>WCARSK Index</stp>
        <stp>PX385</stp>
        <stp>[BI_AUTMG_1_l22cd4li.xlsx]ReferenceData!R205C58</stp>
        <stp>PX391=20060101</stp>
        <stp>PX392=20060331</stp>
        <stp>DS004=USD</stp>
        <stp>Fill=B</stp>
        <tr r="BF205" s="3"/>
      </tp>
      <tp t="s">
        <v>#N/A Connection</v>
        <stp/>
        <stp>##V3_BDPV12</stp>
        <stp>WCARRO Index</stp>
        <stp>PX385</stp>
        <stp>[BI_AUTMG_1_l22cd4li.xlsx]ReferenceData!R203C52</stp>
        <stp>PX391=20070701</stp>
        <stp>PX392=20070930</stp>
        <stp>DS004=USD</stp>
        <stp>Fill=B</stp>
        <tr r="AZ203" s="3"/>
      </tp>
      <tp t="s">
        <v>#N/A Connection</v>
        <stp/>
        <stp>##V3_BDPV12</stp>
        <stp>WCARIC Index</stp>
        <stp>PX385</stp>
        <stp>[BI_AUTMG_1_l22cd4li.xlsx]ReferenceData!R184C18</stp>
        <stp>PX391=20160101</stp>
        <stp>PX392=20160331</stp>
        <stp>DS004=USD</stp>
        <stp>Fill=B</stp>
        <tr r="R184" s="3"/>
      </tp>
      <tp t="s">
        <v>#N/A Connection</v>
        <stp/>
        <stp>##V3_BDPV12</stp>
        <stp>WCARLV Index</stp>
        <stp>PX385</stp>
        <stp>[BI_AUTMG_1_l22cd4li.xlsx]ReferenceData!R200C57</stp>
        <stp>PX391=20060401</stp>
        <stp>PX392=20060630</stp>
        <stp>DS004=USD</stp>
        <stp>Fill=B</stp>
        <tr r="BE200" s="3"/>
      </tp>
      <tp t="s">
        <v>#N/A Connection</v>
        <stp/>
        <stp>##V3_BDPV12</stp>
        <stp>WCARIC Index</stp>
        <stp>PX385</stp>
        <stp>[BI_AUTMG_1_l22cd4li.xlsx]ReferenceData!R184C51</stp>
        <stp>PX391=20071001</stp>
        <stp>PX392=20071231</stp>
        <stp>DS004=USD</stp>
        <stp>Fill=B</stp>
        <tr r="AY184" s="3"/>
      </tp>
      <tp t="s">
        <v>#N/A Connection</v>
        <stp/>
        <stp>##V3_BDPV12</stp>
        <stp>WCARLI Index</stp>
        <stp>PX385</stp>
        <stp>[BI_AUTMG_1_l22cd4li.xlsx]ReferenceData!R201C13</stp>
        <stp>PX391=20170401</stp>
        <stp>PX392=20170630</stp>
        <stp>DS004=USD</stp>
        <stp>Fill=B</stp>
        <tr r="M201" s="3"/>
      </tp>
      <tp t="s">
        <v>#N/A Connection</v>
        <stp/>
        <stp>##V3_BDPV12</stp>
        <stp>WCARSK Index</stp>
        <stp>PX385</stp>
        <stp>[BI_AUTMG_1_l22cd4li.xlsx]ReferenceData!R205C15</stp>
        <stp>PX391=20161001</stp>
        <stp>PX392=20161231</stp>
        <stp>DS004=USD</stp>
        <stp>Fill=B</stp>
        <tr r="O205" s="3"/>
      </tp>
      <tp t="s">
        <v>#N/A Connection</v>
        <stp/>
        <stp>##V3_BDPV12</stp>
        <stp>WCARPO Index</stp>
        <stp>PX385</stp>
        <stp>[BI_AUTMG_1_l22cd4li.xlsx]ReferenceData!R202C12</stp>
        <stp>PX391=20170701</stp>
        <stp>PX392=20170930</stp>
        <stp>DS004=USD</stp>
        <stp>Fill=B</stp>
        <tr r="L202" s="3"/>
      </tp>
      <tp t="s">
        <v>#N/A Connection</v>
        <stp/>
        <stp>##V3_BDPV12</stp>
        <stp>WCARSK Index</stp>
        <stp>PX385</stp>
        <stp>[BI_AUTMG_1_l22cd4li.xlsx]ReferenceData!R205C54</stp>
        <stp>PX391=20070101</stp>
        <stp>PX392=20070331</stp>
        <stp>DS004=USD</stp>
        <stp>Fill=B</stp>
        <tr r="BB205" s="3"/>
      </tp>
      <tp t="s">
        <v>#N/A Connection</v>
        <stp/>
        <stp>##V3_BDPV12</stp>
        <stp>WCARRO Index</stp>
        <stp>PX385</stp>
        <stp>[BI_AUTMG_1_l22cd4li.xlsx]ReferenceData!R203C56</stp>
        <stp>PX391=20060701</stp>
        <stp>PX392=20060930</stp>
        <stp>DS004=USD</stp>
        <stp>Fill=B</stp>
        <tr r="BD203" s="3"/>
      </tp>
      <tp t="s">
        <v>#N/A Connection</v>
        <stp/>
        <stp>##V3_BDPV12</stp>
        <stp>WCARLI Index</stp>
        <stp>PX385</stp>
        <stp>[BI_AUTMG_1_l22cd4li.xlsx]ReferenceData!R201C41</stp>
        <stp>PX391=20100401</stp>
        <stp>PX392=20100630</stp>
        <stp>DS004=USD</stp>
        <stp>Fill=B</stp>
        <tr r="AO201" s="3"/>
      </tp>
      <tp t="s">
        <v>#N/A Connection</v>
        <stp/>
        <stp>##V3_BDPV12</stp>
        <stp>WCARIC Index</stp>
        <stp>PX385</stp>
        <stp>[BI_AUTMG_1_l22cd4li.xlsx]ReferenceData!R184C38</stp>
        <stp>PX391=20110101</stp>
        <stp>PX392=20110331</stp>
        <stp>DS004=USD</stp>
        <stp>Fill=B</stp>
        <tr r="AL184" s="3"/>
      </tp>
      <tp t="s">
        <v>#N/A Connection</v>
        <stp/>
        <stp>##V3_BDPV12</stp>
        <stp>WCARPO Index</stp>
        <stp>PX385</stp>
        <stp>[BI_AUTMG_1_l22cd4li.xlsx]ReferenceData!R202C40</stp>
        <stp>PX391=20100701</stp>
        <stp>PX392=20100930</stp>
        <stp>DS004=USD</stp>
        <stp>Fill=B</stp>
        <tr r="AN202" s="3"/>
      </tp>
      <tp t="s">
        <v>#N/A Connection</v>
        <stp/>
        <stp>##V3_BDPV12</stp>
        <stp>WCARSK Index</stp>
        <stp>PX385</stp>
        <stp>[BI_AUTMG_1_l22cd4li.xlsx]ReferenceData!R205C35</stp>
        <stp>PX391=20111001</stp>
        <stp>PX392=20111231</stp>
        <stp>DS004=USD</stp>
        <stp>Fill=B</stp>
        <tr r="AI205" s="3"/>
      </tp>
      <tp t="s">
        <v>#N/A Connection</v>
        <stp/>
        <stp>##V3_BDPV12</stp>
        <stp>WCARIC Index</stp>
        <stp>PX385</stp>
        <stp>[BI_AUTMG_1_l22cd4li.xlsx]ReferenceData!R184C42</stp>
        <stp>PX391=20100101</stp>
        <stp>PX392=20100331</stp>
        <stp>DS004=USD</stp>
        <stp>Fill=B</stp>
        <tr r="AP184" s="3"/>
      </tp>
      <tp t="s">
        <v>#N/A Connection</v>
        <stp/>
        <stp>##V3_BDPV12</stp>
        <stp>WCARLI Index</stp>
        <stp>PX385</stp>
        <stp>[BI_AUTMG_1_l22cd4li.xlsx]ReferenceData!R201C37</stp>
        <stp>PX391=20110401</stp>
        <stp>PX392=20110630</stp>
        <stp>DS004=USD</stp>
        <stp>Fill=B</stp>
        <tr r="AK201" s="3"/>
      </tp>
      <tp t="s">
        <v>#N/A Connection</v>
        <stp/>
        <stp>##V3_BDPV12</stp>
        <stp>WCARSK Index</stp>
        <stp>PX385</stp>
        <stp>[BI_AUTMG_1_l22cd4li.xlsx]ReferenceData!R205C39</stp>
        <stp>PX391=20101001</stp>
        <stp>PX392=20101231</stp>
        <stp>DS004=USD</stp>
        <stp>Fill=B</stp>
        <tr r="AM205" s="3"/>
      </tp>
      <tp t="s">
        <v>#N/A Connection</v>
        <stp/>
        <stp>##V3_BDPV12</stp>
        <stp>WCARPO Index</stp>
        <stp>PX385</stp>
        <stp>[BI_AUTMG_1_l22cd4li.xlsx]ReferenceData!R202C36</stp>
        <stp>PX391=20110701</stp>
        <stp>PX392=20110930</stp>
        <stp>DS004=USD</stp>
        <stp>Fill=B</stp>
        <tr r="AJ202" s="3"/>
      </tp>
      <tp t="s">
        <v>#N/A Connection</v>
        <stp/>
        <stp>##V3_BDPV12</stp>
        <stp>WCARLI Index</stp>
        <stp>PX385</stp>
        <stp>[BI_AUTMG_1_l22cd4li.xlsx]ReferenceData!R201C33</stp>
        <stp>PX391=20120401</stp>
        <stp>PX392=20120630</stp>
        <stp>DS004=USD</stp>
        <stp>Fill=B</stp>
        <tr r="AG201" s="3"/>
      </tp>
      <tp t="s">
        <v>#N/A Connection</v>
        <stp/>
        <stp>##V3_BDPV12</stp>
        <stp>WCARIC Index</stp>
        <stp>PX385</stp>
        <stp>[BI_AUTMG_1_l22cd4li.xlsx]ReferenceData!R184C30</stp>
        <stp>PX391=20130101</stp>
        <stp>PX392=20130331</stp>
        <stp>DS004=USD</stp>
        <stp>Fill=B</stp>
        <tr r="AD184" s="3"/>
      </tp>
      <tp t="s">
        <v>#N/A Connection</v>
        <stp/>
        <stp>##V3_BDPV12</stp>
        <stp>WCARPO Index</stp>
        <stp>PX385</stp>
        <stp>[BI_AUTMG_1_l22cd4li.xlsx]ReferenceData!R202C32</stp>
        <stp>PX391=20120701</stp>
        <stp>PX392=20120930</stp>
        <stp>DS004=USD</stp>
        <stp>Fill=B</stp>
        <tr r="AF202" s="3"/>
      </tp>
      <tp t="s">
        <v>#N/A Connection</v>
        <stp/>
        <stp>##V3_BDPV12</stp>
        <stp>WCARSK Index</stp>
        <stp>PX385</stp>
        <stp>[BI_AUTMG_1_l22cd4li.xlsx]ReferenceData!R205C27</stp>
        <stp>PX391=20131001</stp>
        <stp>PX392=20131231</stp>
        <stp>DS004=USD</stp>
        <stp>Fill=B</stp>
        <tr r="AA205" s="3"/>
      </tp>
      <tp t="s">
        <v>#N/A Connection</v>
        <stp/>
        <stp>##V3_BDPV12</stp>
        <stp>WCARLI Index</stp>
        <stp>PX385</stp>
        <stp>[BI_AUTMG_1_l22cd4li.xlsx]ReferenceData!R201C29</stp>
        <stp>PX391=20130401</stp>
        <stp>PX392=20130630</stp>
        <stp>DS004=USD</stp>
        <stp>Fill=B</stp>
        <tr r="AC201" s="3"/>
      </tp>
      <tp t="s">
        <v>#N/A Connection</v>
        <stp/>
        <stp>##V3_BDPV12</stp>
        <stp>WCARIC Index</stp>
        <stp>PX385</stp>
        <stp>[BI_AUTMG_1_l22cd4li.xlsx]ReferenceData!R184C34</stp>
        <stp>PX391=20120101</stp>
        <stp>PX392=20120331</stp>
        <stp>DS004=USD</stp>
        <stp>Fill=B</stp>
        <tr r="AH184" s="3"/>
      </tp>
      <tp t="s">
        <v>#N/A Connection</v>
        <stp/>
        <stp>##V3_BDPV12</stp>
        <stp>WCARPO Index</stp>
        <stp>PX385</stp>
        <stp>[BI_AUTMG_1_l22cd4li.xlsx]ReferenceData!R202C28</stp>
        <stp>PX391=20130701</stp>
        <stp>PX392=20130930</stp>
        <stp>DS004=USD</stp>
        <stp>Fill=B</stp>
        <tr r="AB202" s="3"/>
      </tp>
      <tp t="s">
        <v>#N/A Connection</v>
        <stp/>
        <stp>##V3_BDPV12</stp>
        <stp>WCARSK Index</stp>
        <stp>PX385</stp>
        <stp>[BI_AUTMG_1_l22cd4li.xlsx]ReferenceData!R205C31</stp>
        <stp>PX391=20121001</stp>
        <stp>PX392=20121231</stp>
        <stp>DS004=USD</stp>
        <stp>Fill=B</stp>
        <tr r="AE205" s="3"/>
      </tp>
      <tp t="s">
        <v>#N/A Connection</v>
        <stp/>
        <stp>##V3_BDPV12</stp>
        <stp>IDVHCLOC Index</stp>
        <stp>PX385</stp>
        <stp>[BI_AUTMG_1_l22cd4li.xlsx]ReferenceData!R166C52</stp>
        <stp>PX391=20070701</stp>
        <stp>PX392=20070930</stp>
        <stp>DS004=USD</stp>
        <stp>Fill=B</stp>
        <tr r="AZ166" s="3"/>
      </tp>
      <tp t="s">
        <v>#N/A Connection</v>
        <stp/>
        <stp>##V3_BDPV12</stp>
        <stp>AUTMKRVS Index</stp>
        <stp>PX385</stp>
        <stp>[BI_AUTMG_1_l22cd4li.xlsx]ReferenceData!R171C43</stp>
        <stp>PX391=20091001</stp>
        <stp>PX392=20091231</stp>
        <stp>DS004=USD</stp>
        <stp>Fill=B</stp>
        <tr r="AQ171" s="3"/>
      </tp>
      <tp t="s">
        <v>#N/A Connection</v>
        <stp/>
        <stp>##V3_BDPV12</stp>
        <stp>AUTMKRVS Index</stp>
        <stp>PX385</stp>
        <stp>[BI_AUTMG_1_l22cd4li.xlsx]ReferenceData!R171C10</stp>
        <stp>PX391=20180101</stp>
        <stp>PX392=20180331</stp>
        <stp>DS004=USD</stp>
        <stp>Fill=B</stp>
        <tr r="J171" s="3"/>
      </tp>
      <tp t="s">
        <v>#N/A Connection</v>
        <stp/>
        <stp>##V3_BDPV12</stp>
        <stp>IDVHCLOC Index</stp>
        <stp>PX385</stp>
        <stp>[BI_AUTMG_1_l22cd4li.xlsx]ReferenceData!R166C56</stp>
        <stp>PX391=20060701</stp>
        <stp>PX392=20060930</stp>
        <stp>DS004=USD</stp>
        <stp>Fill=B</stp>
        <tr r="BD166" s="3"/>
      </tp>
      <tp t="s">
        <v>#N/A Connection</v>
        <stp/>
        <stp>##V3_BDPV12</stp>
        <stp>AUTMKRVS Index</stp>
        <stp>PX385</stp>
        <stp>[BI_AUTMG_1_l22cd4li.xlsx]ReferenceData!R171C47</stp>
        <stp>PX391=20081001</stp>
        <stp>PX392=20081231</stp>
        <stp>DS004=USD</stp>
        <stp>Fill=B</stp>
        <tr r="AU171" s="3"/>
      </tp>
      <tp t="s">
        <v>#N/A Connection</v>
        <stp/>
        <stp>##V3_BDPV12</stp>
        <stp>IDVHCLOC Index</stp>
        <stp>PX385</stp>
        <stp>[BI_AUTMG_1_l22cd4li.xlsx]ReferenceData!R166C60</stp>
        <stp>PX391=20050701</stp>
        <stp>PX392=20050930</stp>
        <stp>DS004=USD</stp>
        <stp>Fill=B</stp>
        <tr r="BH166" s="3"/>
      </tp>
      <tp t="s">
        <v>#N/A Connection</v>
        <stp/>
        <stp>##V3_BDPV12</stp>
        <stp>IDVHCLOC Index</stp>
        <stp>PX385</stp>
        <stp>[BI_AUTMG_1_l22cd4li.xlsx]ReferenceData!R166C64</stp>
        <stp>PX391=20040701</stp>
        <stp>PX392=20040930</stp>
        <stp>DS004=USD</stp>
        <stp>Fill=B</stp>
        <tr r="BL166" s="3"/>
      </tp>
      <tp t="s">
        <v>#N/A Connection</v>
        <stp/>
        <stp>##V3_BDPV12</stp>
        <stp>NAAMCARS Index</stp>
        <stp>PX385</stp>
        <stp>[BI_AUTMG_1_l22cd4li.xlsx]ReferenceData!R217C50</stp>
        <stp>PX391=20080101</stp>
        <stp>PX392=20080331</stp>
        <stp>DS004=USD</stp>
        <stp>Fill=B</stp>
        <tr r="AX217" s="3"/>
      </tp>
      <tp t="s">
        <v>#N/A Connection</v>
        <stp/>
        <stp>##V3_BDPV12</stp>
        <stp>NAAMCARS Index</stp>
        <stp>PX385</stp>
        <stp>[BI_AUTMG_1_l22cd4li.xlsx]ReferenceData!R217C46</stp>
        <stp>PX391=20090101</stp>
        <stp>PX392=20090331</stp>
        <stp>DS004=USD</stp>
        <stp>Fill=B</stp>
        <tr r="AT217" s="3"/>
      </tp>
      <tp t="s">
        <v>#N/A Connection</v>
        <stp/>
        <stp>##V3_BDPV12</stp>
        <stp>NAAMCARS Index</stp>
        <stp>PX385</stp>
        <stp>[BI_AUTMG_1_l22cd4li.xlsx]ReferenceData!R217C11</stp>
        <stp>PX391=20171001</stp>
        <stp>PX392=20171231</stp>
        <stp>DS004=USD</stp>
        <stp>Fill=B</stp>
        <tr r="K217" s="3"/>
      </tp>
      <tp t="s">
        <v>#N/A Connection</v>
        <stp/>
        <stp>##V3_BDPV12</stp>
        <stp>NAAMCARS Index</stp>
        <stp>PX385</stp>
        <stp>[BI_AUTMG_1_l22cd4li.xlsx]ReferenceData!R217C58</stp>
        <stp>PX391=20060101</stp>
        <stp>PX392=20060331</stp>
        <stp>DS004=USD</stp>
        <stp>Fill=B</stp>
        <tr r="BF217" s="3"/>
      </tp>
      <tp t="s">
        <v>#N/A Connection</v>
        <stp/>
        <stp>##V3_BDPV12</stp>
        <stp>AUTMKRVS Index</stp>
        <stp>PX385</stp>
        <stp>[BI_AUTMG_1_l22cd4li.xlsx]ReferenceData!R171C42</stp>
        <stp>PX391=20100101</stp>
        <stp>PX392=20100331</stp>
        <stp>DS004=USD</stp>
        <stp>Fill=B</stp>
        <tr r="AP171" s="3"/>
      </tp>
      <tp t="s">
        <v>#N/A Connection</v>
        <stp/>
        <stp>##V3_BDPV12</stp>
        <stp>NAAMCARS Index</stp>
        <stp>PX385</stp>
        <stp>[BI_AUTMG_1_l22cd4li.xlsx]ReferenceData!R217C15</stp>
        <stp>PX391=20161001</stp>
        <stp>PX392=20161231</stp>
        <stp>DS004=USD</stp>
        <stp>Fill=B</stp>
        <tr r="O217" s="3"/>
      </tp>
      <tp t="s">
        <v>#N/A Connection</v>
        <stp/>
        <stp>##V3_BDPV12</stp>
        <stp>NAAMCARS Index</stp>
        <stp>PX385</stp>
        <stp>[BI_AUTMG_1_l22cd4li.xlsx]ReferenceData!R217C54</stp>
        <stp>PX391=20070101</stp>
        <stp>PX392=20070331</stp>
        <stp>DS004=USD</stp>
        <stp>Fill=B</stp>
        <tr r="BB217" s="3"/>
      </tp>
      <tp t="s">
        <v>#N/A Connection</v>
        <stp/>
        <stp>##V3_BDPV12</stp>
        <stp>AUTMKRVS Index</stp>
        <stp>PX385</stp>
        <stp>[BI_AUTMG_1_l22cd4li.xlsx]ReferenceData!R171C38</stp>
        <stp>PX391=20110101</stp>
        <stp>PX392=20110331</stp>
        <stp>DS004=USD</stp>
        <stp>Fill=B</stp>
        <tr r="AL171" s="3"/>
      </tp>
      <tp t="s">
        <v>#N/A Connection</v>
        <stp/>
        <stp>##V3_BDPV12</stp>
        <stp>NAAMCARS Index</stp>
        <stp>PX385</stp>
        <stp>[BI_AUTMG_1_l22cd4li.xlsx]ReferenceData!R217C19</stp>
        <stp>PX391=20151001</stp>
        <stp>PX392=20151231</stp>
        <stp>DS004=USD</stp>
        <stp>Fill=B</stp>
        <tr r="S217" s="3"/>
      </tp>
      <tp t="s">
        <v>#N/A Connection</v>
        <stp/>
        <stp>##V3_BDPV12</stp>
        <stp>AUTMKRVS Index</stp>
        <stp>PX385</stp>
        <stp>[BI_AUTMG_1_l22cd4li.xlsx]ReferenceData!R171C34</stp>
        <stp>PX391=20120101</stp>
        <stp>PX392=20120331</stp>
        <stp>DS004=USD</stp>
        <stp>Fill=B</stp>
        <tr r="AH171" s="3"/>
      </tp>
      <tp t="s">
        <v>#N/A Connection</v>
        <stp/>
        <stp>##V3_BDPV12</stp>
        <stp>NAAMCARS Index</stp>
        <stp>PX385</stp>
        <stp>[BI_AUTMG_1_l22cd4li.xlsx]ReferenceData!R217C23</stp>
        <stp>PX391=20141001</stp>
        <stp>PX392=20141231</stp>
        <stp>DS004=USD</stp>
        <stp>Fill=B</stp>
        <tr r="W217" s="3"/>
      </tp>
      <tp t="s">
        <v>#N/A Connection</v>
        <stp/>
        <stp>##V3_BDPV12</stp>
        <stp>NAAMCARS Index</stp>
        <stp>PX385</stp>
        <stp>[BI_AUTMG_1_l22cd4li.xlsx]ReferenceData!R217C62</stp>
        <stp>PX391=20050101</stp>
        <stp>PX392=20050331</stp>
        <stp>DS004=USD</stp>
        <stp>Fill=B</stp>
        <tr r="BJ217" s="3"/>
      </tp>
      <tp t="s">
        <v>#N/A Connection</v>
        <stp/>
        <stp>##V3_BDPV12</stp>
        <stp>AUTMKRVS Index</stp>
        <stp>PX385</stp>
        <stp>[BI_AUTMG_1_l22cd4li.xlsx]ReferenceData!R171C30</stp>
        <stp>PX391=20130101</stp>
        <stp>PX392=20130331</stp>
        <stp>DS004=USD</stp>
        <stp>Fill=B</stp>
        <tr r="AD171" s="3"/>
      </tp>
      <tp t="s">
        <v>#N/A Connection</v>
        <stp/>
        <stp>##V3_BDPV12</stp>
        <stp>NAAMCARS Index</stp>
        <stp>PX385</stp>
        <stp>[BI_AUTMG_1_l22cd4li.xlsx]ReferenceData!R217C27</stp>
        <stp>PX391=20131001</stp>
        <stp>PX392=20131231</stp>
        <stp>DS004=USD</stp>
        <stp>Fill=B</stp>
        <tr r="AA217" s="3"/>
      </tp>
      <tp t="s">
        <v>#N/A Connection</v>
        <stp/>
        <stp>##V3_BDPV12</stp>
        <stp>AUTMKRVS Index</stp>
        <stp>PX385</stp>
        <stp>[BI_AUTMG_1_l22cd4li.xlsx]ReferenceData!R171C26</stp>
        <stp>PX391=20140101</stp>
        <stp>PX392=20140331</stp>
        <stp>DS004=USD</stp>
        <stp>Fill=B</stp>
        <tr r="Z171" s="3"/>
      </tp>
      <tp t="s">
        <v>#N/A Connection</v>
        <stp/>
        <stp>##V3_BDPV12</stp>
        <stp>AUTMKRVS Index</stp>
        <stp>PX385</stp>
        <stp>[BI_AUTMG_1_l22cd4li.xlsx]ReferenceData!R171C59</stp>
        <stp>PX391=20051001</stp>
        <stp>PX392=20051231</stp>
        <stp>DS004=USD</stp>
        <stp>Fill=B</stp>
        <tr r="BG171" s="3"/>
      </tp>
      <tp t="s">
        <v>#N/A Connection</v>
        <stp/>
        <stp>##V3_BDPV12</stp>
        <stp>NAAMCARS Index</stp>
        <stp>PX385</stp>
        <stp>[BI_AUTMG_1_l22cd4li.xlsx]ReferenceData!R217C31</stp>
        <stp>PX391=20121001</stp>
        <stp>PX392=20121231</stp>
        <stp>DS004=USD</stp>
        <stp>Fill=B</stp>
        <tr r="AE217" s="3"/>
      </tp>
      <tp t="s">
        <v>#N/A Connection</v>
        <stp/>
        <stp>##V3_BDPV12</stp>
        <stp>AUTMKRVS Index</stp>
        <stp>PX385</stp>
        <stp>[BI_AUTMG_1_l22cd4li.xlsx]ReferenceData!R171C22</stp>
        <stp>PX391=20150101</stp>
        <stp>PX392=20150331</stp>
        <stp>DS004=USD</stp>
        <stp>Fill=B</stp>
        <tr r="V171" s="3"/>
      </tp>
      <tp t="s">
        <v>#N/A Connection</v>
        <stp/>
        <stp>##V3_BDPV12</stp>
        <stp>AUTMKRVS Index</stp>
        <stp>PX385</stp>
        <stp>[BI_AUTMG_1_l22cd4li.xlsx]ReferenceData!R171C63</stp>
        <stp>PX391=20041001</stp>
        <stp>PX392=20041231</stp>
        <stp>DS004=USD</stp>
        <stp>Fill=B</stp>
        <tr r="BK171" s="3"/>
      </tp>
      <tp t="s">
        <v>#N/A Connection</v>
        <stp/>
        <stp>##V3_BDPV12</stp>
        <stp>IDVHCLOC Index</stp>
        <stp>PX385</stp>
        <stp>[BI_AUTMG_1_l22cd4li.xlsx]ReferenceData!R166C44</stp>
        <stp>PX391=20090701</stp>
        <stp>PX392=20090930</stp>
        <stp>DS004=USD</stp>
        <stp>Fill=B</stp>
        <tr r="AR166" s="3"/>
      </tp>
      <tp t="s">
        <v>#N/A Connection</v>
        <stp/>
        <stp>##V3_BDPV12</stp>
        <stp>NAAMCARS Index</stp>
        <stp>PX385</stp>
        <stp>[BI_AUTMG_1_l22cd4li.xlsx]ReferenceData!R217C35</stp>
        <stp>PX391=20111001</stp>
        <stp>PX392=20111231</stp>
        <stp>DS004=USD</stp>
        <stp>Fill=B</stp>
        <tr r="AI217" s="3"/>
      </tp>
      <tp t="s">
        <v>#N/A Connection</v>
        <stp/>
        <stp>##V3_BDPV12</stp>
        <stp>AUTMKRVS Index</stp>
        <stp>PX385</stp>
        <stp>[BI_AUTMG_1_l22cd4li.xlsx]ReferenceData!R171C18</stp>
        <stp>PX391=20160101</stp>
        <stp>PX392=20160331</stp>
        <stp>DS004=USD</stp>
        <stp>Fill=B</stp>
        <tr r="R171" s="3"/>
      </tp>
      <tp t="s">
        <v>#N/A Connection</v>
        <stp/>
        <stp>##V3_BDPV12</stp>
        <stp>AUTMKRVS Index</stp>
        <stp>PX385</stp>
        <stp>[BI_AUTMG_1_l22cd4li.xlsx]ReferenceData!R171C51</stp>
        <stp>PX391=20071001</stp>
        <stp>PX392=20071231</stp>
        <stp>DS004=USD</stp>
        <stp>Fill=B</stp>
        <tr r="AY171" s="3"/>
      </tp>
      <tp t="s">
        <v>#N/A Connection</v>
        <stp/>
        <stp>##V3_BDPV12</stp>
        <stp>IDVHCLOC Index</stp>
        <stp>PX385</stp>
        <stp>[BI_AUTMG_1_l22cd4li.xlsx]ReferenceData!R166C48</stp>
        <stp>PX391=20080701</stp>
        <stp>PX392=20080930</stp>
        <stp>DS004=USD</stp>
        <stp>Fill=B</stp>
        <tr r="AV166" s="3"/>
      </tp>
      <tp t="s">
        <v>#N/A Connection</v>
        <stp/>
        <stp>##V3_BDPV12</stp>
        <stp>NAAMCARS Index</stp>
        <stp>PX385</stp>
        <stp>[BI_AUTMG_1_l22cd4li.xlsx]ReferenceData!R217C39</stp>
        <stp>PX391=20101001</stp>
        <stp>PX392=20101231</stp>
        <stp>DS004=USD</stp>
        <stp>Fill=B</stp>
        <tr r="AM217" s="3"/>
      </tp>
      <tp t="s">
        <v>#N/A Connection</v>
        <stp/>
        <stp>##V3_BDPV12</stp>
        <stp>AUTMKRVS Index</stp>
        <stp>PX385</stp>
        <stp>[BI_AUTMG_1_l22cd4li.xlsx]ReferenceData!R171C14</stp>
        <stp>PX391=20170101</stp>
        <stp>PX392=20170331</stp>
        <stp>DS004=USD</stp>
        <stp>Fill=B</stp>
        <tr r="N171" s="3"/>
      </tp>
      <tp t="s">
        <v>#N/A Connection</v>
        <stp/>
        <stp>##V3_BDPV12</stp>
        <stp>AUTMKRVS Index</stp>
        <stp>PX385</stp>
        <stp>[BI_AUTMG_1_l22cd4li.xlsx]ReferenceData!R171C55</stp>
        <stp>PX391=20061001</stp>
        <stp>PX392=20061231</stp>
        <stp>DS004=USD</stp>
        <stp>Fill=B</stp>
        <tr r="BC171" s="3"/>
      </tp>
      <tp t="s">
        <v>#N/A Connection</v>
        <stp/>
        <stp>##V3_BDPV12</stp>
        <stp>INVSDMPV Index</stp>
        <stp>PX385</stp>
        <stp>[BI_AUTMG_1_l22cd4li.xlsx]ReferenceData!R165C7</stp>
        <stp>PX391=20181001</stp>
        <stp>PX392=20181231</stp>
        <stp>DS004=USD</stp>
        <stp>Fill=B</stp>
        <tr r="G165" s="3"/>
      </tp>
      <tp t="s">
        <v>#N/A Connection</v>
        <stp/>
        <stp>##V3_BDPV12</stp>
        <stp>MAVSTTL Index</stp>
        <stp>PX385</stp>
        <stp>[BI_AUTMG_1_l22cd4li.xlsx]ReferenceData!R168C6</stp>
        <stp>PX391=20190101</stp>
        <stp>PX392=20190331</stp>
        <stp>DS004=USD</stp>
        <stp>Fill=B</stp>
        <tr r="F168" s="3"/>
      </tp>
      <tp t="s">
        <v>#N/A Connection</v>
        <stp/>
        <stp>##V3_BDPV12</stp>
        <stp>TWVSDOM Index</stp>
        <stp>PX385</stp>
        <stp>[BI_AUTMG_1_l22cd4li.xlsx]ReferenceData!R173C6</stp>
        <stp>PX391=20190101</stp>
        <stp>PX392=20190331</stp>
        <stp>DS004=USD</stp>
        <stp>Fill=B</stp>
        <tr r="F173" s="3"/>
      </tp>
      <tp t="s">
        <v>#N/A Connection</v>
        <stp/>
        <stp>##V3_BDPV12</stp>
        <stp>CNVSTTL Index</stp>
        <stp>PX385</stp>
        <stp>[BI_AUTMG_1_l22cd4li.xlsx]ReferenceData!R162C6</stp>
        <stp>PX391=20190101</stp>
        <stp>PX392=20190331</stp>
        <stp>DS004=USD</stp>
        <stp>Fill=B</stp>
        <tr r="F162" s="3"/>
      </tp>
      <tp t="s">
        <v>#N/A Connection</v>
        <stp/>
        <stp>##V3_BDPV12</stp>
        <stp>MXVHTOTL Index</stp>
        <stp>PX385</stp>
        <stp>[BI_AUTMG_1_l22cd4li.xlsx]ReferenceData!R207C8</stp>
        <stp>PX391=20180701</stp>
        <stp>PX392=20180930</stp>
        <stp>DS004=USD</stp>
        <stp>Fill=B</stp>
        <tr r="H207" s="3"/>
      </tp>
      <tp t="s">
        <v>#N/A Connection</v>
        <stp/>
        <stp>##V3_BDPV12</stp>
        <stp>ASTOTTRK Index</stp>
        <stp>PX385</stp>
        <stp>[BI_AUTMG_1_l22cd4li.xlsx]ReferenceData!R209C8</stp>
        <stp>PX391=20180701</stp>
        <stp>PX392=20180930</stp>
        <stp>DS004=USD</stp>
        <stp>Fill=B</stp>
        <tr r="H209" s="3"/>
      </tp>
      <tp t="s">
        <v>#N/A Connection</v>
        <stp/>
        <stp>##V3_BDPV12</stp>
        <stp>WCARIC Index</stp>
        <stp>PX385</stp>
        <stp>[BI_AUTMG_1_l22cd4li.xlsx]ReferenceData!R184C50</stp>
        <stp>PX391=20080101</stp>
        <stp>PX392=20080331</stp>
        <stp>DS004=USD</stp>
        <stp>Fill=B</stp>
        <tr r="AX184" s="3"/>
      </tp>
      <tp t="s">
        <v>#N/A Connection</v>
        <stp/>
        <stp>##V3_BDPV12</stp>
        <stp>WCARLI Index</stp>
        <stp>PX385</stp>
        <stp>[BI_AUTMG_1_l22cd4li.xlsx]ReferenceData!R201C45</stp>
        <stp>PX391=20090401</stp>
        <stp>PX392=20090630</stp>
        <stp>DS004=USD</stp>
        <stp>Fill=B</stp>
        <tr r="AS201" s="3"/>
      </tp>
      <tp t="s">
        <v>#N/A Connection</v>
        <stp/>
        <stp>##V3_BDPV12</stp>
        <stp>WCARPO Index</stp>
        <stp>PX385</stp>
        <stp>[BI_AUTMG_1_l22cd4li.xlsx]ReferenceData!R202C44</stp>
        <stp>PX391=20090701</stp>
        <stp>PX392=20090930</stp>
        <stp>DS004=USD</stp>
        <stp>Fill=B</stp>
        <tr r="AR202" s="3"/>
      </tp>
      <tp t="s">
        <v>#N/A Connection</v>
        <stp/>
        <stp>##V3_BDPV12</stp>
        <stp>WCARSK Index</stp>
        <stp>PX385</stp>
        <stp>[BI_AUTMG_1_l22cd4li.xlsx]ReferenceData!R205C47</stp>
        <stp>PX391=20081001</stp>
        <stp>PX392=20081231</stp>
        <stp>DS004=USD</stp>
        <stp>Fill=B</stp>
        <tr r="AU205" s="3"/>
      </tp>
      <tp t="s">
        <v>#N/A Connection</v>
        <stp/>
        <stp>##V3_BDPV12</stp>
        <stp>INVSDPAS Index</stp>
        <stp>PX385</stp>
        <stp>[BI_AUTMG_1_l22cd4li.xlsx]ReferenceData!R163C61</stp>
        <stp>PX391=20050401</stp>
        <stp>PX392=20050630</stp>
        <stp>DS004=USD</stp>
        <stp>Fill=B</stp>
        <tr r="BI163" s="3"/>
      </tp>
      <tp t="s">
        <v>#N/A Connection</v>
        <stp/>
        <stp>##V3_BDPV12</stp>
        <stp>WCARIC Index</stp>
        <stp>PX385</stp>
        <stp>[BI_AUTMG_1_l22cd4li.xlsx]ReferenceData!R184C46</stp>
        <stp>PX391=20090101</stp>
        <stp>PX392=20090331</stp>
        <stp>DS004=USD</stp>
        <stp>Fill=B</stp>
        <tr r="AT184" s="3"/>
      </tp>
      <tp t="s">
        <v>#N/A Connection</v>
        <stp/>
        <stp>##V3_BDPV12</stp>
        <stp>WCARLI Index</stp>
        <stp>PX385</stp>
        <stp>[BI_AUTMG_1_l22cd4li.xlsx]ReferenceData!R201C49</stp>
        <stp>PX391=20080401</stp>
        <stp>PX392=20080630</stp>
        <stp>DS004=USD</stp>
        <stp>Fill=B</stp>
        <tr r="AW201" s="3"/>
      </tp>
      <tp t="s">
        <v>#N/A Connection</v>
        <stp/>
        <stp>##V3_BDPV12</stp>
        <stp>WCARPO Index</stp>
        <stp>PX385</stp>
        <stp>[BI_AUTMG_1_l22cd4li.xlsx]ReferenceData!R202C48</stp>
        <stp>PX391=20080701</stp>
        <stp>PX392=20080930</stp>
        <stp>DS004=USD</stp>
        <stp>Fill=B</stp>
        <tr r="AV202" s="3"/>
      </tp>
      <tp t="s">
        <v>#N/A Connection</v>
        <stp/>
        <stp>##V3_BDPV12</stp>
        <stp>WCARSK Index</stp>
        <stp>PX385</stp>
        <stp>[BI_AUTMG_1_l22cd4li.xlsx]ReferenceData!R205C43</stp>
        <stp>PX391=20091001</stp>
        <stp>PX392=20091231</stp>
        <stp>DS004=USD</stp>
        <stp>Fill=B</stp>
        <tr r="AQ205" s="3"/>
      </tp>
      <tp t="s">
        <v>#N/A Connection</v>
        <stp/>
        <stp>##V3_BDPV12</stp>
        <stp>WCARSK Index</stp>
        <stp>PX385</stp>
        <stp>[BI_AUTMG_1_l22cd4li.xlsx]ReferenceData!R205C10</stp>
        <stp>PX391=20180101</stp>
        <stp>PX392=20180331</stp>
        <stp>DS004=USD</stp>
        <stp>Fill=B</stp>
        <tr r="J205" s="3"/>
      </tp>
      <tp t="s">
        <v>#N/A Connection</v>
        <stp/>
        <stp>##V3_BDPV12</stp>
        <stp>INVSDPAS Index</stp>
        <stp>PX385</stp>
        <stp>[BI_AUTMG_1_l22cd4li.xlsx]ReferenceData!R163C65</stp>
        <stp>PX391=20040401</stp>
        <stp>PX392=20040630</stp>
        <stp>DS004=USD</stp>
        <stp>Fill=B</stp>
        <tr r="BM163" s="3"/>
      </tp>
      <tp t="s">
        <v>#N/A Connection</v>
        <stp/>
        <stp>##V3_BDPV12</stp>
        <stp>INVSDPAS Index</stp>
        <stp>PX385</stp>
        <stp>[BI_AUTMG_1_l22cd4li.xlsx]ReferenceData!R163C53</stp>
        <stp>PX391=20070401</stp>
        <stp>PX392=20070630</stp>
        <stp>DS004=USD</stp>
        <stp>Fill=B</stp>
        <tr r="BA163" s="3"/>
      </tp>
      <tp t="s">
        <v>#N/A Connection</v>
        <stp/>
        <stp>##V3_BDPV12</stp>
        <stp>INVSDPAS Index</stp>
        <stp>PX385</stp>
        <stp>[BI_AUTMG_1_l22cd4li.xlsx]ReferenceData!R163C57</stp>
        <stp>PX391=20060401</stp>
        <stp>PX392=20060630</stp>
        <stp>DS004=USD</stp>
        <stp>Fill=B</stp>
        <tr r="BE163" s="3"/>
      </tp>
      <tp t="s">
        <v>#N/A Connection</v>
        <stp/>
        <stp>##V3_BDPV12</stp>
        <stp>WCARLI Index</stp>
        <stp>PX385</stp>
        <stp>[BI_AUTMG_1_l22cd4li.xlsx]ReferenceData!R201C61</stp>
        <stp>PX391=20050401</stp>
        <stp>PX392=20050630</stp>
        <stp>DS004=USD</stp>
        <stp>Fill=B</stp>
        <tr r="BI201" s="3"/>
      </tp>
      <tp t="s">
        <v>#N/A Connection</v>
        <stp/>
        <stp>##V3_BDPV12</stp>
        <stp>WCARIC Index</stp>
        <stp>PX385</stp>
        <stp>[BI_AUTMG_1_l22cd4li.xlsx]ReferenceData!R184C19</stp>
        <stp>PX391=20151001</stp>
        <stp>PX392=20151231</stp>
        <stp>DS004=USD</stp>
        <stp>Fill=B</stp>
        <tr r="S184" s="3"/>
      </tp>
      <tp t="s">
        <v>#N/A Connection</v>
        <stp/>
        <stp>##V3_BDPV12</stp>
        <stp>WCARLV Index</stp>
        <stp>PX385</stp>
        <stp>[BI_AUTMG_1_l22cd4li.xlsx]ReferenceData!R200C25</stp>
        <stp>PX391=20140401</stp>
        <stp>PX392=20140630</stp>
        <stp>DS004=USD</stp>
        <stp>Fill=B</stp>
        <tr r="Y200" s="3"/>
      </tp>
      <tp t="s">
        <v>#N/A Connection</v>
        <stp/>
        <stp>##V3_BDPV12</stp>
        <stp>WCARSK Index</stp>
        <stp>PX385</stp>
        <stp>[BI_AUTMG_1_l22cd4li.xlsx]ReferenceData!R205C22</stp>
        <stp>PX391=20150101</stp>
        <stp>PX392=20150331</stp>
        <stp>DS004=USD</stp>
        <stp>Fill=B</stp>
        <tr r="V205" s="3"/>
      </tp>
      <tp t="s">
        <v>#N/A Connection</v>
        <stp/>
        <stp>##V3_BDPV12</stp>
        <stp>WCARRO Index</stp>
        <stp>PX385</stp>
        <stp>[BI_AUTMG_1_l22cd4li.xlsx]ReferenceData!R203C24</stp>
        <stp>PX391=20140701</stp>
        <stp>PX392=20140930</stp>
        <stp>DS004=USD</stp>
        <stp>Fill=B</stp>
        <tr r="X203" s="3"/>
      </tp>
      <tp t="s">
        <v>#N/A Connection</v>
        <stp/>
        <stp>##V3_BDPV12</stp>
        <stp>WCARSK Index</stp>
        <stp>PX385</stp>
        <stp>[BI_AUTMG_1_l22cd4li.xlsx]ReferenceData!R205C63</stp>
        <stp>PX391=20041001</stp>
        <stp>PX392=20041231</stp>
        <stp>DS004=USD</stp>
        <stp>Fill=B</stp>
        <tr r="BK205" s="3"/>
      </tp>
      <tp t="s">
        <v>#N/A Connection</v>
        <stp/>
        <stp>##V3_BDPV12</stp>
        <stp>WCARPO Index</stp>
        <stp>PX385</stp>
        <stp>[BI_AUTMG_1_l22cd4li.xlsx]ReferenceData!R202C60</stp>
        <stp>PX391=20050701</stp>
        <stp>PX392=20050930</stp>
        <stp>DS004=USD</stp>
        <stp>Fill=B</stp>
        <tr r="BH202" s="3"/>
      </tp>
      <tp t="s">
        <v>#N/A Connection</v>
        <stp/>
        <stp>##V3_BDPV12</stp>
        <stp>INVSDPAS Index</stp>
        <stp>PX385</stp>
        <stp>[BI_AUTMG_1_l22cd4li.xlsx]ReferenceData!R163C45</stp>
        <stp>PX391=20090401</stp>
        <stp>PX392=20090630</stp>
        <stp>DS004=USD</stp>
        <stp>Fill=B</stp>
        <tr r="AS163" s="3"/>
      </tp>
      <tp t="s">
        <v>#N/A Connection</v>
        <stp/>
        <stp>##V3_BDPV12</stp>
        <stp>WCARIC Index</stp>
        <stp>PX385</stp>
        <stp>[BI_AUTMG_1_l22cd4li.xlsx]ReferenceData!R184C23</stp>
        <stp>PX391=20141001</stp>
        <stp>PX392=20141231</stp>
        <stp>DS004=USD</stp>
        <stp>Fill=B</stp>
        <tr r="W184" s="3"/>
      </tp>
      <tp t="s">
        <v>#N/A Connection</v>
        <stp/>
        <stp>##V3_BDPV12</stp>
        <stp>WCARLI Index</stp>
        <stp>PX385</stp>
        <stp>[BI_AUTMG_1_l22cd4li.xlsx]ReferenceData!R201C65</stp>
        <stp>PX391=20040401</stp>
        <stp>PX392=20040630</stp>
        <stp>DS004=USD</stp>
        <stp>Fill=B</stp>
        <tr r="BM201" s="3"/>
      </tp>
      <tp t="s">
        <v>#N/A Connection</v>
        <stp/>
        <stp>##V3_BDPV12</stp>
        <stp>WCARIC Index</stp>
        <stp>PX385</stp>
        <stp>[BI_AUTMG_1_l22cd4li.xlsx]ReferenceData!R184C62</stp>
        <stp>PX391=20050101</stp>
        <stp>PX392=20050331</stp>
        <stp>DS004=USD</stp>
        <stp>Fill=B</stp>
        <tr r="BJ184" s="3"/>
      </tp>
      <tp t="s">
        <v>#N/A Connection</v>
        <stp/>
        <stp>##V3_BDPV12</stp>
        <stp>WCARLV Index</stp>
        <stp>PX385</stp>
        <stp>[BI_AUTMG_1_l22cd4li.xlsx]ReferenceData!R200C21</stp>
        <stp>PX391=20150401</stp>
        <stp>PX392=20150630</stp>
        <stp>DS004=USD</stp>
        <stp>Fill=B</stp>
        <tr r="U200" s="3"/>
      </tp>
      <tp t="s">
        <v>#N/A Connection</v>
        <stp/>
        <stp>##V3_BDPV12</stp>
        <stp>WCARSK Index</stp>
        <stp>PX385</stp>
        <stp>[BI_AUTMG_1_l22cd4li.xlsx]ReferenceData!R205C26</stp>
        <stp>PX391=20140101</stp>
        <stp>PX392=20140331</stp>
        <stp>DS004=USD</stp>
        <stp>Fill=B</stp>
        <tr r="Z205" s="3"/>
      </tp>
      <tp t="s">
        <v>#N/A Connection</v>
        <stp/>
        <stp>##V3_BDPV12</stp>
        <stp>WCARRO Index</stp>
        <stp>PX385</stp>
        <stp>[BI_AUTMG_1_l22cd4li.xlsx]ReferenceData!R203C20</stp>
        <stp>PX391=20150701</stp>
        <stp>PX392=20150930</stp>
        <stp>DS004=USD</stp>
        <stp>Fill=B</stp>
        <tr r="T203" s="3"/>
      </tp>
      <tp t="s">
        <v>#N/A Connection</v>
        <stp/>
        <stp>##V3_BDPV12</stp>
        <stp>WCARPO Index</stp>
        <stp>PX385</stp>
        <stp>[BI_AUTMG_1_l22cd4li.xlsx]ReferenceData!R202C64</stp>
        <stp>PX391=20040701</stp>
        <stp>PX392=20040930</stp>
        <stp>DS004=USD</stp>
        <stp>Fill=B</stp>
        <tr r="BL202" s="3"/>
      </tp>
      <tp t="s">
        <v>#N/A Connection</v>
        <stp/>
        <stp>##V3_BDPV12</stp>
        <stp>WCARSK Index</stp>
        <stp>PX385</stp>
        <stp>[BI_AUTMG_1_l22cd4li.xlsx]ReferenceData!R205C59</stp>
        <stp>PX391=20051001</stp>
        <stp>PX392=20051231</stp>
        <stp>DS004=USD</stp>
        <stp>Fill=B</stp>
        <tr r="BG205" s="3"/>
      </tp>
      <tp t="s">
        <v>#N/A Connection</v>
        <stp/>
        <stp>##V3_BDPV12</stp>
        <stp>INVSDPAS Index</stp>
        <stp>PX385</stp>
        <stp>[BI_AUTMG_1_l22cd4li.xlsx]ReferenceData!R163C49</stp>
        <stp>PX391=20080401</stp>
        <stp>PX392=20080630</stp>
        <stp>DS004=USD</stp>
        <stp>Fill=B</stp>
        <tr r="AW163" s="3"/>
      </tp>
      <tp t="s">
        <v>#N/A Connection</v>
        <stp/>
        <stp>##V3_BDPV12</stp>
        <stp>WCARIC Index</stp>
        <stp>PX385</stp>
        <stp>[BI_AUTMG_1_l22cd4li.xlsx]ReferenceData!R184C11</stp>
        <stp>PX391=20171001</stp>
        <stp>PX392=20171231</stp>
        <stp>DS004=USD</stp>
        <stp>Fill=B</stp>
        <tr r="K184" s="3"/>
      </tp>
      <tp t="s">
        <v>#N/A Connection</v>
        <stp/>
        <stp>##V3_BDPV12</stp>
        <stp>WCARLI Index</stp>
        <stp>PX385</stp>
        <stp>[BI_AUTMG_1_l22cd4li.xlsx]ReferenceData!R201C53</stp>
        <stp>PX391=20070401</stp>
        <stp>PX392=20070630</stp>
        <stp>DS004=USD</stp>
        <stp>Fill=B</stp>
        <tr r="BA201" s="3"/>
      </tp>
      <tp t="s">
        <v>#N/A Connection</v>
        <stp/>
        <stp>##V3_BDPV12</stp>
        <stp>WCARIC Index</stp>
        <stp>PX385</stp>
        <stp>[BI_AUTMG_1_l22cd4li.xlsx]ReferenceData!R184C58</stp>
        <stp>PX391=20060101</stp>
        <stp>PX392=20060331</stp>
        <stp>DS004=USD</stp>
        <stp>Fill=B</stp>
        <tr r="BF184" s="3"/>
      </tp>
      <tp t="s">
        <v>#N/A Connection</v>
        <stp/>
        <stp>##V3_BDPV12</stp>
        <stp>WCARLV Index</stp>
        <stp>PX385</stp>
        <stp>[BI_AUTMG_1_l22cd4li.xlsx]ReferenceData!R200C17</stp>
        <stp>PX391=20160401</stp>
        <stp>PX392=20160630</stp>
        <stp>DS004=USD</stp>
        <stp>Fill=B</stp>
        <tr r="Q200" s="3"/>
      </tp>
      <tp t="s">
        <v>#N/A Connection</v>
        <stp/>
        <stp>##V3_BDPV12</stp>
        <stp>WCARSK Index</stp>
        <stp>PX385</stp>
        <stp>[BI_AUTMG_1_l22cd4li.xlsx]ReferenceData!R205C14</stp>
        <stp>PX391=20170101</stp>
        <stp>PX392=20170331</stp>
        <stp>DS004=USD</stp>
        <stp>Fill=B</stp>
        <tr r="N205" s="3"/>
      </tp>
      <tp t="s">
        <v>#N/A Connection</v>
        <stp/>
        <stp>##V3_BDPV12</stp>
        <stp>WCARRO Index</stp>
        <stp>PX385</stp>
        <stp>[BI_AUTMG_1_l22cd4li.xlsx]ReferenceData!R203C16</stp>
        <stp>PX391=20160701</stp>
        <stp>PX392=20160930</stp>
        <stp>DS004=USD</stp>
        <stp>Fill=B</stp>
        <tr r="P203" s="3"/>
      </tp>
      <tp t="s">
        <v>#N/A Connection</v>
        <stp/>
        <stp>##V3_BDPV12</stp>
        <stp>WCARSK Index</stp>
        <stp>PX385</stp>
        <stp>[BI_AUTMG_1_l22cd4li.xlsx]ReferenceData!R205C55</stp>
        <stp>PX391=20061001</stp>
        <stp>PX392=20061231</stp>
        <stp>DS004=USD</stp>
        <stp>Fill=B</stp>
        <tr r="BC205" s="3"/>
      </tp>
      <tp t="s">
        <v>#N/A Connection</v>
        <stp/>
        <stp>##V3_BDPV12</stp>
        <stp>WCARPO Index</stp>
        <stp>PX385</stp>
        <stp>[BI_AUTMG_1_l22cd4li.xlsx]ReferenceData!R202C52</stp>
        <stp>PX391=20070701</stp>
        <stp>PX392=20070930</stp>
        <stp>DS004=USD</stp>
        <stp>Fill=B</stp>
        <tr r="AZ202" s="3"/>
      </tp>
      <tp t="s">
        <v>#N/A Connection</v>
        <stp/>
        <stp>##V3_BDPV12</stp>
        <stp>WCARIC Index</stp>
        <stp>PX385</stp>
        <stp>[BI_AUTMG_1_l22cd4li.xlsx]ReferenceData!R184C15</stp>
        <stp>PX391=20161001</stp>
        <stp>PX392=20161231</stp>
        <stp>DS004=USD</stp>
        <stp>Fill=B</stp>
        <tr r="O184" s="3"/>
      </tp>
      <tp t="s">
        <v>#N/A Connection</v>
        <stp/>
        <stp>##V3_BDPV12</stp>
        <stp>WCARLI Index</stp>
        <stp>PX385</stp>
        <stp>[BI_AUTMG_1_l22cd4li.xlsx]ReferenceData!R201C57</stp>
        <stp>PX391=20060401</stp>
        <stp>PX392=20060630</stp>
        <stp>DS004=USD</stp>
        <stp>Fill=B</stp>
        <tr r="BE201" s="3"/>
      </tp>
      <tp t="s">
        <v>#N/A Connection</v>
        <stp/>
        <stp>##V3_BDPV12</stp>
        <stp>WCARIC Index</stp>
        <stp>PX385</stp>
        <stp>[BI_AUTMG_1_l22cd4li.xlsx]ReferenceData!R184C54</stp>
        <stp>PX391=20070101</stp>
        <stp>PX392=20070331</stp>
        <stp>DS004=USD</stp>
        <stp>Fill=B</stp>
        <tr r="BB184" s="3"/>
      </tp>
      <tp t="s">
        <v>#N/A Connection</v>
        <stp/>
        <stp>##V3_BDPV12</stp>
        <stp>WCARLV Index</stp>
        <stp>PX385</stp>
        <stp>[BI_AUTMG_1_l22cd4li.xlsx]ReferenceData!R200C13</stp>
        <stp>PX391=20170401</stp>
        <stp>PX392=20170630</stp>
        <stp>DS004=USD</stp>
        <stp>Fill=B</stp>
        <tr r="M200" s="3"/>
      </tp>
      <tp t="s">
        <v>#N/A Connection</v>
        <stp/>
        <stp>##V3_BDPV12</stp>
        <stp>WCARSK Index</stp>
        <stp>PX385</stp>
        <stp>[BI_AUTMG_1_l22cd4li.xlsx]ReferenceData!R205C18</stp>
        <stp>PX391=20160101</stp>
        <stp>PX392=20160331</stp>
        <stp>DS004=USD</stp>
        <stp>Fill=B</stp>
        <tr r="R205" s="3"/>
      </tp>
      <tp t="s">
        <v>#N/A Connection</v>
        <stp/>
        <stp>##V3_BDPV12</stp>
        <stp>WCARRO Index</stp>
        <stp>PX385</stp>
        <stp>[BI_AUTMG_1_l22cd4li.xlsx]ReferenceData!R203C12</stp>
        <stp>PX391=20170701</stp>
        <stp>PX392=20170930</stp>
        <stp>DS004=USD</stp>
        <stp>Fill=B</stp>
        <tr r="L203" s="3"/>
      </tp>
      <tp t="s">
        <v>#N/A Connection</v>
        <stp/>
        <stp>##V3_BDPV12</stp>
        <stp>WCARSK Index</stp>
        <stp>PX385</stp>
        <stp>[BI_AUTMG_1_l22cd4li.xlsx]ReferenceData!R205C51</stp>
        <stp>PX391=20071001</stp>
        <stp>PX392=20071231</stp>
        <stp>DS004=USD</stp>
        <stp>Fill=B</stp>
        <tr r="AY205" s="3"/>
      </tp>
      <tp t="s">
        <v>#N/A Connection</v>
        <stp/>
        <stp>##V3_BDPV12</stp>
        <stp>WCARPO Index</stp>
        <stp>PX385</stp>
        <stp>[BI_AUTMG_1_l22cd4li.xlsx]ReferenceData!R202C56</stp>
        <stp>PX391=20060701</stp>
        <stp>PX392=20060930</stp>
        <stp>DS004=USD</stp>
        <stp>Fill=B</stp>
        <tr r="BD202" s="3"/>
      </tp>
      <tp t="s">
        <v>#N/A Connection</v>
        <stp/>
        <stp>##V3_BDPV12</stp>
        <stp>WCARIC Index</stp>
        <stp>PX385</stp>
        <stp>[BI_AUTMG_1_l22cd4li.xlsx]ReferenceData!R184C35</stp>
        <stp>PX391=20111001</stp>
        <stp>PX392=20111231</stp>
        <stp>DS004=USD</stp>
        <stp>Fill=B</stp>
        <tr r="AI184" s="3"/>
      </tp>
      <tp t="s">
        <v>#N/A Connection</v>
        <stp/>
        <stp>##V3_BDPV12</stp>
        <stp>WCARLV Index</stp>
        <stp>PX385</stp>
        <stp>[BI_AUTMG_1_l22cd4li.xlsx]ReferenceData!R200C41</stp>
        <stp>PX391=20100401</stp>
        <stp>PX392=20100630</stp>
        <stp>DS004=USD</stp>
        <stp>Fill=B</stp>
        <tr r="AO200" s="3"/>
      </tp>
      <tp t="s">
        <v>#N/A Connection</v>
        <stp/>
        <stp>##V3_BDPV12</stp>
        <stp>WCARRO Index</stp>
        <stp>PX385</stp>
        <stp>[BI_AUTMG_1_l22cd4li.xlsx]ReferenceData!R203C40</stp>
        <stp>PX391=20100701</stp>
        <stp>PX392=20100930</stp>
        <stp>DS004=USD</stp>
        <stp>Fill=B</stp>
        <tr r="AN203" s="3"/>
      </tp>
      <tp t="s">
        <v>#N/A Connection</v>
        <stp/>
        <stp>##V3_BDPV12</stp>
        <stp>WCARSK Index</stp>
        <stp>PX385</stp>
        <stp>[BI_AUTMG_1_l22cd4li.xlsx]ReferenceData!R205C38</stp>
        <stp>PX391=20110101</stp>
        <stp>PX392=20110331</stp>
        <stp>DS004=USD</stp>
        <stp>Fill=B</stp>
        <tr r="AL205" s="3"/>
      </tp>
      <tp t="s">
        <v>#N/A Connection</v>
        <stp/>
        <stp>##V3_BDPV12</stp>
        <stp>WCARLV Index</stp>
        <stp>PX385</stp>
        <stp>[BI_AUTMG_1_l22cd4li.xlsx]ReferenceData!R200C37</stp>
        <stp>PX391=20110401</stp>
        <stp>PX392=20110630</stp>
        <stp>DS004=USD</stp>
        <stp>Fill=B</stp>
        <tr r="AK200" s="3"/>
      </tp>
      <tp t="s">
        <v>#N/A Connection</v>
        <stp/>
        <stp>##V3_BDPV12</stp>
        <stp>WCARIC Index</stp>
        <stp>PX385</stp>
        <stp>[BI_AUTMG_1_l22cd4li.xlsx]ReferenceData!R184C39</stp>
        <stp>PX391=20101001</stp>
        <stp>PX392=20101231</stp>
        <stp>DS004=USD</stp>
        <stp>Fill=B</stp>
        <tr r="AM184" s="3"/>
      </tp>
      <tp t="s">
        <v>#N/A Connection</v>
        <stp/>
        <stp>##V3_BDPV12</stp>
        <stp>WCARSK Index</stp>
        <stp>PX385</stp>
        <stp>[BI_AUTMG_1_l22cd4li.xlsx]ReferenceData!R205C42</stp>
        <stp>PX391=20100101</stp>
        <stp>PX392=20100331</stp>
        <stp>DS004=USD</stp>
        <stp>Fill=B</stp>
        <tr r="AP205" s="3"/>
      </tp>
      <tp t="s">
        <v>#N/A Connection</v>
        <stp/>
        <stp>##V3_BDPV12</stp>
        <stp>WCARRO Index</stp>
        <stp>PX385</stp>
        <stp>[BI_AUTMG_1_l22cd4li.xlsx]ReferenceData!R203C36</stp>
        <stp>PX391=20110701</stp>
        <stp>PX392=20110930</stp>
        <stp>DS004=USD</stp>
        <stp>Fill=B</stp>
        <tr r="AJ203" s="3"/>
      </tp>
      <tp t="s">
        <v>#N/A Connection</v>
        <stp/>
        <stp>##V3_BDPV12</stp>
        <stp>WCARLV Index</stp>
        <stp>PX385</stp>
        <stp>[BI_AUTMG_1_l22cd4li.xlsx]ReferenceData!R200C33</stp>
        <stp>PX391=20120401</stp>
        <stp>PX392=20120630</stp>
        <stp>DS004=USD</stp>
        <stp>Fill=B</stp>
        <tr r="AG200" s="3"/>
      </tp>
      <tp t="s">
        <v>#N/A Connection</v>
        <stp/>
        <stp>##V3_BDPV12</stp>
        <stp>WCARIC Index</stp>
        <stp>PX385</stp>
        <stp>[BI_AUTMG_1_l22cd4li.xlsx]ReferenceData!R184C27</stp>
        <stp>PX391=20131001</stp>
        <stp>PX392=20131231</stp>
        <stp>DS004=USD</stp>
        <stp>Fill=B</stp>
        <tr r="AA184" s="3"/>
      </tp>
      <tp t="s">
        <v>#N/A Connection</v>
        <stp/>
        <stp>##V3_BDPV12</stp>
        <stp>WCARSK Index</stp>
        <stp>PX385</stp>
        <stp>[BI_AUTMG_1_l22cd4li.xlsx]ReferenceData!R205C30</stp>
        <stp>PX391=20130101</stp>
        <stp>PX392=20130331</stp>
        <stp>DS004=USD</stp>
        <stp>Fill=B</stp>
        <tr r="AD205" s="3"/>
      </tp>
      <tp t="s">
        <v>#N/A Connection</v>
        <stp/>
        <stp>##V3_BDPV12</stp>
        <stp>WCARRO Index</stp>
        <stp>PX385</stp>
        <stp>[BI_AUTMG_1_l22cd4li.xlsx]ReferenceData!R203C32</stp>
        <stp>PX391=20120701</stp>
        <stp>PX392=20120930</stp>
        <stp>DS004=USD</stp>
        <stp>Fill=B</stp>
        <tr r="AF203" s="3"/>
      </tp>
      <tp t="s">
        <v>#N/A Connection</v>
        <stp/>
        <stp>##V3_BDPV12</stp>
        <stp>WCARLV Index</stp>
        <stp>PX385</stp>
        <stp>[BI_AUTMG_1_l22cd4li.xlsx]ReferenceData!R200C29</stp>
        <stp>PX391=20130401</stp>
        <stp>PX392=20130630</stp>
        <stp>DS004=USD</stp>
        <stp>Fill=B</stp>
        <tr r="AC200" s="3"/>
      </tp>
      <tp t="s">
        <v>#N/A Connection</v>
        <stp/>
        <stp>##V3_BDPV12</stp>
        <stp>WCARIC Index</stp>
        <stp>PX385</stp>
        <stp>[BI_AUTMG_1_l22cd4li.xlsx]ReferenceData!R184C31</stp>
        <stp>PX391=20121001</stp>
        <stp>PX392=20121231</stp>
        <stp>DS004=USD</stp>
        <stp>Fill=B</stp>
        <tr r="AE184" s="3"/>
      </tp>
      <tp t="s">
        <v>#N/A Connection</v>
        <stp/>
        <stp>##V3_BDPV12</stp>
        <stp>WCARRO Index</stp>
        <stp>PX385</stp>
        <stp>[BI_AUTMG_1_l22cd4li.xlsx]ReferenceData!R203C28</stp>
        <stp>PX391=20130701</stp>
        <stp>PX392=20130930</stp>
        <stp>DS004=USD</stp>
        <stp>Fill=B</stp>
        <tr r="AB203" s="3"/>
      </tp>
      <tp t="s">
        <v>#N/A Connection</v>
        <stp/>
        <stp>##V3_BDPV12</stp>
        <stp>WCARSK Index</stp>
        <stp>PX385</stp>
        <stp>[BI_AUTMG_1_l22cd4li.xlsx]ReferenceData!R205C34</stp>
        <stp>PX391=20120101</stp>
        <stp>PX392=20120331</stp>
        <stp>DS004=USD</stp>
        <stp>Fill=B</stp>
        <tr r="AH205" s="3"/>
      </tp>
      <tp t="s">
        <v>#N/A Connection</v>
        <stp/>
        <stp>##V3_BDPV12</stp>
        <stp>IDVHCLOC Index</stp>
        <stp>PX385</stp>
        <stp>[BI_AUTMG_1_l22cd4li.xlsx]ReferenceData!R166C16</stp>
        <stp>PX391=20160701</stp>
        <stp>PX392=20160930</stp>
        <stp>DS004=USD</stp>
        <stp>Fill=B</stp>
        <tr r="P166" s="3"/>
      </tp>
      <tp t="s">
        <v>#N/A Connection</v>
        <stp/>
        <stp>##V3_BDPV12</stp>
        <stp>AUTMKRVS Index</stp>
        <stp>PX385</stp>
        <stp>[BI_AUTMG_1_l22cd4li.xlsx]ReferenceData!R171C46</stp>
        <stp>PX391=20090101</stp>
        <stp>PX392=20090331</stp>
        <stp>DS004=USD</stp>
        <stp>Fill=B</stp>
        <tr r="AT171" s="3"/>
      </tp>
      <tp t="s">
        <v>#N/A Connection</v>
        <stp/>
        <stp>##V3_BDPV12</stp>
        <stp>IDVHCLOC Index</stp>
        <stp>PX385</stp>
        <stp>[BI_AUTMG_1_l22cd4li.xlsx]ReferenceData!R166C12</stp>
        <stp>PX391=20170701</stp>
        <stp>PX392=20170930</stp>
        <stp>DS004=USD</stp>
        <stp>Fill=B</stp>
        <tr r="L166" s="3"/>
      </tp>
      <tp t="s">
        <v>#N/A Connection</v>
        <stp/>
        <stp>##V3_BDPV12</stp>
        <stp>AUTMKRVS Index</stp>
        <stp>PX385</stp>
        <stp>[BI_AUTMG_1_l22cd4li.xlsx]ReferenceData!R171C50</stp>
        <stp>PX391=20080101</stp>
        <stp>PX392=20080331</stp>
        <stp>DS004=USD</stp>
        <stp>Fill=B</stp>
        <tr r="AX171" s="3"/>
      </tp>
      <tp t="s">
        <v>#N/A Connection</v>
        <stp/>
        <stp>##V3_BDPV12</stp>
        <stp>IDVHCLOC Index</stp>
        <stp>PX385</stp>
        <stp>[BI_AUTMG_1_l22cd4li.xlsx]ReferenceData!R166C24</stp>
        <stp>PX391=20140701</stp>
        <stp>PX392=20140930</stp>
        <stp>DS004=USD</stp>
        <stp>Fill=B</stp>
        <tr r="X166" s="3"/>
      </tp>
      <tp t="s">
        <v>#N/A Connection</v>
        <stp/>
        <stp>##V3_BDPV12</stp>
        <stp>IDVHCLOC Index</stp>
        <stp>PX385</stp>
        <stp>[BI_AUTMG_1_l22cd4li.xlsx]ReferenceData!R166C20</stp>
        <stp>PX391=20150701</stp>
        <stp>PX392=20150930</stp>
        <stp>DS004=USD</stp>
        <stp>Fill=B</stp>
        <tr r="T166" s="3"/>
      </tp>
      <tp t="s">
        <v>#N/A Connection</v>
        <stp/>
        <stp>##V3_BDPV12</stp>
        <stp>IDVHCLOC Index</stp>
        <stp>PX385</stp>
        <stp>[BI_AUTMG_1_l22cd4li.xlsx]ReferenceData!R166C32</stp>
        <stp>PX391=20120701</stp>
        <stp>PX392=20120930</stp>
        <stp>DS004=USD</stp>
        <stp>Fill=B</stp>
        <tr r="AF166" s="3"/>
      </tp>
      <tp t="s">
        <v>#N/A Connection</v>
        <stp/>
        <stp>##V3_BDPV12</stp>
        <stp>IDVHCLOC Index</stp>
        <stp>PX385</stp>
        <stp>[BI_AUTMG_1_l22cd4li.xlsx]ReferenceData!R166C28</stp>
        <stp>PX391=20130701</stp>
        <stp>PX392=20130930</stp>
        <stp>DS004=USD</stp>
        <stp>Fill=B</stp>
        <tr r="AB166" s="3"/>
      </tp>
      <tp t="s">
        <v>#N/A Connection</v>
        <stp/>
        <stp>##V3_BDPV12</stp>
        <stp>NAAMCARS Index</stp>
        <stp>PX385</stp>
        <stp>[BI_AUTMG_1_l22cd4li.xlsx]ReferenceData!R217C47</stp>
        <stp>PX391=20081001</stp>
        <stp>PX392=20081231</stp>
        <stp>DS004=USD</stp>
        <stp>Fill=B</stp>
        <tr r="AU217" s="3"/>
      </tp>
      <tp t="s">
        <v>#N/A Connection</v>
        <stp/>
        <stp>##V3_BDPV12</stp>
        <stp>IDVHCLOC Index</stp>
        <stp>PX385</stp>
        <stp>[BI_AUTMG_1_l22cd4li.xlsx]ReferenceData!R166C40</stp>
        <stp>PX391=20100701</stp>
        <stp>PX392=20100930</stp>
        <stp>DS004=USD</stp>
        <stp>Fill=B</stp>
        <tr r="AN166" s="3"/>
      </tp>
      <tp t="s">
        <v>#N/A Connection</v>
        <stp/>
        <stp>##V3_BDPV12</stp>
        <stp>NAAMCARS Index</stp>
        <stp>PX385</stp>
        <stp>[BI_AUTMG_1_l22cd4li.xlsx]ReferenceData!R217C43</stp>
        <stp>PX391=20091001</stp>
        <stp>PX392=20091231</stp>
        <stp>DS004=USD</stp>
        <stp>Fill=B</stp>
        <tr r="AQ217" s="3"/>
      </tp>
      <tp t="s">
        <v>#N/A Connection</v>
        <stp/>
        <stp>##V3_BDPV12</stp>
        <stp>IDVHCLOC Index</stp>
        <stp>PX385</stp>
        <stp>[BI_AUTMG_1_l22cd4li.xlsx]ReferenceData!R166C36</stp>
        <stp>PX391=20110701</stp>
        <stp>PX392=20110930</stp>
        <stp>DS004=USD</stp>
        <stp>Fill=B</stp>
        <tr r="AJ166" s="3"/>
      </tp>
      <tp t="s">
        <v>#N/A Connection</v>
        <stp/>
        <stp>##V3_BDPV12</stp>
        <stp>NAAMCARS Index</stp>
        <stp>PX385</stp>
        <stp>[BI_AUTMG_1_l22cd4li.xlsx]ReferenceData!R217C10</stp>
        <stp>PX391=20180101</stp>
        <stp>PX392=20180331</stp>
        <stp>DS004=USD</stp>
        <stp>Fill=B</stp>
        <tr r="J217" s="3"/>
      </tp>
      <tp t="s">
        <v>#N/A Connection</v>
        <stp/>
        <stp>##V3_BDPV12</stp>
        <stp>NAAMCARS Index</stp>
        <stp>PX385</stp>
        <stp>[BI_AUTMG_1_l22cd4li.xlsx]ReferenceData!R217C14</stp>
        <stp>PX391=20170101</stp>
        <stp>PX392=20170331</stp>
        <stp>DS004=USD</stp>
        <stp>Fill=B</stp>
        <tr r="N217" s="3"/>
      </tp>
      <tp t="s">
        <v>#N/A Connection</v>
        <stp/>
        <stp>##V3_BDPV12</stp>
        <stp>NAAMCARS Index</stp>
        <stp>PX385</stp>
        <stp>[BI_AUTMG_1_l22cd4li.xlsx]ReferenceData!R217C55</stp>
        <stp>PX391=20061001</stp>
        <stp>PX392=20061231</stp>
        <stp>DS004=USD</stp>
        <stp>Fill=B</stp>
        <tr r="BC217" s="3"/>
      </tp>
      <tp t="s">
        <v>#N/A Connection</v>
        <stp/>
        <stp>##V3_BDPV12</stp>
        <stp>AUTMKRVS Index</stp>
        <stp>PX385</stp>
        <stp>[BI_AUTMG_1_l22cd4li.xlsx]ReferenceData!R171C39</stp>
        <stp>PX391=20101001</stp>
        <stp>PX392=20101231</stp>
        <stp>DS004=USD</stp>
        <stp>Fill=B</stp>
        <tr r="AM171" s="3"/>
      </tp>
      <tp t="s">
        <v>#N/A Connection</v>
        <stp/>
        <stp>##V3_BDPV12</stp>
        <stp>NAAMCARS Index</stp>
        <stp>PX385</stp>
        <stp>[BI_AUTMG_1_l22cd4li.xlsx]ReferenceData!R217C18</stp>
        <stp>PX391=20160101</stp>
        <stp>PX392=20160331</stp>
        <stp>DS004=USD</stp>
        <stp>Fill=B</stp>
        <tr r="R217" s="3"/>
      </tp>
      <tp t="s">
        <v>#N/A Connection</v>
        <stp/>
        <stp>##V3_BDPV12</stp>
        <stp>NAAMCARS Index</stp>
        <stp>PX385</stp>
        <stp>[BI_AUTMG_1_l22cd4li.xlsx]ReferenceData!R217C51</stp>
        <stp>PX391=20071001</stp>
        <stp>PX392=20071231</stp>
        <stp>DS004=USD</stp>
        <stp>Fill=B</stp>
        <tr r="AY217" s="3"/>
      </tp>
      <tp t="s">
        <v>#N/A Connection</v>
        <stp/>
        <stp>##V3_BDPV12</stp>
        <stp>AUTMKRVS Index</stp>
        <stp>PX385</stp>
        <stp>[BI_AUTMG_1_l22cd4li.xlsx]ReferenceData!R171C35</stp>
        <stp>PX391=20111001</stp>
        <stp>PX392=20111231</stp>
        <stp>DS004=USD</stp>
        <stp>Fill=B</stp>
        <tr r="AI171" s="3"/>
      </tp>
      <tp t="s">
        <v>#N/A Connection</v>
        <stp/>
        <stp>##V3_BDPV12</stp>
        <stp>NAAMCARS Index</stp>
        <stp>PX385</stp>
        <stp>[BI_AUTMG_1_l22cd4li.xlsx]ReferenceData!R217C22</stp>
        <stp>PX391=20150101</stp>
        <stp>PX392=20150331</stp>
        <stp>DS004=USD</stp>
        <stp>Fill=B</stp>
        <tr r="V217" s="3"/>
      </tp>
      <tp t="s">
        <v>#N/A Connection</v>
        <stp/>
        <stp>##V3_BDPV12</stp>
        <stp>NAAMCARS Index</stp>
        <stp>PX385</stp>
        <stp>[BI_AUTMG_1_l22cd4li.xlsx]ReferenceData!R217C63</stp>
        <stp>PX391=20041001</stp>
        <stp>PX392=20041231</stp>
        <stp>DS004=USD</stp>
        <stp>Fill=B</stp>
        <tr r="BK217" s="3"/>
      </tp>
      <tp t="s">
        <v>#N/A Connection</v>
        <stp/>
        <stp>##V3_BDPV12</stp>
        <stp>AUTMKRVS Index</stp>
        <stp>PX385</stp>
        <stp>[BI_AUTMG_1_l22cd4li.xlsx]ReferenceData!R171C31</stp>
        <stp>PX391=20121001</stp>
        <stp>PX392=20121231</stp>
        <stp>DS004=USD</stp>
        <stp>Fill=B</stp>
        <tr r="AE171" s="3"/>
      </tp>
      <tp t="s">
        <v>#N/A Connection</v>
        <stp/>
        <stp>##V3_BDPV12</stp>
        <stp>NAAMCARS Index</stp>
        <stp>PX385</stp>
        <stp>[BI_AUTMG_1_l22cd4li.xlsx]ReferenceData!R217C26</stp>
        <stp>PX391=20140101</stp>
        <stp>PX392=20140331</stp>
        <stp>DS004=USD</stp>
        <stp>Fill=B</stp>
        <tr r="Z217" s="3"/>
      </tp>
      <tp t="s">
        <v>#N/A Connection</v>
        <stp/>
        <stp>##V3_BDPV12</stp>
        <stp>NAAMCARS Index</stp>
        <stp>PX385</stp>
        <stp>[BI_AUTMG_1_l22cd4li.xlsx]ReferenceData!R217C59</stp>
        <stp>PX391=20051001</stp>
        <stp>PX392=20051231</stp>
        <stp>DS004=USD</stp>
        <stp>Fill=B</stp>
        <tr r="BG217" s="3"/>
      </tp>
      <tp t="s">
        <v>#N/A Connection</v>
        <stp/>
        <stp>##V3_BDPV12</stp>
        <stp>AUTMKRVS Index</stp>
        <stp>PX385</stp>
        <stp>[BI_AUTMG_1_l22cd4li.xlsx]ReferenceData!R171C27</stp>
        <stp>PX391=20131001</stp>
        <stp>PX392=20131231</stp>
        <stp>DS004=USD</stp>
        <stp>Fill=B</stp>
        <tr r="AA171" s="3"/>
      </tp>
      <tp t="s">
        <v>#N/A Connection</v>
        <stp/>
        <stp>##V3_BDPV12</stp>
        <stp>NAAMCARS Index</stp>
        <stp>PX385</stp>
        <stp>[BI_AUTMG_1_l22cd4li.xlsx]ReferenceData!R217C30</stp>
        <stp>PX391=20130101</stp>
        <stp>PX392=20130331</stp>
        <stp>DS004=USD</stp>
        <stp>Fill=B</stp>
        <tr r="AD217" s="3"/>
      </tp>
      <tp t="s">
        <v>#N/A Connection</v>
        <stp/>
        <stp>##V3_BDPV12</stp>
        <stp>AUTMKRVS Index</stp>
        <stp>PX385</stp>
        <stp>[BI_AUTMG_1_l22cd4li.xlsx]ReferenceData!R171C23</stp>
        <stp>PX391=20141001</stp>
        <stp>PX392=20141231</stp>
        <stp>DS004=USD</stp>
        <stp>Fill=B</stp>
        <tr r="W171" s="3"/>
      </tp>
      <tp t="s">
        <v>#N/A Connection</v>
        <stp/>
        <stp>##V3_BDPV12</stp>
        <stp>AUTMKRVS Index</stp>
        <stp>PX385</stp>
        <stp>[BI_AUTMG_1_l22cd4li.xlsx]ReferenceData!R171C62</stp>
        <stp>PX391=20050101</stp>
        <stp>PX392=20050331</stp>
        <stp>DS004=USD</stp>
        <stp>Fill=B</stp>
        <tr r="BJ171" s="3"/>
      </tp>
      <tp t="s">
        <v>#N/A Connection</v>
        <stp/>
        <stp>##V3_BDPV12</stp>
        <stp>NAAMCARS Index</stp>
        <stp>PX385</stp>
        <stp>[BI_AUTMG_1_l22cd4li.xlsx]ReferenceData!R217C34</stp>
        <stp>PX391=20120101</stp>
        <stp>PX392=20120331</stp>
        <stp>DS004=USD</stp>
        <stp>Fill=B</stp>
        <tr r="AH217" s="3"/>
      </tp>
      <tp t="s">
        <v>#N/A Connection</v>
        <stp/>
        <stp>##V3_BDPV12</stp>
        <stp>AUTMKRVS Index</stp>
        <stp>PX385</stp>
        <stp>[BI_AUTMG_1_l22cd4li.xlsx]ReferenceData!R171C19</stp>
        <stp>PX391=20151001</stp>
        <stp>PX392=20151231</stp>
        <stp>DS004=USD</stp>
        <stp>Fill=B</stp>
        <tr r="S171" s="3"/>
      </tp>
      <tp t="s">
        <v>#N/A Connection</v>
        <stp/>
        <stp>##V3_BDPV12</stp>
        <stp>NAAMCARS Index</stp>
        <stp>PX385</stp>
        <stp>[BI_AUTMG_1_l22cd4li.xlsx]ReferenceData!R217C38</stp>
        <stp>PX391=20110101</stp>
        <stp>PX392=20110331</stp>
        <stp>DS004=USD</stp>
        <stp>Fill=B</stp>
        <tr r="AL217" s="3"/>
      </tp>
      <tp t="s">
        <v>#N/A Connection</v>
        <stp/>
        <stp>##V3_BDPV12</stp>
        <stp>AUTMKRVS Index</stp>
        <stp>PX385</stp>
        <stp>[BI_AUTMG_1_l22cd4li.xlsx]ReferenceData!R171C15</stp>
        <stp>PX391=20161001</stp>
        <stp>PX392=20161231</stp>
        <stp>DS004=USD</stp>
        <stp>Fill=B</stp>
        <tr r="O171" s="3"/>
      </tp>
      <tp t="s">
        <v>#N/A Connection</v>
        <stp/>
        <stp>##V3_BDPV12</stp>
        <stp>AUTMKRVS Index</stp>
        <stp>PX385</stp>
        <stp>[BI_AUTMG_1_l22cd4li.xlsx]ReferenceData!R171C54</stp>
        <stp>PX391=20070101</stp>
        <stp>PX392=20070331</stp>
        <stp>DS004=USD</stp>
        <stp>Fill=B</stp>
        <tr r="BB171" s="3"/>
      </tp>
      <tp t="s">
        <v>#N/A Connection</v>
        <stp/>
        <stp>##V3_BDPV12</stp>
        <stp>NAAMCARS Index</stp>
        <stp>PX385</stp>
        <stp>[BI_AUTMG_1_l22cd4li.xlsx]ReferenceData!R217C42</stp>
        <stp>PX391=20100101</stp>
        <stp>PX392=20100331</stp>
        <stp>DS004=USD</stp>
        <stp>Fill=B</stp>
        <tr r="AP217" s="3"/>
      </tp>
      <tp t="s">
        <v>#N/A Connection</v>
        <stp/>
        <stp>##V3_BDPV12</stp>
        <stp>AUTMKRVS Index</stp>
        <stp>PX385</stp>
        <stp>[BI_AUTMG_1_l22cd4li.xlsx]ReferenceData!R171C11</stp>
        <stp>PX391=20171001</stp>
        <stp>PX392=20171231</stp>
        <stp>DS004=USD</stp>
        <stp>Fill=B</stp>
        <tr r="K171" s="3"/>
      </tp>
      <tp t="s">
        <v>#N/A Connection</v>
        <stp/>
        <stp>##V3_BDPV12</stp>
        <stp>AUTMKRVS Index</stp>
        <stp>PX385</stp>
        <stp>[BI_AUTMG_1_l22cd4li.xlsx]ReferenceData!R171C58</stp>
        <stp>PX391=20060101</stp>
        <stp>PX392=20060331</stp>
        <stp>DS004=USD</stp>
        <stp>Fill=B</stp>
        <tr r="BF171" s="3"/>
      </tp>
      <tp t="s">
        <v>#N/A Connection</v>
        <stp/>
        <stp>##V3_BDPV12</stp>
        <stp>INVSDMUT Index</stp>
        <stp>PX385</stp>
        <stp>[BI_AUTMG_1_l22cd4li.xlsx]ReferenceData!R164C6</stp>
        <stp>PX391=20190101</stp>
        <stp>PX392=20190331</stp>
        <stp>DS004=USD</stp>
        <stp>Fill=B</stp>
        <tr r="F164" s="3"/>
      </tp>
      <tp t="s">
        <v>#N/A Connection</v>
        <stp/>
        <stp>##V3_BDPV12</stp>
        <stp>MXVHTOTL Index</stp>
        <stp>PX385</stp>
        <stp>[BI_AUTMG_1_l22cd4li.xlsx]ReferenceData!R207C9</stp>
        <stp>PX391=20180401</stp>
        <stp>PX392=20180630</stp>
        <stp>DS004=USD</stp>
        <stp>Fill=B</stp>
        <tr r="I207" s="3"/>
      </tp>
      <tp t="s">
        <v>#N/A Connection</v>
        <stp/>
        <stp>##V3_BDPV12</stp>
        <stp>ASTOTTRK Index</stp>
        <stp>PX385</stp>
        <stp>[BI_AUTMG_1_l22cd4li.xlsx]ReferenceData!R209C9</stp>
        <stp>PX391=20180401</stp>
        <stp>PX392=20180630</stp>
        <stp>DS004=USD</stp>
        <stp>Fill=B</stp>
        <tr r="I209" s="3"/>
      </tp>
      <tp t="s">
        <v>#N/A Connection</v>
        <stp/>
        <stp>##V3_BDPV12</stp>
        <stp>BZVLTOTL Index</stp>
        <stp>PX385</stp>
        <stp>[BI_AUTMG_1_l22cd4li.xlsx]ReferenceData!R211C6</stp>
        <stp>PX391=20190101</stp>
        <stp>PX392=20190331</stp>
        <stp>DS004=USD</stp>
        <stp>Fill=B</stp>
        <tr r="F211" s="3"/>
      </tp>
      <tp t="s">
        <v>#N/A Connection</v>
        <stp/>
        <stp>##V3_BDPV12</stp>
        <stp>COVSTCAR Index</stp>
        <stp>PX385</stp>
        <stp>[BI_AUTMG_1_l22cd4li.xlsx]ReferenceData!R213C7</stp>
        <stp>PX391=20181001</stp>
        <stp>PX392=20181231</stp>
        <stp>DS004=USD</stp>
        <stp>Fill=B</stp>
        <tr r="G213" s="3"/>
      </tp>
      <tp t="s">
        <v>#N/A Connection</v>
        <stp/>
        <stp>##V3_BDPV12</stp>
        <stp>BJTRNPGV Index</stp>
        <stp>PX385</stp>
        <stp>[BI_AUTMG_1_l22cd4li.xlsx]ReferenceData!R215C22</stp>
        <stp>PX391=20150101</stp>
        <stp>PX392=20150331</stp>
        <stp>DS004=USD</stp>
        <stp>Fill=B</stp>
        <tr r="V215" s="3"/>
      </tp>
      <tp t="s">
        <v>#N/A Connection</v>
        <stp/>
        <stp>##V3_BDPV12</stp>
        <stp>BJTRNPGV Index</stp>
        <stp>PX385</stp>
        <stp>[BI_AUTMG_1_l22cd4li.xlsx]ReferenceData!R215C63</stp>
        <stp>PX391=20041001</stp>
        <stp>PX392=20041231</stp>
        <stp>DS004=USD</stp>
        <stp>Fill=B</stp>
        <tr r="BK215" s="3"/>
      </tp>
      <tp t="s">
        <v>#N/A Connection</v>
        <stp/>
        <stp>##V3_BDPV12</stp>
        <stp>BJTRNPGV Index</stp>
        <stp>PX385</stp>
        <stp>[BI_AUTMG_1_l22cd4li.xlsx]ReferenceData!R215C26</stp>
        <stp>PX391=20140101</stp>
        <stp>PX392=20140331</stp>
        <stp>DS004=USD</stp>
        <stp>Fill=B</stp>
        <tr r="Z215" s="3"/>
      </tp>
      <tp t="s">
        <v>#N/A Connection</v>
        <stp/>
        <stp>##V3_BDPV12</stp>
        <stp>BJTRNPGV Index</stp>
        <stp>PX385</stp>
        <stp>[BI_AUTMG_1_l22cd4li.xlsx]ReferenceData!R215C59</stp>
        <stp>PX391=20051001</stp>
        <stp>PX392=20051231</stp>
        <stp>DS004=USD</stp>
        <stp>Fill=B</stp>
        <tr r="BG215" s="3"/>
      </tp>
      <tp t="s">
        <v>#N/A Connection</v>
        <stp/>
        <stp>##V3_BDPV12</stp>
        <stp>BJTRNPGV Index</stp>
        <stp>PX385</stp>
        <stp>[BI_AUTMG_1_l22cd4li.xlsx]ReferenceData!R215C14</stp>
        <stp>PX391=20170101</stp>
        <stp>PX392=20170331</stp>
        <stp>DS004=USD</stp>
        <stp>Fill=B</stp>
        <tr r="N215" s="3"/>
      </tp>
      <tp t="s">
        <v>#N/A Connection</v>
        <stp/>
        <stp>##V3_BDPV12</stp>
        <stp>BJTRNPGV Index</stp>
        <stp>PX385</stp>
        <stp>[BI_AUTMG_1_l22cd4li.xlsx]ReferenceData!R215C55</stp>
        <stp>PX391=20061001</stp>
        <stp>PX392=20061231</stp>
        <stp>DS004=USD</stp>
        <stp>Fill=B</stp>
        <tr r="BC215" s="3"/>
      </tp>
      <tp t="s">
        <v>#N/A Connection</v>
        <stp/>
        <stp>##V3_BDPV12</stp>
        <stp>BJTRNPGV Index</stp>
        <stp>PX385</stp>
        <stp>[BI_AUTMG_1_l22cd4li.xlsx]ReferenceData!R215C18</stp>
        <stp>PX391=20160101</stp>
        <stp>PX392=20160331</stp>
        <stp>DS004=USD</stp>
        <stp>Fill=B</stp>
        <tr r="R215" s="3"/>
      </tp>
      <tp t="s">
        <v>#N/A Connection</v>
        <stp/>
        <stp>##V3_BDPV12</stp>
        <stp>BJTRNPGV Index</stp>
        <stp>PX385</stp>
        <stp>[BI_AUTMG_1_l22cd4li.xlsx]ReferenceData!R215C51</stp>
        <stp>PX391=20071001</stp>
        <stp>PX392=20071231</stp>
        <stp>DS004=USD</stp>
        <stp>Fill=B</stp>
        <tr r="AY215" s="3"/>
      </tp>
      <tp t="s">
        <v>#N/A Connection</v>
        <stp/>
        <stp>##V3_BDPV12</stp>
        <stp>TUCSMP Index</stp>
        <stp>PX385</stp>
        <stp>[BI_AUTMG_1_l22cd4li.xlsx]ReferenceData!R194C10</stp>
        <stp>PX391=20180101</stp>
        <stp>PX392=20180331</stp>
        <stp>DS004=USD</stp>
        <stp>Fill=B</stp>
        <tr r="J194" s="3"/>
      </tp>
      <tp t="s">
        <v>#N/A Connection</v>
        <stp/>
        <stp>##V3_BDPV12</stp>
        <stp>TUCSMP Index</stp>
        <stp>PX385</stp>
        <stp>[BI_AUTMG_1_l22cd4li.xlsx]ReferenceData!R194C43</stp>
        <stp>PX391=20091001</stp>
        <stp>PX392=20091231</stp>
        <stp>DS004=USD</stp>
        <stp>Fill=B</stp>
        <tr r="AQ194" s="3"/>
      </tp>
      <tp t="s">
        <v>#N/A Connection</v>
        <stp/>
        <stp>##V3_BDPV12</stp>
        <stp>WCARLI Index</stp>
        <stp>PX385</stp>
        <stp>[BI_AUTMG_1_l22cd4li.xlsx]ReferenceData!R201C44</stp>
        <stp>PX391=20090701</stp>
        <stp>PX392=20090930</stp>
        <stp>DS004=USD</stp>
        <stp>Fill=B</stp>
        <tr r="AR201" s="3"/>
      </tp>
      <tp t="s">
        <v>#N/A Connection</v>
        <stp/>
        <stp>##V3_BDPV12</stp>
        <stp>WCARCZ Index</stp>
        <stp>PX385</stp>
        <stp>[BI_AUTMG_1_l22cd4li.xlsx]ReferenceData!R197C50</stp>
        <stp>PX391=20080101</stp>
        <stp>PX392=20080331</stp>
        <stp>DS004=USD</stp>
        <stp>Fill=B</stp>
        <tr r="AX197" s="3"/>
      </tp>
      <tp t="s">
        <v>#N/A Connection</v>
        <stp/>
        <stp>##V3_BDPV12</stp>
        <stp>WCARBG Index</stp>
        <stp>PX385</stp>
        <stp>[BI_AUTMG_1_l22cd4li.xlsx]ReferenceData!R196C47</stp>
        <stp>PX391=20081001</stp>
        <stp>PX392=20081231</stp>
        <stp>DS004=USD</stp>
        <stp>Fill=B</stp>
        <tr r="AU196" s="3"/>
      </tp>
      <tp t="s">
        <v>#N/A Connection</v>
        <stp/>
        <stp>##V3_BDPV12</stp>
        <stp>WCARPO Index</stp>
        <stp>PX385</stp>
        <stp>[BI_AUTMG_1_l22cd4li.xlsx]ReferenceData!R202C45</stp>
        <stp>PX391=20090401</stp>
        <stp>PX392=20090630</stp>
        <stp>DS004=USD</stp>
        <stp>Fill=B</stp>
        <tr r="AS202" s="3"/>
      </tp>
      <tp t="s">
        <v>#N/A Connection</v>
        <stp/>
        <stp>##V3_BDPV12</stp>
        <stp>WCARSI Index</stp>
        <stp>PX385</stp>
        <stp>[BI_AUTMG_1_l22cd4li.xlsx]ReferenceData!R206C47</stp>
        <stp>PX391=20081001</stp>
        <stp>PX392=20081231</stp>
        <stp>DS004=USD</stp>
        <stp>Fill=B</stp>
        <tr r="AU206" s="3"/>
      </tp>
      <tp t="s">
        <v>#N/A Connection</v>
        <stp/>
        <stp>##V3_BDPV12</stp>
        <stp>INVSDPAS Index</stp>
        <stp>PX385</stp>
        <stp>[BI_AUTMG_1_l22cd4li.xlsx]ReferenceData!R163C60</stp>
        <stp>PX391=20050701</stp>
        <stp>PX392=20050930</stp>
        <stp>DS004=USD</stp>
        <stp>Fill=B</stp>
        <tr r="BH163" s="3"/>
      </tp>
      <tp t="s">
        <v>#N/A Connection</v>
        <stp/>
        <stp>##V3_BDPV12</stp>
        <stp>BJTRNPGV Index</stp>
        <stp>PX385</stp>
        <stp>[BI_AUTMG_1_l22cd4li.xlsx]ReferenceData!R215C38</stp>
        <stp>PX391=20110101</stp>
        <stp>PX392=20110331</stp>
        <stp>DS004=USD</stp>
        <stp>Fill=B</stp>
        <tr r="AL215" s="3"/>
      </tp>
      <tp t="s">
        <v>#N/A Connection</v>
        <stp/>
        <stp>##V3_BDPV12</stp>
        <stp>TUCSMP Index</stp>
        <stp>PX385</stp>
        <stp>[BI_AUTMG_1_l22cd4li.xlsx]ReferenceData!R194C47</stp>
        <stp>PX391=20081001</stp>
        <stp>PX392=20081231</stp>
        <stp>DS004=USD</stp>
        <stp>Fill=B</stp>
        <tr r="AU194" s="3"/>
      </tp>
      <tp t="s">
        <v>#N/A Connection</v>
        <stp/>
        <stp>##V3_BDPV12</stp>
        <stp>WCARLI Index</stp>
        <stp>PX385</stp>
        <stp>[BI_AUTMG_1_l22cd4li.xlsx]ReferenceData!R201C48</stp>
        <stp>PX391=20080701</stp>
        <stp>PX392=20080930</stp>
        <stp>DS004=USD</stp>
        <stp>Fill=B</stp>
        <tr r="AV201" s="3"/>
      </tp>
      <tp t="s">
        <v>#N/A Connection</v>
        <stp/>
        <stp>##V3_BDPV12</stp>
        <stp>WCARCZ Index</stp>
        <stp>PX385</stp>
        <stp>[BI_AUTMG_1_l22cd4li.xlsx]ReferenceData!R197C46</stp>
        <stp>PX391=20090101</stp>
        <stp>PX392=20090331</stp>
        <stp>DS004=USD</stp>
        <stp>Fill=B</stp>
        <tr r="AT197" s="3"/>
      </tp>
      <tp t="s">
        <v>#N/A Connection</v>
        <stp/>
        <stp>##V3_BDPV12</stp>
        <stp>WCARBG Index</stp>
        <stp>PX385</stp>
        <stp>[BI_AUTMG_1_l22cd4li.xlsx]ReferenceData!R196C43</stp>
        <stp>PX391=20091001</stp>
        <stp>PX392=20091231</stp>
        <stp>DS004=USD</stp>
        <stp>Fill=B</stp>
        <tr r="AQ196" s="3"/>
      </tp>
      <tp t="s">
        <v>#N/A Connection</v>
        <stp/>
        <stp>##V3_BDPV12</stp>
        <stp>WCARBG Index</stp>
        <stp>PX385</stp>
        <stp>[BI_AUTMG_1_l22cd4li.xlsx]ReferenceData!R196C10</stp>
        <stp>PX391=20180101</stp>
        <stp>PX392=20180331</stp>
        <stp>DS004=USD</stp>
        <stp>Fill=B</stp>
        <tr r="J196" s="3"/>
      </tp>
      <tp t="s">
        <v>#N/A Connection</v>
        <stp/>
        <stp>##V3_BDPV12</stp>
        <stp>WCARPO Index</stp>
        <stp>PX385</stp>
        <stp>[BI_AUTMG_1_l22cd4li.xlsx]ReferenceData!R202C49</stp>
        <stp>PX391=20080401</stp>
        <stp>PX392=20080630</stp>
        <stp>DS004=USD</stp>
        <stp>Fill=B</stp>
        <tr r="AW202" s="3"/>
      </tp>
      <tp t="s">
        <v>#N/A Connection</v>
        <stp/>
        <stp>##V3_BDPV12</stp>
        <stp>WCARSI Index</stp>
        <stp>PX385</stp>
        <stp>[BI_AUTMG_1_l22cd4li.xlsx]ReferenceData!R206C43</stp>
        <stp>PX391=20091001</stp>
        <stp>PX392=20091231</stp>
        <stp>DS004=USD</stp>
        <stp>Fill=B</stp>
        <tr r="AQ206" s="3"/>
      </tp>
      <tp t="s">
        <v>#N/A Connection</v>
        <stp/>
        <stp>##V3_BDPV12</stp>
        <stp>WCARSI Index</stp>
        <stp>PX385</stp>
        <stp>[BI_AUTMG_1_l22cd4li.xlsx]ReferenceData!R206C10</stp>
        <stp>PX391=20180101</stp>
        <stp>PX392=20180331</stp>
        <stp>DS004=USD</stp>
        <stp>Fill=B</stp>
        <tr r="J206" s="3"/>
      </tp>
      <tp t="s">
        <v>#N/A Connection</v>
        <stp/>
        <stp>##V3_BDPV12</stp>
        <stp>INVSDPAS Index</stp>
        <stp>PX385</stp>
        <stp>[BI_AUTMG_1_l22cd4li.xlsx]ReferenceData!R163C64</stp>
        <stp>PX391=20040701</stp>
        <stp>PX392=20040930</stp>
        <stp>DS004=USD</stp>
        <stp>Fill=B</stp>
        <tr r="BL163" s="3"/>
      </tp>
      <tp t="s">
        <v>#N/A Connection</v>
        <stp/>
        <stp>##V3_BDPV12</stp>
        <stp>BJTRNPGV Index</stp>
        <stp>PX385</stp>
        <stp>[BI_AUTMG_1_l22cd4li.xlsx]ReferenceData!R215C42</stp>
        <stp>PX391=20100101</stp>
        <stp>PX392=20100331</stp>
        <stp>DS004=USD</stp>
        <stp>Fill=B</stp>
        <tr r="AP215" s="3"/>
      </tp>
      <tp t="s">
        <v>#N/A Connection</v>
        <stp/>
        <stp>##V3_BDPV12</stp>
        <stp>INVSDPAS Index</stp>
        <stp>PX385</stp>
        <stp>[BI_AUTMG_1_l22cd4li.xlsx]ReferenceData!R163C52</stp>
        <stp>PX391=20070701</stp>
        <stp>PX392=20070930</stp>
        <stp>DS004=USD</stp>
        <stp>Fill=B</stp>
        <tr r="AZ163" s="3"/>
      </tp>
      <tp t="s">
        <v>#N/A Connection</v>
        <stp/>
        <stp>##V3_BDPV12</stp>
        <stp>BJTRNPGV Index</stp>
        <stp>PX385</stp>
        <stp>[BI_AUTMG_1_l22cd4li.xlsx]ReferenceData!R215C30</stp>
        <stp>PX391=20130101</stp>
        <stp>PX392=20130331</stp>
        <stp>DS004=USD</stp>
        <stp>Fill=B</stp>
        <tr r="AD215" s="3"/>
      </tp>
      <tp t="s">
        <v>#N/A Connection</v>
        <stp/>
        <stp>##V3_BDPV12</stp>
        <stp>INVSDPAS Index</stp>
        <stp>PX385</stp>
        <stp>[BI_AUTMG_1_l22cd4li.xlsx]ReferenceData!R163C56</stp>
        <stp>PX391=20060701</stp>
        <stp>PX392=20060930</stp>
        <stp>DS004=USD</stp>
        <stp>Fill=B</stp>
        <tr r="BD163" s="3"/>
      </tp>
      <tp t="s">
        <v>#N/A Connection</v>
        <stp/>
        <stp>##V3_BDPV12</stp>
        <stp>BJTRNPGV Index</stp>
        <stp>PX385</stp>
        <stp>[BI_AUTMG_1_l22cd4li.xlsx]ReferenceData!R215C34</stp>
        <stp>PX391=20120101</stp>
        <stp>PX392=20120331</stp>
        <stp>DS004=USD</stp>
        <stp>Fill=B</stp>
        <tr r="AH215" s="3"/>
      </tp>
      <tp t="s">
        <v>#N/A Connection</v>
        <stp/>
        <stp>##V3_BDPV12</stp>
        <stp>WCARCZ Index</stp>
        <stp>PX385</stp>
        <stp>[BI_AUTMG_1_l22cd4li.xlsx]ReferenceData!R197C19</stp>
        <stp>PX391=20151001</stp>
        <stp>PX392=20151231</stp>
        <stp>DS004=USD</stp>
        <stp>Fill=B</stp>
        <tr r="S197" s="3"/>
      </tp>
      <tp t="s">
        <v>#N/A Connection</v>
        <stp/>
        <stp>##V3_BDPV12</stp>
        <stp>WCARBG Index</stp>
        <stp>PX385</stp>
        <stp>[BI_AUTMG_1_l22cd4li.xlsx]ReferenceData!R196C22</stp>
        <stp>PX391=20150101</stp>
        <stp>PX392=20150331</stp>
        <stp>DS004=USD</stp>
        <stp>Fill=B</stp>
        <tr r="V196" s="3"/>
      </tp>
      <tp t="s">
        <v>#N/A Connection</v>
        <stp/>
        <stp>##V3_BDPV12</stp>
        <stp>WCARBG Index</stp>
        <stp>PX385</stp>
        <stp>[BI_AUTMG_1_l22cd4li.xlsx]ReferenceData!R196C63</stp>
        <stp>PX391=20041001</stp>
        <stp>PX392=20041231</stp>
        <stp>DS004=USD</stp>
        <stp>Fill=B</stp>
        <tr r="BK196" s="3"/>
      </tp>
      <tp t="s">
        <v>#N/A Connection</v>
        <stp/>
        <stp>##V3_BDPV12</stp>
        <stp>TUCSMP Index</stp>
        <stp>PX385</stp>
        <stp>[BI_AUTMG_1_l22cd4li.xlsx]ReferenceData!R194C59</stp>
        <stp>PX391=20051001</stp>
        <stp>PX392=20051231</stp>
        <stp>DS004=USD</stp>
        <stp>Fill=B</stp>
        <tr r="BG194" s="3"/>
      </tp>
      <tp t="s">
        <v>#N/A Connection</v>
        <stp/>
        <stp>##V3_BDPV12</stp>
        <stp>WCARLI Index</stp>
        <stp>PX385</stp>
        <stp>[BI_AUTMG_1_l22cd4li.xlsx]ReferenceData!R201C60</stp>
        <stp>PX391=20050701</stp>
        <stp>PX392=20050930</stp>
        <stp>DS004=USD</stp>
        <stp>Fill=B</stp>
        <tr r="BH201" s="3"/>
      </tp>
      <tp t="s">
        <v>#N/A Connection</v>
        <stp/>
        <stp>##V3_BDPV12</stp>
        <stp>TUCSMP Index</stp>
        <stp>PX385</stp>
        <stp>[BI_AUTMG_1_l22cd4li.xlsx]ReferenceData!R194C26</stp>
        <stp>PX391=20140101</stp>
        <stp>PX392=20140331</stp>
        <stp>DS004=USD</stp>
        <stp>Fill=B</stp>
        <tr r="Z194" s="3"/>
      </tp>
      <tp t="s">
        <v>#N/A Connection</v>
        <stp/>
        <stp>##V3_BDPV12</stp>
        <stp>WCARLV Index</stp>
        <stp>PX385</stp>
        <stp>[BI_AUTMG_1_l22cd4li.xlsx]ReferenceData!R200C24</stp>
        <stp>PX391=20140701</stp>
        <stp>PX392=20140930</stp>
        <stp>DS004=USD</stp>
        <stp>Fill=B</stp>
        <tr r="X200" s="3"/>
      </tp>
      <tp t="s">
        <v>#N/A Connection</v>
        <stp/>
        <stp>##V3_BDPV12</stp>
        <stp>WCARSI Index</stp>
        <stp>PX385</stp>
        <stp>[BI_AUTMG_1_l22cd4li.xlsx]ReferenceData!R206C22</stp>
        <stp>PX391=20150101</stp>
        <stp>PX392=20150331</stp>
        <stp>DS004=USD</stp>
        <stp>Fill=B</stp>
        <tr r="V206" s="3"/>
      </tp>
      <tp t="s">
        <v>#N/A Connection</v>
        <stp/>
        <stp>##V3_BDPV12</stp>
        <stp>WCARRO Index</stp>
        <stp>PX385</stp>
        <stp>[BI_AUTMG_1_l22cd4li.xlsx]ReferenceData!R203C25</stp>
        <stp>PX391=20140401</stp>
        <stp>PX392=20140630</stp>
        <stp>DS004=USD</stp>
        <stp>Fill=B</stp>
        <tr r="Y203" s="3"/>
      </tp>
      <tp t="s">
        <v>#N/A Connection</v>
        <stp/>
        <stp>##V3_BDPV12</stp>
        <stp>WCARSI Index</stp>
        <stp>PX385</stp>
        <stp>[BI_AUTMG_1_l22cd4li.xlsx]ReferenceData!R206C63</stp>
        <stp>PX391=20041001</stp>
        <stp>PX392=20041231</stp>
        <stp>DS004=USD</stp>
        <stp>Fill=B</stp>
        <tr r="BK206" s="3"/>
      </tp>
      <tp t="s">
        <v>#N/A Connection</v>
        <stp/>
        <stp>##V3_BDPV12</stp>
        <stp>WCARPO Index</stp>
        <stp>PX385</stp>
        <stp>[BI_AUTMG_1_l22cd4li.xlsx]ReferenceData!R202C61</stp>
        <stp>PX391=20050401</stp>
        <stp>PX392=20050630</stp>
        <stp>DS004=USD</stp>
        <stp>Fill=B</stp>
        <tr r="BI202" s="3"/>
      </tp>
      <tp t="s">
        <v>#N/A Connection</v>
        <stp/>
        <stp>##V3_BDPV12</stp>
        <stp>INVSDPAS Index</stp>
        <stp>PX385</stp>
        <stp>[BI_AUTMG_1_l22cd4li.xlsx]ReferenceData!R163C44</stp>
        <stp>PX391=20090701</stp>
        <stp>PX392=20090930</stp>
        <stp>DS004=USD</stp>
        <stp>Fill=B</stp>
        <tr r="AR163" s="3"/>
      </tp>
      <tp t="s">
        <v>#N/A Connection</v>
        <stp/>
        <stp>##V3_BDPV12</stp>
        <stp>WCARCZ Index</stp>
        <stp>PX385</stp>
        <stp>[BI_AUTMG_1_l22cd4li.xlsx]ReferenceData!R197C23</stp>
        <stp>PX391=20141001</stp>
        <stp>PX392=20141231</stp>
        <stp>DS004=USD</stp>
        <stp>Fill=B</stp>
        <tr r="W197" s="3"/>
      </tp>
      <tp t="s">
        <v>#N/A Connection</v>
        <stp/>
        <stp>##V3_BDPV12</stp>
        <stp>WCARBG Index</stp>
        <stp>PX385</stp>
        <stp>[BI_AUTMG_1_l22cd4li.xlsx]ReferenceData!R196C26</stp>
        <stp>PX391=20140101</stp>
        <stp>PX392=20140331</stp>
        <stp>DS004=USD</stp>
        <stp>Fill=B</stp>
        <tr r="Z196" s="3"/>
      </tp>
      <tp t="s">
        <v>#N/A Connection</v>
        <stp/>
        <stp>##V3_BDPV12</stp>
        <stp>WCARBG Index</stp>
        <stp>PX385</stp>
        <stp>[BI_AUTMG_1_l22cd4li.xlsx]ReferenceData!R196C59</stp>
        <stp>PX391=20051001</stp>
        <stp>PX392=20051231</stp>
        <stp>DS004=USD</stp>
        <stp>Fill=B</stp>
        <tr r="BG196" s="3"/>
      </tp>
      <tp t="s">
        <v>#N/A Connection</v>
        <stp/>
        <stp>##V3_BDPV12</stp>
        <stp>WCARCZ Index</stp>
        <stp>PX385</stp>
        <stp>[BI_AUTMG_1_l22cd4li.xlsx]ReferenceData!R197C62</stp>
        <stp>PX391=20050101</stp>
        <stp>PX392=20050331</stp>
        <stp>DS004=USD</stp>
        <stp>Fill=B</stp>
        <tr r="BJ197" s="3"/>
      </tp>
      <tp t="s">
        <v>#N/A Connection</v>
        <stp/>
        <stp>##V3_BDPV12</stp>
        <stp>TUCSMP Index</stp>
        <stp>PX385</stp>
        <stp>[BI_AUTMG_1_l22cd4li.xlsx]ReferenceData!R194C63</stp>
        <stp>PX391=20041001</stp>
        <stp>PX392=20041231</stp>
        <stp>DS004=USD</stp>
        <stp>Fill=B</stp>
        <tr r="BK194" s="3"/>
      </tp>
      <tp t="s">
        <v>#N/A Connection</v>
        <stp/>
        <stp>##V3_BDPV12</stp>
        <stp>WCARLI Index</stp>
        <stp>PX385</stp>
        <stp>[BI_AUTMG_1_l22cd4li.xlsx]ReferenceData!R201C64</stp>
        <stp>PX391=20040701</stp>
        <stp>PX392=20040930</stp>
        <stp>DS004=USD</stp>
        <stp>Fill=B</stp>
        <tr r="BL201" s="3"/>
      </tp>
      <tp t="s">
        <v>#N/A Connection</v>
        <stp/>
        <stp>##V3_BDPV12</stp>
        <stp>WCARLV Index</stp>
        <stp>PX385</stp>
        <stp>[BI_AUTMG_1_l22cd4li.xlsx]ReferenceData!R200C20</stp>
        <stp>PX391=20150701</stp>
        <stp>PX392=20150930</stp>
        <stp>DS004=USD</stp>
        <stp>Fill=B</stp>
        <tr r="T200" s="3"/>
      </tp>
      <tp t="s">
        <v>#N/A Connection</v>
        <stp/>
        <stp>##V3_BDPV12</stp>
        <stp>TUCSMP Index</stp>
        <stp>PX385</stp>
        <stp>[BI_AUTMG_1_l22cd4li.xlsx]ReferenceData!R194C22</stp>
        <stp>PX391=20150101</stp>
        <stp>PX392=20150331</stp>
        <stp>DS004=USD</stp>
        <stp>Fill=B</stp>
        <tr r="V194" s="3"/>
      </tp>
      <tp t="s">
        <v>#N/A Connection</v>
        <stp/>
        <stp>##V3_BDPV12</stp>
        <stp>WCARRO Index</stp>
        <stp>PX385</stp>
        <stp>[BI_AUTMG_1_l22cd4li.xlsx]ReferenceData!R203C21</stp>
        <stp>PX391=20150401</stp>
        <stp>PX392=20150630</stp>
        <stp>DS004=USD</stp>
        <stp>Fill=B</stp>
        <tr r="U203" s="3"/>
      </tp>
      <tp t="s">
        <v>#N/A Connection</v>
        <stp/>
        <stp>##V3_BDPV12</stp>
        <stp>WCARSI Index</stp>
        <stp>PX385</stp>
        <stp>[BI_AUTMG_1_l22cd4li.xlsx]ReferenceData!R206C26</stp>
        <stp>PX391=20140101</stp>
        <stp>PX392=20140331</stp>
        <stp>DS004=USD</stp>
        <stp>Fill=B</stp>
        <tr r="Z206" s="3"/>
      </tp>
      <tp t="s">
        <v>#N/A Connection</v>
        <stp/>
        <stp>##V3_BDPV12</stp>
        <stp>WCARPO Index</stp>
        <stp>PX385</stp>
        <stp>[BI_AUTMG_1_l22cd4li.xlsx]ReferenceData!R202C65</stp>
        <stp>PX391=20040401</stp>
        <stp>PX392=20040630</stp>
        <stp>DS004=USD</stp>
        <stp>Fill=B</stp>
        <tr r="BM202" s="3"/>
      </tp>
      <tp t="s">
        <v>#N/A Connection</v>
        <stp/>
        <stp>##V3_BDPV12</stp>
        <stp>WCARSI Index</stp>
        <stp>PX385</stp>
        <stp>[BI_AUTMG_1_l22cd4li.xlsx]ReferenceData!R206C59</stp>
        <stp>PX391=20051001</stp>
        <stp>PX392=20051231</stp>
        <stp>DS004=USD</stp>
        <stp>Fill=B</stp>
        <tr r="BG206" s="3"/>
      </tp>
      <tp t="s">
        <v>#N/A Connection</v>
        <stp/>
        <stp>##V3_BDPV12</stp>
        <stp>INVSDPAS Index</stp>
        <stp>PX385</stp>
        <stp>[BI_AUTMG_1_l22cd4li.xlsx]ReferenceData!R163C48</stp>
        <stp>PX391=20080701</stp>
        <stp>PX392=20080930</stp>
        <stp>DS004=USD</stp>
        <stp>Fill=B</stp>
        <tr r="AV163" s="3"/>
      </tp>
      <tp t="s">
        <v>#N/A Connection</v>
        <stp/>
        <stp>##V3_BDPV12</stp>
        <stp>WCARCZ Index</stp>
        <stp>PX385</stp>
        <stp>[BI_AUTMG_1_l22cd4li.xlsx]ReferenceData!R197C11</stp>
        <stp>PX391=20171001</stp>
        <stp>PX392=20171231</stp>
        <stp>DS004=USD</stp>
        <stp>Fill=B</stp>
        <tr r="K197" s="3"/>
      </tp>
      <tp t="s">
        <v>#N/A Connection</v>
        <stp/>
        <stp>##V3_BDPV12</stp>
        <stp>WCARBG Index</stp>
        <stp>PX385</stp>
        <stp>[BI_AUTMG_1_l22cd4li.xlsx]ReferenceData!R196C14</stp>
        <stp>PX391=20170101</stp>
        <stp>PX392=20170331</stp>
        <stp>DS004=USD</stp>
        <stp>Fill=B</stp>
        <tr r="N196" s="3"/>
      </tp>
      <tp t="s">
        <v>#N/A Connection</v>
        <stp/>
        <stp>##V3_BDPV12</stp>
        <stp>WCARCZ Index</stp>
        <stp>PX385</stp>
        <stp>[BI_AUTMG_1_l22cd4li.xlsx]ReferenceData!R197C58</stp>
        <stp>PX391=20060101</stp>
        <stp>PX392=20060331</stp>
        <stp>DS004=USD</stp>
        <stp>Fill=B</stp>
        <tr r="BF197" s="3"/>
      </tp>
      <tp t="s">
        <v>#N/A Connection</v>
        <stp/>
        <stp>##V3_BDPV12</stp>
        <stp>WCARBG Index</stp>
        <stp>PX385</stp>
        <stp>[BI_AUTMG_1_l22cd4li.xlsx]ReferenceData!R196C55</stp>
        <stp>PX391=20061001</stp>
        <stp>PX392=20061231</stp>
        <stp>DS004=USD</stp>
        <stp>Fill=B</stp>
        <tr r="BC196" s="3"/>
      </tp>
      <tp t="s">
        <v>#N/A Connection</v>
        <stp/>
        <stp>##V3_BDPV12</stp>
        <stp>TUCSMP Index</stp>
        <stp>PX385</stp>
        <stp>[BI_AUTMG_1_l22cd4li.xlsx]ReferenceData!R194C51</stp>
        <stp>PX391=20071001</stp>
        <stp>PX392=20071231</stp>
        <stp>DS004=USD</stp>
        <stp>Fill=B</stp>
        <tr r="AY194" s="3"/>
      </tp>
      <tp t="s">
        <v>#N/A Connection</v>
        <stp/>
        <stp>##V3_BDPV12</stp>
        <stp>WCARLI Index</stp>
        <stp>PX385</stp>
        <stp>[BI_AUTMG_1_l22cd4li.xlsx]ReferenceData!R201C52</stp>
        <stp>PX391=20070701</stp>
        <stp>PX392=20070930</stp>
        <stp>DS004=USD</stp>
        <stp>Fill=B</stp>
        <tr r="AZ201" s="3"/>
      </tp>
      <tp t="s">
        <v>#N/A Connection</v>
        <stp/>
        <stp>##V3_BDPV12</stp>
        <stp>WCARLV Index</stp>
        <stp>PX385</stp>
        <stp>[BI_AUTMG_1_l22cd4li.xlsx]ReferenceData!R200C16</stp>
        <stp>PX391=20160701</stp>
        <stp>PX392=20160930</stp>
        <stp>DS004=USD</stp>
        <stp>Fill=B</stp>
        <tr r="P200" s="3"/>
      </tp>
      <tp t="s">
        <v>#N/A Connection</v>
        <stp/>
        <stp>##V3_BDPV12</stp>
        <stp>TUCSMP Index</stp>
        <stp>PX385</stp>
        <stp>[BI_AUTMG_1_l22cd4li.xlsx]ReferenceData!R194C18</stp>
        <stp>PX391=20160101</stp>
        <stp>PX392=20160331</stp>
        <stp>DS004=USD</stp>
        <stp>Fill=B</stp>
        <tr r="R194" s="3"/>
      </tp>
      <tp t="s">
        <v>#N/A Connection</v>
        <stp/>
        <stp>##V3_BDPV12</stp>
        <stp>WCARRO Index</stp>
        <stp>PX385</stp>
        <stp>[BI_AUTMG_1_l22cd4li.xlsx]ReferenceData!R203C17</stp>
        <stp>PX391=20160401</stp>
        <stp>PX392=20160630</stp>
        <stp>DS004=USD</stp>
        <stp>Fill=B</stp>
        <tr r="Q203" s="3"/>
      </tp>
      <tp t="s">
        <v>#N/A Connection</v>
        <stp/>
        <stp>##V3_BDPV12</stp>
        <stp>WCARSI Index</stp>
        <stp>PX385</stp>
        <stp>[BI_AUTMG_1_l22cd4li.xlsx]ReferenceData!R206C14</stp>
        <stp>PX391=20170101</stp>
        <stp>PX392=20170331</stp>
        <stp>DS004=USD</stp>
        <stp>Fill=B</stp>
        <tr r="N206" s="3"/>
      </tp>
      <tp t="s">
        <v>#N/A Connection</v>
        <stp/>
        <stp>##V3_BDPV12</stp>
        <stp>WCARSI Index</stp>
        <stp>PX385</stp>
        <stp>[BI_AUTMG_1_l22cd4li.xlsx]ReferenceData!R206C55</stp>
        <stp>PX391=20061001</stp>
        <stp>PX392=20061231</stp>
        <stp>DS004=USD</stp>
        <stp>Fill=B</stp>
        <tr r="BC206" s="3"/>
      </tp>
      <tp t="s">
        <v>#N/A Connection</v>
        <stp/>
        <stp>##V3_BDPV12</stp>
        <stp>WCARPO Index</stp>
        <stp>PX385</stp>
        <stp>[BI_AUTMG_1_l22cd4li.xlsx]ReferenceData!R202C53</stp>
        <stp>PX391=20070401</stp>
        <stp>PX392=20070630</stp>
        <stp>DS004=USD</stp>
        <stp>Fill=B</stp>
        <tr r="BA202" s="3"/>
      </tp>
      <tp t="s">
        <v>#N/A Connection</v>
        <stp/>
        <stp>##V3_BDPV12</stp>
        <stp>WCARCZ Index</stp>
        <stp>PX385</stp>
        <stp>[BI_AUTMG_1_l22cd4li.xlsx]ReferenceData!R197C15</stp>
        <stp>PX391=20161001</stp>
        <stp>PX392=20161231</stp>
        <stp>DS004=USD</stp>
        <stp>Fill=B</stp>
        <tr r="O197" s="3"/>
      </tp>
      <tp t="s">
        <v>#N/A Connection</v>
        <stp/>
        <stp>##V3_BDPV12</stp>
        <stp>WCARBG Index</stp>
        <stp>PX385</stp>
        <stp>[BI_AUTMG_1_l22cd4li.xlsx]ReferenceData!R196C18</stp>
        <stp>PX391=20160101</stp>
        <stp>PX392=20160331</stp>
        <stp>DS004=USD</stp>
        <stp>Fill=B</stp>
        <tr r="R196" s="3"/>
      </tp>
      <tp t="s">
        <v>#N/A Connection</v>
        <stp/>
        <stp>##V3_BDPV12</stp>
        <stp>WCARCZ Index</stp>
        <stp>PX385</stp>
        <stp>[BI_AUTMG_1_l22cd4li.xlsx]ReferenceData!R197C54</stp>
        <stp>PX391=20070101</stp>
        <stp>PX392=20070331</stp>
        <stp>DS004=USD</stp>
        <stp>Fill=B</stp>
        <tr r="BB197" s="3"/>
      </tp>
      <tp t="s">
        <v>#N/A Connection</v>
        <stp/>
        <stp>##V3_BDPV12</stp>
        <stp>WCARBG Index</stp>
        <stp>PX385</stp>
        <stp>[BI_AUTMG_1_l22cd4li.xlsx]ReferenceData!R196C51</stp>
        <stp>PX391=20071001</stp>
        <stp>PX392=20071231</stp>
        <stp>DS004=USD</stp>
        <stp>Fill=B</stp>
        <tr r="AY196" s="3"/>
      </tp>
      <tp t="s">
        <v>#N/A Connection</v>
        <stp/>
        <stp>##V3_BDPV12</stp>
        <stp>TUCSMP Index</stp>
        <stp>PX385</stp>
        <stp>[BI_AUTMG_1_l22cd4li.xlsx]ReferenceData!R194C55</stp>
        <stp>PX391=20061001</stp>
        <stp>PX392=20061231</stp>
        <stp>DS004=USD</stp>
        <stp>Fill=B</stp>
        <tr r="BC194" s="3"/>
      </tp>
      <tp t="s">
        <v>#N/A Connection</v>
        <stp/>
        <stp>##V3_BDPV12</stp>
        <stp>WCARLI Index</stp>
        <stp>PX385</stp>
        <stp>[BI_AUTMG_1_l22cd4li.xlsx]ReferenceData!R201C56</stp>
        <stp>PX391=20060701</stp>
        <stp>PX392=20060930</stp>
        <stp>DS004=USD</stp>
        <stp>Fill=B</stp>
        <tr r="BD201" s="3"/>
      </tp>
      <tp t="s">
        <v>#N/A Connection</v>
        <stp/>
        <stp>##V3_BDPV12</stp>
        <stp>TUCSMP Index</stp>
        <stp>PX385</stp>
        <stp>[BI_AUTMG_1_l22cd4li.xlsx]ReferenceData!R194C14</stp>
        <stp>PX391=20170101</stp>
        <stp>PX392=20170331</stp>
        <stp>DS004=USD</stp>
        <stp>Fill=B</stp>
        <tr r="N194" s="3"/>
      </tp>
      <tp t="s">
        <v>#N/A Connection</v>
        <stp/>
        <stp>##V3_BDPV12</stp>
        <stp>WCARLV Index</stp>
        <stp>PX385</stp>
        <stp>[BI_AUTMG_1_l22cd4li.xlsx]ReferenceData!R200C12</stp>
        <stp>PX391=20170701</stp>
        <stp>PX392=20170930</stp>
        <stp>DS004=USD</stp>
        <stp>Fill=B</stp>
        <tr r="L200" s="3"/>
      </tp>
      <tp t="s">
        <v>#N/A Connection</v>
        <stp/>
        <stp>##V3_BDPV12</stp>
        <stp>WCARRO Index</stp>
        <stp>PX385</stp>
        <stp>[BI_AUTMG_1_l22cd4li.xlsx]ReferenceData!R203C13</stp>
        <stp>PX391=20170401</stp>
        <stp>PX392=20170630</stp>
        <stp>DS004=USD</stp>
        <stp>Fill=B</stp>
        <tr r="M203" s="3"/>
      </tp>
      <tp t="s">
        <v>#N/A Connection</v>
        <stp/>
        <stp>##V3_BDPV12</stp>
        <stp>WCARSI Index</stp>
        <stp>PX385</stp>
        <stp>[BI_AUTMG_1_l22cd4li.xlsx]ReferenceData!R206C18</stp>
        <stp>PX391=20160101</stp>
        <stp>PX392=20160331</stp>
        <stp>DS004=USD</stp>
        <stp>Fill=B</stp>
        <tr r="R206" s="3"/>
      </tp>
      <tp t="s">
        <v>#N/A Connection</v>
        <stp/>
        <stp>##V3_BDPV12</stp>
        <stp>WCARSI Index</stp>
        <stp>PX385</stp>
        <stp>[BI_AUTMG_1_l22cd4li.xlsx]ReferenceData!R206C51</stp>
        <stp>PX391=20071001</stp>
        <stp>PX392=20071231</stp>
        <stp>DS004=USD</stp>
        <stp>Fill=B</stp>
        <tr r="AY206" s="3"/>
      </tp>
      <tp t="s">
        <v>#N/A Connection</v>
        <stp/>
        <stp>##V3_BDPV12</stp>
        <stp>WCARPO Index</stp>
        <stp>PX385</stp>
        <stp>[BI_AUTMG_1_l22cd4li.xlsx]ReferenceData!R202C57</stp>
        <stp>PX391=20060401</stp>
        <stp>PX392=20060630</stp>
        <stp>DS004=USD</stp>
        <stp>Fill=B</stp>
        <tr r="BE202" s="3"/>
      </tp>
      <tp t="s">
        <v>#N/A Connection</v>
        <stp/>
        <stp>##V3_BDPV12</stp>
        <stp>WCARCZ Index</stp>
        <stp>PX385</stp>
        <stp>[BI_AUTMG_1_l22cd4li.xlsx]ReferenceData!R197C35</stp>
        <stp>PX391=20111001</stp>
        <stp>PX392=20111231</stp>
        <stp>DS004=USD</stp>
        <stp>Fill=B</stp>
        <tr r="AI197" s="3"/>
      </tp>
      <tp t="s">
        <v>#N/A Connection</v>
        <stp/>
        <stp>##V3_BDPV12</stp>
        <stp>WCARBG Index</stp>
        <stp>PX385</stp>
        <stp>[BI_AUTMG_1_l22cd4li.xlsx]ReferenceData!R196C38</stp>
        <stp>PX391=20110101</stp>
        <stp>PX392=20110331</stp>
        <stp>DS004=USD</stp>
        <stp>Fill=B</stp>
        <tr r="AL196" s="3"/>
      </tp>
      <tp t="s">
        <v>#N/A Connection</v>
        <stp/>
        <stp>##V3_BDPV12</stp>
        <stp>TUCSMP Index</stp>
        <stp>PX385</stp>
        <stp>[BI_AUTMG_1_l22cd4li.xlsx]ReferenceData!R194C42</stp>
        <stp>PX391=20100101</stp>
        <stp>PX392=20100331</stp>
        <stp>DS004=USD</stp>
        <stp>Fill=B</stp>
        <tr r="AP194" s="3"/>
      </tp>
      <tp t="s">
        <v>#N/A Connection</v>
        <stp/>
        <stp>##V3_BDPV12</stp>
        <stp>WCARLV Index</stp>
        <stp>PX385</stp>
        <stp>[BI_AUTMG_1_l22cd4li.xlsx]ReferenceData!R200C40</stp>
        <stp>PX391=20100701</stp>
        <stp>PX392=20100930</stp>
        <stp>DS004=USD</stp>
        <stp>Fill=B</stp>
        <tr r="AN200" s="3"/>
      </tp>
      <tp t="s">
        <v>#N/A Connection</v>
        <stp/>
        <stp>##V3_BDPV12</stp>
        <stp>WCARRO Index</stp>
        <stp>PX385</stp>
        <stp>[BI_AUTMG_1_l22cd4li.xlsx]ReferenceData!R203C41</stp>
        <stp>PX391=20100401</stp>
        <stp>PX392=20100630</stp>
        <stp>DS004=USD</stp>
        <stp>Fill=B</stp>
        <tr r="AO203" s="3"/>
      </tp>
      <tp t="s">
        <v>#N/A Connection</v>
        <stp/>
        <stp>##V3_BDPV12</stp>
        <stp>WCARSI Index</stp>
        <stp>PX385</stp>
        <stp>[BI_AUTMG_1_l22cd4li.xlsx]ReferenceData!R206C38</stp>
        <stp>PX391=20110101</stp>
        <stp>PX392=20110331</stp>
        <stp>DS004=USD</stp>
        <stp>Fill=B</stp>
        <tr r="AL206" s="3"/>
      </tp>
      <tp t="s">
        <v>#N/A Connection</v>
        <stp/>
        <stp>##V3_BDPV12</stp>
        <stp>BJTRNPGV Index</stp>
        <stp>PX385</stp>
        <stp>[BI_AUTMG_1_l22cd4li.xlsx]ReferenceData!R215C47</stp>
        <stp>PX391=20081001</stp>
        <stp>PX392=20081231</stp>
        <stp>DS004=USD</stp>
        <stp>Fill=B</stp>
        <tr r="AU215" s="3"/>
      </tp>
      <tp t="s">
        <v>#N/A Connection</v>
        <stp/>
        <stp>##V3_BDPV12</stp>
        <stp>WCARBG Index</stp>
        <stp>PX385</stp>
        <stp>[BI_AUTMG_1_l22cd4li.xlsx]ReferenceData!R196C42</stp>
        <stp>PX391=20100101</stp>
        <stp>PX392=20100331</stp>
        <stp>DS004=USD</stp>
        <stp>Fill=B</stp>
        <tr r="AP196" s="3"/>
      </tp>
      <tp t="s">
        <v>#N/A Connection</v>
        <stp/>
        <stp>##V3_BDPV12</stp>
        <stp>WCARCZ Index</stp>
        <stp>PX385</stp>
        <stp>[BI_AUTMG_1_l22cd4li.xlsx]ReferenceData!R197C39</stp>
        <stp>PX391=20101001</stp>
        <stp>PX392=20101231</stp>
        <stp>DS004=USD</stp>
        <stp>Fill=B</stp>
        <tr r="AM197" s="3"/>
      </tp>
      <tp t="s">
        <v>#N/A Connection</v>
        <stp/>
        <stp>##V3_BDPV12</stp>
        <stp>TUCSMP Index</stp>
        <stp>PX385</stp>
        <stp>[BI_AUTMG_1_l22cd4li.xlsx]ReferenceData!R194C38</stp>
        <stp>PX391=20110101</stp>
        <stp>PX392=20110331</stp>
        <stp>DS004=USD</stp>
        <stp>Fill=B</stp>
        <tr r="AL194" s="3"/>
      </tp>
      <tp t="s">
        <v>#N/A Connection</v>
        <stp/>
        <stp>##V3_BDPV12</stp>
        <stp>WCARLV Index</stp>
        <stp>PX385</stp>
        <stp>[BI_AUTMG_1_l22cd4li.xlsx]ReferenceData!R200C36</stp>
        <stp>PX391=20110701</stp>
        <stp>PX392=20110930</stp>
        <stp>DS004=USD</stp>
        <stp>Fill=B</stp>
        <tr r="AJ200" s="3"/>
      </tp>
      <tp t="s">
        <v>#N/A Connection</v>
        <stp/>
        <stp>##V3_BDPV12</stp>
        <stp>WCARSI Index</stp>
        <stp>PX385</stp>
        <stp>[BI_AUTMG_1_l22cd4li.xlsx]ReferenceData!R206C42</stp>
        <stp>PX391=20100101</stp>
        <stp>PX392=20100331</stp>
        <stp>DS004=USD</stp>
        <stp>Fill=B</stp>
        <tr r="AP206" s="3"/>
      </tp>
      <tp t="s">
        <v>#N/A Connection</v>
        <stp/>
        <stp>##V3_BDPV12</stp>
        <stp>WCARRO Index</stp>
        <stp>PX385</stp>
        <stp>[BI_AUTMG_1_l22cd4li.xlsx]ReferenceData!R203C37</stp>
        <stp>PX391=20110401</stp>
        <stp>PX392=20110630</stp>
        <stp>DS004=USD</stp>
        <stp>Fill=B</stp>
        <tr r="AK203" s="3"/>
      </tp>
      <tp t="s">
        <v>#N/A Connection</v>
        <stp/>
        <stp>##V3_BDPV12</stp>
        <stp>BJTRNPGV Index</stp>
        <stp>PX385</stp>
        <stp>[BI_AUTMG_1_l22cd4li.xlsx]ReferenceData!R215C43</stp>
        <stp>PX391=20091001</stp>
        <stp>PX392=20091231</stp>
        <stp>DS004=USD</stp>
        <stp>Fill=B</stp>
        <tr r="AQ215" s="3"/>
      </tp>
      <tp t="s">
        <v>#N/A Connection</v>
        <stp/>
        <stp>##V3_BDPV12</stp>
        <stp>BJTRNPGV Index</stp>
        <stp>PX385</stp>
        <stp>[BI_AUTMG_1_l22cd4li.xlsx]ReferenceData!R215C10</stp>
        <stp>PX391=20180101</stp>
        <stp>PX392=20180331</stp>
        <stp>DS004=USD</stp>
        <stp>Fill=B</stp>
        <tr r="J215" s="3"/>
      </tp>
      <tp t="s">
        <v>#N/A Connection</v>
        <stp/>
        <stp>##V3_BDPV12</stp>
        <stp>WCARBG Index</stp>
        <stp>PX385</stp>
        <stp>[BI_AUTMG_1_l22cd4li.xlsx]ReferenceData!R196C30</stp>
        <stp>PX391=20130101</stp>
        <stp>PX392=20130331</stp>
        <stp>DS004=USD</stp>
        <stp>Fill=B</stp>
        <tr r="AD196" s="3"/>
      </tp>
      <tp t="s">
        <v>#N/A Connection</v>
        <stp/>
        <stp>##V3_BDPV12</stp>
        <stp>WCARCZ Index</stp>
        <stp>PX385</stp>
        <stp>[BI_AUTMG_1_l22cd4li.xlsx]ReferenceData!R197C27</stp>
        <stp>PX391=20131001</stp>
        <stp>PX392=20131231</stp>
        <stp>DS004=USD</stp>
        <stp>Fill=B</stp>
        <tr r="AA197" s="3"/>
      </tp>
      <tp t="s">
        <v>#N/A Connection</v>
        <stp/>
        <stp>##V3_BDPV12</stp>
        <stp>WCARLV Index</stp>
        <stp>PX385</stp>
        <stp>[BI_AUTMG_1_l22cd4li.xlsx]ReferenceData!R200C32</stp>
        <stp>PX391=20120701</stp>
        <stp>PX392=20120930</stp>
        <stp>DS004=USD</stp>
        <stp>Fill=B</stp>
        <tr r="AF200" s="3"/>
      </tp>
      <tp t="s">
        <v>#N/A Connection</v>
        <stp/>
        <stp>##V3_BDPV12</stp>
        <stp>TUCSMP Index</stp>
        <stp>PX385</stp>
        <stp>[BI_AUTMG_1_l22cd4li.xlsx]ReferenceData!R194C34</stp>
        <stp>PX391=20120101</stp>
        <stp>PX392=20120331</stp>
        <stp>DS004=USD</stp>
        <stp>Fill=B</stp>
        <tr r="AH194" s="3"/>
      </tp>
      <tp t="s">
        <v>#N/A Connection</v>
        <stp/>
        <stp>##V3_BDPV12</stp>
        <stp>WCARRO Index</stp>
        <stp>PX385</stp>
        <stp>[BI_AUTMG_1_l22cd4li.xlsx]ReferenceData!R203C33</stp>
        <stp>PX391=20120401</stp>
        <stp>PX392=20120630</stp>
        <stp>DS004=USD</stp>
        <stp>Fill=B</stp>
        <tr r="AG203" s="3"/>
      </tp>
      <tp t="s">
        <v>#N/A Connection</v>
        <stp/>
        <stp>##V3_BDPV12</stp>
        <stp>WCARSI Index</stp>
        <stp>PX385</stp>
        <stp>[BI_AUTMG_1_l22cd4li.xlsx]ReferenceData!R206C30</stp>
        <stp>PX391=20130101</stp>
        <stp>PX392=20130331</stp>
        <stp>DS004=USD</stp>
        <stp>Fill=B</stp>
        <tr r="AD206" s="3"/>
      </tp>
      <tp t="s">
        <v>#N/A Connection</v>
        <stp/>
        <stp>##V3_BDPV12</stp>
        <stp>WCARCZ Index</stp>
        <stp>PX385</stp>
        <stp>[BI_AUTMG_1_l22cd4li.xlsx]ReferenceData!R197C31</stp>
        <stp>PX391=20121001</stp>
        <stp>PX392=20121231</stp>
        <stp>DS004=USD</stp>
        <stp>Fill=B</stp>
        <tr r="AE197" s="3"/>
      </tp>
      <tp t="s">
        <v>#N/A Connection</v>
        <stp/>
        <stp>##V3_BDPV12</stp>
        <stp>WCARBG Index</stp>
        <stp>PX385</stp>
        <stp>[BI_AUTMG_1_l22cd4li.xlsx]ReferenceData!R196C34</stp>
        <stp>PX391=20120101</stp>
        <stp>PX392=20120331</stp>
        <stp>DS004=USD</stp>
        <stp>Fill=B</stp>
        <tr r="AH196" s="3"/>
      </tp>
      <tp t="s">
        <v>#N/A Connection</v>
        <stp/>
        <stp>##V3_BDPV12</stp>
        <stp>WCARLV Index</stp>
        <stp>PX385</stp>
        <stp>[BI_AUTMG_1_l22cd4li.xlsx]ReferenceData!R200C28</stp>
        <stp>PX391=20130701</stp>
        <stp>PX392=20130930</stp>
        <stp>DS004=USD</stp>
        <stp>Fill=B</stp>
        <tr r="AB200" s="3"/>
      </tp>
      <tp t="s">
        <v>#N/A Connection</v>
        <stp/>
        <stp>##V3_BDPV12</stp>
        <stp>TUCSMP Index</stp>
        <stp>PX385</stp>
        <stp>[BI_AUTMG_1_l22cd4li.xlsx]ReferenceData!R194C30</stp>
        <stp>PX391=20130101</stp>
        <stp>PX392=20130331</stp>
        <stp>DS004=USD</stp>
        <stp>Fill=B</stp>
        <tr r="AD194" s="3"/>
      </tp>
      <tp t="s">
        <v>#N/A Connection</v>
        <stp/>
        <stp>##V3_BDPV12</stp>
        <stp>WCARRO Index</stp>
        <stp>PX385</stp>
        <stp>[BI_AUTMG_1_l22cd4li.xlsx]ReferenceData!R203C29</stp>
        <stp>PX391=20130401</stp>
        <stp>PX392=20130630</stp>
        <stp>DS004=USD</stp>
        <stp>Fill=B</stp>
        <tr r="AC203" s="3"/>
      </tp>
      <tp t="s">
        <v>#N/A Connection</v>
        <stp/>
        <stp>##V3_BDPV12</stp>
        <stp>WCARSI Index</stp>
        <stp>PX385</stp>
        <stp>[BI_AUTMG_1_l22cd4li.xlsx]ReferenceData!R206C34</stp>
        <stp>PX391=20120101</stp>
        <stp>PX392=20120331</stp>
        <stp>DS004=USD</stp>
        <stp>Fill=B</stp>
        <tr r="AH206" s="3"/>
      </tp>
      <tp t="s">
        <v>#N/A Connection</v>
        <stp/>
        <stp>##V3_BDPV12</stp>
        <stp>WCARNOI Index</stp>
        <stp>PX385</stp>
        <stp>[BI_AUTMG_1_l22cd4li.xlsx]ReferenceData!R189C23</stp>
        <stp>PX391=20141001</stp>
        <stp>PX392=20141231</stp>
        <stp>DS004=USD</stp>
        <stp>Fill=B</stp>
        <tr r="W189" s="3"/>
      </tp>
      <tp t="s">
        <v>#N/A Connection</v>
        <stp/>
        <stp>##V3_BDPV12</stp>
        <stp>WCARNLI Index</stp>
        <stp>PX385</stp>
        <stp>[BI_AUTMG_1_l22cd4li.xlsx]ReferenceData!R188C26</stp>
        <stp>PX391=20140101</stp>
        <stp>PX392=20140331</stp>
        <stp>DS004=USD</stp>
        <stp>Fill=B</stp>
        <tr r="Z188" s="3"/>
      </tp>
      <tp t="s">
        <v>#N/A Connection</v>
        <stp/>
        <stp>##V3_BDPV12</stp>
        <stp>WCARNOI Index</stp>
        <stp>PX385</stp>
        <stp>[BI_AUTMG_1_l22cd4li.xlsx]ReferenceData!R189C62</stp>
        <stp>PX391=20050101</stp>
        <stp>PX392=20050331</stp>
        <stp>DS004=USD</stp>
        <stp>Fill=B</stp>
        <tr r="BJ189" s="3"/>
      </tp>
      <tp t="s">
        <v>#N/A Connection</v>
        <stp/>
        <stp>##V3_BDPV12</stp>
        <stp>WCARNLI Index</stp>
        <stp>PX385</stp>
        <stp>[BI_AUTMG_1_l22cd4li.xlsx]ReferenceData!R188C59</stp>
        <stp>PX391=20051001</stp>
        <stp>PX392=20051231</stp>
        <stp>DS004=USD</stp>
        <stp>Fill=B</stp>
        <tr r="BG188" s="3"/>
      </tp>
      <tp t="s">
        <v>#N/A Connection</v>
        <stp/>
        <stp>##V3_BDPV12</stp>
        <stp>MAVSTTL Index</stp>
        <stp>PX385</stp>
        <stp>[BI_AUTMG_1_l22cd4li.xlsx]ReferenceData!R168C23</stp>
        <stp>PX391=20141001</stp>
        <stp>PX392=20141231</stp>
        <stp>DS004=USD</stp>
        <stp>Fill=B</stp>
        <tr r="W168" s="3"/>
      </tp>
      <tp t="s">
        <v>#N/A Connection</v>
        <stp/>
        <stp>##V3_BDPV12</stp>
        <stp>WCARCYI Index</stp>
        <stp>PX385</stp>
        <stp>[BI_AUTMG_1_l22cd4li.xlsx]ReferenceData!R178C47</stp>
        <stp>PX391=20081001</stp>
        <stp>PX392=20081231</stp>
        <stp>DS004=USD</stp>
        <stp>Fill=B</stp>
        <tr r="AU178" s="3"/>
      </tp>
      <tp t="s">
        <v>#N/A Connection</v>
        <stp/>
        <stp>##V3_BDPV12</stp>
        <stp>MAVSTTL Index</stp>
        <stp>PX385</stp>
        <stp>[BI_AUTMG_1_l22cd4li.xlsx]ReferenceData!R168C62</stp>
        <stp>PX391=20050101</stp>
        <stp>PX392=20050331</stp>
        <stp>DS004=USD</stp>
        <stp>Fill=B</stp>
        <tr r="BJ168" s="3"/>
      </tp>
      <tp t="s">
        <v>#N/A Connection</v>
        <stp/>
        <stp>##V3_BDPV12</stp>
        <stp>IDVHCLOC Index</stp>
        <stp>PX385</stp>
        <stp>[BI_AUTMG_1_l22cd4li.xlsx]ReferenceData!R166C17</stp>
        <stp>PX391=20160401</stp>
        <stp>PX392=20160630</stp>
        <stp>DS004=USD</stp>
        <stp>Fill=B</stp>
        <tr r="Q166" s="3"/>
      </tp>
      <tp t="s">
        <v>#N/A Connection</v>
        <stp/>
        <stp>##V3_BDPV12</stp>
        <stp>WCARNOI Index</stp>
        <stp>PX385</stp>
        <stp>[BI_AUTMG_1_l22cd4li.xlsx]ReferenceData!R189C19</stp>
        <stp>PX391=20151001</stp>
        <stp>PX392=20151231</stp>
        <stp>DS004=USD</stp>
        <stp>Fill=B</stp>
        <tr r="S189" s="3"/>
      </tp>
      <tp t="s">
        <v>#N/A Connection</v>
        <stp/>
        <stp>##V3_BDPV12</stp>
        <stp>WCARNLI Index</stp>
        <stp>PX385</stp>
        <stp>[BI_AUTMG_1_l22cd4li.xlsx]ReferenceData!R188C22</stp>
        <stp>PX391=20150101</stp>
        <stp>PX392=20150331</stp>
        <stp>DS004=USD</stp>
        <stp>Fill=B</stp>
        <tr r="V188" s="3"/>
      </tp>
      <tp t="s">
        <v>#N/A Connection</v>
        <stp/>
        <stp>##V3_BDPV12</stp>
        <stp>WCARNLI Index</stp>
        <stp>PX385</stp>
        <stp>[BI_AUTMG_1_l22cd4li.xlsx]ReferenceData!R188C63</stp>
        <stp>PX391=20041001</stp>
        <stp>PX392=20041231</stp>
        <stp>DS004=USD</stp>
        <stp>Fill=B</stp>
        <tr r="BK188" s="3"/>
      </tp>
      <tp t="s">
        <v>#N/A Connection</v>
        <stp/>
        <stp>##V3_BDPV12</stp>
        <stp>WCARCYI Index</stp>
        <stp>PX385</stp>
        <stp>[BI_AUTMG_1_l22cd4li.xlsx]ReferenceData!R178C10</stp>
        <stp>PX391=20180101</stp>
        <stp>PX392=20180331</stp>
        <stp>DS004=USD</stp>
        <stp>Fill=B</stp>
        <tr r="J178" s="3"/>
      </tp>
      <tp t="s">
        <v>#N/A Connection</v>
        <stp/>
        <stp>##V3_BDPV12</stp>
        <stp>MAVSTTL Index</stp>
        <stp>PX385</stp>
        <stp>[BI_AUTMG_1_l22cd4li.xlsx]ReferenceData!R168C19</stp>
        <stp>PX391=20151001</stp>
        <stp>PX392=20151231</stp>
        <stp>DS004=USD</stp>
        <stp>Fill=B</stp>
        <tr r="S168" s="3"/>
      </tp>
      <tp t="s">
        <v>#N/A Connection</v>
        <stp/>
        <stp>##V3_BDPV12</stp>
        <stp>WCARCYI Index</stp>
        <stp>PX385</stp>
        <stp>[BI_AUTMG_1_l22cd4li.xlsx]ReferenceData!R178C43</stp>
        <stp>PX391=20091001</stp>
        <stp>PX392=20091231</stp>
        <stp>DS004=USD</stp>
        <stp>Fill=B</stp>
        <tr r="AQ178" s="3"/>
      </tp>
      <tp t="s">
        <v>#N/A Connection</v>
        <stp/>
        <stp>##V3_BDPV12</stp>
        <stp>IDVHCLOC Index</stp>
        <stp>PX385</stp>
        <stp>[BI_AUTMG_1_l22cd4li.xlsx]ReferenceData!R166C13</stp>
        <stp>PX391=20170401</stp>
        <stp>PX392=20170630</stp>
        <stp>DS004=USD</stp>
        <stp>Fill=B</stp>
        <tr r="M166" s="3"/>
      </tp>
      <tp t="s">
        <v>#N/A Connection</v>
        <stp/>
        <stp>##V3_BDPV12</stp>
        <stp>WCARNOI Index</stp>
        <stp>PX385</stp>
        <stp>[BI_AUTMG_1_l22cd4li.xlsx]ReferenceData!R189C15</stp>
        <stp>PX391=20161001</stp>
        <stp>PX392=20161231</stp>
        <stp>DS004=USD</stp>
        <stp>Fill=B</stp>
        <tr r="O189" s="3"/>
      </tp>
      <tp t="s">
        <v>#N/A Connection</v>
        <stp/>
        <stp>##V3_BDPV12</stp>
        <stp>WCARNLI Index</stp>
        <stp>PX385</stp>
        <stp>[BI_AUTMG_1_l22cd4li.xlsx]ReferenceData!R188C18</stp>
        <stp>PX391=20160101</stp>
        <stp>PX392=20160331</stp>
        <stp>DS004=USD</stp>
        <stp>Fill=B</stp>
        <tr r="R188" s="3"/>
      </tp>
      <tp t="s">
        <v>#N/A Connection</v>
        <stp/>
        <stp>##V3_BDPV12</stp>
        <stp>WCARNOI Index</stp>
        <stp>PX385</stp>
        <stp>[BI_AUTMG_1_l22cd4li.xlsx]ReferenceData!R189C54</stp>
        <stp>PX391=20070101</stp>
        <stp>PX392=20070331</stp>
        <stp>DS004=USD</stp>
        <stp>Fill=B</stp>
        <tr r="BB189" s="3"/>
      </tp>
      <tp t="s">
        <v>#N/A Connection</v>
        <stp/>
        <stp>##V3_BDPV12</stp>
        <stp>WCARNLI Index</stp>
        <stp>PX385</stp>
        <stp>[BI_AUTMG_1_l22cd4li.xlsx]ReferenceData!R188C51</stp>
        <stp>PX391=20071001</stp>
        <stp>PX392=20071231</stp>
        <stp>DS004=USD</stp>
        <stp>Fill=B</stp>
        <tr r="AY188" s="3"/>
      </tp>
      <tp t="s">
        <v>#N/A Connection</v>
        <stp/>
        <stp>##V3_BDPV12</stp>
        <stp>MAVSTTL Index</stp>
        <stp>PX385</stp>
        <stp>[BI_AUTMG_1_l22cd4li.xlsx]ReferenceData!R168C15</stp>
        <stp>PX391=20161001</stp>
        <stp>PX392=20161231</stp>
        <stp>DS004=USD</stp>
        <stp>Fill=B</stp>
        <tr r="O168" s="3"/>
      </tp>
      <tp t="s">
        <v>#N/A Connection</v>
        <stp/>
        <stp>##V3_BDPV12</stp>
        <stp>MAVSTTL Index</stp>
        <stp>PX385</stp>
        <stp>[BI_AUTMG_1_l22cd4li.xlsx]ReferenceData!R168C54</stp>
        <stp>PX391=20070101</stp>
        <stp>PX392=20070331</stp>
        <stp>DS004=USD</stp>
        <stp>Fill=B</stp>
        <tr r="BB168" s="3"/>
      </tp>
      <tp t="s">
        <v>#N/A Connection</v>
        <stp/>
        <stp>##V3_BDPV12</stp>
        <stp>IDVHCLOC Index</stp>
        <stp>PX385</stp>
        <stp>[BI_AUTMG_1_l22cd4li.xlsx]ReferenceData!R166C25</stp>
        <stp>PX391=20140401</stp>
        <stp>PX392=20140630</stp>
        <stp>DS004=USD</stp>
        <stp>Fill=B</stp>
        <tr r="Y166" s="3"/>
      </tp>
      <tp t="s">
        <v>#N/A Connection</v>
        <stp/>
        <stp>##V3_BDPV12</stp>
        <stp>WCARNOI Index</stp>
        <stp>PX385</stp>
        <stp>[BI_AUTMG_1_l22cd4li.xlsx]ReferenceData!R189C11</stp>
        <stp>PX391=20171001</stp>
        <stp>PX392=20171231</stp>
        <stp>DS004=USD</stp>
        <stp>Fill=B</stp>
        <tr r="K189" s="3"/>
      </tp>
      <tp t="s">
        <v>#N/A Connection</v>
        <stp/>
        <stp>##V3_BDPV12</stp>
        <stp>WCARNLI Index</stp>
        <stp>PX385</stp>
        <stp>[BI_AUTMG_1_l22cd4li.xlsx]ReferenceData!R188C14</stp>
        <stp>PX391=20170101</stp>
        <stp>PX392=20170331</stp>
        <stp>DS004=USD</stp>
        <stp>Fill=B</stp>
        <tr r="N188" s="3"/>
      </tp>
      <tp t="s">
        <v>#N/A Connection</v>
        <stp/>
        <stp>##V3_BDPV12</stp>
        <stp>WCARNOI Index</stp>
        <stp>PX385</stp>
        <stp>[BI_AUTMG_1_l22cd4li.xlsx]ReferenceData!R189C58</stp>
        <stp>PX391=20060101</stp>
        <stp>PX392=20060331</stp>
        <stp>DS004=USD</stp>
        <stp>Fill=B</stp>
        <tr r="BF189" s="3"/>
      </tp>
      <tp t="s">
        <v>#N/A Connection</v>
        <stp/>
        <stp>##V3_BDPV12</stp>
        <stp>WCARNLI Index</stp>
        <stp>PX385</stp>
        <stp>[BI_AUTMG_1_l22cd4li.xlsx]ReferenceData!R188C55</stp>
        <stp>PX391=20061001</stp>
        <stp>PX392=20061231</stp>
        <stp>DS004=USD</stp>
        <stp>Fill=B</stp>
        <tr r="BC188" s="3"/>
      </tp>
      <tp t="s">
        <v>#N/A Connection</v>
        <stp/>
        <stp>##V3_BDPV12</stp>
        <stp>MAVSTTL Index</stp>
        <stp>PX385</stp>
        <stp>[BI_AUTMG_1_l22cd4li.xlsx]ReferenceData!R168C11</stp>
        <stp>PX391=20171001</stp>
        <stp>PX392=20171231</stp>
        <stp>DS004=USD</stp>
        <stp>Fill=B</stp>
        <tr r="K168" s="3"/>
      </tp>
      <tp t="s">
        <v>#N/A Connection</v>
        <stp/>
        <stp>##V3_BDPV12</stp>
        <stp>MAVSTTL Index</stp>
        <stp>PX385</stp>
        <stp>[BI_AUTMG_1_l22cd4li.xlsx]ReferenceData!R168C58</stp>
        <stp>PX391=20060101</stp>
        <stp>PX392=20060331</stp>
        <stp>DS004=USD</stp>
        <stp>Fill=B</stp>
        <tr r="BF168" s="3"/>
      </tp>
      <tp t="s">
        <v>#N/A Connection</v>
        <stp/>
        <stp>##V3_BDPV12</stp>
        <stp>IDVHCLOC Index</stp>
        <stp>PX385</stp>
        <stp>[BI_AUTMG_1_l22cd4li.xlsx]ReferenceData!R166C21</stp>
        <stp>PX391=20150401</stp>
        <stp>PX392=20150630</stp>
        <stp>DS004=USD</stp>
        <stp>Fill=B</stp>
        <tr r="U166" s="3"/>
      </tp>
      <tp t="s">
        <v>#N/A Connection</v>
        <stp/>
        <stp>##V3_BDPV12</stp>
        <stp>WCARNLI Index</stp>
        <stp>PX385</stp>
        <stp>[BI_AUTMG_1_l22cd4li.xlsx]ReferenceData!R188C42</stp>
        <stp>PX391=20100101</stp>
        <stp>PX392=20100331</stp>
        <stp>DS004=USD</stp>
        <stp>Fill=B</stp>
        <tr r="AP188" s="3"/>
      </tp>
      <tp t="s">
        <v>#N/A Connection</v>
        <stp/>
        <stp>##V3_BDPV12</stp>
        <stp>WCARNOI Index</stp>
        <stp>PX385</stp>
        <stp>[BI_AUTMG_1_l22cd4li.xlsx]ReferenceData!R189C39</stp>
        <stp>PX391=20101001</stp>
        <stp>PX392=20101231</stp>
        <stp>DS004=USD</stp>
        <stp>Fill=B</stp>
        <tr r="AM189" s="3"/>
      </tp>
      <tp t="s">
        <v>#N/A Connection</v>
        <stp/>
        <stp>##V3_BDPV12</stp>
        <stp>MAVSTTL Index</stp>
        <stp>PX385</stp>
        <stp>[BI_AUTMG_1_l22cd4li.xlsx]ReferenceData!R168C39</stp>
        <stp>PX391=20101001</stp>
        <stp>PX392=20101231</stp>
        <stp>DS004=USD</stp>
        <stp>Fill=B</stp>
        <tr r="AM168" s="3"/>
      </tp>
      <tp t="s">
        <v>#N/A Connection</v>
        <stp/>
        <stp>##V3_BDPV12</stp>
        <stp>IDVHCLOC Index</stp>
        <stp>PX385</stp>
        <stp>[BI_AUTMG_1_l22cd4li.xlsx]ReferenceData!R166C33</stp>
        <stp>PX391=20120401</stp>
        <stp>PX392=20120630</stp>
        <stp>DS004=USD</stp>
        <stp>Fill=B</stp>
        <tr r="AG166" s="3"/>
      </tp>
      <tp t="s">
        <v>#N/A Connection</v>
        <stp/>
        <stp>##V3_BDPV12</stp>
        <stp>INVSDMUT Index</stp>
        <stp>PX385</stp>
        <stp>[BI_AUTMG_1_l22cd4li.xlsx]ReferenceData!R164C43</stp>
        <stp>PX391=20091001</stp>
        <stp>PX392=20091231</stp>
        <stp>DS004=USD</stp>
        <stp>Fill=B</stp>
        <tr r="AQ164" s="3"/>
      </tp>
      <tp t="s">
        <v>#N/A Connection</v>
        <stp/>
        <stp>##V3_BDPV12</stp>
        <stp>INVSDMPV Index</stp>
        <stp>PX385</stp>
        <stp>[BI_AUTMG_1_l22cd4li.xlsx]ReferenceData!R165C46</stp>
        <stp>PX391=20090101</stp>
        <stp>PX392=20090331</stp>
        <stp>DS004=USD</stp>
        <stp>Fill=B</stp>
        <tr r="AT165" s="3"/>
      </tp>
      <tp t="s">
        <v>#N/A Connection</v>
        <stp/>
        <stp>##V3_BDPV12</stp>
        <stp>INVSDMUT Index</stp>
        <stp>PX385</stp>
        <stp>[BI_AUTMG_1_l22cd4li.xlsx]ReferenceData!R164C10</stp>
        <stp>PX391=20180101</stp>
        <stp>PX392=20180331</stp>
        <stp>DS004=USD</stp>
        <stp>Fill=B</stp>
        <tr r="J164" s="3"/>
      </tp>
      <tp t="s">
        <v>#N/A Connection</v>
        <stp/>
        <stp>##V3_BDPV12</stp>
        <stp>WCARNOI Index</stp>
        <stp>PX385</stp>
        <stp>[BI_AUTMG_1_l22cd4li.xlsx]ReferenceData!R189C35</stp>
        <stp>PX391=20111001</stp>
        <stp>PX392=20111231</stp>
        <stp>DS004=USD</stp>
        <stp>Fill=B</stp>
        <tr r="AI189" s="3"/>
      </tp>
      <tp t="s">
        <v>#N/A Connection</v>
        <stp/>
        <stp>##V3_BDPV12</stp>
        <stp>WCARNLI Index</stp>
        <stp>PX385</stp>
        <stp>[BI_AUTMG_1_l22cd4li.xlsx]ReferenceData!R188C38</stp>
        <stp>PX391=20110101</stp>
        <stp>PX392=20110331</stp>
        <stp>DS004=USD</stp>
        <stp>Fill=B</stp>
        <tr r="AL188" s="3"/>
      </tp>
      <tp t="s">
        <v>#N/A Connection</v>
        <stp/>
        <stp>##V3_BDPV12</stp>
        <stp>MAVSTTL Index</stp>
        <stp>PX385</stp>
        <stp>[BI_AUTMG_1_l22cd4li.xlsx]ReferenceData!R168C35</stp>
        <stp>PX391=20111001</stp>
        <stp>PX392=20111231</stp>
        <stp>DS004=USD</stp>
        <stp>Fill=B</stp>
        <tr r="AI168" s="3"/>
      </tp>
      <tp t="s">
        <v>#N/A Connection</v>
        <stp/>
        <stp>##V3_BDPV12</stp>
        <stp>IDVHCLOC Index</stp>
        <stp>PX385</stp>
        <stp>[BI_AUTMG_1_l22cd4li.xlsx]ReferenceData!R166C29</stp>
        <stp>PX391=20130401</stp>
        <stp>PX392=20130630</stp>
        <stp>DS004=USD</stp>
        <stp>Fill=B</stp>
        <tr r="AC166" s="3"/>
      </tp>
      <tp t="s">
        <v>#N/A Connection</v>
        <stp/>
        <stp>##V3_BDPV12</stp>
        <stp>INVSDMUT Index</stp>
        <stp>PX385</stp>
        <stp>[BI_AUTMG_1_l22cd4li.xlsx]ReferenceData!R164C47</stp>
        <stp>PX391=20081001</stp>
        <stp>PX392=20081231</stp>
        <stp>DS004=USD</stp>
        <stp>Fill=B</stp>
        <tr r="AU164" s="3"/>
      </tp>
      <tp t="s">
        <v>#N/A Connection</v>
        <stp/>
        <stp>##V3_BDPV12</stp>
        <stp>INVSDMPV Index</stp>
        <stp>PX385</stp>
        <stp>[BI_AUTMG_1_l22cd4li.xlsx]ReferenceData!R165C50</stp>
        <stp>PX391=20080101</stp>
        <stp>PX392=20080331</stp>
        <stp>DS004=USD</stp>
        <stp>Fill=B</stp>
        <tr r="AX165" s="3"/>
      </tp>
      <tp t="s">
        <v>#N/A Connection</v>
        <stp/>
        <stp>##V3_BDPV12</stp>
        <stp>WCARDKI Index</stp>
        <stp>PX385</stp>
        <stp>[BI_AUTMG_1_l22cd4li.xlsx]ReferenceData!R179C46</stp>
        <stp>PX391=20090101</stp>
        <stp>PX392=20090331</stp>
        <stp>DS004=USD</stp>
        <stp>Fill=B</stp>
        <tr r="AT179" s="3"/>
      </tp>
      <tp t="s">
        <v>#N/A Connection</v>
        <stp/>
        <stp>##V3_BDPV12</stp>
        <stp>PAVSCAR Index</stp>
        <stp>PX385</stp>
        <stp>[BI_AUTMG_1_l22cd4li.xlsx]ReferenceData!R169C10</stp>
        <stp>PX391=20180101</stp>
        <stp>PX392=20180331</stp>
        <stp>DS004=USD</stp>
        <stp>Fill=B</stp>
        <tr r="J169" s="3"/>
      </tp>
      <tp t="s">
        <v>#N/A Connection</v>
        <stp/>
        <stp>##V3_BDPV12</stp>
        <stp>WCARNLI Index</stp>
        <stp>PX385</stp>
        <stp>[BI_AUTMG_1_l22cd4li.xlsx]ReferenceData!R188C34</stp>
        <stp>PX391=20120101</stp>
        <stp>PX392=20120331</stp>
        <stp>DS004=USD</stp>
        <stp>Fill=B</stp>
        <tr r="AH188" s="3"/>
      </tp>
      <tp t="s">
        <v>#N/A Connection</v>
        <stp/>
        <stp>##V3_BDPV12</stp>
        <stp>PAVSCAR Index</stp>
        <stp>PX385</stp>
        <stp>[BI_AUTMG_1_l22cd4li.xlsx]ReferenceData!R169C43</stp>
        <stp>PX391=20091001</stp>
        <stp>PX392=20091231</stp>
        <stp>DS004=USD</stp>
        <stp>Fill=B</stp>
        <tr r="AQ169" s="3"/>
      </tp>
      <tp t="s">
        <v>#N/A Connection</v>
        <stp/>
        <stp>##V3_BDPV12</stp>
        <stp>WCARNOI Index</stp>
        <stp>PX385</stp>
        <stp>[BI_AUTMG_1_l22cd4li.xlsx]ReferenceData!R189C31</stp>
        <stp>PX391=20121001</stp>
        <stp>PX392=20121231</stp>
        <stp>DS004=USD</stp>
        <stp>Fill=B</stp>
        <tr r="AE189" s="3"/>
      </tp>
      <tp t="s">
        <v>#N/A Connection</v>
        <stp/>
        <stp>##V3_BDPV12</stp>
        <stp>MAVSTTL Index</stp>
        <stp>PX385</stp>
        <stp>[BI_AUTMG_1_l22cd4li.xlsx]ReferenceData!R168C31</stp>
        <stp>PX391=20121001</stp>
        <stp>PX392=20121231</stp>
        <stp>DS004=USD</stp>
        <stp>Fill=B</stp>
        <tr r="AE168" s="3"/>
      </tp>
      <tp t="s">
        <v>#N/A Connection</v>
        <stp/>
        <stp>##V3_BDPV12</stp>
        <stp>IDVHCLOC Index</stp>
        <stp>PX385</stp>
        <stp>[BI_AUTMG_1_l22cd4li.xlsx]ReferenceData!R166C41</stp>
        <stp>PX391=20100401</stp>
        <stp>PX392=20100630</stp>
        <stp>DS004=USD</stp>
        <stp>Fill=B</stp>
        <tr r="AO166" s="3"/>
      </tp>
      <tp t="s">
        <v>#N/A Connection</v>
        <stp/>
        <stp>##V3_BDPV12</stp>
        <stp>WCARDKI Index</stp>
        <stp>PX385</stp>
        <stp>[BI_AUTMG_1_l22cd4li.xlsx]ReferenceData!R179C50</stp>
        <stp>PX391=20080101</stp>
        <stp>PX392=20080331</stp>
        <stp>DS004=USD</stp>
        <stp>Fill=B</stp>
        <tr r="AX179" s="3"/>
      </tp>
      <tp t="s">
        <v>#N/A Connection</v>
        <stp/>
        <stp>##V3_BDPV12</stp>
        <stp>WCARNLI Index</stp>
        <stp>PX385</stp>
        <stp>[BI_AUTMG_1_l22cd4li.xlsx]ReferenceData!R188C30</stp>
        <stp>PX391=20130101</stp>
        <stp>PX392=20130331</stp>
        <stp>DS004=USD</stp>
        <stp>Fill=B</stp>
        <tr r="AD188" s="3"/>
      </tp>
      <tp t="s">
        <v>#N/A Connection</v>
        <stp/>
        <stp>##V3_BDPV12</stp>
        <stp>PAVSCAR Index</stp>
        <stp>PX385</stp>
        <stp>[BI_AUTMG_1_l22cd4li.xlsx]ReferenceData!R169C47</stp>
        <stp>PX391=20081001</stp>
        <stp>PX392=20081231</stp>
        <stp>DS004=USD</stp>
        <stp>Fill=B</stp>
        <tr r="AU169" s="3"/>
      </tp>
      <tp t="s">
        <v>#N/A Connection</v>
        <stp/>
        <stp>##V3_BDPV12</stp>
        <stp>WCARNOI Index</stp>
        <stp>PX385</stp>
        <stp>[BI_AUTMG_1_l22cd4li.xlsx]ReferenceData!R189C27</stp>
        <stp>PX391=20131001</stp>
        <stp>PX392=20131231</stp>
        <stp>DS004=USD</stp>
        <stp>Fill=B</stp>
        <tr r="AA189" s="3"/>
      </tp>
      <tp t="s">
        <v>#N/A Connection</v>
        <stp/>
        <stp>##V3_BDPV12</stp>
        <stp>MAVSTTL Index</stp>
        <stp>PX385</stp>
        <stp>[BI_AUTMG_1_l22cd4li.xlsx]ReferenceData!R168C27</stp>
        <stp>PX391=20131001</stp>
        <stp>PX392=20131231</stp>
        <stp>DS004=USD</stp>
        <stp>Fill=B</stp>
        <tr r="AA168" s="3"/>
      </tp>
      <tp t="s">
        <v>#N/A Connection</v>
        <stp/>
        <stp>##V3_BDPV12</stp>
        <stp>IDVHCLOC Index</stp>
        <stp>PX385</stp>
        <stp>[BI_AUTMG_1_l22cd4li.xlsx]ReferenceData!R166C37</stp>
        <stp>PX391=20110401</stp>
        <stp>PX392=20110630</stp>
        <stp>DS004=USD</stp>
        <stp>Fill=B</stp>
        <tr r="AK166" s="3"/>
      </tp>
      <tp t="s">
        <v>#N/A Connection</v>
        <stp/>
        <stp>##V3_BDPV12</stp>
        <stp>PAVSCAR Index</stp>
        <stp>PX385</stp>
        <stp>[BI_AUTMG_1_l22cd4li.xlsx]ReferenceData!R169C51</stp>
        <stp>PX391=20071001</stp>
        <stp>PX392=20071231</stp>
        <stp>DS004=USD</stp>
        <stp>Fill=B</stp>
        <tr r="AY169" s="3"/>
      </tp>
      <tp t="s">
        <v>#N/A Connection</v>
        <stp/>
        <stp>##V3_BDPV12</stp>
        <stp>PAVSCAR Index</stp>
        <stp>PX385</stp>
        <stp>[BI_AUTMG_1_l22cd4li.xlsx]ReferenceData!R169C18</stp>
        <stp>PX391=20160101</stp>
        <stp>PX392=20160331</stp>
        <stp>DS004=USD</stp>
        <stp>Fill=B</stp>
        <tr r="R169" s="3"/>
      </tp>
      <tp t="s">
        <v>#N/A Connection</v>
        <stp/>
        <stp>##V3_BDPV12</stp>
        <stp>WCARDKI Index</stp>
        <stp>PX385</stp>
        <stp>[BI_AUTMG_1_l22cd4li.xlsx]ReferenceData!R179C54</stp>
        <stp>PX391=20070101</stp>
        <stp>PX392=20070331</stp>
        <stp>DS004=USD</stp>
        <stp>Fill=B</stp>
        <tr r="BB179" s="3"/>
      </tp>
      <tp t="s">
        <v>#N/A Connection</v>
        <stp/>
        <stp>##V3_BDPV12</stp>
        <stp>WCARDKI Index</stp>
        <stp>PX385</stp>
        <stp>[BI_AUTMG_1_l22cd4li.xlsx]ReferenceData!R179C15</stp>
        <stp>PX391=20161001</stp>
        <stp>PX392=20161231</stp>
        <stp>DS004=USD</stp>
        <stp>Fill=B</stp>
        <tr r="O179" s="3"/>
      </tp>
      <tp t="s">
        <v>#N/A Connection</v>
        <stp/>
        <stp>##V3_BDPV12</stp>
        <stp>WCARCYI Index</stp>
        <stp>PX385</stp>
        <stp>[BI_AUTMG_1_l22cd4li.xlsx]ReferenceData!R178C38</stp>
        <stp>PX391=20110101</stp>
        <stp>PX392=20110331</stp>
        <stp>DS004=USD</stp>
        <stp>Fill=B</stp>
        <tr r="AL178" s="3"/>
      </tp>
      <tp t="s">
        <v>#N/A Connection</v>
        <stp/>
        <stp>##V3_BDPV12</stp>
        <stp>INVSDMPV Index</stp>
        <stp>PX385</stp>
        <stp>[BI_AUTMG_1_l22cd4li.xlsx]ReferenceData!R165C62</stp>
        <stp>PX391=20050101</stp>
        <stp>PX392=20050331</stp>
        <stp>DS004=USD</stp>
        <stp>Fill=B</stp>
        <tr r="BJ165" s="3"/>
      </tp>
      <tp t="s">
        <v>#N/A Connection</v>
        <stp/>
        <stp>##V3_BDPV12</stp>
        <stp>INVSDMUT Index</stp>
        <stp>PX385</stp>
        <stp>[BI_AUTMG_1_l22cd4li.xlsx]ReferenceData!R164C26</stp>
        <stp>PX391=20140101</stp>
        <stp>PX392=20140331</stp>
        <stp>DS004=USD</stp>
        <stp>Fill=B</stp>
        <tr r="Z164" s="3"/>
      </tp>
      <tp t="s">
        <v>#N/A Connection</v>
        <stp/>
        <stp>##V3_BDPV12</stp>
        <stp>INVSDMUT Index</stp>
        <stp>PX385</stp>
        <stp>[BI_AUTMG_1_l22cd4li.xlsx]ReferenceData!R164C59</stp>
        <stp>PX391=20051001</stp>
        <stp>PX392=20051231</stp>
        <stp>DS004=USD</stp>
        <stp>Fill=B</stp>
        <tr r="BG164" s="3"/>
      </tp>
      <tp t="s">
        <v>#N/A Connection</v>
        <stp/>
        <stp>##V3_BDPV12</stp>
        <stp>INVSDMPV Index</stp>
        <stp>PX385</stp>
        <stp>[BI_AUTMG_1_l22cd4li.xlsx]ReferenceData!R165C23</stp>
        <stp>PX391=20141001</stp>
        <stp>PX392=20141231</stp>
        <stp>DS004=USD</stp>
        <stp>Fill=B</stp>
        <tr r="W165" s="3"/>
      </tp>
      <tp t="s">
        <v>#N/A Connection</v>
        <stp/>
        <stp>##V3_BDPV12</stp>
        <stp>PAVSCAR Index</stp>
        <stp>PX385</stp>
        <stp>[BI_AUTMG_1_l22cd4li.xlsx]ReferenceData!R169C55</stp>
        <stp>PX391=20061001</stp>
        <stp>PX392=20061231</stp>
        <stp>DS004=USD</stp>
        <stp>Fill=B</stp>
        <tr r="BC169" s="3"/>
      </tp>
      <tp t="s">
        <v>#N/A Connection</v>
        <stp/>
        <stp>##V3_BDPV12</stp>
        <stp>PAVSCAR Index</stp>
        <stp>PX385</stp>
        <stp>[BI_AUTMG_1_l22cd4li.xlsx]ReferenceData!R169C14</stp>
        <stp>PX391=20170101</stp>
        <stp>PX392=20170331</stp>
        <stp>DS004=USD</stp>
        <stp>Fill=B</stp>
        <tr r="N169" s="3"/>
      </tp>
      <tp t="s">
        <v>#N/A Connection</v>
        <stp/>
        <stp>##V3_BDPV12</stp>
        <stp>WCARDKI Index</stp>
        <stp>PX385</stp>
        <stp>[BI_AUTMG_1_l22cd4li.xlsx]ReferenceData!R179C58</stp>
        <stp>PX391=20060101</stp>
        <stp>PX392=20060331</stp>
        <stp>DS004=USD</stp>
        <stp>Fill=B</stp>
        <tr r="BF179" s="3"/>
      </tp>
      <tp t="s">
        <v>#N/A Connection</v>
        <stp/>
        <stp>##V3_BDPV12</stp>
        <stp>WCARDKI Index</stp>
        <stp>PX385</stp>
        <stp>[BI_AUTMG_1_l22cd4li.xlsx]ReferenceData!R179C11</stp>
        <stp>PX391=20171001</stp>
        <stp>PX392=20171231</stp>
        <stp>DS004=USD</stp>
        <stp>Fill=B</stp>
        <tr r="K179" s="3"/>
      </tp>
      <tp t="s">
        <v>#N/A Connection</v>
        <stp/>
        <stp>##V3_BDPV12</stp>
        <stp>WCARCYI Index</stp>
        <stp>PX385</stp>
        <stp>[BI_AUTMG_1_l22cd4li.xlsx]ReferenceData!R178C42</stp>
        <stp>PX391=20100101</stp>
        <stp>PX392=20100331</stp>
        <stp>DS004=USD</stp>
        <stp>Fill=B</stp>
        <tr r="AP178" s="3"/>
      </tp>
      <tp t="s">
        <v>#N/A Connection</v>
        <stp/>
        <stp>##V3_BDPV12</stp>
        <stp>INVSDMUT Index</stp>
        <stp>PX385</stp>
        <stp>[BI_AUTMG_1_l22cd4li.xlsx]ReferenceData!R164C22</stp>
        <stp>PX391=20150101</stp>
        <stp>PX392=20150331</stp>
        <stp>DS004=USD</stp>
        <stp>Fill=B</stp>
        <tr r="V164" s="3"/>
      </tp>
      <tp t="s">
        <v>#N/A Connection</v>
        <stp/>
        <stp>##V3_BDPV12</stp>
        <stp>INVSDMPV Index</stp>
        <stp>PX385</stp>
        <stp>[BI_AUTMG_1_l22cd4li.xlsx]ReferenceData!R165C19</stp>
        <stp>PX391=20151001</stp>
        <stp>PX392=20151231</stp>
        <stp>DS004=USD</stp>
        <stp>Fill=B</stp>
        <tr r="S165" s="3"/>
      </tp>
      <tp t="s">
        <v>#N/A Connection</v>
        <stp/>
        <stp>##V3_BDPV12</stp>
        <stp>INVSDMUT Index</stp>
        <stp>PX385</stp>
        <stp>[BI_AUTMG_1_l22cd4li.xlsx]ReferenceData!R164C63</stp>
        <stp>PX391=20041001</stp>
        <stp>PX392=20041231</stp>
        <stp>DS004=USD</stp>
        <stp>Fill=B</stp>
        <tr r="BK164" s="3"/>
      </tp>
      <tp t="s">
        <v>#N/A Connection</v>
        <stp/>
        <stp>##V3_BDPV12</stp>
        <stp>PAVSCAR Index</stp>
        <stp>PX385</stp>
        <stp>[BI_AUTMG_1_l22cd4li.xlsx]ReferenceData!R169C59</stp>
        <stp>PX391=20051001</stp>
        <stp>PX392=20051231</stp>
        <stp>DS004=USD</stp>
        <stp>Fill=B</stp>
        <tr r="BG169" s="3"/>
      </tp>
      <tp t="s">
        <v>#N/A Connection</v>
        <stp/>
        <stp>##V3_BDPV12</stp>
        <stp>PAVSCAR Index</stp>
        <stp>PX385</stp>
        <stp>[BI_AUTMG_1_l22cd4li.xlsx]ReferenceData!R169C26</stp>
        <stp>PX391=20140101</stp>
        <stp>PX392=20140331</stp>
        <stp>DS004=USD</stp>
        <stp>Fill=B</stp>
        <tr r="Z169" s="3"/>
      </tp>
      <tp t="s">
        <v>#N/A Connection</v>
        <stp/>
        <stp>##V3_BDPV12</stp>
        <stp>WCARDKI Index</stp>
        <stp>PX385</stp>
        <stp>[BI_AUTMG_1_l22cd4li.xlsx]ReferenceData!R179C62</stp>
        <stp>PX391=20050101</stp>
        <stp>PX392=20050331</stp>
        <stp>DS004=USD</stp>
        <stp>Fill=B</stp>
        <tr r="BJ179" s="3"/>
      </tp>
      <tp t="s">
        <v>#N/A Connection</v>
        <stp/>
        <stp>##V3_BDPV12</stp>
        <stp>WCARDKI Index</stp>
        <stp>PX385</stp>
        <stp>[BI_AUTMG_1_l22cd4li.xlsx]ReferenceData!R179C23</stp>
        <stp>PX391=20141001</stp>
        <stp>PX392=20141231</stp>
        <stp>DS004=USD</stp>
        <stp>Fill=B</stp>
        <tr r="W179" s="3"/>
      </tp>
      <tp t="s">
        <v>#N/A Connection</v>
        <stp/>
        <stp>##V3_BDPV12</stp>
        <stp>WCARCYI Index</stp>
        <stp>PX385</stp>
        <stp>[BI_AUTMG_1_l22cd4li.xlsx]ReferenceData!R178C30</stp>
        <stp>PX391=20130101</stp>
        <stp>PX392=20130331</stp>
        <stp>DS004=USD</stp>
        <stp>Fill=B</stp>
        <tr r="AD178" s="3"/>
      </tp>
      <tp t="s">
        <v>#N/A Connection</v>
        <stp/>
        <stp>##V3_BDPV12</stp>
        <stp>INVSDMUT Index</stp>
        <stp>PX385</stp>
        <stp>[BI_AUTMG_1_l22cd4li.xlsx]ReferenceData!R164C18</stp>
        <stp>PX391=20160101</stp>
        <stp>PX392=20160331</stp>
        <stp>DS004=USD</stp>
        <stp>Fill=B</stp>
        <tr r="R164" s="3"/>
      </tp>
      <tp t="s">
        <v>#N/A Connection</v>
        <stp/>
        <stp>##V3_BDPV12</stp>
        <stp>INVSDMPV Index</stp>
        <stp>PX385</stp>
        <stp>[BI_AUTMG_1_l22cd4li.xlsx]ReferenceData!R165C54</stp>
        <stp>PX391=20070101</stp>
        <stp>PX392=20070331</stp>
        <stp>DS004=USD</stp>
        <stp>Fill=B</stp>
        <tr r="BB165" s="3"/>
      </tp>
      <tp t="s">
        <v>#N/A Connection</v>
        <stp/>
        <stp>##V3_BDPV12</stp>
        <stp>INVSDMUT Index</stp>
        <stp>PX385</stp>
        <stp>[BI_AUTMG_1_l22cd4li.xlsx]ReferenceData!R164C51</stp>
        <stp>PX391=20071001</stp>
        <stp>PX392=20071231</stp>
        <stp>DS004=USD</stp>
        <stp>Fill=B</stp>
        <tr r="AY164" s="3"/>
      </tp>
      <tp t="s">
        <v>#N/A Connection</v>
        <stp/>
        <stp>##V3_BDPV12</stp>
        <stp>INVSDMPV Index</stp>
        <stp>PX385</stp>
        <stp>[BI_AUTMG_1_l22cd4li.xlsx]ReferenceData!R165C15</stp>
        <stp>PX391=20161001</stp>
        <stp>PX392=20161231</stp>
        <stp>DS004=USD</stp>
        <stp>Fill=B</stp>
        <tr r="O165" s="3"/>
      </tp>
      <tp t="s">
        <v>#N/A Connection</v>
        <stp/>
        <stp>##V3_BDPV12</stp>
        <stp>PAVSCAR Index</stp>
        <stp>PX385</stp>
        <stp>[BI_AUTMG_1_l22cd4li.xlsx]ReferenceData!R169C63</stp>
        <stp>PX391=20041001</stp>
        <stp>PX392=20041231</stp>
        <stp>DS004=USD</stp>
        <stp>Fill=B</stp>
        <tr r="BK169" s="3"/>
      </tp>
      <tp t="s">
        <v>#N/A Connection</v>
        <stp/>
        <stp>##V3_BDPV12</stp>
        <stp>PAVSCAR Index</stp>
        <stp>PX385</stp>
        <stp>[BI_AUTMG_1_l22cd4li.xlsx]ReferenceData!R169C22</stp>
        <stp>PX391=20150101</stp>
        <stp>PX392=20150331</stp>
        <stp>DS004=USD</stp>
        <stp>Fill=B</stp>
        <tr r="V169" s="3"/>
      </tp>
      <tp t="s">
        <v>#N/A Connection</v>
        <stp/>
        <stp>##V3_BDPV12</stp>
        <stp>WCARDKI Index</stp>
        <stp>PX385</stp>
        <stp>[BI_AUTMG_1_l22cd4li.xlsx]ReferenceData!R179C19</stp>
        <stp>PX391=20151001</stp>
        <stp>PX392=20151231</stp>
        <stp>DS004=USD</stp>
        <stp>Fill=B</stp>
        <tr r="S179" s="3"/>
      </tp>
      <tp t="s">
        <v>#N/A Connection</v>
        <stp/>
        <stp>##V3_BDPV12</stp>
        <stp>WCARCYI Index</stp>
        <stp>PX385</stp>
        <stp>[BI_AUTMG_1_l22cd4li.xlsx]ReferenceData!R178C34</stp>
        <stp>PX391=20120101</stp>
        <stp>PX392=20120331</stp>
        <stp>DS004=USD</stp>
        <stp>Fill=B</stp>
        <tr r="AH178" s="3"/>
      </tp>
      <tp t="s">
        <v>#N/A Connection</v>
        <stp/>
        <stp>##V3_BDPV12</stp>
        <stp>INVSDMPV Index</stp>
        <stp>PX385</stp>
        <stp>[BI_AUTMG_1_l22cd4li.xlsx]ReferenceData!R165C58</stp>
        <stp>PX391=20060101</stp>
        <stp>PX392=20060331</stp>
        <stp>DS004=USD</stp>
        <stp>Fill=B</stp>
        <tr r="BF165" s="3"/>
      </tp>
      <tp t="s">
        <v>#N/A Connection</v>
        <stp/>
        <stp>##V3_BDPV12</stp>
        <stp>INVSDMUT Index</stp>
        <stp>PX385</stp>
        <stp>[BI_AUTMG_1_l22cd4li.xlsx]ReferenceData!R164C14</stp>
        <stp>PX391=20170101</stp>
        <stp>PX392=20170331</stp>
        <stp>DS004=USD</stp>
        <stp>Fill=B</stp>
        <tr r="N164" s="3"/>
      </tp>
      <tp t="s">
        <v>#N/A Connection</v>
        <stp/>
        <stp>##V3_BDPV12</stp>
        <stp>INVSDMPV Index</stp>
        <stp>PX385</stp>
        <stp>[BI_AUTMG_1_l22cd4li.xlsx]ReferenceData!R165C11</stp>
        <stp>PX391=20171001</stp>
        <stp>PX392=20171231</stp>
        <stp>DS004=USD</stp>
        <stp>Fill=B</stp>
        <tr r="K165" s="3"/>
      </tp>
      <tp t="s">
        <v>#N/A Connection</v>
        <stp/>
        <stp>##V3_BDPV12</stp>
        <stp>INVSDMUT Index</stp>
        <stp>PX385</stp>
        <stp>[BI_AUTMG_1_l22cd4li.xlsx]ReferenceData!R164C55</stp>
        <stp>PX391=20061001</stp>
        <stp>PX392=20061231</stp>
        <stp>DS004=USD</stp>
        <stp>Fill=B</stp>
        <tr r="BC164" s="3"/>
      </tp>
      <tp t="s">
        <v>#N/A Connection</v>
        <stp/>
        <stp>##V3_BDPV12</stp>
        <stp>WCARNLI Index</stp>
        <stp>PX385</stp>
        <stp>[BI_AUTMG_1_l22cd4li.xlsx]ReferenceData!R188C43</stp>
        <stp>PX391=20091001</stp>
        <stp>PX392=20091231</stp>
        <stp>DS004=USD</stp>
        <stp>Fill=B</stp>
        <tr r="AQ188" s="3"/>
      </tp>
      <tp t="s">
        <v>#N/A Connection</v>
        <stp/>
        <stp>##V3_BDPV12</stp>
        <stp>PAVSCAR Index</stp>
        <stp>PX385</stp>
        <stp>[BI_AUTMG_1_l22cd4li.xlsx]ReferenceData!R169C34</stp>
        <stp>PX391=20120101</stp>
        <stp>PX392=20120331</stp>
        <stp>DS004=USD</stp>
        <stp>Fill=B</stp>
        <tr r="AH169" s="3"/>
      </tp>
      <tp t="s">
        <v>#N/A Connection</v>
        <stp/>
        <stp>##V3_BDPV12</stp>
        <stp>WCARNOI Index</stp>
        <stp>PX385</stp>
        <stp>[BI_AUTMG_1_l22cd4li.xlsx]ReferenceData!R189C46</stp>
        <stp>PX391=20090101</stp>
        <stp>PX392=20090331</stp>
        <stp>DS004=USD</stp>
        <stp>Fill=B</stp>
        <tr r="AT189" s="3"/>
      </tp>
      <tp t="s">
        <v>#N/A Connection</v>
        <stp/>
        <stp>##V3_BDPV12</stp>
        <stp>WCARNLI Index</stp>
        <stp>PX385</stp>
        <stp>[BI_AUTMG_1_l22cd4li.xlsx]ReferenceData!R188C10</stp>
        <stp>PX391=20180101</stp>
        <stp>PX392=20180331</stp>
        <stp>DS004=USD</stp>
        <stp>Fill=B</stp>
        <tr r="J188" s="3"/>
      </tp>
      <tp t="s">
        <v>#N/A Connection</v>
        <stp/>
        <stp>##V3_BDPV12</stp>
        <stp>WCARDKI Index</stp>
        <stp>PX385</stp>
        <stp>[BI_AUTMG_1_l22cd4li.xlsx]ReferenceData!R179C31</stp>
        <stp>PX391=20121001</stp>
        <stp>PX392=20121231</stp>
        <stp>DS004=USD</stp>
        <stp>Fill=B</stp>
        <tr r="AE179" s="3"/>
      </tp>
      <tp t="s">
        <v>#N/A Connection</v>
        <stp/>
        <stp>##V3_BDPV12</stp>
        <stp>WCARCYI Index</stp>
        <stp>PX385</stp>
        <stp>[BI_AUTMG_1_l22cd4li.xlsx]ReferenceData!R178C63</stp>
        <stp>PX391=20041001</stp>
        <stp>PX392=20041231</stp>
        <stp>DS004=USD</stp>
        <stp>Fill=B</stp>
        <tr r="BK178" s="3"/>
      </tp>
      <tp t="s">
        <v>#N/A Connection</v>
        <stp/>
        <stp>##V3_BDPV12</stp>
        <stp>MAVSTTL Index</stp>
        <stp>PX385</stp>
        <stp>[BI_AUTMG_1_l22cd4li.xlsx]ReferenceData!R168C46</stp>
        <stp>PX391=20090101</stp>
        <stp>PX392=20090331</stp>
        <stp>DS004=USD</stp>
        <stp>Fill=B</stp>
        <tr r="AT168" s="3"/>
      </tp>
      <tp t="s">
        <v>#N/A Connection</v>
        <stp/>
        <stp>##V3_BDPV12</stp>
        <stp>WCARCYI Index</stp>
        <stp>PX385</stp>
        <stp>[BI_AUTMG_1_l22cd4li.xlsx]ReferenceData!R178C22</stp>
        <stp>PX391=20150101</stp>
        <stp>PX392=20150331</stp>
        <stp>DS004=USD</stp>
        <stp>Fill=B</stp>
        <tr r="V178" s="3"/>
      </tp>
      <tp t="s">
        <v>#N/A Connection</v>
        <stp/>
        <stp>##V3_BDPV12</stp>
        <stp>INVSDMUT Index</stp>
        <stp>PX385</stp>
        <stp>[BI_AUTMG_1_l22cd4li.xlsx]ReferenceData!R164C42</stp>
        <stp>PX391=20100101</stp>
        <stp>PX392=20100331</stp>
        <stp>DS004=USD</stp>
        <stp>Fill=B</stp>
        <tr r="AP164" s="3"/>
      </tp>
      <tp t="s">
        <v>#N/A Connection</v>
        <stp/>
        <stp>##V3_BDPV12</stp>
        <stp>INVSDMPV Index</stp>
        <stp>PX385</stp>
        <stp>[BI_AUTMG_1_l22cd4li.xlsx]ReferenceData!R165C39</stp>
        <stp>PX391=20101001</stp>
        <stp>PX392=20101231</stp>
        <stp>DS004=USD</stp>
        <stp>Fill=B</stp>
        <tr r="AM165" s="3"/>
      </tp>
      <tp t="s">
        <v>#N/A Connection</v>
        <stp/>
        <stp>##V3_BDPV12</stp>
        <stp>WCARNLI Index</stp>
        <stp>PX385</stp>
        <stp>[BI_AUTMG_1_l22cd4li.xlsx]ReferenceData!R188C47</stp>
        <stp>PX391=20081001</stp>
        <stp>PX392=20081231</stp>
        <stp>DS004=USD</stp>
        <stp>Fill=B</stp>
        <tr r="AU188" s="3"/>
      </tp>
      <tp t="s">
        <v>#N/A Connection</v>
        <stp/>
        <stp>##V3_BDPV12</stp>
        <stp>WCARNOI Index</stp>
        <stp>PX385</stp>
        <stp>[BI_AUTMG_1_l22cd4li.xlsx]ReferenceData!R189C50</stp>
        <stp>PX391=20080101</stp>
        <stp>PX392=20080331</stp>
        <stp>DS004=USD</stp>
        <stp>Fill=B</stp>
        <tr r="AX189" s="3"/>
      </tp>
      <tp t="s">
        <v>#N/A Connection</v>
        <stp/>
        <stp>##V3_BDPV12</stp>
        <stp>PAVSCAR Index</stp>
        <stp>PX385</stp>
        <stp>[BI_AUTMG_1_l22cd4li.xlsx]ReferenceData!R169C30</stp>
        <stp>PX391=20130101</stp>
        <stp>PX392=20130331</stp>
        <stp>DS004=USD</stp>
        <stp>Fill=B</stp>
        <tr r="AD169" s="3"/>
      </tp>
      <tp t="s">
        <v>#N/A Connection</v>
        <stp/>
        <stp>##V3_BDPV12</stp>
        <stp>WCARDKI Index</stp>
        <stp>PX385</stp>
        <stp>[BI_AUTMG_1_l22cd4li.xlsx]ReferenceData!R179C27</stp>
        <stp>PX391=20131001</stp>
        <stp>PX392=20131231</stp>
        <stp>DS004=USD</stp>
        <stp>Fill=B</stp>
        <tr r="AA179" s="3"/>
      </tp>
      <tp t="s">
        <v>#N/A Connection</v>
        <stp/>
        <stp>##V3_BDPV12</stp>
        <stp>WCARCYI Index</stp>
        <stp>PX385</stp>
        <stp>[BI_AUTMG_1_l22cd4li.xlsx]ReferenceData!R178C59</stp>
        <stp>PX391=20051001</stp>
        <stp>PX392=20051231</stp>
        <stp>DS004=USD</stp>
        <stp>Fill=B</stp>
        <tr r="BG178" s="3"/>
      </tp>
      <tp t="s">
        <v>#N/A Connection</v>
        <stp/>
        <stp>##V3_BDPV12</stp>
        <stp>MAVSTTL Index</stp>
        <stp>PX385</stp>
        <stp>[BI_AUTMG_1_l22cd4li.xlsx]ReferenceData!R168C50</stp>
        <stp>PX391=20080101</stp>
        <stp>PX392=20080331</stp>
        <stp>DS004=USD</stp>
        <stp>Fill=B</stp>
        <tr r="AX168" s="3"/>
      </tp>
      <tp t="s">
        <v>#N/A Connection</v>
        <stp/>
        <stp>##V3_BDPV12</stp>
        <stp>WCARCYI Index</stp>
        <stp>PX385</stp>
        <stp>[BI_AUTMG_1_l22cd4li.xlsx]ReferenceData!R178C26</stp>
        <stp>PX391=20140101</stp>
        <stp>PX392=20140331</stp>
        <stp>DS004=USD</stp>
        <stp>Fill=B</stp>
        <tr r="Z178" s="3"/>
      </tp>
      <tp t="s">
        <v>#N/A Connection</v>
        <stp/>
        <stp>##V3_BDPV12</stp>
        <stp>INVSDMPV Index</stp>
        <stp>PX385</stp>
        <stp>[BI_AUTMG_1_l22cd4li.xlsx]ReferenceData!R165C35</stp>
        <stp>PX391=20111001</stp>
        <stp>PX392=20111231</stp>
        <stp>DS004=USD</stp>
        <stp>Fill=B</stp>
        <tr r="AI165" s="3"/>
      </tp>
      <tp t="s">
        <v>#N/A Connection</v>
        <stp/>
        <stp>##V3_BDPV12</stp>
        <stp>INVSDMUT Index</stp>
        <stp>PX385</stp>
        <stp>[BI_AUTMG_1_l22cd4li.xlsx]ReferenceData!R164C38</stp>
        <stp>PX391=20110101</stp>
        <stp>PX392=20110331</stp>
        <stp>DS004=USD</stp>
        <stp>Fill=B</stp>
        <tr r="AL164" s="3"/>
      </tp>
      <tp t="s">
        <v>#N/A Connection</v>
        <stp/>
        <stp>##V3_BDPV12</stp>
        <stp>PAVSCAR Index</stp>
        <stp>PX385</stp>
        <stp>[BI_AUTMG_1_l22cd4li.xlsx]ReferenceData!R169C42</stp>
        <stp>PX391=20100101</stp>
        <stp>PX392=20100331</stp>
        <stp>DS004=USD</stp>
        <stp>Fill=B</stp>
        <tr r="AP169" s="3"/>
      </tp>
      <tp t="s">
        <v>#N/A Connection</v>
        <stp/>
        <stp>##V3_BDPV12</stp>
        <stp>WCARDKI Index</stp>
        <stp>PX385</stp>
        <stp>[BI_AUTMG_1_l22cd4li.xlsx]ReferenceData!R179C39</stp>
        <stp>PX391=20101001</stp>
        <stp>PX392=20101231</stp>
        <stp>DS004=USD</stp>
        <stp>Fill=B</stp>
        <tr r="AM179" s="3"/>
      </tp>
      <tp t="s">
        <v>#N/A Connection</v>
        <stp/>
        <stp>##V3_BDPV12</stp>
        <stp>WCARCYI Index</stp>
        <stp>PX385</stp>
        <stp>[BI_AUTMG_1_l22cd4li.xlsx]ReferenceData!R178C55</stp>
        <stp>PX391=20061001</stp>
        <stp>PX392=20061231</stp>
        <stp>DS004=USD</stp>
        <stp>Fill=B</stp>
        <tr r="BC178" s="3"/>
      </tp>
      <tp t="s">
        <v>#N/A Connection</v>
        <stp/>
        <stp>##V3_BDPV12</stp>
        <stp>WCARCYI Index</stp>
        <stp>PX385</stp>
        <stp>[BI_AUTMG_1_l22cd4li.xlsx]ReferenceData!R178C14</stp>
        <stp>PX391=20170101</stp>
        <stp>PX392=20170331</stp>
        <stp>DS004=USD</stp>
        <stp>Fill=B</stp>
        <tr r="N178" s="3"/>
      </tp>
      <tp t="s">
        <v>#N/A Connection</v>
        <stp/>
        <stp>##V3_BDPV12</stp>
        <stp>INVSDMPV Index</stp>
        <stp>PX385</stp>
        <stp>[BI_AUTMG_1_l22cd4li.xlsx]ReferenceData!R165C31</stp>
        <stp>PX391=20121001</stp>
        <stp>PX392=20121231</stp>
        <stp>DS004=USD</stp>
        <stp>Fill=B</stp>
        <tr r="AE165" s="3"/>
      </tp>
      <tp t="s">
        <v>#N/A Connection</v>
        <stp/>
        <stp>##V3_BDPV12</stp>
        <stp>INVSDMUT Index</stp>
        <stp>PX385</stp>
        <stp>[BI_AUTMG_1_l22cd4li.xlsx]ReferenceData!R164C34</stp>
        <stp>PX391=20120101</stp>
        <stp>PX392=20120331</stp>
        <stp>DS004=USD</stp>
        <stp>Fill=B</stp>
        <tr r="AH164" s="3"/>
      </tp>
      <tp t="s">
        <v>#N/A Connection</v>
        <stp/>
        <stp>##V3_BDPV12</stp>
        <stp>PAVSCAR Index</stp>
        <stp>PX385</stp>
        <stp>[BI_AUTMG_1_l22cd4li.xlsx]ReferenceData!R169C38</stp>
        <stp>PX391=20110101</stp>
        <stp>PX392=20110331</stp>
        <stp>DS004=USD</stp>
        <stp>Fill=B</stp>
        <tr r="AL169" s="3"/>
      </tp>
      <tp t="s">
        <v>#N/A Connection</v>
        <stp/>
        <stp>##V3_BDPV12</stp>
        <stp>WCARDKI Index</stp>
        <stp>PX385</stp>
        <stp>[BI_AUTMG_1_l22cd4li.xlsx]ReferenceData!R179C35</stp>
        <stp>PX391=20111001</stp>
        <stp>PX392=20111231</stp>
        <stp>DS004=USD</stp>
        <stp>Fill=B</stp>
        <tr r="AI179" s="3"/>
      </tp>
      <tp t="s">
        <v>#N/A Connection</v>
        <stp/>
        <stp>##V3_BDPV12</stp>
        <stp>WCARCYI Index</stp>
        <stp>PX385</stp>
        <stp>[BI_AUTMG_1_l22cd4li.xlsx]ReferenceData!R178C51</stp>
        <stp>PX391=20071001</stp>
        <stp>PX392=20071231</stp>
        <stp>DS004=USD</stp>
        <stp>Fill=B</stp>
        <tr r="AY178" s="3"/>
      </tp>
      <tp t="s">
        <v>#N/A Connection</v>
        <stp/>
        <stp>##V3_BDPV12</stp>
        <stp>WCARCYI Index</stp>
        <stp>PX385</stp>
        <stp>[BI_AUTMG_1_l22cd4li.xlsx]ReferenceData!R178C18</stp>
        <stp>PX391=20160101</stp>
        <stp>PX392=20160331</stp>
        <stp>DS004=USD</stp>
        <stp>Fill=B</stp>
        <tr r="R178" s="3"/>
      </tp>
      <tp t="s">
        <v>#N/A Connection</v>
        <stp/>
        <stp>##V3_BDPV12</stp>
        <stp>INVSDMPV Index</stp>
        <stp>PX385</stp>
        <stp>[BI_AUTMG_1_l22cd4li.xlsx]ReferenceData!R165C27</stp>
        <stp>PX391=20131001</stp>
        <stp>PX392=20131231</stp>
        <stp>DS004=USD</stp>
        <stp>Fill=B</stp>
        <tr r="AA165" s="3"/>
      </tp>
      <tp t="s">
        <v>#N/A Connection</v>
        <stp/>
        <stp>##V3_BDPV12</stp>
        <stp>INVSDMUT Index</stp>
        <stp>PX385</stp>
        <stp>[BI_AUTMG_1_l22cd4li.xlsx]ReferenceData!R164C30</stp>
        <stp>PX391=20130101</stp>
        <stp>PX392=20130331</stp>
        <stp>DS004=USD</stp>
        <stp>Fill=B</stp>
        <tr r="AD164" s="3"/>
      </tp>
      <tp t="s">
        <v>#N/A Connection</v>
        <stp/>
        <stp>##V3_BDPV12</stp>
        <stp>INVSDPAS Index</stp>
        <stp>PX385</stp>
        <stp>[BI_AUTMG_1_l22cd4li.xlsx]ReferenceData!R163C8</stp>
        <stp>PX391=20180701</stp>
        <stp>PX392=20180930</stp>
        <stp>DS004=USD</stp>
        <stp>Fill=B</stp>
        <tr r="H163" s="3"/>
      </tp>
      <tp t="s">
        <v>#N/A Connection</v>
        <stp/>
        <stp>##V3_BDPV12</stp>
        <stp>BJTRNPGV Index</stp>
        <stp>PX385</stp>
        <stp>[BI_AUTMG_1_l22cd4li.xlsx]ReferenceData!R215C9</stp>
        <stp>PX391=20180401</stp>
        <stp>PX392=20180630</stp>
        <stp>DS004=USD</stp>
        <stp>Fill=B</stp>
        <tr r="I215" s="3"/>
      </tp>
      <tp t="s">
        <v>#N/A Connection</v>
        <stp/>
        <stp>##V3_BDPV12</stp>
        <stp>INVSDMUT Index</stp>
        <stp>PX385</stp>
        <stp>[BI_AUTMG_1_l22cd4li.xlsx]ReferenceData!R164C7</stp>
        <stp>PX391=20181001</stp>
        <stp>PX392=20181231</stp>
        <stp>DS004=USD</stp>
        <stp>Fill=B</stp>
        <tr r="G164" s="3"/>
      </tp>
      <tp t="s">
        <v>#N/A Connection</v>
        <stp/>
        <stp>##V3_BDPV12</stp>
        <stp>BZVLTOTL Index</stp>
        <stp>PX385</stp>
        <stp>[BI_AUTMG_1_l22cd4li.xlsx]ReferenceData!R211C7</stp>
        <stp>PX391=20181001</stp>
        <stp>PX392=20181231</stp>
        <stp>DS004=USD</stp>
        <stp>Fill=B</stp>
        <tr r="G211" s="3"/>
      </tp>
      <tp t="s">
        <v>#N/A Connection</v>
        <stp/>
        <stp>##V3_BDPV12</stp>
        <stp>COVSTCAR Index</stp>
        <stp>PX385</stp>
        <stp>[BI_AUTMG_1_l22cd4li.xlsx]ReferenceData!R213C6</stp>
        <stp>PX391=20190101</stp>
        <stp>PX392=20190331</stp>
        <stp>DS004=USD</stp>
        <stp>Fill=B</stp>
        <tr r="F213" s="3"/>
      </tp>
      <tp t="s">
        <v>#N/A Connection</v>
        <stp/>
        <stp>##V3_BDPV12</stp>
        <stp>BJTRNPGV Index</stp>
        <stp>PX385</stp>
        <stp>[BI_AUTMG_1_l22cd4li.xlsx]ReferenceData!R215C19</stp>
        <stp>PX391=20151001</stp>
        <stp>PX392=20151231</stp>
        <stp>DS004=USD</stp>
        <stp>Fill=B</stp>
        <tr r="S215" s="3"/>
      </tp>
      <tp t="s">
        <v>#N/A Connection</v>
        <stp/>
        <stp>##V3_BDPV12</stp>
        <stp>INVSDPAS Index</stp>
        <stp>PX385</stp>
        <stp>[BI_AUTMG_1_l22cd4li.xlsx]ReferenceData!R163C40</stp>
        <stp>PX391=20100701</stp>
        <stp>PX392=20100930</stp>
        <stp>DS004=USD</stp>
        <stp>Fill=B</stp>
        <tr r="AN163" s="3"/>
      </tp>
      <tp t="s">
        <v>#N/A Connection</v>
        <stp/>
        <stp>##V3_BDPV12</stp>
        <stp>BJTRNPGV Index</stp>
        <stp>PX385</stp>
        <stp>[BI_AUTMG_1_l22cd4li.xlsx]ReferenceData!R215C23</stp>
        <stp>PX391=20141001</stp>
        <stp>PX392=20141231</stp>
        <stp>DS004=USD</stp>
        <stp>Fill=B</stp>
        <tr r="W215" s="3"/>
      </tp>
      <tp t="s">
        <v>#N/A Connection</v>
        <stp/>
        <stp>##V3_BDPV12</stp>
        <stp>INVSDPAS Index</stp>
        <stp>PX385</stp>
        <stp>[BI_AUTMG_1_l22cd4li.xlsx]ReferenceData!R163C36</stp>
        <stp>PX391=20110701</stp>
        <stp>PX392=20110930</stp>
        <stp>DS004=USD</stp>
        <stp>Fill=B</stp>
        <tr r="AJ163" s="3"/>
      </tp>
      <tp t="s">
        <v>#N/A Connection</v>
        <stp/>
        <stp>##V3_BDPV12</stp>
        <stp>BJTRNPGV Index</stp>
        <stp>PX385</stp>
        <stp>[BI_AUTMG_1_l22cd4li.xlsx]ReferenceData!R215C62</stp>
        <stp>PX391=20050101</stp>
        <stp>PX392=20050331</stp>
        <stp>DS004=USD</stp>
        <stp>Fill=B</stp>
        <tr r="BJ215" s="3"/>
      </tp>
      <tp t="s">
        <v>#N/A Connection</v>
        <stp/>
        <stp>##V3_BDPV12</stp>
        <stp>BJTRNPGV Index</stp>
        <stp>PX385</stp>
        <stp>[BI_AUTMG_1_l22cd4li.xlsx]ReferenceData!R215C11</stp>
        <stp>PX391=20171001</stp>
        <stp>PX392=20171231</stp>
        <stp>DS004=USD</stp>
        <stp>Fill=B</stp>
        <tr r="K215" s="3"/>
      </tp>
      <tp t="s">
        <v>#N/A Connection</v>
        <stp/>
        <stp>##V3_BDPV12</stp>
        <stp>INVSDPAS Index</stp>
        <stp>PX385</stp>
        <stp>[BI_AUTMG_1_l22cd4li.xlsx]ReferenceData!R163C32</stp>
        <stp>PX391=20120701</stp>
        <stp>PX392=20120930</stp>
        <stp>DS004=USD</stp>
        <stp>Fill=B</stp>
        <tr r="AF163" s="3"/>
      </tp>
      <tp t="s">
        <v>#N/A Connection</v>
        <stp/>
        <stp>##V3_BDPV12</stp>
        <stp>BJTRNPGV Index</stp>
        <stp>PX385</stp>
        <stp>[BI_AUTMG_1_l22cd4li.xlsx]ReferenceData!R215C58</stp>
        <stp>PX391=20060101</stp>
        <stp>PX392=20060331</stp>
        <stp>DS004=USD</stp>
        <stp>Fill=B</stp>
        <tr r="BF215" s="3"/>
      </tp>
      <tp t="s">
        <v>#N/A Connection</v>
        <stp/>
        <stp>##V3_BDPV12</stp>
        <stp>BJTRNPGV Index</stp>
        <stp>PX385</stp>
        <stp>[BI_AUTMG_1_l22cd4li.xlsx]ReferenceData!R215C15</stp>
        <stp>PX391=20161001</stp>
        <stp>PX392=20161231</stp>
        <stp>DS004=USD</stp>
        <stp>Fill=B</stp>
        <tr r="O215" s="3"/>
      </tp>
      <tp t="s">
        <v>#N/A Connection</v>
        <stp/>
        <stp>##V3_BDPV12</stp>
        <stp>INVSDPAS Index</stp>
        <stp>PX385</stp>
        <stp>[BI_AUTMG_1_l22cd4li.xlsx]ReferenceData!R163C28</stp>
        <stp>PX391=20130701</stp>
        <stp>PX392=20130930</stp>
        <stp>DS004=USD</stp>
        <stp>Fill=B</stp>
        <tr r="AB163" s="3"/>
      </tp>
      <tp t="s">
        <v>#N/A Connection</v>
        <stp/>
        <stp>##V3_BDPV12</stp>
        <stp>BJTRNPGV Index</stp>
        <stp>PX385</stp>
        <stp>[BI_AUTMG_1_l22cd4li.xlsx]ReferenceData!R215C54</stp>
        <stp>PX391=20070101</stp>
        <stp>PX392=20070331</stp>
        <stp>DS004=USD</stp>
        <stp>Fill=B</stp>
        <tr r="BB215" s="3"/>
      </tp>
      <tp t="s">
        <v>#N/A Connection</v>
        <stp/>
        <stp>##V3_BDPV12</stp>
        <stp>WCARLV Index</stp>
        <stp>PX385</stp>
        <stp>[BI_AUTMG_1_l22cd4li.xlsx]ReferenceData!R200C44</stp>
        <stp>PX391=20090701</stp>
        <stp>PX392=20090930</stp>
        <stp>DS004=USD</stp>
        <stp>Fill=B</stp>
        <tr r="AR200" s="3"/>
      </tp>
      <tp t="s">
        <v>#N/A Connection</v>
        <stp/>
        <stp>##V3_BDPV12</stp>
        <stp>TUCSMP Index</stp>
        <stp>PX385</stp>
        <stp>[BI_AUTMG_1_l22cd4li.xlsx]ReferenceData!R194C46</stp>
        <stp>PX391=20090101</stp>
        <stp>PX392=20090331</stp>
        <stp>DS004=USD</stp>
        <stp>Fill=B</stp>
        <tr r="AT194" s="3"/>
      </tp>
      <tp t="s">
        <v>#N/A Connection</v>
        <stp/>
        <stp>##V3_BDPV12</stp>
        <stp>WCARCZ Index</stp>
        <stp>PX385</stp>
        <stp>[BI_AUTMG_1_l22cd4li.xlsx]ReferenceData!R197C47</stp>
        <stp>PX391=20081001</stp>
        <stp>PX392=20081231</stp>
        <stp>DS004=USD</stp>
        <stp>Fill=B</stp>
        <tr r="AU197" s="3"/>
      </tp>
      <tp t="s">
        <v>#N/A Connection</v>
        <stp/>
        <stp>##V3_BDPV12</stp>
        <stp>WCARBG Index</stp>
        <stp>PX385</stp>
        <stp>[BI_AUTMG_1_l22cd4li.xlsx]ReferenceData!R196C50</stp>
        <stp>PX391=20080101</stp>
        <stp>PX392=20080331</stp>
        <stp>DS004=USD</stp>
        <stp>Fill=B</stp>
        <tr r="AX196" s="3"/>
      </tp>
      <tp t="s">
        <v>#N/A Connection</v>
        <stp/>
        <stp>##V3_BDPV12</stp>
        <stp>WCARRO Index</stp>
        <stp>PX385</stp>
        <stp>[BI_AUTMG_1_l22cd4li.xlsx]ReferenceData!R203C45</stp>
        <stp>PX391=20090401</stp>
        <stp>PX392=20090630</stp>
        <stp>DS004=USD</stp>
        <stp>Fill=B</stp>
        <tr r="AS203" s="3"/>
      </tp>
      <tp t="s">
        <v>#N/A Connection</v>
        <stp/>
        <stp>##V3_BDPV12</stp>
        <stp>WCARSI Index</stp>
        <stp>PX385</stp>
        <stp>[BI_AUTMG_1_l22cd4li.xlsx]ReferenceData!R206C50</stp>
        <stp>PX391=20080101</stp>
        <stp>PX392=20080331</stp>
        <stp>DS004=USD</stp>
        <stp>Fill=B</stp>
        <tr r="AX206" s="3"/>
      </tp>
      <tp t="s">
        <v>#N/A Connection</v>
        <stp/>
        <stp>##V3_BDPV12</stp>
        <stp>BJTRNPGV Index</stp>
        <stp>PX385</stp>
        <stp>[BI_AUTMG_1_l22cd4li.xlsx]ReferenceData!R215C35</stp>
        <stp>PX391=20111001</stp>
        <stp>PX392=20111231</stp>
        <stp>DS004=USD</stp>
        <stp>Fill=B</stp>
        <tr r="AI215" s="3"/>
      </tp>
      <tp t="s">
        <v>#N/A Connection</v>
        <stp/>
        <stp>##V3_BDPV12</stp>
        <stp>INVSDPAS Index</stp>
        <stp>PX385</stp>
        <stp>[BI_AUTMG_1_l22cd4li.xlsx]ReferenceData!R163C24</stp>
        <stp>PX391=20140701</stp>
        <stp>PX392=20140930</stp>
        <stp>DS004=USD</stp>
        <stp>Fill=B</stp>
        <tr r="X163" s="3"/>
      </tp>
      <tp t="s">
        <v>#N/A Connection</v>
        <stp/>
        <stp>##V3_BDPV12</stp>
        <stp>WCARLV Index</stp>
        <stp>PX385</stp>
        <stp>[BI_AUTMG_1_l22cd4li.xlsx]ReferenceData!R200C48</stp>
        <stp>PX391=20080701</stp>
        <stp>PX392=20080930</stp>
        <stp>DS004=USD</stp>
        <stp>Fill=B</stp>
        <tr r="AV200" s="3"/>
      </tp>
      <tp t="s">
        <v>#N/A Connection</v>
        <stp/>
        <stp>##V3_BDPV12</stp>
        <stp>TUCSMP Index</stp>
        <stp>PX385</stp>
        <stp>[BI_AUTMG_1_l22cd4li.xlsx]ReferenceData!R194C50</stp>
        <stp>PX391=20080101</stp>
        <stp>PX392=20080331</stp>
        <stp>DS004=USD</stp>
        <stp>Fill=B</stp>
        <tr r="AX194" s="3"/>
      </tp>
      <tp t="s">
        <v>#N/A Connection</v>
        <stp/>
        <stp>##V3_BDPV12</stp>
        <stp>WCARCZ Index</stp>
        <stp>PX385</stp>
        <stp>[BI_AUTMG_1_l22cd4li.xlsx]ReferenceData!R197C43</stp>
        <stp>PX391=20091001</stp>
        <stp>PX392=20091231</stp>
        <stp>DS004=USD</stp>
        <stp>Fill=B</stp>
        <tr r="AQ197" s="3"/>
      </tp>
      <tp t="s">
        <v>#N/A Connection</v>
        <stp/>
        <stp>##V3_BDPV12</stp>
        <stp>WCARBG Index</stp>
        <stp>PX385</stp>
        <stp>[BI_AUTMG_1_l22cd4li.xlsx]ReferenceData!R196C46</stp>
        <stp>PX391=20090101</stp>
        <stp>PX392=20090331</stp>
        <stp>DS004=USD</stp>
        <stp>Fill=B</stp>
        <tr r="AT196" s="3"/>
      </tp>
      <tp t="s">
        <v>#N/A Connection</v>
        <stp/>
        <stp>##V3_BDPV12</stp>
        <stp>WCARCZ Index</stp>
        <stp>PX385</stp>
        <stp>[BI_AUTMG_1_l22cd4li.xlsx]ReferenceData!R197C10</stp>
        <stp>PX391=20180101</stp>
        <stp>PX392=20180331</stp>
        <stp>DS004=USD</stp>
        <stp>Fill=B</stp>
        <tr r="J197" s="3"/>
      </tp>
      <tp t="s">
        <v>#N/A Connection</v>
        <stp/>
        <stp>##V3_BDPV12</stp>
        <stp>WCARSI Index</stp>
        <stp>PX385</stp>
        <stp>[BI_AUTMG_1_l22cd4li.xlsx]ReferenceData!R206C46</stp>
        <stp>PX391=20090101</stp>
        <stp>PX392=20090331</stp>
        <stp>DS004=USD</stp>
        <stp>Fill=B</stp>
        <tr r="AT206" s="3"/>
      </tp>
      <tp t="s">
        <v>#N/A Connection</v>
        <stp/>
        <stp>##V3_BDPV12</stp>
        <stp>WCARRO Index</stp>
        <stp>PX385</stp>
        <stp>[BI_AUTMG_1_l22cd4li.xlsx]ReferenceData!R203C49</stp>
        <stp>PX391=20080401</stp>
        <stp>PX392=20080630</stp>
        <stp>DS004=USD</stp>
        <stp>Fill=B</stp>
        <tr r="AW203" s="3"/>
      </tp>
      <tp t="s">
        <v>#N/A Connection</v>
        <stp/>
        <stp>##V3_BDPV12</stp>
        <stp>BJTRNPGV Index</stp>
        <stp>PX385</stp>
        <stp>[BI_AUTMG_1_l22cd4li.xlsx]ReferenceData!R215C39</stp>
        <stp>PX391=20101001</stp>
        <stp>PX392=20101231</stp>
        <stp>DS004=USD</stp>
        <stp>Fill=B</stp>
        <tr r="AM215" s="3"/>
      </tp>
      <tp t="s">
        <v>#N/A Connection</v>
        <stp/>
        <stp>##V3_BDPV12</stp>
        <stp>INVSDPAS Index</stp>
        <stp>PX385</stp>
        <stp>[BI_AUTMG_1_l22cd4li.xlsx]ReferenceData!R163C20</stp>
        <stp>PX391=20150701</stp>
        <stp>PX392=20150930</stp>
        <stp>DS004=USD</stp>
        <stp>Fill=B</stp>
        <tr r="T163" s="3"/>
      </tp>
      <tp t="s">
        <v>#N/A Connection</v>
        <stp/>
        <stp>##V3_BDPV12</stp>
        <stp>INVSDPAS Index</stp>
        <stp>PX385</stp>
        <stp>[BI_AUTMG_1_l22cd4li.xlsx]ReferenceData!R163C16</stp>
        <stp>PX391=20160701</stp>
        <stp>PX392=20160930</stp>
        <stp>DS004=USD</stp>
        <stp>Fill=B</stp>
        <tr r="P163" s="3"/>
      </tp>
      <tp t="s">
        <v>#N/A Connection</v>
        <stp/>
        <stp>##V3_BDPV12</stp>
        <stp>BJTRNPGV Index</stp>
        <stp>PX385</stp>
        <stp>[BI_AUTMG_1_l22cd4li.xlsx]ReferenceData!R215C27</stp>
        <stp>PX391=20131001</stp>
        <stp>PX392=20131231</stp>
        <stp>DS004=USD</stp>
        <stp>Fill=B</stp>
        <tr r="AA215" s="3"/>
      </tp>
      <tp t="s">
        <v>#N/A Connection</v>
        <stp/>
        <stp>##V3_BDPV12</stp>
        <stp>INVSDPAS Index</stp>
        <stp>PX385</stp>
        <stp>[BI_AUTMG_1_l22cd4li.xlsx]ReferenceData!R163C12</stp>
        <stp>PX391=20170701</stp>
        <stp>PX392=20170930</stp>
        <stp>DS004=USD</stp>
        <stp>Fill=B</stp>
        <tr r="L163" s="3"/>
      </tp>
      <tp t="s">
        <v>#N/A Connection</v>
        <stp/>
        <stp>##V3_BDPV12</stp>
        <stp>BJTRNPGV Index</stp>
        <stp>PX385</stp>
        <stp>[BI_AUTMG_1_l22cd4li.xlsx]ReferenceData!R215C31</stp>
        <stp>PX391=20121001</stp>
        <stp>PX392=20121231</stp>
        <stp>DS004=USD</stp>
        <stp>Fill=B</stp>
        <tr r="AE215" s="3"/>
      </tp>
      <tp t="s">
        <v>#N/A Connection</v>
        <stp/>
        <stp>##V3_BDPV12</stp>
        <stp>WCARBG Index</stp>
        <stp>PX385</stp>
        <stp>[BI_AUTMG_1_l22cd4li.xlsx]ReferenceData!R196C19</stp>
        <stp>PX391=20151001</stp>
        <stp>PX392=20151231</stp>
        <stp>DS004=USD</stp>
        <stp>Fill=B</stp>
        <tr r="S196" s="3"/>
      </tp>
      <tp t="s">
        <v>#N/A Connection</v>
        <stp/>
        <stp>##V3_BDPV12</stp>
        <stp>WCARCZ Index</stp>
        <stp>PX385</stp>
        <stp>[BI_AUTMG_1_l22cd4li.xlsx]ReferenceData!R197C22</stp>
        <stp>PX391=20150101</stp>
        <stp>PX392=20150331</stp>
        <stp>DS004=USD</stp>
        <stp>Fill=B</stp>
        <tr r="V197" s="3"/>
      </tp>
      <tp t="s">
        <v>#N/A Connection</v>
        <stp/>
        <stp>##V3_BDPV12</stp>
        <stp>WCARCZ Index</stp>
        <stp>PX385</stp>
        <stp>[BI_AUTMG_1_l22cd4li.xlsx]ReferenceData!R197C63</stp>
        <stp>PX391=20041001</stp>
        <stp>PX392=20041231</stp>
        <stp>DS004=USD</stp>
        <stp>Fill=B</stp>
        <tr r="BK197" s="3"/>
      </tp>
      <tp t="s">
        <v>#N/A Connection</v>
        <stp/>
        <stp>##V3_BDPV12</stp>
        <stp>WCARLV Index</stp>
        <stp>PX385</stp>
        <stp>[BI_AUTMG_1_l22cd4li.xlsx]ReferenceData!R200C60</stp>
        <stp>PX391=20050701</stp>
        <stp>PX392=20050930</stp>
        <stp>DS004=USD</stp>
        <stp>Fill=B</stp>
        <tr r="BH200" s="3"/>
      </tp>
      <tp t="s">
        <v>#N/A Connection</v>
        <stp/>
        <stp>##V3_BDPV12</stp>
        <stp>TUCSMP Index</stp>
        <stp>PX385</stp>
        <stp>[BI_AUTMG_1_l22cd4li.xlsx]ReferenceData!R194C62</stp>
        <stp>PX391=20050101</stp>
        <stp>PX392=20050331</stp>
        <stp>DS004=USD</stp>
        <stp>Fill=B</stp>
        <tr r="BJ194" s="3"/>
      </tp>
      <tp t="s">
        <v>#N/A Connection</v>
        <stp/>
        <stp>##V3_BDPV12</stp>
        <stp>TUCSMP Index</stp>
        <stp>PX385</stp>
        <stp>[BI_AUTMG_1_l22cd4li.xlsx]ReferenceData!R194C23</stp>
        <stp>PX391=20141001</stp>
        <stp>PX392=20141231</stp>
        <stp>DS004=USD</stp>
        <stp>Fill=B</stp>
        <tr r="W194" s="3"/>
      </tp>
      <tp t="s">
        <v>#N/A Connection</v>
        <stp/>
        <stp>##V3_BDPV12</stp>
        <stp>WCARLI Index</stp>
        <stp>PX385</stp>
        <stp>[BI_AUTMG_1_l22cd4li.xlsx]ReferenceData!R201C24</stp>
        <stp>PX391=20140701</stp>
        <stp>PX392=20140930</stp>
        <stp>DS004=USD</stp>
        <stp>Fill=B</stp>
        <tr r="X201" s="3"/>
      </tp>
      <tp t="s">
        <v>#N/A Connection</v>
        <stp/>
        <stp>##V3_BDPV12</stp>
        <stp>WCARPO Index</stp>
        <stp>PX385</stp>
        <stp>[BI_AUTMG_1_l22cd4li.xlsx]ReferenceData!R202C25</stp>
        <stp>PX391=20140401</stp>
        <stp>PX392=20140630</stp>
        <stp>DS004=USD</stp>
        <stp>Fill=B</stp>
        <tr r="Y202" s="3"/>
      </tp>
      <tp t="s">
        <v>#N/A Connection</v>
        <stp/>
        <stp>##V3_BDPV12</stp>
        <stp>WCARSI Index</stp>
        <stp>PX385</stp>
        <stp>[BI_AUTMG_1_l22cd4li.xlsx]ReferenceData!R206C19</stp>
        <stp>PX391=20151001</stp>
        <stp>PX392=20151231</stp>
        <stp>DS004=USD</stp>
        <stp>Fill=B</stp>
        <tr r="S206" s="3"/>
      </tp>
      <tp t="s">
        <v>#N/A Connection</v>
        <stp/>
        <stp>##V3_BDPV12</stp>
        <stp>WCARRO Index</stp>
        <stp>PX385</stp>
        <stp>[BI_AUTMG_1_l22cd4li.xlsx]ReferenceData!R203C61</stp>
        <stp>PX391=20050401</stp>
        <stp>PX392=20050630</stp>
        <stp>DS004=USD</stp>
        <stp>Fill=B</stp>
        <tr r="BI203" s="3"/>
      </tp>
      <tp t="s">
        <v>#N/A Connection</v>
        <stp/>
        <stp>##V3_BDPV12</stp>
        <stp>WCARCZ Index</stp>
        <stp>PX385</stp>
        <stp>[BI_AUTMG_1_l22cd4li.xlsx]ReferenceData!R197C26</stp>
        <stp>PX391=20140101</stp>
        <stp>PX392=20140331</stp>
        <stp>DS004=USD</stp>
        <stp>Fill=B</stp>
        <tr r="Z197" s="3"/>
      </tp>
      <tp t="s">
        <v>#N/A Connection</v>
        <stp/>
        <stp>##V3_BDPV12</stp>
        <stp>WCARBG Index</stp>
        <stp>PX385</stp>
        <stp>[BI_AUTMG_1_l22cd4li.xlsx]ReferenceData!R196C23</stp>
        <stp>PX391=20141001</stp>
        <stp>PX392=20141231</stp>
        <stp>DS004=USD</stp>
        <stp>Fill=B</stp>
        <tr r="W196" s="3"/>
      </tp>
      <tp t="s">
        <v>#N/A Connection</v>
        <stp/>
        <stp>##V3_BDPV12</stp>
        <stp>WCARCZ Index</stp>
        <stp>PX385</stp>
        <stp>[BI_AUTMG_1_l22cd4li.xlsx]ReferenceData!R197C59</stp>
        <stp>PX391=20051001</stp>
        <stp>PX392=20051231</stp>
        <stp>DS004=USD</stp>
        <stp>Fill=B</stp>
        <tr r="BG197" s="3"/>
      </tp>
      <tp t="s">
        <v>#N/A Connection</v>
        <stp/>
        <stp>##V3_BDPV12</stp>
        <stp>WCARBG Index</stp>
        <stp>PX385</stp>
        <stp>[BI_AUTMG_1_l22cd4li.xlsx]ReferenceData!R196C62</stp>
        <stp>PX391=20050101</stp>
        <stp>PX392=20050331</stp>
        <stp>DS004=USD</stp>
        <stp>Fill=B</stp>
        <tr r="BJ196" s="3"/>
      </tp>
      <tp t="s">
        <v>#N/A Connection</v>
        <stp/>
        <stp>##V3_BDPV12</stp>
        <stp>WCARLV Index</stp>
        <stp>PX385</stp>
        <stp>[BI_AUTMG_1_l22cd4li.xlsx]ReferenceData!R200C64</stp>
        <stp>PX391=20040701</stp>
        <stp>PX392=20040930</stp>
        <stp>DS004=USD</stp>
        <stp>Fill=B</stp>
        <tr r="BL200" s="3"/>
      </tp>
      <tp t="s">
        <v>#N/A Connection</v>
        <stp/>
        <stp>##V3_BDPV12</stp>
        <stp>TUCSMP Index</stp>
        <stp>PX385</stp>
        <stp>[BI_AUTMG_1_l22cd4li.xlsx]ReferenceData!R194C19</stp>
        <stp>PX391=20151001</stp>
        <stp>PX392=20151231</stp>
        <stp>DS004=USD</stp>
        <stp>Fill=B</stp>
        <tr r="S194" s="3"/>
      </tp>
      <tp t="s">
        <v>#N/A Connection</v>
        <stp/>
        <stp>##V3_BDPV12</stp>
        <stp>WCARLI Index</stp>
        <stp>PX385</stp>
        <stp>[BI_AUTMG_1_l22cd4li.xlsx]ReferenceData!R201C20</stp>
        <stp>PX391=20150701</stp>
        <stp>PX392=20150930</stp>
        <stp>DS004=USD</stp>
        <stp>Fill=B</stp>
        <tr r="T201" s="3"/>
      </tp>
      <tp t="s">
        <v>#N/A Connection</v>
        <stp/>
        <stp>##V3_BDPV12</stp>
        <stp>WCARSI Index</stp>
        <stp>PX385</stp>
        <stp>[BI_AUTMG_1_l22cd4li.xlsx]ReferenceData!R206C23</stp>
        <stp>PX391=20141001</stp>
        <stp>PX392=20141231</stp>
        <stp>DS004=USD</stp>
        <stp>Fill=B</stp>
        <tr r="W206" s="3"/>
      </tp>
      <tp t="s">
        <v>#N/A Connection</v>
        <stp/>
        <stp>##V3_BDPV12</stp>
        <stp>WCARPO Index</stp>
        <stp>PX385</stp>
        <stp>[BI_AUTMG_1_l22cd4li.xlsx]ReferenceData!R202C21</stp>
        <stp>PX391=20150401</stp>
        <stp>PX392=20150630</stp>
        <stp>DS004=USD</stp>
        <stp>Fill=B</stp>
        <tr r="U202" s="3"/>
      </tp>
      <tp t="s">
        <v>#N/A Connection</v>
        <stp/>
        <stp>##V3_BDPV12</stp>
        <stp>WCARSI Index</stp>
        <stp>PX385</stp>
        <stp>[BI_AUTMG_1_l22cd4li.xlsx]ReferenceData!R206C62</stp>
        <stp>PX391=20050101</stp>
        <stp>PX392=20050331</stp>
        <stp>DS004=USD</stp>
        <stp>Fill=B</stp>
        <tr r="BJ206" s="3"/>
      </tp>
      <tp t="s">
        <v>#N/A Connection</v>
        <stp/>
        <stp>##V3_BDPV12</stp>
        <stp>WCARRO Index</stp>
        <stp>PX385</stp>
        <stp>[BI_AUTMG_1_l22cd4li.xlsx]ReferenceData!R203C65</stp>
        <stp>PX391=20040401</stp>
        <stp>PX392=20040630</stp>
        <stp>DS004=USD</stp>
        <stp>Fill=B</stp>
        <tr r="BM203" s="3"/>
      </tp>
      <tp t="s">
        <v>#N/A Connection</v>
        <stp/>
        <stp>##V3_BDPV12</stp>
        <stp>WCARCZ Index</stp>
        <stp>PX385</stp>
        <stp>[BI_AUTMG_1_l22cd4li.xlsx]ReferenceData!R197C14</stp>
        <stp>PX391=20170101</stp>
        <stp>PX392=20170331</stp>
        <stp>DS004=USD</stp>
        <stp>Fill=B</stp>
        <tr r="N197" s="3"/>
      </tp>
      <tp t="s">
        <v>#N/A Connection</v>
        <stp/>
        <stp>##V3_BDPV12</stp>
        <stp>WCARBG Index</stp>
        <stp>PX385</stp>
        <stp>[BI_AUTMG_1_l22cd4li.xlsx]ReferenceData!R196C11</stp>
        <stp>PX391=20171001</stp>
        <stp>PX392=20171231</stp>
        <stp>DS004=USD</stp>
        <stp>Fill=B</stp>
        <tr r="K196" s="3"/>
      </tp>
      <tp t="s">
        <v>#N/A Connection</v>
        <stp/>
        <stp>##V3_BDPV12</stp>
        <stp>WCARCZ Index</stp>
        <stp>PX385</stp>
        <stp>[BI_AUTMG_1_l22cd4li.xlsx]ReferenceData!R197C55</stp>
        <stp>PX391=20061001</stp>
        <stp>PX392=20061231</stp>
        <stp>DS004=USD</stp>
        <stp>Fill=B</stp>
        <tr r="BC197" s="3"/>
      </tp>
      <tp t="s">
        <v>#N/A Connection</v>
        <stp/>
        <stp>##V3_BDPV12</stp>
        <stp>WCARBG Index</stp>
        <stp>PX385</stp>
        <stp>[BI_AUTMG_1_l22cd4li.xlsx]ReferenceData!R196C58</stp>
        <stp>PX391=20060101</stp>
        <stp>PX392=20060331</stp>
        <stp>DS004=USD</stp>
        <stp>Fill=B</stp>
        <tr r="BF196" s="3"/>
      </tp>
      <tp t="s">
        <v>#N/A Connection</v>
        <stp/>
        <stp>##V3_BDPV12</stp>
        <stp>TUCSMP Index</stp>
        <stp>PX385</stp>
        <stp>[BI_AUTMG_1_l22cd4li.xlsx]ReferenceData!R194C54</stp>
        <stp>PX391=20070101</stp>
        <stp>PX392=20070331</stp>
        <stp>DS004=USD</stp>
        <stp>Fill=B</stp>
        <tr r="BB194" s="3"/>
      </tp>
      <tp t="s">
        <v>#N/A Connection</v>
        <stp/>
        <stp>##V3_BDPV12</stp>
        <stp>WCARLV Index</stp>
        <stp>PX385</stp>
        <stp>[BI_AUTMG_1_l22cd4li.xlsx]ReferenceData!R200C52</stp>
        <stp>PX391=20070701</stp>
        <stp>PX392=20070930</stp>
        <stp>DS004=USD</stp>
        <stp>Fill=B</stp>
        <tr r="AZ200" s="3"/>
      </tp>
      <tp t="s">
        <v>#N/A Connection</v>
        <stp/>
        <stp>##V3_BDPV12</stp>
        <stp>TUCSMP Index</stp>
        <stp>PX385</stp>
        <stp>[BI_AUTMG_1_l22cd4li.xlsx]ReferenceData!R194C15</stp>
        <stp>PX391=20161001</stp>
        <stp>PX392=20161231</stp>
        <stp>DS004=USD</stp>
        <stp>Fill=B</stp>
        <tr r="O194" s="3"/>
      </tp>
      <tp t="s">
        <v>#N/A Connection</v>
        <stp/>
        <stp>##V3_BDPV12</stp>
        <stp>WCARLI Index</stp>
        <stp>PX385</stp>
        <stp>[BI_AUTMG_1_l22cd4li.xlsx]ReferenceData!R201C16</stp>
        <stp>PX391=20160701</stp>
        <stp>PX392=20160930</stp>
        <stp>DS004=USD</stp>
        <stp>Fill=B</stp>
        <tr r="P201" s="3"/>
      </tp>
      <tp t="s">
        <v>#N/A Connection</v>
        <stp/>
        <stp>##V3_BDPV12</stp>
        <stp>WCARSI Index</stp>
        <stp>PX385</stp>
        <stp>[BI_AUTMG_1_l22cd4li.xlsx]ReferenceData!R206C11</stp>
        <stp>PX391=20171001</stp>
        <stp>PX392=20171231</stp>
        <stp>DS004=USD</stp>
        <stp>Fill=B</stp>
        <tr r="K206" s="3"/>
      </tp>
      <tp t="s">
        <v>#N/A Connection</v>
        <stp/>
        <stp>##V3_BDPV12</stp>
        <stp>WCARPO Index</stp>
        <stp>PX385</stp>
        <stp>[BI_AUTMG_1_l22cd4li.xlsx]ReferenceData!R202C17</stp>
        <stp>PX391=20160401</stp>
        <stp>PX392=20160630</stp>
        <stp>DS004=USD</stp>
        <stp>Fill=B</stp>
        <tr r="Q202" s="3"/>
      </tp>
      <tp t="s">
        <v>#N/A Connection</v>
        <stp/>
        <stp>##V3_BDPV12</stp>
        <stp>WCARRO Index</stp>
        <stp>PX385</stp>
        <stp>[BI_AUTMG_1_l22cd4li.xlsx]ReferenceData!R203C53</stp>
        <stp>PX391=20070401</stp>
        <stp>PX392=20070630</stp>
        <stp>DS004=USD</stp>
        <stp>Fill=B</stp>
        <tr r="BA203" s="3"/>
      </tp>
      <tp t="s">
        <v>#N/A Connection</v>
        <stp/>
        <stp>##V3_BDPV12</stp>
        <stp>WCARSI Index</stp>
        <stp>PX385</stp>
        <stp>[BI_AUTMG_1_l22cd4li.xlsx]ReferenceData!R206C58</stp>
        <stp>PX391=20060101</stp>
        <stp>PX392=20060331</stp>
        <stp>DS004=USD</stp>
        <stp>Fill=B</stp>
        <tr r="BF206" s="3"/>
      </tp>
      <tp t="s">
        <v>#N/A Connection</v>
        <stp/>
        <stp>##V3_BDPV12</stp>
        <stp>WCARCZ Index</stp>
        <stp>PX385</stp>
        <stp>[BI_AUTMG_1_l22cd4li.xlsx]ReferenceData!R197C18</stp>
        <stp>PX391=20160101</stp>
        <stp>PX392=20160331</stp>
        <stp>DS004=USD</stp>
        <stp>Fill=B</stp>
        <tr r="R197" s="3"/>
      </tp>
      <tp t="s">
        <v>#N/A Connection</v>
        <stp/>
        <stp>##V3_BDPV12</stp>
        <stp>WCARBG Index</stp>
        <stp>PX385</stp>
        <stp>[BI_AUTMG_1_l22cd4li.xlsx]ReferenceData!R196C15</stp>
        <stp>PX391=20161001</stp>
        <stp>PX392=20161231</stp>
        <stp>DS004=USD</stp>
        <stp>Fill=B</stp>
        <tr r="O196" s="3"/>
      </tp>
      <tp t="s">
        <v>#N/A Connection</v>
        <stp/>
        <stp>##V3_BDPV12</stp>
        <stp>WCARCZ Index</stp>
        <stp>PX385</stp>
        <stp>[BI_AUTMG_1_l22cd4li.xlsx]ReferenceData!R197C51</stp>
        <stp>PX391=20071001</stp>
        <stp>PX392=20071231</stp>
        <stp>DS004=USD</stp>
        <stp>Fill=B</stp>
        <tr r="AY197" s="3"/>
      </tp>
      <tp t="s">
        <v>#N/A Connection</v>
        <stp/>
        <stp>##V3_BDPV12</stp>
        <stp>WCARBG Index</stp>
        <stp>PX385</stp>
        <stp>[BI_AUTMG_1_l22cd4li.xlsx]ReferenceData!R196C54</stp>
        <stp>PX391=20070101</stp>
        <stp>PX392=20070331</stp>
        <stp>DS004=USD</stp>
        <stp>Fill=B</stp>
        <tr r="BB196" s="3"/>
      </tp>
      <tp t="s">
        <v>#N/A Connection</v>
        <stp/>
        <stp>##V3_BDPV12</stp>
        <stp>WCARLV Index</stp>
        <stp>PX385</stp>
        <stp>[BI_AUTMG_1_l22cd4li.xlsx]ReferenceData!R200C56</stp>
        <stp>PX391=20060701</stp>
        <stp>PX392=20060930</stp>
        <stp>DS004=USD</stp>
        <stp>Fill=B</stp>
        <tr r="BD200" s="3"/>
      </tp>
      <tp t="s">
        <v>#N/A Connection</v>
        <stp/>
        <stp>##V3_BDPV12</stp>
        <stp>TUCSMP Index</stp>
        <stp>PX385</stp>
        <stp>[BI_AUTMG_1_l22cd4li.xlsx]ReferenceData!R194C58</stp>
        <stp>PX391=20060101</stp>
        <stp>PX392=20060331</stp>
        <stp>DS004=USD</stp>
        <stp>Fill=B</stp>
        <tr r="BF194" s="3"/>
      </tp>
      <tp t="s">
        <v>#N/A Connection</v>
        <stp/>
        <stp>##V3_BDPV12</stp>
        <stp>TUCSMP Index</stp>
        <stp>PX385</stp>
        <stp>[BI_AUTMG_1_l22cd4li.xlsx]ReferenceData!R194C11</stp>
        <stp>PX391=20171001</stp>
        <stp>PX392=20171231</stp>
        <stp>DS004=USD</stp>
        <stp>Fill=B</stp>
        <tr r="K194" s="3"/>
      </tp>
      <tp t="s">
        <v>#N/A Connection</v>
        <stp/>
        <stp>##V3_BDPV12</stp>
        <stp>WCARLI Index</stp>
        <stp>PX385</stp>
        <stp>[BI_AUTMG_1_l22cd4li.xlsx]ReferenceData!R201C12</stp>
        <stp>PX391=20170701</stp>
        <stp>PX392=20170930</stp>
        <stp>DS004=USD</stp>
        <stp>Fill=B</stp>
        <tr r="L201" s="3"/>
      </tp>
      <tp t="s">
        <v>#N/A Connection</v>
        <stp/>
        <stp>##V3_BDPV12</stp>
        <stp>WCARSI Index</stp>
        <stp>PX385</stp>
        <stp>[BI_AUTMG_1_l22cd4li.xlsx]ReferenceData!R206C15</stp>
        <stp>PX391=20161001</stp>
        <stp>PX392=20161231</stp>
        <stp>DS004=USD</stp>
        <stp>Fill=B</stp>
        <tr r="O206" s="3"/>
      </tp>
      <tp t="s">
        <v>#N/A Connection</v>
        <stp/>
        <stp>##V3_BDPV12</stp>
        <stp>WCARPO Index</stp>
        <stp>PX385</stp>
        <stp>[BI_AUTMG_1_l22cd4li.xlsx]ReferenceData!R202C13</stp>
        <stp>PX391=20170401</stp>
        <stp>PX392=20170630</stp>
        <stp>DS004=USD</stp>
        <stp>Fill=B</stp>
        <tr r="M202" s="3"/>
      </tp>
      <tp t="s">
        <v>#N/A Connection</v>
        <stp/>
        <stp>##V3_BDPV12</stp>
        <stp>WCARRO Index</stp>
        <stp>PX385</stp>
        <stp>[BI_AUTMG_1_l22cd4li.xlsx]ReferenceData!R203C57</stp>
        <stp>PX391=20060401</stp>
        <stp>PX392=20060630</stp>
        <stp>DS004=USD</stp>
        <stp>Fill=B</stp>
        <tr r="BE203" s="3"/>
      </tp>
      <tp t="s">
        <v>#N/A Connection</v>
        <stp/>
        <stp>##V3_BDPV12</stp>
        <stp>WCARSI Index</stp>
        <stp>PX385</stp>
        <stp>[BI_AUTMG_1_l22cd4li.xlsx]ReferenceData!R206C54</stp>
        <stp>PX391=20070101</stp>
        <stp>PX392=20070331</stp>
        <stp>DS004=USD</stp>
        <stp>Fill=B</stp>
        <tr r="BB206" s="3"/>
      </tp>
      <tp t="s">
        <v>#N/A Connection</v>
        <stp/>
        <stp>##V3_BDPV12</stp>
        <stp>WCARCZ Index</stp>
        <stp>PX385</stp>
        <stp>[BI_AUTMG_1_l22cd4li.xlsx]ReferenceData!R197C38</stp>
        <stp>PX391=20110101</stp>
        <stp>PX392=20110331</stp>
        <stp>DS004=USD</stp>
        <stp>Fill=B</stp>
        <tr r="AL197" s="3"/>
      </tp>
      <tp t="s">
        <v>#N/A Connection</v>
        <stp/>
        <stp>##V3_BDPV12</stp>
        <stp>WCARBG Index</stp>
        <stp>PX385</stp>
        <stp>[BI_AUTMG_1_l22cd4li.xlsx]ReferenceData!R196C35</stp>
        <stp>PX391=20111001</stp>
        <stp>PX392=20111231</stp>
        <stp>DS004=USD</stp>
        <stp>Fill=B</stp>
        <tr r="AI196" s="3"/>
      </tp>
      <tp t="s">
        <v>#N/A Connection</v>
        <stp/>
        <stp>##V3_BDPV12</stp>
        <stp>TUCSMP Index</stp>
        <stp>PX385</stp>
        <stp>[BI_AUTMG_1_l22cd4li.xlsx]ReferenceData!R194C39</stp>
        <stp>PX391=20101001</stp>
        <stp>PX392=20101231</stp>
        <stp>DS004=USD</stp>
        <stp>Fill=B</stp>
        <tr r="AM194" s="3"/>
      </tp>
      <tp t="s">
        <v>#N/A Connection</v>
        <stp/>
        <stp>##V3_BDPV12</stp>
        <stp>WCARLI Index</stp>
        <stp>PX385</stp>
        <stp>[BI_AUTMG_1_l22cd4li.xlsx]ReferenceData!R201C40</stp>
        <stp>PX391=20100701</stp>
        <stp>PX392=20100930</stp>
        <stp>DS004=USD</stp>
        <stp>Fill=B</stp>
        <tr r="AN201" s="3"/>
      </tp>
      <tp t="s">
        <v>#N/A Connection</v>
        <stp/>
        <stp>##V3_BDPV12</stp>
        <stp>WCARPO Index</stp>
        <stp>PX385</stp>
        <stp>[BI_AUTMG_1_l22cd4li.xlsx]ReferenceData!R202C41</stp>
        <stp>PX391=20100401</stp>
        <stp>PX392=20100630</stp>
        <stp>DS004=USD</stp>
        <stp>Fill=B</stp>
        <tr r="AO202" s="3"/>
      </tp>
      <tp t="s">
        <v>#N/A Connection</v>
        <stp/>
        <stp>##V3_BDPV12</stp>
        <stp>WCARSI Index</stp>
        <stp>PX385</stp>
        <stp>[BI_AUTMG_1_l22cd4li.xlsx]ReferenceData!R206C35</stp>
        <stp>PX391=20111001</stp>
        <stp>PX392=20111231</stp>
        <stp>DS004=USD</stp>
        <stp>Fill=B</stp>
        <tr r="AI206" s="3"/>
      </tp>
      <tp t="s">
        <v>#N/A Connection</v>
        <stp/>
        <stp>##V3_BDPV12</stp>
        <stp>BJTRNPGV Index</stp>
        <stp>PX385</stp>
        <stp>[BI_AUTMG_1_l22cd4li.xlsx]ReferenceData!R215C50</stp>
        <stp>PX391=20080101</stp>
        <stp>PX392=20080331</stp>
        <stp>DS004=USD</stp>
        <stp>Fill=B</stp>
        <tr r="AX215" s="3"/>
      </tp>
      <tp t="s">
        <v>#N/A Connection</v>
        <stp/>
        <stp>##V3_BDPV12</stp>
        <stp>WCARCZ Index</stp>
        <stp>PX385</stp>
        <stp>[BI_AUTMG_1_l22cd4li.xlsx]ReferenceData!R197C42</stp>
        <stp>PX391=20100101</stp>
        <stp>PX392=20100331</stp>
        <stp>DS004=USD</stp>
        <stp>Fill=B</stp>
        <tr r="AP197" s="3"/>
      </tp>
      <tp t="s">
        <v>#N/A Connection</v>
        <stp/>
        <stp>##V3_BDPV12</stp>
        <stp>WCARBG Index</stp>
        <stp>PX385</stp>
        <stp>[BI_AUTMG_1_l22cd4li.xlsx]ReferenceData!R196C39</stp>
        <stp>PX391=20101001</stp>
        <stp>PX392=20101231</stp>
        <stp>DS004=USD</stp>
        <stp>Fill=B</stp>
        <tr r="AM196" s="3"/>
      </tp>
      <tp t="s">
        <v>#N/A Connection</v>
        <stp/>
        <stp>##V3_BDPV12</stp>
        <stp>TUCSMP Index</stp>
        <stp>PX385</stp>
        <stp>[BI_AUTMG_1_l22cd4li.xlsx]ReferenceData!R194C35</stp>
        <stp>PX391=20111001</stp>
        <stp>PX392=20111231</stp>
        <stp>DS004=USD</stp>
        <stp>Fill=B</stp>
        <tr r="AI194" s="3"/>
      </tp>
      <tp t="s">
        <v>#N/A Connection</v>
        <stp/>
        <stp>##V3_BDPV12</stp>
        <stp>WCARLI Index</stp>
        <stp>PX385</stp>
        <stp>[BI_AUTMG_1_l22cd4li.xlsx]ReferenceData!R201C36</stp>
        <stp>PX391=20110701</stp>
        <stp>PX392=20110930</stp>
        <stp>DS004=USD</stp>
        <stp>Fill=B</stp>
        <tr r="AJ201" s="3"/>
      </tp>
      <tp t="s">
        <v>#N/A Connection</v>
        <stp/>
        <stp>##V3_BDPV12</stp>
        <stp>WCARSI Index</stp>
        <stp>PX385</stp>
        <stp>[BI_AUTMG_1_l22cd4li.xlsx]ReferenceData!R206C39</stp>
        <stp>PX391=20101001</stp>
        <stp>PX392=20101231</stp>
        <stp>DS004=USD</stp>
        <stp>Fill=B</stp>
        <tr r="AM206" s="3"/>
      </tp>
      <tp t="s">
        <v>#N/A Connection</v>
        <stp/>
        <stp>##V3_BDPV12</stp>
        <stp>WCARPO Index</stp>
        <stp>PX385</stp>
        <stp>[BI_AUTMG_1_l22cd4li.xlsx]ReferenceData!R202C37</stp>
        <stp>PX391=20110401</stp>
        <stp>PX392=20110630</stp>
        <stp>DS004=USD</stp>
        <stp>Fill=B</stp>
        <tr r="AK202" s="3"/>
      </tp>
      <tp t="s">
        <v>#N/A Connection</v>
        <stp/>
        <stp>##V3_BDPV12</stp>
        <stp>BJTRNPGV Index</stp>
        <stp>PX385</stp>
        <stp>[BI_AUTMG_1_l22cd4li.xlsx]ReferenceData!R215C46</stp>
        <stp>PX391=20090101</stp>
        <stp>PX392=20090331</stp>
        <stp>DS004=USD</stp>
        <stp>Fill=B</stp>
        <tr r="AT215" s="3"/>
      </tp>
      <tp t="s">
        <v>#N/A Connection</v>
        <stp/>
        <stp>##V3_BDPV12</stp>
        <stp>WCARBG Index</stp>
        <stp>PX385</stp>
        <stp>[BI_AUTMG_1_l22cd4li.xlsx]ReferenceData!R196C27</stp>
        <stp>PX391=20131001</stp>
        <stp>PX392=20131231</stp>
        <stp>DS004=USD</stp>
        <stp>Fill=B</stp>
        <tr r="AA196" s="3"/>
      </tp>
      <tp t="s">
        <v>#N/A Connection</v>
        <stp/>
        <stp>##V3_BDPV12</stp>
        <stp>WCARCZ Index</stp>
        <stp>PX385</stp>
        <stp>[BI_AUTMG_1_l22cd4li.xlsx]ReferenceData!R197C30</stp>
        <stp>PX391=20130101</stp>
        <stp>PX392=20130331</stp>
        <stp>DS004=USD</stp>
        <stp>Fill=B</stp>
        <tr r="AD197" s="3"/>
      </tp>
      <tp t="s">
        <v>#N/A Connection</v>
        <stp/>
        <stp>##V3_BDPV12</stp>
        <stp>TUCSMP Index</stp>
        <stp>PX385</stp>
        <stp>[BI_AUTMG_1_l22cd4li.xlsx]ReferenceData!R194C31</stp>
        <stp>PX391=20121001</stp>
        <stp>PX392=20121231</stp>
        <stp>DS004=USD</stp>
        <stp>Fill=B</stp>
        <tr r="AE194" s="3"/>
      </tp>
      <tp t="s">
        <v>#N/A Connection</v>
        <stp/>
        <stp>##V3_BDPV12</stp>
        <stp>WCARLI Index</stp>
        <stp>PX385</stp>
        <stp>[BI_AUTMG_1_l22cd4li.xlsx]ReferenceData!R201C32</stp>
        <stp>PX391=20120701</stp>
        <stp>PX392=20120930</stp>
        <stp>DS004=USD</stp>
        <stp>Fill=B</stp>
        <tr r="AF201" s="3"/>
      </tp>
      <tp t="s">
        <v>#N/A Connection</v>
        <stp/>
        <stp>##V3_BDPV12</stp>
        <stp>WCARPO Index</stp>
        <stp>PX385</stp>
        <stp>[BI_AUTMG_1_l22cd4li.xlsx]ReferenceData!R202C33</stp>
        <stp>PX391=20120401</stp>
        <stp>PX392=20120630</stp>
        <stp>DS004=USD</stp>
        <stp>Fill=B</stp>
        <tr r="AG202" s="3"/>
      </tp>
      <tp t="s">
        <v>#N/A Connection</v>
        <stp/>
        <stp>##V3_BDPV12</stp>
        <stp>WCARSI Index</stp>
        <stp>PX385</stp>
        <stp>[BI_AUTMG_1_l22cd4li.xlsx]ReferenceData!R206C27</stp>
        <stp>PX391=20131001</stp>
        <stp>PX392=20131231</stp>
        <stp>DS004=USD</stp>
        <stp>Fill=B</stp>
        <tr r="AA206" s="3"/>
      </tp>
      <tp t="s">
        <v>#N/A Connection</v>
        <stp/>
        <stp>##V3_BDPV12</stp>
        <stp>WCARCZ Index</stp>
        <stp>PX385</stp>
        <stp>[BI_AUTMG_1_l22cd4li.xlsx]ReferenceData!R197C34</stp>
        <stp>PX391=20120101</stp>
        <stp>PX392=20120331</stp>
        <stp>DS004=USD</stp>
        <stp>Fill=B</stp>
        <tr r="AH197" s="3"/>
      </tp>
      <tp t="s">
        <v>#N/A Connection</v>
        <stp/>
        <stp>##V3_BDPV12</stp>
        <stp>WCARBG Index</stp>
        <stp>PX385</stp>
        <stp>[BI_AUTMG_1_l22cd4li.xlsx]ReferenceData!R196C31</stp>
        <stp>PX391=20121001</stp>
        <stp>PX392=20121231</stp>
        <stp>DS004=USD</stp>
        <stp>Fill=B</stp>
        <tr r="AE196" s="3"/>
      </tp>
      <tp t="s">
        <v>#N/A Connection</v>
        <stp/>
        <stp>##V3_BDPV12</stp>
        <stp>TUCSMP Index</stp>
        <stp>PX385</stp>
        <stp>[BI_AUTMG_1_l22cd4li.xlsx]ReferenceData!R194C27</stp>
        <stp>PX391=20131001</stp>
        <stp>PX392=20131231</stp>
        <stp>DS004=USD</stp>
        <stp>Fill=B</stp>
        <tr r="AA194" s="3"/>
      </tp>
      <tp t="s">
        <v>#N/A Connection</v>
        <stp/>
        <stp>##V3_BDPV12</stp>
        <stp>WCARLI Index</stp>
        <stp>PX385</stp>
        <stp>[BI_AUTMG_1_l22cd4li.xlsx]ReferenceData!R201C28</stp>
        <stp>PX391=20130701</stp>
        <stp>PX392=20130930</stp>
        <stp>DS004=USD</stp>
        <stp>Fill=B</stp>
        <tr r="AB201" s="3"/>
      </tp>
      <tp t="s">
        <v>#N/A Connection</v>
        <stp/>
        <stp>##V3_BDPV12</stp>
        <stp>WCARPO Index</stp>
        <stp>PX385</stp>
        <stp>[BI_AUTMG_1_l22cd4li.xlsx]ReferenceData!R202C29</stp>
        <stp>PX391=20130401</stp>
        <stp>PX392=20130630</stp>
        <stp>DS004=USD</stp>
        <stp>Fill=B</stp>
        <tr r="AC202" s="3"/>
      </tp>
      <tp t="s">
        <v>#N/A Connection</v>
        <stp/>
        <stp>##V3_BDPV12</stp>
        <stp>WCARSI Index</stp>
        <stp>PX385</stp>
        <stp>[BI_AUTMG_1_l22cd4li.xlsx]ReferenceData!R206C31</stp>
        <stp>PX391=20121001</stp>
        <stp>PX392=20121231</stp>
        <stp>DS004=USD</stp>
        <stp>Fill=B</stp>
        <tr r="AE206" s="3"/>
      </tp>
      <tp t="s">
        <v>#N/A Connection</v>
        <stp/>
        <stp>##V3_BDPV12</stp>
        <stp>WCARNOI Index</stp>
        <stp>PX385</stp>
        <stp>[BI_AUTMG_1_l22cd4li.xlsx]ReferenceData!R189C26</stp>
        <stp>PX391=20140101</stp>
        <stp>PX392=20140331</stp>
        <stp>DS004=USD</stp>
        <stp>Fill=B</stp>
        <tr r="Z189" s="3"/>
      </tp>
      <tp t="s">
        <v>#N/A Connection</v>
        <stp/>
        <stp>##V3_BDPV12</stp>
        <stp>WCARNLI Index</stp>
        <stp>PX385</stp>
        <stp>[BI_AUTMG_1_l22cd4li.xlsx]ReferenceData!R188C23</stp>
        <stp>PX391=20141001</stp>
        <stp>PX392=20141231</stp>
        <stp>DS004=USD</stp>
        <stp>Fill=B</stp>
        <tr r="W188" s="3"/>
      </tp>
      <tp t="s">
        <v>#N/A Connection</v>
        <stp/>
        <stp>##V3_BDPV12</stp>
        <stp>WCARNOI Index</stp>
        <stp>PX385</stp>
        <stp>[BI_AUTMG_1_l22cd4li.xlsx]ReferenceData!R189C59</stp>
        <stp>PX391=20051001</stp>
        <stp>PX392=20051231</stp>
        <stp>DS004=USD</stp>
        <stp>Fill=B</stp>
        <tr r="BG189" s="3"/>
      </tp>
      <tp t="s">
        <v>#N/A Connection</v>
        <stp/>
        <stp>##V3_BDPV12</stp>
        <stp>WCARNLI Index</stp>
        <stp>PX385</stp>
        <stp>[BI_AUTMG_1_l22cd4li.xlsx]ReferenceData!R188C62</stp>
        <stp>PX391=20050101</stp>
        <stp>PX392=20050331</stp>
        <stp>DS004=USD</stp>
        <stp>Fill=B</stp>
        <tr r="BJ188" s="3"/>
      </tp>
      <tp t="s">
        <v>#N/A Connection</v>
        <stp/>
        <stp>##V3_BDPV12</stp>
        <stp>MAVSTTL Index</stp>
        <stp>PX385</stp>
        <stp>[BI_AUTMG_1_l22cd4li.xlsx]ReferenceData!R168C26</stp>
        <stp>PX391=20140101</stp>
        <stp>PX392=20140331</stp>
        <stp>DS004=USD</stp>
        <stp>Fill=B</stp>
        <tr r="Z168" s="3"/>
      </tp>
      <tp t="s">
        <v>#N/A Connection</v>
        <stp/>
        <stp>##V3_BDPV12</stp>
        <stp>WCARCYI Index</stp>
        <stp>PX385</stp>
        <stp>[BI_AUTMG_1_l22cd4li.xlsx]ReferenceData!R178C50</stp>
        <stp>PX391=20080101</stp>
        <stp>PX392=20080331</stp>
        <stp>DS004=USD</stp>
        <stp>Fill=B</stp>
        <tr r="AX178" s="3"/>
      </tp>
      <tp t="s">
        <v>#N/A Connection</v>
        <stp/>
        <stp>##V3_BDPV12</stp>
        <stp>MAVSTTL Index</stp>
        <stp>PX385</stp>
        <stp>[BI_AUTMG_1_l22cd4li.xlsx]ReferenceData!R168C59</stp>
        <stp>PX391=20051001</stp>
        <stp>PX392=20051231</stp>
        <stp>DS004=USD</stp>
        <stp>Fill=B</stp>
        <tr r="BG168" s="3"/>
      </tp>
      <tp t="s">
        <v>#N/A Connection</v>
        <stp/>
        <stp>##V3_BDPV12</stp>
        <stp>IDVHCLOC Index</stp>
        <stp>PX385</stp>
        <stp>[BI_AUTMG_1_l22cd4li.xlsx]ReferenceData!R166C53</stp>
        <stp>PX391=20070401</stp>
        <stp>PX392=20070630</stp>
        <stp>DS004=USD</stp>
        <stp>Fill=B</stp>
        <tr r="BA166" s="3"/>
      </tp>
      <tp t="s">
        <v>#N/A Connection</v>
        <stp/>
        <stp>##V3_BDPV12</stp>
        <stp>WCARNOI Index</stp>
        <stp>PX385</stp>
        <stp>[BI_AUTMG_1_l22cd4li.xlsx]ReferenceData!R189C22</stp>
        <stp>PX391=20150101</stp>
        <stp>PX392=20150331</stp>
        <stp>DS004=USD</stp>
        <stp>Fill=B</stp>
        <tr r="V189" s="3"/>
      </tp>
      <tp t="s">
        <v>#N/A Connection</v>
        <stp/>
        <stp>##V3_BDPV12</stp>
        <stp>WCARNLI Index</stp>
        <stp>PX385</stp>
        <stp>[BI_AUTMG_1_l22cd4li.xlsx]ReferenceData!R188C19</stp>
        <stp>PX391=20151001</stp>
        <stp>PX392=20151231</stp>
        <stp>DS004=USD</stp>
        <stp>Fill=B</stp>
        <tr r="S188" s="3"/>
      </tp>
      <tp t="s">
        <v>#N/A Connection</v>
        <stp/>
        <stp>##V3_BDPV12</stp>
        <stp>WCARNOI Index</stp>
        <stp>PX385</stp>
        <stp>[BI_AUTMG_1_l22cd4li.xlsx]ReferenceData!R189C63</stp>
        <stp>PX391=20041001</stp>
        <stp>PX392=20041231</stp>
        <stp>DS004=USD</stp>
        <stp>Fill=B</stp>
        <tr r="BK189" s="3"/>
      </tp>
      <tp t="s">
        <v>#N/A Connection</v>
        <stp/>
        <stp>##V3_BDPV12</stp>
        <stp>MAVSTTL Index</stp>
        <stp>PX385</stp>
        <stp>[BI_AUTMG_1_l22cd4li.xlsx]ReferenceData!R168C22</stp>
        <stp>PX391=20150101</stp>
        <stp>PX392=20150331</stp>
        <stp>DS004=USD</stp>
        <stp>Fill=B</stp>
        <tr r="V168" s="3"/>
      </tp>
      <tp t="s">
        <v>#N/A Connection</v>
        <stp/>
        <stp>##V3_BDPV12</stp>
        <stp>WCARCYI Index</stp>
        <stp>PX385</stp>
        <stp>[BI_AUTMG_1_l22cd4li.xlsx]ReferenceData!R178C46</stp>
        <stp>PX391=20090101</stp>
        <stp>PX392=20090331</stp>
        <stp>DS004=USD</stp>
        <stp>Fill=B</stp>
        <tr r="AT178" s="3"/>
      </tp>
      <tp t="s">
        <v>#N/A Connection</v>
        <stp/>
        <stp>##V3_BDPV12</stp>
        <stp>MAVSTTL Index</stp>
        <stp>PX385</stp>
        <stp>[BI_AUTMG_1_l22cd4li.xlsx]ReferenceData!R168C63</stp>
        <stp>PX391=20041001</stp>
        <stp>PX392=20041231</stp>
        <stp>DS004=USD</stp>
        <stp>Fill=B</stp>
        <tr r="BK168" s="3"/>
      </tp>
      <tp t="s">
        <v>#N/A Connection</v>
        <stp/>
        <stp>##V3_BDPV12</stp>
        <stp>IDVHCLOC Index</stp>
        <stp>PX385</stp>
        <stp>[BI_AUTMG_1_l22cd4li.xlsx]ReferenceData!R166C57</stp>
        <stp>PX391=20060401</stp>
        <stp>PX392=20060630</stp>
        <stp>DS004=USD</stp>
        <stp>Fill=B</stp>
        <tr r="BE166" s="3"/>
      </tp>
      <tp t="s">
        <v>#N/A Connection</v>
        <stp/>
        <stp>##V3_BDPV12</stp>
        <stp>WCARNOI Index</stp>
        <stp>PX385</stp>
        <stp>[BI_AUTMG_1_l22cd4li.xlsx]ReferenceData!R189C18</stp>
        <stp>PX391=20160101</stp>
        <stp>PX392=20160331</stp>
        <stp>DS004=USD</stp>
        <stp>Fill=B</stp>
        <tr r="R189" s="3"/>
      </tp>
      <tp t="s">
        <v>#N/A Connection</v>
        <stp/>
        <stp>##V3_BDPV12</stp>
        <stp>WCARNLI Index</stp>
        <stp>PX385</stp>
        <stp>[BI_AUTMG_1_l22cd4li.xlsx]ReferenceData!R188C15</stp>
        <stp>PX391=20161001</stp>
        <stp>PX392=20161231</stp>
        <stp>DS004=USD</stp>
        <stp>Fill=B</stp>
        <tr r="O188" s="3"/>
      </tp>
      <tp t="s">
        <v>#N/A Connection</v>
        <stp/>
        <stp>##V3_BDPV12</stp>
        <stp>WCARNOI Index</stp>
        <stp>PX385</stp>
        <stp>[BI_AUTMG_1_l22cd4li.xlsx]ReferenceData!R189C51</stp>
        <stp>PX391=20071001</stp>
        <stp>PX392=20071231</stp>
        <stp>DS004=USD</stp>
        <stp>Fill=B</stp>
        <tr r="AY189" s="3"/>
      </tp>
      <tp t="s">
        <v>#N/A Connection</v>
        <stp/>
        <stp>##V3_BDPV12</stp>
        <stp>WCARNLI Index</stp>
        <stp>PX385</stp>
        <stp>[BI_AUTMG_1_l22cd4li.xlsx]ReferenceData!R188C54</stp>
        <stp>PX391=20070101</stp>
        <stp>PX392=20070331</stp>
        <stp>DS004=USD</stp>
        <stp>Fill=B</stp>
        <tr r="BB188" s="3"/>
      </tp>
      <tp t="s">
        <v>#N/A Connection</v>
        <stp/>
        <stp>##V3_BDPV12</stp>
        <stp>MAVSTTL Index</stp>
        <stp>PX385</stp>
        <stp>[BI_AUTMG_1_l22cd4li.xlsx]ReferenceData!R168C18</stp>
        <stp>PX391=20160101</stp>
        <stp>PX392=20160331</stp>
        <stp>DS004=USD</stp>
        <stp>Fill=B</stp>
        <tr r="R168" s="3"/>
      </tp>
      <tp t="s">
        <v>#N/A Connection</v>
        <stp/>
        <stp>##V3_BDPV12</stp>
        <stp>MAVSTTL Index</stp>
        <stp>PX385</stp>
        <stp>[BI_AUTMG_1_l22cd4li.xlsx]ReferenceData!R168C51</stp>
        <stp>PX391=20071001</stp>
        <stp>PX392=20071231</stp>
        <stp>DS004=USD</stp>
        <stp>Fill=B</stp>
        <tr r="AY168" s="3"/>
      </tp>
      <tp t="s">
        <v>#N/A Connection</v>
        <stp/>
        <stp>##V3_BDPV12</stp>
        <stp>IDVHCLOC Index</stp>
        <stp>PX385</stp>
        <stp>[BI_AUTMG_1_l22cd4li.xlsx]ReferenceData!R166C61</stp>
        <stp>PX391=20050401</stp>
        <stp>PX392=20050630</stp>
        <stp>DS004=USD</stp>
        <stp>Fill=B</stp>
        <tr r="BI166" s="3"/>
      </tp>
      <tp t="s">
        <v>#N/A Connection</v>
        <stp/>
        <stp>##V3_BDPV12</stp>
        <stp>WCARNOI Index</stp>
        <stp>PX385</stp>
        <stp>[BI_AUTMG_1_l22cd4li.xlsx]ReferenceData!R189C14</stp>
        <stp>PX391=20170101</stp>
        <stp>PX392=20170331</stp>
        <stp>DS004=USD</stp>
        <stp>Fill=B</stp>
        <tr r="N189" s="3"/>
      </tp>
      <tp t="s">
        <v>#N/A Connection</v>
        <stp/>
        <stp>##V3_BDPV12</stp>
        <stp>WCARNLI Index</stp>
        <stp>PX385</stp>
        <stp>[BI_AUTMG_1_l22cd4li.xlsx]ReferenceData!R188C11</stp>
        <stp>PX391=20171001</stp>
        <stp>PX392=20171231</stp>
        <stp>DS004=USD</stp>
        <stp>Fill=B</stp>
        <tr r="K188" s="3"/>
      </tp>
      <tp t="s">
        <v>#N/A Connection</v>
        <stp/>
        <stp>##V3_BDPV12</stp>
        <stp>WCARNOI Index</stp>
        <stp>PX385</stp>
        <stp>[BI_AUTMG_1_l22cd4li.xlsx]ReferenceData!R189C55</stp>
        <stp>PX391=20061001</stp>
        <stp>PX392=20061231</stp>
        <stp>DS004=USD</stp>
        <stp>Fill=B</stp>
        <tr r="BC189" s="3"/>
      </tp>
      <tp t="s">
        <v>#N/A Connection</v>
        <stp/>
        <stp>##V3_BDPV12</stp>
        <stp>WCARNLI Index</stp>
        <stp>PX385</stp>
        <stp>[BI_AUTMG_1_l22cd4li.xlsx]ReferenceData!R188C58</stp>
        <stp>PX391=20060101</stp>
        <stp>PX392=20060331</stp>
        <stp>DS004=USD</stp>
        <stp>Fill=B</stp>
        <tr r="BF188" s="3"/>
      </tp>
      <tp t="s">
        <v>#N/A Connection</v>
        <stp/>
        <stp>##V3_BDPV12</stp>
        <stp>MAVSTTL Index</stp>
        <stp>PX385</stp>
        <stp>[BI_AUTMG_1_l22cd4li.xlsx]ReferenceData!R168C14</stp>
        <stp>PX391=20170101</stp>
        <stp>PX392=20170331</stp>
        <stp>DS004=USD</stp>
        <stp>Fill=B</stp>
        <tr r="N168" s="3"/>
      </tp>
      <tp t="s">
        <v>#N/A Connection</v>
        <stp/>
        <stp>##V3_BDPV12</stp>
        <stp>MAVSTTL Index</stp>
        <stp>PX385</stp>
        <stp>[BI_AUTMG_1_l22cd4li.xlsx]ReferenceData!R168C55</stp>
        <stp>PX391=20061001</stp>
        <stp>PX392=20061231</stp>
        <stp>DS004=USD</stp>
        <stp>Fill=B</stp>
        <tr r="BC168" s="3"/>
      </tp>
      <tp t="s">
        <v>#N/A Connection</v>
        <stp/>
        <stp>##V3_BDPV12</stp>
        <stp>IDVHCLOC Index</stp>
        <stp>PX385</stp>
        <stp>[BI_AUTMG_1_l22cd4li.xlsx]ReferenceData!R166C65</stp>
        <stp>PX391=20040401</stp>
        <stp>PX392=20040630</stp>
        <stp>DS004=USD</stp>
        <stp>Fill=B</stp>
        <tr r="BM166" s="3"/>
      </tp>
      <tp t="s">
        <v>#N/A Connection</v>
        <stp/>
        <stp>##V3_BDPV12</stp>
        <stp>WCARNOI Index</stp>
        <stp>PX385</stp>
        <stp>[BI_AUTMG_1_l22cd4li.xlsx]ReferenceData!R189C42</stp>
        <stp>PX391=20100101</stp>
        <stp>PX392=20100331</stp>
        <stp>DS004=USD</stp>
        <stp>Fill=B</stp>
        <tr r="AP189" s="3"/>
      </tp>
      <tp t="s">
        <v>#N/A Connection</v>
        <stp/>
        <stp>##V3_BDPV12</stp>
        <stp>WCARNLI Index</stp>
        <stp>PX385</stp>
        <stp>[BI_AUTMG_1_l22cd4li.xlsx]ReferenceData!R188C39</stp>
        <stp>PX391=20101001</stp>
        <stp>PX392=20101231</stp>
        <stp>DS004=USD</stp>
        <stp>Fill=B</stp>
        <tr r="AM188" s="3"/>
      </tp>
      <tp t="s">
        <v>#N/A Connection</v>
        <stp/>
        <stp>##V3_BDPV12</stp>
        <stp>MAVSTTL Index</stp>
        <stp>PX385</stp>
        <stp>[BI_AUTMG_1_l22cd4li.xlsx]ReferenceData!R168C42</stp>
        <stp>PX391=20100101</stp>
        <stp>PX392=20100331</stp>
        <stp>DS004=USD</stp>
        <stp>Fill=B</stp>
        <tr r="AP168" s="3"/>
      </tp>
      <tp t="s">
        <v>#N/A Connection</v>
        <stp/>
        <stp>##V3_BDPV12</stp>
        <stp>INVSDMPV Index</stp>
        <stp>PX385</stp>
        <stp>[BI_AUTMG_1_l22cd4li.xlsx]ReferenceData!R165C10</stp>
        <stp>PX391=20180101</stp>
        <stp>PX392=20180331</stp>
        <stp>DS004=USD</stp>
        <stp>Fill=B</stp>
        <tr r="J165" s="3"/>
      </tp>
      <tp t="s">
        <v>#N/A Connection</v>
        <stp/>
        <stp>##V3_BDPV12</stp>
        <stp>INVSDMUT Index</stp>
        <stp>PX385</stp>
        <stp>[BI_AUTMG_1_l22cd4li.xlsx]ReferenceData!R164C46</stp>
        <stp>PX391=20090101</stp>
        <stp>PX392=20090331</stp>
        <stp>DS004=USD</stp>
        <stp>Fill=B</stp>
        <tr r="AT164" s="3"/>
      </tp>
      <tp t="s">
        <v>#N/A Connection</v>
        <stp/>
        <stp>##V3_BDPV12</stp>
        <stp>INVSDMPV Index</stp>
        <stp>PX385</stp>
        <stp>[BI_AUTMG_1_l22cd4li.xlsx]ReferenceData!R165C43</stp>
        <stp>PX391=20091001</stp>
        <stp>PX392=20091231</stp>
        <stp>DS004=USD</stp>
        <stp>Fill=B</stp>
        <tr r="AQ165" s="3"/>
      </tp>
      <tp t="s">
        <v>#N/A Connection</v>
        <stp/>
        <stp>##V3_BDPV12</stp>
        <stp>WCARNOI Index</stp>
        <stp>PX385</stp>
        <stp>[BI_AUTMG_1_l22cd4li.xlsx]ReferenceData!R189C38</stp>
        <stp>PX391=20110101</stp>
        <stp>PX392=20110331</stp>
        <stp>DS004=USD</stp>
        <stp>Fill=B</stp>
        <tr r="AL189" s="3"/>
      </tp>
      <tp t="s">
        <v>#N/A Connection</v>
        <stp/>
        <stp>##V3_BDPV12</stp>
        <stp>WCARNLI Index</stp>
        <stp>PX385</stp>
        <stp>[BI_AUTMG_1_l22cd4li.xlsx]ReferenceData!R188C35</stp>
        <stp>PX391=20111001</stp>
        <stp>PX392=20111231</stp>
        <stp>DS004=USD</stp>
        <stp>Fill=B</stp>
        <tr r="AI188" s="3"/>
      </tp>
      <tp t="s">
        <v>#N/A Connection</v>
        <stp/>
        <stp>##V3_BDPV12</stp>
        <stp>MAVSTTL Index</stp>
        <stp>PX385</stp>
        <stp>[BI_AUTMG_1_l22cd4li.xlsx]ReferenceData!R168C38</stp>
        <stp>PX391=20110101</stp>
        <stp>PX392=20110331</stp>
        <stp>DS004=USD</stp>
        <stp>Fill=B</stp>
        <tr r="AL168" s="3"/>
      </tp>
      <tp t="s">
        <v>#N/A Connection</v>
        <stp/>
        <stp>##V3_BDPV12</stp>
        <stp>INVSDMUT Index</stp>
        <stp>PX385</stp>
        <stp>[BI_AUTMG_1_l22cd4li.xlsx]ReferenceData!R164C50</stp>
        <stp>PX391=20080101</stp>
        <stp>PX392=20080331</stp>
        <stp>DS004=USD</stp>
        <stp>Fill=B</stp>
        <tr r="AX164" s="3"/>
      </tp>
      <tp t="s">
        <v>#N/A Connection</v>
        <stp/>
        <stp>##V3_BDPV12</stp>
        <stp>INVSDMPV Index</stp>
        <stp>PX385</stp>
        <stp>[BI_AUTMG_1_l22cd4li.xlsx]ReferenceData!R165C47</stp>
        <stp>PX391=20081001</stp>
        <stp>PX392=20081231</stp>
        <stp>DS004=USD</stp>
        <stp>Fill=B</stp>
        <tr r="AU165" s="3"/>
      </tp>
      <tp t="s">
        <v>#N/A Connection</v>
        <stp/>
        <stp>##V3_BDPV12</stp>
        <stp>WCARDKI Index</stp>
        <stp>PX385</stp>
        <stp>[BI_AUTMG_1_l22cd4li.xlsx]ReferenceData!R179C10</stp>
        <stp>PX391=20180101</stp>
        <stp>PX392=20180331</stp>
        <stp>DS004=USD</stp>
        <stp>Fill=B</stp>
        <tr r="J179" s="3"/>
      </tp>
      <tp t="s">
        <v>#N/A Connection</v>
        <stp/>
        <stp>##V3_BDPV12</stp>
        <stp>WCARDKI Index</stp>
        <stp>PX385</stp>
        <stp>[BI_AUTMG_1_l22cd4li.xlsx]ReferenceData!R179C43</stp>
        <stp>PX391=20091001</stp>
        <stp>PX392=20091231</stp>
        <stp>DS004=USD</stp>
        <stp>Fill=B</stp>
        <tr r="AQ179" s="3"/>
      </tp>
      <tp t="s">
        <v>#N/A Connection</v>
        <stp/>
        <stp>##V3_BDPV12</stp>
        <stp>WCARNLI Index</stp>
        <stp>PX385</stp>
        <stp>[BI_AUTMG_1_l22cd4li.xlsx]ReferenceData!R188C31</stp>
        <stp>PX391=20121001</stp>
        <stp>PX392=20121231</stp>
        <stp>DS004=USD</stp>
        <stp>Fill=B</stp>
        <tr r="AE188" s="3"/>
      </tp>
      <tp t="s">
        <v>#N/A Connection</v>
        <stp/>
        <stp>##V3_BDPV12</stp>
        <stp>PAVSCAR Index</stp>
        <stp>PX385</stp>
        <stp>[BI_AUTMG_1_l22cd4li.xlsx]ReferenceData!R169C46</stp>
        <stp>PX391=20090101</stp>
        <stp>PX392=20090331</stp>
        <stp>DS004=USD</stp>
        <stp>Fill=B</stp>
        <tr r="AT169" s="3"/>
      </tp>
      <tp t="s">
        <v>#N/A Connection</v>
        <stp/>
        <stp>##V3_BDPV12</stp>
        <stp>WCARNOI Index</stp>
        <stp>PX385</stp>
        <stp>[BI_AUTMG_1_l22cd4li.xlsx]ReferenceData!R189C34</stp>
        <stp>PX391=20120101</stp>
        <stp>PX392=20120331</stp>
        <stp>DS004=USD</stp>
        <stp>Fill=B</stp>
        <tr r="AH189" s="3"/>
      </tp>
      <tp t="s">
        <v>#N/A Connection</v>
        <stp/>
        <stp>##V3_BDPV12</stp>
        <stp>MAVSTTL Index</stp>
        <stp>PX385</stp>
        <stp>[BI_AUTMG_1_l22cd4li.xlsx]ReferenceData!R168C34</stp>
        <stp>PX391=20120101</stp>
        <stp>PX392=20120331</stp>
        <stp>DS004=USD</stp>
        <stp>Fill=B</stp>
        <tr r="AH168" s="3"/>
      </tp>
      <tp t="s">
        <v>#N/A Connection</v>
        <stp/>
        <stp>##V3_BDPV12</stp>
        <stp>WCARDKI Index</stp>
        <stp>PX385</stp>
        <stp>[BI_AUTMG_1_l22cd4li.xlsx]ReferenceData!R179C47</stp>
        <stp>PX391=20081001</stp>
        <stp>PX392=20081231</stp>
        <stp>DS004=USD</stp>
        <stp>Fill=B</stp>
        <tr r="AU179" s="3"/>
      </tp>
      <tp t="s">
        <v>#N/A Connection</v>
        <stp/>
        <stp>##V3_BDPV12</stp>
        <stp>WCARNLI Index</stp>
        <stp>PX385</stp>
        <stp>[BI_AUTMG_1_l22cd4li.xlsx]ReferenceData!R188C27</stp>
        <stp>PX391=20131001</stp>
        <stp>PX392=20131231</stp>
        <stp>DS004=USD</stp>
        <stp>Fill=B</stp>
        <tr r="AA188" s="3"/>
      </tp>
      <tp t="s">
        <v>#N/A Connection</v>
        <stp/>
        <stp>##V3_BDPV12</stp>
        <stp>PAVSCAR Index</stp>
        <stp>PX385</stp>
        <stp>[BI_AUTMG_1_l22cd4li.xlsx]ReferenceData!R169C50</stp>
        <stp>PX391=20080101</stp>
        <stp>PX392=20080331</stp>
        <stp>DS004=USD</stp>
        <stp>Fill=B</stp>
        <tr r="AX169" s="3"/>
      </tp>
      <tp t="s">
        <v>#N/A Connection</v>
        <stp/>
        <stp>##V3_BDPV12</stp>
        <stp>WCARNOI Index</stp>
        <stp>PX385</stp>
        <stp>[BI_AUTMG_1_l22cd4li.xlsx]ReferenceData!R189C30</stp>
        <stp>PX391=20130101</stp>
        <stp>PX392=20130331</stp>
        <stp>DS004=USD</stp>
        <stp>Fill=B</stp>
        <tr r="AD189" s="3"/>
      </tp>
      <tp t="s">
        <v>#N/A Connection</v>
        <stp/>
        <stp>##V3_BDPV12</stp>
        <stp>MAVSTTL Index</stp>
        <stp>PX385</stp>
        <stp>[BI_AUTMG_1_l22cd4li.xlsx]ReferenceData!R168C30</stp>
        <stp>PX391=20130101</stp>
        <stp>PX392=20130331</stp>
        <stp>DS004=USD</stp>
        <stp>Fill=B</stp>
        <tr r="AD168" s="3"/>
      </tp>
      <tp t="s">
        <v>#N/A Connection</v>
        <stp/>
        <stp>##V3_BDPV12</stp>
        <stp>PAVSCAR Index</stp>
        <stp>PX385</stp>
        <stp>[BI_AUTMG_1_l22cd4li.xlsx]ReferenceData!R169C54</stp>
        <stp>PX391=20070101</stp>
        <stp>PX392=20070331</stp>
        <stp>DS004=USD</stp>
        <stp>Fill=B</stp>
        <tr r="BB169" s="3"/>
      </tp>
      <tp t="s">
        <v>#N/A Connection</v>
        <stp/>
        <stp>##V3_BDPV12</stp>
        <stp>PAVSCAR Index</stp>
        <stp>PX385</stp>
        <stp>[BI_AUTMG_1_l22cd4li.xlsx]ReferenceData!R169C15</stp>
        <stp>PX391=20161001</stp>
        <stp>PX392=20161231</stp>
        <stp>DS004=USD</stp>
        <stp>Fill=B</stp>
        <tr r="O169" s="3"/>
      </tp>
      <tp t="s">
        <v>#N/A Connection</v>
        <stp/>
        <stp>##V3_BDPV12</stp>
        <stp>WCARDKI Index</stp>
        <stp>PX385</stp>
        <stp>[BI_AUTMG_1_l22cd4li.xlsx]ReferenceData!R179C51</stp>
        <stp>PX391=20071001</stp>
        <stp>PX392=20071231</stp>
        <stp>DS004=USD</stp>
        <stp>Fill=B</stp>
        <tr r="AY179" s="3"/>
      </tp>
      <tp t="s">
        <v>#N/A Connection</v>
        <stp/>
        <stp>##V3_BDPV12</stp>
        <stp>WCARDKI Index</stp>
        <stp>PX385</stp>
        <stp>[BI_AUTMG_1_l22cd4li.xlsx]ReferenceData!R179C18</stp>
        <stp>PX391=20160101</stp>
        <stp>PX392=20160331</stp>
        <stp>DS004=USD</stp>
        <stp>Fill=B</stp>
        <tr r="R179" s="3"/>
      </tp>
      <tp t="s">
        <v>#N/A Connection</v>
        <stp/>
        <stp>##V3_BDPV12</stp>
        <stp>WCARCYI Index</stp>
        <stp>PX385</stp>
        <stp>[BI_AUTMG_1_l22cd4li.xlsx]ReferenceData!R178C35</stp>
        <stp>PX391=20111001</stp>
        <stp>PX392=20111231</stp>
        <stp>DS004=USD</stp>
        <stp>Fill=B</stp>
        <tr r="AI178" s="3"/>
      </tp>
      <tp t="s">
        <v>#N/A Connection</v>
        <stp/>
        <stp>##V3_BDPV12</stp>
        <stp>INVSDMPV Index</stp>
        <stp>PX385</stp>
        <stp>[BI_AUTMG_1_l22cd4li.xlsx]ReferenceData!R165C59</stp>
        <stp>PX391=20051001</stp>
        <stp>PX392=20051231</stp>
        <stp>DS004=USD</stp>
        <stp>Fill=B</stp>
        <tr r="BG165" s="3"/>
      </tp>
      <tp t="s">
        <v>#N/A Connection</v>
        <stp/>
        <stp>##V3_BDPV12</stp>
        <stp>INVSDMUT Index</stp>
        <stp>PX385</stp>
        <stp>[BI_AUTMG_1_l22cd4li.xlsx]ReferenceData!R164C23</stp>
        <stp>PX391=20141001</stp>
        <stp>PX392=20141231</stp>
        <stp>DS004=USD</stp>
        <stp>Fill=B</stp>
        <tr r="W164" s="3"/>
      </tp>
      <tp t="s">
        <v>#N/A Connection</v>
        <stp/>
        <stp>##V3_BDPV12</stp>
        <stp>INVSDMUT Index</stp>
        <stp>PX385</stp>
        <stp>[BI_AUTMG_1_l22cd4li.xlsx]ReferenceData!R164C62</stp>
        <stp>PX391=20050101</stp>
        <stp>PX392=20050331</stp>
        <stp>DS004=USD</stp>
        <stp>Fill=B</stp>
        <tr r="BJ164" s="3"/>
      </tp>
      <tp t="s">
        <v>#N/A Connection</v>
        <stp/>
        <stp>##V3_BDPV12</stp>
        <stp>INVSDMPV Index</stp>
        <stp>PX385</stp>
        <stp>[BI_AUTMG_1_l22cd4li.xlsx]ReferenceData!R165C26</stp>
        <stp>PX391=20140101</stp>
        <stp>PX392=20140331</stp>
        <stp>DS004=USD</stp>
        <stp>Fill=B</stp>
        <tr r="Z165" s="3"/>
      </tp>
      <tp t="s">
        <v>#N/A Connection</v>
        <stp/>
        <stp>##V3_BDPV12</stp>
        <stp>PAVSCAR Index</stp>
        <stp>PX385</stp>
        <stp>[BI_AUTMG_1_l22cd4li.xlsx]ReferenceData!R169C58</stp>
        <stp>PX391=20060101</stp>
        <stp>PX392=20060331</stp>
        <stp>DS004=USD</stp>
        <stp>Fill=B</stp>
        <tr r="BF169" s="3"/>
      </tp>
      <tp t="s">
        <v>#N/A Connection</v>
        <stp/>
        <stp>##V3_BDPV12</stp>
        <stp>PAVSCAR Index</stp>
        <stp>PX385</stp>
        <stp>[BI_AUTMG_1_l22cd4li.xlsx]ReferenceData!R169C11</stp>
        <stp>PX391=20171001</stp>
        <stp>PX392=20171231</stp>
        <stp>DS004=USD</stp>
        <stp>Fill=B</stp>
        <tr r="K169" s="3"/>
      </tp>
      <tp t="s">
        <v>#N/A Connection</v>
        <stp/>
        <stp>##V3_BDPV12</stp>
        <stp>WCARDKI Index</stp>
        <stp>PX385</stp>
        <stp>[BI_AUTMG_1_l22cd4li.xlsx]ReferenceData!R179C55</stp>
        <stp>PX391=20061001</stp>
        <stp>PX392=20061231</stp>
        <stp>DS004=USD</stp>
        <stp>Fill=B</stp>
        <tr r="BC179" s="3"/>
      </tp>
      <tp t="s">
        <v>#N/A Connection</v>
        <stp/>
        <stp>##V3_BDPV12</stp>
        <stp>WCARDKI Index</stp>
        <stp>PX385</stp>
        <stp>[BI_AUTMG_1_l22cd4li.xlsx]ReferenceData!R179C14</stp>
        <stp>PX391=20170101</stp>
        <stp>PX392=20170331</stp>
        <stp>DS004=USD</stp>
        <stp>Fill=B</stp>
        <tr r="N179" s="3"/>
      </tp>
      <tp t="s">
        <v>#N/A Connection</v>
        <stp/>
        <stp>##V3_BDPV12</stp>
        <stp>WCARCYI Index</stp>
        <stp>PX385</stp>
        <stp>[BI_AUTMG_1_l22cd4li.xlsx]ReferenceData!R178C39</stp>
        <stp>PX391=20101001</stp>
        <stp>PX392=20101231</stp>
        <stp>DS004=USD</stp>
        <stp>Fill=B</stp>
        <tr r="AM178" s="3"/>
      </tp>
      <tp t="s">
        <v>#N/A Connection</v>
        <stp/>
        <stp>##V3_BDPV12</stp>
        <stp>INVSDMUT Index</stp>
        <stp>PX385</stp>
        <stp>[BI_AUTMG_1_l22cd4li.xlsx]ReferenceData!R164C19</stp>
        <stp>PX391=20151001</stp>
        <stp>PX392=20151231</stp>
        <stp>DS004=USD</stp>
        <stp>Fill=B</stp>
        <tr r="S164" s="3"/>
      </tp>
      <tp t="s">
        <v>#N/A Connection</v>
        <stp/>
        <stp>##V3_BDPV12</stp>
        <stp>INVSDMPV Index</stp>
        <stp>PX385</stp>
        <stp>[BI_AUTMG_1_l22cd4li.xlsx]ReferenceData!R165C63</stp>
        <stp>PX391=20041001</stp>
        <stp>PX392=20041231</stp>
        <stp>DS004=USD</stp>
        <stp>Fill=B</stp>
        <tr r="BK165" s="3"/>
      </tp>
      <tp t="s">
        <v>#N/A Connection</v>
        <stp/>
        <stp>##V3_BDPV12</stp>
        <stp>INVSDMPV Index</stp>
        <stp>PX385</stp>
        <stp>[BI_AUTMG_1_l22cd4li.xlsx]ReferenceData!R165C22</stp>
        <stp>PX391=20150101</stp>
        <stp>PX392=20150331</stp>
        <stp>DS004=USD</stp>
        <stp>Fill=B</stp>
        <tr r="V165" s="3"/>
      </tp>
      <tp t="s">
        <v>#N/A Connection</v>
        <stp/>
        <stp>##V3_BDPV12</stp>
        <stp>PAVSCAR Index</stp>
        <stp>PX385</stp>
        <stp>[BI_AUTMG_1_l22cd4li.xlsx]ReferenceData!R169C62</stp>
        <stp>PX391=20050101</stp>
        <stp>PX392=20050331</stp>
        <stp>DS004=USD</stp>
        <stp>Fill=B</stp>
        <tr r="BJ169" s="3"/>
      </tp>
      <tp t="s">
        <v>#N/A Connection</v>
        <stp/>
        <stp>##V3_BDPV12</stp>
        <stp>PAVSCAR Index</stp>
        <stp>PX385</stp>
        <stp>[BI_AUTMG_1_l22cd4li.xlsx]ReferenceData!R169C23</stp>
        <stp>PX391=20141001</stp>
        <stp>PX392=20141231</stp>
        <stp>DS004=USD</stp>
        <stp>Fill=B</stp>
        <tr r="W169" s="3"/>
      </tp>
      <tp t="s">
        <v>#N/A Connection</v>
        <stp/>
        <stp>##V3_BDPV12</stp>
        <stp>WCARDKI Index</stp>
        <stp>PX385</stp>
        <stp>[BI_AUTMG_1_l22cd4li.xlsx]ReferenceData!R179C59</stp>
        <stp>PX391=20051001</stp>
        <stp>PX392=20051231</stp>
        <stp>DS004=USD</stp>
        <stp>Fill=B</stp>
        <tr r="BG179" s="3"/>
      </tp>
      <tp t="s">
        <v>#N/A Connection</v>
        <stp/>
        <stp>##V3_BDPV12</stp>
        <stp>WCARDKI Index</stp>
        <stp>PX385</stp>
        <stp>[BI_AUTMG_1_l22cd4li.xlsx]ReferenceData!R179C26</stp>
        <stp>PX391=20140101</stp>
        <stp>PX392=20140331</stp>
        <stp>DS004=USD</stp>
        <stp>Fill=B</stp>
        <tr r="Z179" s="3"/>
      </tp>
      <tp t="s">
        <v>#N/A Connection</v>
        <stp/>
        <stp>##V3_BDPV12</stp>
        <stp>WCARCYI Index</stp>
        <stp>PX385</stp>
        <stp>[BI_AUTMG_1_l22cd4li.xlsx]ReferenceData!R178C27</stp>
        <stp>PX391=20131001</stp>
        <stp>PX392=20131231</stp>
        <stp>DS004=USD</stp>
        <stp>Fill=B</stp>
        <tr r="AA178" s="3"/>
      </tp>
      <tp t="s">
        <v>#N/A Connection</v>
        <stp/>
        <stp>##V3_BDPV12</stp>
        <stp>INVSDMPV Index</stp>
        <stp>PX385</stp>
        <stp>[BI_AUTMG_1_l22cd4li.xlsx]ReferenceData!R165C51</stp>
        <stp>PX391=20071001</stp>
        <stp>PX392=20071231</stp>
        <stp>DS004=USD</stp>
        <stp>Fill=B</stp>
        <tr r="AY165" s="3"/>
      </tp>
      <tp t="s">
        <v>#N/A Connection</v>
        <stp/>
        <stp>##V3_BDPV12</stp>
        <stp>INVSDMUT Index</stp>
        <stp>PX385</stp>
        <stp>[BI_AUTMG_1_l22cd4li.xlsx]ReferenceData!R164C15</stp>
        <stp>PX391=20161001</stp>
        <stp>PX392=20161231</stp>
        <stp>DS004=USD</stp>
        <stp>Fill=B</stp>
        <tr r="O164" s="3"/>
      </tp>
      <tp t="s">
        <v>#N/A Connection</v>
        <stp/>
        <stp>##V3_BDPV12</stp>
        <stp>INVSDMPV Index</stp>
        <stp>PX385</stp>
        <stp>[BI_AUTMG_1_l22cd4li.xlsx]ReferenceData!R165C18</stp>
        <stp>PX391=20160101</stp>
        <stp>PX392=20160331</stp>
        <stp>DS004=USD</stp>
        <stp>Fill=B</stp>
        <tr r="R165" s="3"/>
      </tp>
      <tp t="s">
        <v>#N/A Connection</v>
        <stp/>
        <stp>##V3_BDPV12</stp>
        <stp>INVSDMUT Index</stp>
        <stp>PX385</stp>
        <stp>[BI_AUTMG_1_l22cd4li.xlsx]ReferenceData!R164C54</stp>
        <stp>PX391=20070101</stp>
        <stp>PX392=20070331</stp>
        <stp>DS004=USD</stp>
        <stp>Fill=B</stp>
        <tr r="BB164" s="3"/>
      </tp>
      <tp t="s">
        <v>#N/A Connection</v>
        <stp/>
        <stp>##V3_BDPV12</stp>
        <stp>PAVSCAR Index</stp>
        <stp>PX385</stp>
        <stp>[BI_AUTMG_1_l22cd4li.xlsx]ReferenceData!R169C19</stp>
        <stp>PX391=20151001</stp>
        <stp>PX392=20151231</stp>
        <stp>DS004=USD</stp>
        <stp>Fill=B</stp>
        <tr r="S169" s="3"/>
      </tp>
      <tp t="s">
        <v>#N/A Connection</v>
        <stp/>
        <stp>##V3_BDPV12</stp>
        <stp>WCARDKI Index</stp>
        <stp>PX385</stp>
        <stp>[BI_AUTMG_1_l22cd4li.xlsx]ReferenceData!R179C63</stp>
        <stp>PX391=20041001</stp>
        <stp>PX392=20041231</stp>
        <stp>DS004=USD</stp>
        <stp>Fill=B</stp>
        <tr r="BK179" s="3"/>
      </tp>
      <tp t="s">
        <v>#N/A Connection</v>
        <stp/>
        <stp>##V3_BDPV12</stp>
        <stp>WCARDKI Index</stp>
        <stp>PX385</stp>
        <stp>[BI_AUTMG_1_l22cd4li.xlsx]ReferenceData!R179C22</stp>
        <stp>PX391=20150101</stp>
        <stp>PX392=20150331</stp>
        <stp>DS004=USD</stp>
        <stp>Fill=B</stp>
        <tr r="V179" s="3"/>
      </tp>
      <tp t="s">
        <v>#N/A Connection</v>
        <stp/>
        <stp>##V3_BDPV12</stp>
        <stp>WCARCYI Index</stp>
        <stp>PX385</stp>
        <stp>[BI_AUTMG_1_l22cd4li.xlsx]ReferenceData!R178C31</stp>
        <stp>PX391=20121001</stp>
        <stp>PX392=20121231</stp>
        <stp>DS004=USD</stp>
        <stp>Fill=B</stp>
        <tr r="AE178" s="3"/>
      </tp>
      <tp t="s">
        <v>#N/A Connection</v>
        <stp/>
        <stp>##V3_BDPV12</stp>
        <stp>INVSDMUT Index</stp>
        <stp>PX385</stp>
        <stp>[BI_AUTMG_1_l22cd4li.xlsx]ReferenceData!R164C11</stp>
        <stp>PX391=20171001</stp>
        <stp>PX392=20171231</stp>
        <stp>DS004=USD</stp>
        <stp>Fill=B</stp>
        <tr r="K164" s="3"/>
      </tp>
      <tp t="s">
        <v>#N/A Connection</v>
        <stp/>
        <stp>##V3_BDPV12</stp>
        <stp>INVSDMPV Index</stp>
        <stp>PX385</stp>
        <stp>[BI_AUTMG_1_l22cd4li.xlsx]ReferenceData!R165C55</stp>
        <stp>PX391=20061001</stp>
        <stp>PX392=20061231</stp>
        <stp>DS004=USD</stp>
        <stp>Fill=B</stp>
        <tr r="BC165" s="3"/>
      </tp>
      <tp t="s">
        <v>#N/A Connection</v>
        <stp/>
        <stp>##V3_BDPV12</stp>
        <stp>INVSDMUT Index</stp>
        <stp>PX385</stp>
        <stp>[BI_AUTMG_1_l22cd4li.xlsx]ReferenceData!R164C58</stp>
        <stp>PX391=20060101</stp>
        <stp>PX392=20060331</stp>
        <stp>DS004=USD</stp>
        <stp>Fill=B</stp>
        <tr r="BF164" s="3"/>
      </tp>
      <tp t="s">
        <v>#N/A Connection</v>
        <stp/>
        <stp>##V3_BDPV12</stp>
        <stp>INVSDMPV Index</stp>
        <stp>PX385</stp>
        <stp>[BI_AUTMG_1_l22cd4li.xlsx]ReferenceData!R165C14</stp>
        <stp>PX391=20170101</stp>
        <stp>PX392=20170331</stp>
        <stp>DS004=USD</stp>
        <stp>Fill=B</stp>
        <tr r="N165" s="3"/>
      </tp>
      <tp t="s">
        <v>#N/A Connection</v>
        <stp/>
        <stp>##V3_BDPV12</stp>
        <stp>WCARNLI Index</stp>
        <stp>PX385</stp>
        <stp>[BI_AUTMG_1_l22cd4li.xlsx]ReferenceData!R188C46</stp>
        <stp>PX391=20090101</stp>
        <stp>PX392=20090331</stp>
        <stp>DS004=USD</stp>
        <stp>Fill=B</stp>
        <tr r="AT188" s="3"/>
      </tp>
      <tp t="s">
        <v>#N/A Connection</v>
        <stp/>
        <stp>##V3_BDPV12</stp>
        <stp>PAVSCAR Index</stp>
        <stp>PX385</stp>
        <stp>[BI_AUTMG_1_l22cd4li.xlsx]ReferenceData!R169C31</stp>
        <stp>PX391=20121001</stp>
        <stp>PX392=20121231</stp>
        <stp>DS004=USD</stp>
        <stp>Fill=B</stp>
        <tr r="AE169" s="3"/>
      </tp>
      <tp t="s">
        <v>#N/A Connection</v>
        <stp/>
        <stp>##V3_BDPV12</stp>
        <stp>WCARNOI Index</stp>
        <stp>PX385</stp>
        <stp>[BI_AUTMG_1_l22cd4li.xlsx]ReferenceData!R189C43</stp>
        <stp>PX391=20091001</stp>
        <stp>PX392=20091231</stp>
        <stp>DS004=USD</stp>
        <stp>Fill=B</stp>
        <tr r="AQ189" s="3"/>
      </tp>
      <tp t="s">
        <v>#N/A Connection</v>
        <stp/>
        <stp>##V3_BDPV12</stp>
        <stp>WCARNOI Index</stp>
        <stp>PX385</stp>
        <stp>[BI_AUTMG_1_l22cd4li.xlsx]ReferenceData!R189C10</stp>
        <stp>PX391=20180101</stp>
        <stp>PX392=20180331</stp>
        <stp>DS004=USD</stp>
        <stp>Fill=B</stp>
        <tr r="J189" s="3"/>
      </tp>
      <tp t="s">
        <v>#N/A Connection</v>
        <stp/>
        <stp>##V3_BDPV12</stp>
        <stp>WCARDKI Index</stp>
        <stp>PX385</stp>
        <stp>[BI_AUTMG_1_l22cd4li.xlsx]ReferenceData!R179C34</stp>
        <stp>PX391=20120101</stp>
        <stp>PX392=20120331</stp>
        <stp>DS004=USD</stp>
        <stp>Fill=B</stp>
        <tr r="AH179" s="3"/>
      </tp>
      <tp t="s">
        <v>#N/A Connection</v>
        <stp/>
        <stp>##V3_BDPV12</stp>
        <stp>MAVSTTL Index</stp>
        <stp>PX385</stp>
        <stp>[BI_AUTMG_1_l22cd4li.xlsx]ReferenceData!R168C43</stp>
        <stp>PX391=20091001</stp>
        <stp>PX392=20091231</stp>
        <stp>DS004=USD</stp>
        <stp>Fill=B</stp>
        <tr r="AQ168" s="3"/>
      </tp>
      <tp t="s">
        <v>#N/A Connection</v>
        <stp/>
        <stp>##V3_BDPV12</stp>
        <stp>WCARCYI Index</stp>
        <stp>PX385</stp>
        <stp>[BI_AUTMG_1_l22cd4li.xlsx]ReferenceData!R178C19</stp>
        <stp>PX391=20151001</stp>
        <stp>PX392=20151231</stp>
        <stp>DS004=USD</stp>
        <stp>Fill=B</stp>
        <tr r="S178" s="3"/>
      </tp>
      <tp t="s">
        <v>#N/A Connection</v>
        <stp/>
        <stp>##V3_BDPV12</stp>
        <stp>MAVSTTL Index</stp>
        <stp>PX385</stp>
        <stp>[BI_AUTMG_1_l22cd4li.xlsx]ReferenceData!R168C10</stp>
        <stp>PX391=20180101</stp>
        <stp>PX392=20180331</stp>
        <stp>DS004=USD</stp>
        <stp>Fill=B</stp>
        <tr r="J168" s="3"/>
      </tp>
      <tp t="s">
        <v>#N/A Connection</v>
        <stp/>
        <stp>##V3_BDPV12</stp>
        <stp>INVSDMPV Index</stp>
        <stp>PX385</stp>
        <stp>[BI_AUTMG_1_l22cd4li.xlsx]ReferenceData!R165C42</stp>
        <stp>PX391=20100101</stp>
        <stp>PX392=20100331</stp>
        <stp>DS004=USD</stp>
        <stp>Fill=B</stp>
        <tr r="AP165" s="3"/>
      </tp>
      <tp t="s">
        <v>#N/A Connection</v>
        <stp/>
        <stp>##V3_BDPV12</stp>
        <stp>INVSDMUT Index</stp>
        <stp>PX385</stp>
        <stp>[BI_AUTMG_1_l22cd4li.xlsx]ReferenceData!R164C39</stp>
        <stp>PX391=20101001</stp>
        <stp>PX392=20101231</stp>
        <stp>DS004=USD</stp>
        <stp>Fill=B</stp>
        <tr r="AM164" s="3"/>
      </tp>
      <tp t="s">
        <v>#N/A Connection</v>
        <stp/>
        <stp>##V3_BDPV12</stp>
        <stp>WCARNLI Index</stp>
        <stp>PX385</stp>
        <stp>[BI_AUTMG_1_l22cd4li.xlsx]ReferenceData!R188C50</stp>
        <stp>PX391=20080101</stp>
        <stp>PX392=20080331</stp>
        <stp>DS004=USD</stp>
        <stp>Fill=B</stp>
        <tr r="AX188" s="3"/>
      </tp>
      <tp t="s">
        <v>#N/A Connection</v>
        <stp/>
        <stp>##V3_BDPV12</stp>
        <stp>WCARNOI Index</stp>
        <stp>PX385</stp>
        <stp>[BI_AUTMG_1_l22cd4li.xlsx]ReferenceData!R189C47</stp>
        <stp>PX391=20081001</stp>
        <stp>PX392=20081231</stp>
        <stp>DS004=USD</stp>
        <stp>Fill=B</stp>
        <tr r="AU189" s="3"/>
      </tp>
      <tp t="s">
        <v>#N/A Connection</v>
        <stp/>
        <stp>##V3_BDPV12</stp>
        <stp>PAVSCAR Index</stp>
        <stp>PX385</stp>
        <stp>[BI_AUTMG_1_l22cd4li.xlsx]ReferenceData!R169C27</stp>
        <stp>PX391=20131001</stp>
        <stp>PX392=20131231</stp>
        <stp>DS004=USD</stp>
        <stp>Fill=B</stp>
        <tr r="AA169" s="3"/>
      </tp>
      <tp t="s">
        <v>#N/A Connection</v>
        <stp/>
        <stp>##V3_BDPV12</stp>
        <stp>WCARDKI Index</stp>
        <stp>PX385</stp>
        <stp>[BI_AUTMG_1_l22cd4li.xlsx]ReferenceData!R179C30</stp>
        <stp>PX391=20130101</stp>
        <stp>PX392=20130331</stp>
        <stp>DS004=USD</stp>
        <stp>Fill=B</stp>
        <tr r="AD179" s="3"/>
      </tp>
      <tp t="s">
        <v>#N/A Connection</v>
        <stp/>
        <stp>##V3_BDPV12</stp>
        <stp>WCARCYI Index</stp>
        <stp>PX385</stp>
        <stp>[BI_AUTMG_1_l22cd4li.xlsx]ReferenceData!R178C62</stp>
        <stp>PX391=20050101</stp>
        <stp>PX392=20050331</stp>
        <stp>DS004=USD</stp>
        <stp>Fill=B</stp>
        <tr r="BJ178" s="3"/>
      </tp>
      <tp t="s">
        <v>#N/A Connection</v>
        <stp/>
        <stp>##V3_BDPV12</stp>
        <stp>MAVSTTL Index</stp>
        <stp>PX385</stp>
        <stp>[BI_AUTMG_1_l22cd4li.xlsx]ReferenceData!R168C47</stp>
        <stp>PX391=20081001</stp>
        <stp>PX392=20081231</stp>
        <stp>DS004=USD</stp>
        <stp>Fill=B</stp>
        <tr r="AU168" s="3"/>
      </tp>
      <tp t="s">
        <v>#N/A Connection</v>
        <stp/>
        <stp>##V3_BDPV12</stp>
        <stp>WCARCYI Index</stp>
        <stp>PX385</stp>
        <stp>[BI_AUTMG_1_l22cd4li.xlsx]ReferenceData!R178C23</stp>
        <stp>PX391=20141001</stp>
        <stp>PX392=20141231</stp>
        <stp>DS004=USD</stp>
        <stp>Fill=B</stp>
        <tr r="W178" s="3"/>
      </tp>
      <tp t="s">
        <v>#N/A Connection</v>
        <stp/>
        <stp>##V3_BDPV12</stp>
        <stp>INVSDMPV Index</stp>
        <stp>PX385</stp>
        <stp>[BI_AUTMG_1_l22cd4li.xlsx]ReferenceData!R165C38</stp>
        <stp>PX391=20110101</stp>
        <stp>PX392=20110331</stp>
        <stp>DS004=USD</stp>
        <stp>Fill=B</stp>
        <tr r="AL165" s="3"/>
      </tp>
      <tp t="s">
        <v>#N/A Connection</v>
        <stp/>
        <stp>##V3_BDPV12</stp>
        <stp>INVSDMUT Index</stp>
        <stp>PX385</stp>
        <stp>[BI_AUTMG_1_l22cd4li.xlsx]ReferenceData!R164C35</stp>
        <stp>PX391=20111001</stp>
        <stp>PX392=20111231</stp>
        <stp>DS004=USD</stp>
        <stp>Fill=B</stp>
        <tr r="AI164" s="3"/>
      </tp>
      <tp t="s">
        <v>#N/A Connection</v>
        <stp/>
        <stp>##V3_BDPV12</stp>
        <stp>PAVSCAR Index</stp>
        <stp>PX385</stp>
        <stp>[BI_AUTMG_1_l22cd4li.xlsx]ReferenceData!R169C39</stp>
        <stp>PX391=20101001</stp>
        <stp>PX392=20101231</stp>
        <stp>DS004=USD</stp>
        <stp>Fill=B</stp>
        <tr r="AM169" s="3"/>
      </tp>
      <tp t="s">
        <v>#N/A Connection</v>
        <stp/>
        <stp>##V3_BDPV12</stp>
        <stp>WCARDKI Index</stp>
        <stp>PX385</stp>
        <stp>[BI_AUTMG_1_l22cd4li.xlsx]ReferenceData!R179C42</stp>
        <stp>PX391=20100101</stp>
        <stp>PX392=20100331</stp>
        <stp>DS004=USD</stp>
        <stp>Fill=B</stp>
        <tr r="AP179" s="3"/>
      </tp>
      <tp t="s">
        <v>#N/A Connection</v>
        <stp/>
        <stp>##V3_BDPV12</stp>
        <stp>WCARCYI Index</stp>
        <stp>PX385</stp>
        <stp>[BI_AUTMG_1_l22cd4li.xlsx]ReferenceData!R178C58</stp>
        <stp>PX391=20060101</stp>
        <stp>PX392=20060331</stp>
        <stp>DS004=USD</stp>
        <stp>Fill=B</stp>
        <tr r="BF178" s="3"/>
      </tp>
      <tp t="s">
        <v>#N/A Connection</v>
        <stp/>
        <stp>##V3_BDPV12</stp>
        <stp>WCARCYI Index</stp>
        <stp>PX385</stp>
        <stp>[BI_AUTMG_1_l22cd4li.xlsx]ReferenceData!R178C11</stp>
        <stp>PX391=20171001</stp>
        <stp>PX392=20171231</stp>
        <stp>DS004=USD</stp>
        <stp>Fill=B</stp>
        <tr r="K178" s="3"/>
      </tp>
      <tp t="s">
        <v>#N/A Connection</v>
        <stp/>
        <stp>##V3_BDPV12</stp>
        <stp>IDVHCLOC Index</stp>
        <stp>PX385</stp>
        <stp>[BI_AUTMG_1_l22cd4li.xlsx]ReferenceData!R166C45</stp>
        <stp>PX391=20090401</stp>
        <stp>PX392=20090630</stp>
        <stp>DS004=USD</stp>
        <stp>Fill=B</stp>
        <tr r="AS166" s="3"/>
      </tp>
      <tp t="s">
        <v>#N/A Connection</v>
        <stp/>
        <stp>##V3_BDPV12</stp>
        <stp>INVSDMPV Index</stp>
        <stp>PX385</stp>
        <stp>[BI_AUTMG_1_l22cd4li.xlsx]ReferenceData!R165C34</stp>
        <stp>PX391=20120101</stp>
        <stp>PX392=20120331</stp>
        <stp>DS004=USD</stp>
        <stp>Fill=B</stp>
        <tr r="AH165" s="3"/>
      </tp>
      <tp t="s">
        <v>#N/A Connection</v>
        <stp/>
        <stp>##V3_BDPV12</stp>
        <stp>INVSDMUT Index</stp>
        <stp>PX385</stp>
        <stp>[BI_AUTMG_1_l22cd4li.xlsx]ReferenceData!R164C31</stp>
        <stp>PX391=20121001</stp>
        <stp>PX392=20121231</stp>
        <stp>DS004=USD</stp>
        <stp>Fill=B</stp>
        <tr r="AE164" s="3"/>
      </tp>
      <tp t="s">
        <v>#N/A Connection</v>
        <stp/>
        <stp>##V3_BDPV12</stp>
        <stp>PAVSCAR Index</stp>
        <stp>PX385</stp>
        <stp>[BI_AUTMG_1_l22cd4li.xlsx]ReferenceData!R169C35</stp>
        <stp>PX391=20111001</stp>
        <stp>PX392=20111231</stp>
        <stp>DS004=USD</stp>
        <stp>Fill=B</stp>
        <tr r="AI169" s="3"/>
      </tp>
      <tp t="s">
        <v>#N/A Connection</v>
        <stp/>
        <stp>##V3_BDPV12</stp>
        <stp>WCARDKI Index</stp>
        <stp>PX385</stp>
        <stp>[BI_AUTMG_1_l22cd4li.xlsx]ReferenceData!R179C38</stp>
        <stp>PX391=20110101</stp>
        <stp>PX392=20110331</stp>
        <stp>DS004=USD</stp>
        <stp>Fill=B</stp>
        <tr r="AL179" s="3"/>
      </tp>
      <tp t="s">
        <v>#N/A Connection</v>
        <stp/>
        <stp>##V3_BDPV12</stp>
        <stp>WCARCYI Index</stp>
        <stp>PX385</stp>
        <stp>[BI_AUTMG_1_l22cd4li.xlsx]ReferenceData!R178C54</stp>
        <stp>PX391=20070101</stp>
        <stp>PX392=20070331</stp>
        <stp>DS004=USD</stp>
        <stp>Fill=B</stp>
        <tr r="BB178" s="3"/>
      </tp>
      <tp t="s">
        <v>#N/A Connection</v>
        <stp/>
        <stp>##V3_BDPV12</stp>
        <stp>WCARCYI Index</stp>
        <stp>PX385</stp>
        <stp>[BI_AUTMG_1_l22cd4li.xlsx]ReferenceData!R178C15</stp>
        <stp>PX391=20161001</stp>
        <stp>PX392=20161231</stp>
        <stp>DS004=USD</stp>
        <stp>Fill=B</stp>
        <tr r="O178" s="3"/>
      </tp>
      <tp t="s">
        <v>#N/A Connection</v>
        <stp/>
        <stp>##V3_BDPV12</stp>
        <stp>IDVHCLOC Index</stp>
        <stp>PX385</stp>
        <stp>[BI_AUTMG_1_l22cd4li.xlsx]ReferenceData!R166C49</stp>
        <stp>PX391=20080401</stp>
        <stp>PX392=20080630</stp>
        <stp>DS004=USD</stp>
        <stp>Fill=B</stp>
        <tr r="AW166" s="3"/>
      </tp>
      <tp t="s">
        <v>#N/A Connection</v>
        <stp/>
        <stp>##V3_BDPV12</stp>
        <stp>INVSDMPV Index</stp>
        <stp>PX385</stp>
        <stp>[BI_AUTMG_1_l22cd4li.xlsx]ReferenceData!R165C30</stp>
        <stp>PX391=20130101</stp>
        <stp>PX392=20130331</stp>
        <stp>DS004=USD</stp>
        <stp>Fill=B</stp>
        <tr r="AD165" s="3"/>
      </tp>
      <tp t="s">
        <v>#N/A Connection</v>
        <stp/>
        <stp>##V3_BDPV12</stp>
        <stp>INVSDMUT Index</stp>
        <stp>PX385</stp>
        <stp>[BI_AUTMG_1_l22cd4li.xlsx]ReferenceData!R164C27</stp>
        <stp>PX391=20131001</stp>
        <stp>PX392=20131231</stp>
        <stp>DS004=USD</stp>
        <stp>Fill=B</stp>
        <tr r="AA164" s="3"/>
      </tp>
      <tp t="s">
        <v>#N/A Connection</v>
        <stp/>
        <stp>##V3_BDPV12</stp>
        <stp>WCARSEI Index</stp>
        <stp>PX385</stp>
        <stp>[BI_AUTMG_1_l22cd4li.xlsx]ReferenceData!R192C45</stp>
        <stp>PX391=20090401</stp>
        <stp>PX392=20090630</stp>
        <stp>DS004=USD</stp>
        <stp>Fill=B</stp>
        <tr r="AS192" s="3"/>
      </tp>
      <tp t="s">
        <v>#N/A Connection</v>
        <stp/>
        <stp>##V3_BDPV12</stp>
        <stp>RUAUTOTL Index</stp>
        <stp>PX385</stp>
        <stp>[BI_AUTMG_1_l22cd4li.xlsx]ReferenceData!R204C25</stp>
        <stp>PX391=20140401</stp>
        <stp>PX392=20140630</stp>
        <stp>DS004=USD</stp>
        <stp>Fill=B</stp>
        <tr r="Y204" s="3"/>
      </tp>
      <tp t="s">
        <v>#N/A Connection</v>
        <stp/>
        <stp>##V3_BDPV12</stp>
        <stp>WCARSEI Index</stp>
        <stp>PX385</stp>
        <stp>[BI_AUTMG_1_l22cd4li.xlsx]ReferenceData!R192C49</stp>
        <stp>PX391=20080401</stp>
        <stp>PX392=20080630</stp>
        <stp>DS004=USD</stp>
        <stp>Fill=B</stp>
        <tr r="AW192" s="3"/>
      </tp>
      <tp t="s">
        <v>#N/A Connection</v>
        <stp/>
        <stp>##V3_BDPV12</stp>
        <stp>RUAUTOTL Index</stp>
        <stp>PX385</stp>
        <stp>[BI_AUTMG_1_l22cd4li.xlsx]ReferenceData!R204C21</stp>
        <stp>PX391=20150401</stp>
        <stp>PX392=20150630</stp>
        <stp>DS004=USD</stp>
        <stp>Fill=B</stp>
        <tr r="U204" s="3"/>
      </tp>
      <tp t="s">
        <v>#N/A Connection</v>
        <stp/>
        <stp>##V3_BDPV12</stp>
        <stp>RUAUTOTL Index</stp>
        <stp>PX385</stp>
        <stp>[BI_AUTMG_1_l22cd4li.xlsx]ReferenceData!R204C17</stp>
        <stp>PX391=20160401</stp>
        <stp>PX392=20160630</stp>
        <stp>DS004=USD</stp>
        <stp>Fill=B</stp>
        <tr r="Q204" s="3"/>
      </tp>
      <tp t="s">
        <v>#N/A Connection</v>
        <stp/>
        <stp>##V3_BDPV12</stp>
        <stp>RUAUTOTL Index</stp>
        <stp>PX385</stp>
        <stp>[BI_AUTMG_1_l22cd4li.xlsx]ReferenceData!R204C13</stp>
        <stp>PX391=20170401</stp>
        <stp>PX392=20170630</stp>
        <stp>DS004=USD</stp>
        <stp>Fill=B</stp>
        <tr r="M204" s="3"/>
      </tp>
      <tp t="s">
        <v>#N/A Connection</v>
        <stp/>
        <stp>##V3_BDPV12</stp>
        <stp>WCARHU Index</stp>
        <stp>PX385</stp>
        <stp>[BI_AUTMG_1_l22cd4li.xlsx]ReferenceData!R199C50</stp>
        <stp>PX391=20080101</stp>
        <stp>PX392=20080331</stp>
        <stp>DS004=USD</stp>
        <stp>Fill=B</stp>
        <tr r="AX199" s="3"/>
      </tp>
      <tp t="s">
        <v>#N/A Connection</v>
        <stp/>
        <stp>##V3_BDPV12</stp>
        <stp>WCAREE Index</stp>
        <stp>PX385</stp>
        <stp>[BI_AUTMG_1_l22cd4li.xlsx]ReferenceData!R198C47</stp>
        <stp>PX391=20081001</stp>
        <stp>PX392=20081231</stp>
        <stp>DS004=USD</stp>
        <stp>Fill=B</stp>
        <tr r="AU198" s="3"/>
      </tp>
      <tp t="s">
        <v>#N/A Connection</v>
        <stp/>
        <stp>##V3_BDPV12</stp>
        <stp>RUAUTOTL Index</stp>
        <stp>PX385</stp>
        <stp>[BI_AUTMG_1_l22cd4li.xlsx]ReferenceData!R204C41</stp>
        <stp>PX391=20100401</stp>
        <stp>PX392=20100630</stp>
        <stp>DS004=USD</stp>
        <stp>Fill=B</stp>
        <tr r="AO204" s="3"/>
      </tp>
      <tp t="s">
        <v>#N/A Connection</v>
        <stp/>
        <stp>##V3_BDPV12</stp>
        <stp>CHVSAUTO Index</stp>
        <stp>PX385</stp>
        <stp>[BI_AUTMG_1_l22cd4li.xlsx]ReferenceData!R212C56</stp>
        <stp>PX391=20060701</stp>
        <stp>PX392=20060930</stp>
        <stp>DS004=USD</stp>
        <stp>Fill=B</stp>
        <tr r="BD212" s="3"/>
      </tp>
      <tp t="s">
        <v>#N/A Connection</v>
        <stp/>
        <stp>##V3_BDPV12</stp>
        <stp>WCARHU Index</stp>
        <stp>PX385</stp>
        <stp>[BI_AUTMG_1_l22cd4li.xlsx]ReferenceData!R199C46</stp>
        <stp>PX391=20090101</stp>
        <stp>PX392=20090331</stp>
        <stp>DS004=USD</stp>
        <stp>Fill=B</stp>
        <tr r="AT199" s="3"/>
      </tp>
      <tp t="s">
        <v>#N/A Connection</v>
        <stp/>
        <stp>##V3_BDPV12</stp>
        <stp>WCAREE Index</stp>
        <stp>PX385</stp>
        <stp>[BI_AUTMG_1_l22cd4li.xlsx]ReferenceData!R198C10</stp>
        <stp>PX391=20180101</stp>
        <stp>PX392=20180331</stp>
        <stp>DS004=USD</stp>
        <stp>Fill=B</stp>
        <tr r="J198" s="3"/>
      </tp>
      <tp t="s">
        <v>#N/A Connection</v>
        <stp/>
        <stp>##V3_BDPV12</stp>
        <stp>WCAREE Index</stp>
        <stp>PX385</stp>
        <stp>[BI_AUTMG_1_l22cd4li.xlsx]ReferenceData!R198C43</stp>
        <stp>PX391=20091001</stp>
        <stp>PX392=20091231</stp>
        <stp>DS004=USD</stp>
        <stp>Fill=B</stp>
        <tr r="AQ198" s="3"/>
      </tp>
      <tp t="s">
        <v>#N/A Connection</v>
        <stp/>
        <stp>##V3_BDPV12</stp>
        <stp>RUAUTOTL Index</stp>
        <stp>PX385</stp>
        <stp>[BI_AUTMG_1_l22cd4li.xlsx]ReferenceData!R204C37</stp>
        <stp>PX391=20110401</stp>
        <stp>PX392=20110630</stp>
        <stp>DS004=USD</stp>
        <stp>Fill=B</stp>
        <tr r="AK204" s="3"/>
      </tp>
      <tp t="s">
        <v>#N/A Connection</v>
        <stp/>
        <stp>##V3_BDPV12</stp>
        <stp>CHVSAUTO Index</stp>
        <stp>PX385</stp>
        <stp>[BI_AUTMG_1_l22cd4li.xlsx]ReferenceData!R212C52</stp>
        <stp>PX391=20070701</stp>
        <stp>PX392=20070930</stp>
        <stp>DS004=USD</stp>
        <stp>Fill=B</stp>
        <tr r="AZ212" s="3"/>
      </tp>
      <tp t="s">
        <v>#N/A Connection</v>
        <stp/>
        <stp>##V3_BDPV12</stp>
        <stp>RUAUTOTL Index</stp>
        <stp>PX385</stp>
        <stp>[BI_AUTMG_1_l22cd4li.xlsx]ReferenceData!R204C33</stp>
        <stp>PX391=20120401</stp>
        <stp>PX392=20120630</stp>
        <stp>DS004=USD</stp>
        <stp>Fill=B</stp>
        <tr r="AG204" s="3"/>
      </tp>
      <tp t="s">
        <v>#N/A Connection</v>
        <stp/>
        <stp>##V3_BDPV12</stp>
        <stp>CHVSAUTO Index</stp>
        <stp>PX385</stp>
        <stp>[BI_AUTMG_1_l22cd4li.xlsx]ReferenceData!R212C64</stp>
        <stp>PX391=20040701</stp>
        <stp>PX392=20040930</stp>
        <stp>DS004=USD</stp>
        <stp>Fill=B</stp>
        <tr r="BL212" s="3"/>
      </tp>
      <tp t="s">
        <v>#N/A Connection</v>
        <stp/>
        <stp>##V3_BDPV12</stp>
        <stp>RUAUTOTL Index</stp>
        <stp>PX385</stp>
        <stp>[BI_AUTMG_1_l22cd4li.xlsx]ReferenceData!R204C29</stp>
        <stp>PX391=20130401</stp>
        <stp>PX392=20130630</stp>
        <stp>DS004=USD</stp>
        <stp>Fill=B</stp>
        <tr r="AC204" s="3"/>
      </tp>
      <tp t="s">
        <v>#N/A Connection</v>
        <stp/>
        <stp>##V3_BDPV12</stp>
        <stp>CHVSAUTO Index</stp>
        <stp>PX385</stp>
        <stp>[BI_AUTMG_1_l22cd4li.xlsx]ReferenceData!R212C60</stp>
        <stp>PX391=20050701</stp>
        <stp>PX392=20050930</stp>
        <stp>DS004=USD</stp>
        <stp>Fill=B</stp>
        <tr r="BH212" s="3"/>
      </tp>
      <tp t="s">
        <v>#N/A Connection</v>
        <stp/>
        <stp>##V3_BDPV12</stp>
        <stp>WCAREE Index</stp>
        <stp>PX385</stp>
        <stp>[BI_AUTMG_1_l22cd4li.xlsx]ReferenceData!R198C63</stp>
        <stp>PX391=20041001</stp>
        <stp>PX392=20041231</stp>
        <stp>DS004=USD</stp>
        <stp>Fill=B</stp>
        <tr r="BK198" s="3"/>
      </tp>
      <tp t="s">
        <v>#N/A Connection</v>
        <stp/>
        <stp>##V3_BDPV12</stp>
        <stp>WCAREE Index</stp>
        <stp>PX385</stp>
        <stp>[BI_AUTMG_1_l22cd4li.xlsx]ReferenceData!R198C22</stp>
        <stp>PX391=20150101</stp>
        <stp>PX392=20150331</stp>
        <stp>DS004=USD</stp>
        <stp>Fill=B</stp>
        <tr r="V198" s="3"/>
      </tp>
      <tp t="s">
        <v>#N/A Connection</v>
        <stp/>
        <stp>##V3_BDPV12</stp>
        <stp>WCARHU Index</stp>
        <stp>PX385</stp>
        <stp>[BI_AUTMG_1_l22cd4li.xlsx]ReferenceData!R199C19</stp>
        <stp>PX391=20151001</stp>
        <stp>PX392=20151231</stp>
        <stp>DS004=USD</stp>
        <stp>Fill=B</stp>
        <tr r="S199" s="3"/>
      </tp>
      <tp t="s">
        <v>#N/A Connection</v>
        <stp/>
        <stp>##V3_BDPV12</stp>
        <stp>SINVHR Index</stp>
        <stp>PX385</stp>
        <stp>[BI_AUTMG_1_l22cd4li.xlsx]ReferenceData!R172C41</stp>
        <stp>PX391=20100401</stp>
        <stp>PX392=20100630</stp>
        <stp>DS004=USD</stp>
        <stp>Fill=B</stp>
        <tr r="AO172" s="3"/>
      </tp>
      <tp t="s">
        <v>#N/A Connection</v>
        <stp/>
        <stp>##V3_BDPV12</stp>
        <stp>WCARPTI Index</stp>
        <stp>PX385</stp>
        <stp>[BI_AUTMG_1_l22cd4li.xlsx]ReferenceData!R190C28</stp>
        <stp>PX391=20130701</stp>
        <stp>PX392=20130930</stp>
        <stp>DS004=USD</stp>
        <stp>Fill=B</stp>
        <tr r="AB190" s="3"/>
      </tp>
      <tp t="s">
        <v>#N/A Connection</v>
        <stp/>
        <stp>##V3_BDPV12</stp>
        <stp>WCAREE Index</stp>
        <stp>PX385</stp>
        <stp>[BI_AUTMG_1_l22cd4li.xlsx]ReferenceData!R198C59</stp>
        <stp>PX391=20051001</stp>
        <stp>PX392=20051231</stp>
        <stp>DS004=USD</stp>
        <stp>Fill=B</stp>
        <tr r="BG198" s="3"/>
      </tp>
      <tp t="s">
        <v>#N/A Connection</v>
        <stp/>
        <stp>##V3_BDPV12</stp>
        <stp>WCAREE Index</stp>
        <stp>PX385</stp>
        <stp>[BI_AUTMG_1_l22cd4li.xlsx]ReferenceData!R198C26</stp>
        <stp>PX391=20140101</stp>
        <stp>PX392=20140331</stp>
        <stp>DS004=USD</stp>
        <stp>Fill=B</stp>
        <tr r="Z198" s="3"/>
      </tp>
      <tp t="s">
        <v>#N/A Connection</v>
        <stp/>
        <stp>##V3_BDPV12</stp>
        <stp>SINVHR Index</stp>
        <stp>PX385</stp>
        <stp>[BI_AUTMG_1_l22cd4li.xlsx]ReferenceData!R172C37</stp>
        <stp>PX391=20110401</stp>
        <stp>PX392=20110630</stp>
        <stp>DS004=USD</stp>
        <stp>Fill=B</stp>
        <tr r="AK172" s="3"/>
      </tp>
      <tp t="s">
        <v>#N/A Connection</v>
        <stp/>
        <stp>##V3_BDPV12</stp>
        <stp>WCARHU Index</stp>
        <stp>PX385</stp>
        <stp>[BI_AUTMG_1_l22cd4li.xlsx]ReferenceData!R199C23</stp>
        <stp>PX391=20141001</stp>
        <stp>PX392=20141231</stp>
        <stp>DS004=USD</stp>
        <stp>Fill=B</stp>
        <tr r="W199" s="3"/>
      </tp>
      <tp t="s">
        <v>#N/A Connection</v>
        <stp/>
        <stp>##V3_BDPV12</stp>
        <stp>WCARHU Index</stp>
        <stp>PX385</stp>
        <stp>[BI_AUTMG_1_l22cd4li.xlsx]ReferenceData!R199C62</stp>
        <stp>PX391=20050101</stp>
        <stp>PX392=20050331</stp>
        <stp>DS004=USD</stp>
        <stp>Fill=B</stp>
        <tr r="BJ199" s="3"/>
      </tp>
      <tp t="s">
        <v>#N/A Connection</v>
        <stp/>
        <stp>##V3_BDPV12</stp>
        <stp>WCARPTI Index</stp>
        <stp>PX385</stp>
        <stp>[BI_AUTMG_1_l22cd4li.xlsx]ReferenceData!R190C32</stp>
        <stp>PX391=20120701</stp>
        <stp>PX392=20120930</stp>
        <stp>DS004=USD</stp>
        <stp>Fill=B</stp>
        <tr r="AF190" s="3"/>
      </tp>
      <tp t="s">
        <v>#N/A Connection</v>
        <stp/>
        <stp>##V3_BDPV12</stp>
        <stp>WCAREE Index</stp>
        <stp>PX385</stp>
        <stp>[BI_AUTMG_1_l22cd4li.xlsx]ReferenceData!R198C55</stp>
        <stp>PX391=20061001</stp>
        <stp>PX392=20061231</stp>
        <stp>DS004=USD</stp>
        <stp>Fill=B</stp>
        <tr r="BC198" s="3"/>
      </tp>
      <tp t="s">
        <v>#N/A Connection</v>
        <stp/>
        <stp>##V3_BDPV12</stp>
        <stp>WCAREE Index</stp>
        <stp>PX385</stp>
        <stp>[BI_AUTMG_1_l22cd4li.xlsx]ReferenceData!R198C14</stp>
        <stp>PX391=20170101</stp>
        <stp>PX392=20170331</stp>
        <stp>DS004=USD</stp>
        <stp>Fill=B</stp>
        <tr r="N198" s="3"/>
      </tp>
      <tp t="s">
        <v>#N/A Connection</v>
        <stp/>
        <stp>##V3_BDPV12</stp>
        <stp>WCARHU Index</stp>
        <stp>PX385</stp>
        <stp>[BI_AUTMG_1_l22cd4li.xlsx]ReferenceData!R199C11</stp>
        <stp>PX391=20171001</stp>
        <stp>PX392=20171231</stp>
        <stp>DS004=USD</stp>
        <stp>Fill=B</stp>
        <tr r="K199" s="3"/>
      </tp>
      <tp t="s">
        <v>#N/A Connection</v>
        <stp/>
        <stp>##V3_BDPV12</stp>
        <stp>SINVHR Index</stp>
        <stp>PX385</stp>
        <stp>[BI_AUTMG_1_l22cd4li.xlsx]ReferenceData!R172C33</stp>
        <stp>PX391=20120401</stp>
        <stp>PX392=20120630</stp>
        <stp>DS004=USD</stp>
        <stp>Fill=B</stp>
        <tr r="AG172" s="3"/>
      </tp>
      <tp t="s">
        <v>#N/A Connection</v>
        <stp/>
        <stp>##V3_BDPV12</stp>
        <stp>WCARHU Index</stp>
        <stp>PX385</stp>
        <stp>[BI_AUTMG_1_l22cd4li.xlsx]ReferenceData!R199C58</stp>
        <stp>PX391=20060101</stp>
        <stp>PX392=20060331</stp>
        <stp>DS004=USD</stp>
        <stp>Fill=B</stp>
        <tr r="BF199" s="3"/>
      </tp>
      <tp t="s">
        <v>#N/A Connection</v>
        <stp/>
        <stp>##V3_BDPV12</stp>
        <stp>WCARPTI Index</stp>
        <stp>PX385</stp>
        <stp>[BI_AUTMG_1_l22cd4li.xlsx]ReferenceData!R190C36</stp>
        <stp>PX391=20110701</stp>
        <stp>PX392=20110930</stp>
        <stp>DS004=USD</stp>
        <stp>Fill=B</stp>
        <tr r="AJ190" s="3"/>
      </tp>
      <tp t="s">
        <v>#N/A Connection</v>
        <stp/>
        <stp>##V3_BDPV12</stp>
        <stp>CHVSAUTO Index</stp>
        <stp>PX385</stp>
        <stp>[BI_AUTMG_1_l22cd4li.xlsx]ReferenceData!R212C48</stp>
        <stp>PX391=20080701</stp>
        <stp>PX392=20080930</stp>
        <stp>DS004=USD</stp>
        <stp>Fill=B</stp>
        <tr r="AV212" s="3"/>
      </tp>
      <tp t="s">
        <v>#N/A Connection</v>
        <stp/>
        <stp>##V3_BDPV12</stp>
        <stp>WCAREE Index</stp>
        <stp>PX385</stp>
        <stp>[BI_AUTMG_1_l22cd4li.xlsx]ReferenceData!R198C51</stp>
        <stp>PX391=20071001</stp>
        <stp>PX392=20071231</stp>
        <stp>DS004=USD</stp>
        <stp>Fill=B</stp>
        <tr r="AY198" s="3"/>
      </tp>
      <tp t="s">
        <v>#N/A Connection</v>
        <stp/>
        <stp>##V3_BDPV12</stp>
        <stp>WCAREE Index</stp>
        <stp>PX385</stp>
        <stp>[BI_AUTMG_1_l22cd4li.xlsx]ReferenceData!R198C18</stp>
        <stp>PX391=20160101</stp>
        <stp>PX392=20160331</stp>
        <stp>DS004=USD</stp>
        <stp>Fill=B</stp>
        <tr r="R198" s="3"/>
      </tp>
      <tp t="s">
        <v>#N/A Connection</v>
        <stp/>
        <stp>##V3_BDPV12</stp>
        <stp>WCARHU Index</stp>
        <stp>PX385</stp>
        <stp>[BI_AUTMG_1_l22cd4li.xlsx]ReferenceData!R199C15</stp>
        <stp>PX391=20161001</stp>
        <stp>PX392=20161231</stp>
        <stp>DS004=USD</stp>
        <stp>Fill=B</stp>
        <tr r="O199" s="3"/>
      </tp>
      <tp t="s">
        <v>#N/A Connection</v>
        <stp/>
        <stp>##V3_BDPV12</stp>
        <stp>SINVHR Index</stp>
        <stp>PX385</stp>
        <stp>[BI_AUTMG_1_l22cd4li.xlsx]ReferenceData!R172C29</stp>
        <stp>PX391=20130401</stp>
        <stp>PX392=20130630</stp>
        <stp>DS004=USD</stp>
        <stp>Fill=B</stp>
        <tr r="AC172" s="3"/>
      </tp>
      <tp t="s">
        <v>#N/A Connection</v>
        <stp/>
        <stp>##V3_BDPV12</stp>
        <stp>WCARHU Index</stp>
        <stp>PX385</stp>
        <stp>[BI_AUTMG_1_l22cd4li.xlsx]ReferenceData!R199C54</stp>
        <stp>PX391=20070101</stp>
        <stp>PX392=20070331</stp>
        <stp>DS004=USD</stp>
        <stp>Fill=B</stp>
        <tr r="BB199" s="3"/>
      </tp>
      <tp t="s">
        <v>#N/A Connection</v>
        <stp/>
        <stp>##V3_BDPV12</stp>
        <stp>WCARPTI Index</stp>
        <stp>PX385</stp>
        <stp>[BI_AUTMG_1_l22cd4li.xlsx]ReferenceData!R190C40</stp>
        <stp>PX391=20100701</stp>
        <stp>PX392=20100930</stp>
        <stp>DS004=USD</stp>
        <stp>Fill=B</stp>
        <tr r="AN190" s="3"/>
      </tp>
      <tp t="s">
        <v>#N/A Connection</v>
        <stp/>
        <stp>##V3_BDPV12</stp>
        <stp>CHVSAUTO Index</stp>
        <stp>PX385</stp>
        <stp>[BI_AUTMG_1_l22cd4li.xlsx]ReferenceData!R212C44</stp>
        <stp>PX391=20090701</stp>
        <stp>PX392=20090930</stp>
        <stp>DS004=USD</stp>
        <stp>Fill=B</stp>
        <tr r="AR212" s="3"/>
      </tp>
      <tp t="s">
        <v>#N/A Connection</v>
        <stp/>
        <stp>##V3_BDPV12</stp>
        <stp>WCAREE Index</stp>
        <stp>PX385</stp>
        <stp>[BI_AUTMG_1_l22cd4li.xlsx]ReferenceData!R198C38</stp>
        <stp>PX391=20110101</stp>
        <stp>PX392=20110331</stp>
        <stp>DS004=USD</stp>
        <stp>Fill=B</stp>
        <tr r="AL198" s="3"/>
      </tp>
      <tp t="s">
        <v>#N/A Connection</v>
        <stp/>
        <stp>##V3_BDPV12</stp>
        <stp>WCARSEI Index</stp>
        <stp>PX385</stp>
        <stp>[BI_AUTMG_1_l22cd4li.xlsx]ReferenceData!R192C61</stp>
        <stp>PX391=20050401</stp>
        <stp>PX392=20050630</stp>
        <stp>DS004=USD</stp>
        <stp>Fill=B</stp>
        <tr r="BI192" s="3"/>
      </tp>
      <tp t="s">
        <v>#N/A Connection</v>
        <stp/>
        <stp>##V3_BDPV12</stp>
        <stp>SINVHR Index</stp>
        <stp>PX385</stp>
        <stp>[BI_AUTMG_1_l22cd4li.xlsx]ReferenceData!R172C25</stp>
        <stp>PX391=20140401</stp>
        <stp>PX392=20140630</stp>
        <stp>DS004=USD</stp>
        <stp>Fill=B</stp>
        <tr r="Y172" s="3"/>
      </tp>
      <tp t="s">
        <v>#N/A Connection</v>
        <stp/>
        <stp>##V3_BDPV12</stp>
        <stp>WCARHU Index</stp>
        <stp>PX385</stp>
        <stp>[BI_AUTMG_1_l22cd4li.xlsx]ReferenceData!R199C35</stp>
        <stp>PX391=20111001</stp>
        <stp>PX392=20111231</stp>
        <stp>DS004=USD</stp>
        <stp>Fill=B</stp>
        <tr r="AI199" s="3"/>
      </tp>
      <tp t="s">
        <v>#N/A Connection</v>
        <stp/>
        <stp>##V3_BDPV12</stp>
        <stp>WCARPTI Index</stp>
        <stp>PX385</stp>
        <stp>[BI_AUTMG_1_l22cd4li.xlsx]ReferenceData!R190C12</stp>
        <stp>PX391=20170701</stp>
        <stp>PX392=20170930</stp>
        <stp>DS004=USD</stp>
        <stp>Fill=B</stp>
        <tr r="L190" s="3"/>
      </tp>
      <tp t="s">
        <v>#N/A Connection</v>
        <stp/>
        <stp>##V3_BDPV12</stp>
        <stp>WCAREE Index</stp>
        <stp>PX385</stp>
        <stp>[BI_AUTMG_1_l22cd4li.xlsx]ReferenceData!R198C42</stp>
        <stp>PX391=20100101</stp>
        <stp>PX392=20100331</stp>
        <stp>DS004=USD</stp>
        <stp>Fill=B</stp>
        <tr r="AP198" s="3"/>
      </tp>
      <tp t="s">
        <v>#N/A Connection</v>
        <stp/>
        <stp>##V3_BDPV12</stp>
        <stp>WCARSEI Index</stp>
        <stp>PX385</stp>
        <stp>[BI_AUTMG_1_l22cd4li.xlsx]ReferenceData!R192C65</stp>
        <stp>PX391=20040401</stp>
        <stp>PX392=20040630</stp>
        <stp>DS004=USD</stp>
        <stp>Fill=B</stp>
        <tr r="BM192" s="3"/>
      </tp>
      <tp t="s">
        <v>#N/A Connection</v>
        <stp/>
        <stp>##V3_BDPV12</stp>
        <stp>WCARHU Index</stp>
        <stp>PX385</stp>
        <stp>[BI_AUTMG_1_l22cd4li.xlsx]ReferenceData!R199C39</stp>
        <stp>PX391=20101001</stp>
        <stp>PX392=20101231</stp>
        <stp>DS004=USD</stp>
        <stp>Fill=B</stp>
        <tr r="AM199" s="3"/>
      </tp>
      <tp t="s">
        <v>#N/A Connection</v>
        <stp/>
        <stp>##V3_BDPV12</stp>
        <stp>SINVHR Index</stp>
        <stp>PX385</stp>
        <stp>[BI_AUTMG_1_l22cd4li.xlsx]ReferenceData!R172C21</stp>
        <stp>PX391=20150401</stp>
        <stp>PX392=20150630</stp>
        <stp>DS004=USD</stp>
        <stp>Fill=B</stp>
        <tr r="U172" s="3"/>
      </tp>
      <tp t="s">
        <v>#N/A Connection</v>
        <stp/>
        <stp>##V3_BDPV12</stp>
        <stp>WCARPTI Index</stp>
        <stp>PX385</stp>
        <stp>[BI_AUTMG_1_l22cd4li.xlsx]ReferenceData!R190C16</stp>
        <stp>PX391=20160701</stp>
        <stp>PX392=20160930</stp>
        <stp>DS004=USD</stp>
        <stp>Fill=B</stp>
        <tr r="P190" s="3"/>
      </tp>
      <tp t="s">
        <v>#N/A Connection</v>
        <stp/>
        <stp>##V3_BDPV12</stp>
        <stp>WCAREE Index</stp>
        <stp>PX385</stp>
        <stp>[BI_AUTMG_1_l22cd4li.xlsx]ReferenceData!R198C30</stp>
        <stp>PX391=20130101</stp>
        <stp>PX392=20130331</stp>
        <stp>DS004=USD</stp>
        <stp>Fill=B</stp>
        <tr r="AD198" s="3"/>
      </tp>
      <tp t="s">
        <v>#N/A Connection</v>
        <stp/>
        <stp>##V3_BDPV12</stp>
        <stp>WCARSEI Index</stp>
        <stp>PX385</stp>
        <stp>[BI_AUTMG_1_l22cd4li.xlsx]ReferenceData!R192C53</stp>
        <stp>PX391=20070401</stp>
        <stp>PX392=20070630</stp>
        <stp>DS004=USD</stp>
        <stp>Fill=B</stp>
        <tr r="BA192" s="3"/>
      </tp>
      <tp t="s">
        <v>#N/A Connection</v>
        <stp/>
        <stp>##V3_BDPV12</stp>
        <stp>SINVHR Index</stp>
        <stp>PX385</stp>
        <stp>[BI_AUTMG_1_l22cd4li.xlsx]ReferenceData!R172C17</stp>
        <stp>PX391=20160401</stp>
        <stp>PX392=20160630</stp>
        <stp>DS004=USD</stp>
        <stp>Fill=B</stp>
        <tr r="Q172" s="3"/>
      </tp>
      <tp t="s">
        <v>#N/A Connection</v>
        <stp/>
        <stp>##V3_BDPV12</stp>
        <stp>WCARHU Index</stp>
        <stp>PX385</stp>
        <stp>[BI_AUTMG_1_l22cd4li.xlsx]ReferenceData!R199C27</stp>
        <stp>PX391=20131001</stp>
        <stp>PX392=20131231</stp>
        <stp>DS004=USD</stp>
        <stp>Fill=B</stp>
        <tr r="AA199" s="3"/>
      </tp>
      <tp t="s">
        <v>#N/A Connection</v>
        <stp/>
        <stp>##V3_BDPV12</stp>
        <stp>WCARPTI Index</stp>
        <stp>PX385</stp>
        <stp>[BI_AUTMG_1_l22cd4li.xlsx]ReferenceData!R190C20</stp>
        <stp>PX391=20150701</stp>
        <stp>PX392=20150930</stp>
        <stp>DS004=USD</stp>
        <stp>Fill=B</stp>
        <tr r="T190" s="3"/>
      </tp>
      <tp t="s">
        <v>#N/A Connection</v>
        <stp/>
        <stp>##V3_BDPV12</stp>
        <stp>WCAREE Index</stp>
        <stp>PX385</stp>
        <stp>[BI_AUTMG_1_l22cd4li.xlsx]ReferenceData!R198C34</stp>
        <stp>PX391=20120101</stp>
        <stp>PX392=20120331</stp>
        <stp>DS004=USD</stp>
        <stp>Fill=B</stp>
        <tr r="AH198" s="3"/>
      </tp>
      <tp t="s">
        <v>#N/A Connection</v>
        <stp/>
        <stp>##V3_BDPV12</stp>
        <stp>WCARSEI Index</stp>
        <stp>PX385</stp>
        <stp>[BI_AUTMG_1_l22cd4li.xlsx]ReferenceData!R192C57</stp>
        <stp>PX391=20060401</stp>
        <stp>PX392=20060630</stp>
        <stp>DS004=USD</stp>
        <stp>Fill=B</stp>
        <tr r="BE192" s="3"/>
      </tp>
      <tp t="s">
        <v>#N/A Connection</v>
        <stp/>
        <stp>##V3_BDPV12</stp>
        <stp>SINVHR Index</stp>
        <stp>PX385</stp>
        <stp>[BI_AUTMG_1_l22cd4li.xlsx]ReferenceData!R172C13</stp>
        <stp>PX391=20170401</stp>
        <stp>PX392=20170630</stp>
        <stp>DS004=USD</stp>
        <stp>Fill=B</stp>
        <tr r="M172" s="3"/>
      </tp>
      <tp t="s">
        <v>#N/A Connection</v>
        <stp/>
        <stp>##V3_BDPV12</stp>
        <stp>WCARHU Index</stp>
        <stp>PX385</stp>
        <stp>[BI_AUTMG_1_l22cd4li.xlsx]ReferenceData!R199C31</stp>
        <stp>PX391=20121001</stp>
        <stp>PX392=20121231</stp>
        <stp>DS004=USD</stp>
        <stp>Fill=B</stp>
        <tr r="AE199" s="3"/>
      </tp>
      <tp t="s">
        <v>#N/A Connection</v>
        <stp/>
        <stp>##V3_BDPV12</stp>
        <stp>WCARPTI Index</stp>
        <stp>PX385</stp>
        <stp>[BI_AUTMG_1_l22cd4li.xlsx]ReferenceData!R190C24</stp>
        <stp>PX391=20140701</stp>
        <stp>PX392=20140930</stp>
        <stp>DS004=USD</stp>
        <stp>Fill=B</stp>
        <tr r="X190" s="3"/>
      </tp>
      <tp t="s">
        <v>#N/A Connection</v>
        <stp/>
        <stp>##V3_BDPV12</stp>
        <stp>WCARBEI Index</stp>
        <stp>PX385</stp>
        <stp>[BI_AUTMG_1_l22cd4li.xlsx]ReferenceData!R177C46</stp>
        <stp>PX391=20090101</stp>
        <stp>PX392=20090331</stp>
        <stp>DS004=USD</stp>
        <stp>Fill=B</stp>
        <tr r="AT177" s="3"/>
      </tp>
      <tp t="s">
        <v>#N/A Connection</v>
        <stp/>
        <stp>##V3_BDPV12</stp>
        <stp>KNNVREG Index</stp>
        <stp>PX385</stp>
        <stp>[BI_AUTMG_1_l22cd4li.xlsx]ReferenceData!R216C65</stp>
        <stp>PX391=20040401</stp>
        <stp>PX392=20040630</stp>
        <stp>DS004=USD</stp>
        <stp>Fill=B</stp>
        <tr r="BM216" s="3"/>
      </tp>
      <tp t="s">
        <v>#N/A Connection</v>
        <stp/>
        <stp>##V3_BDPV12</stp>
        <stp>WCARLUI Index</stp>
        <stp>PX385</stp>
        <stp>[BI_AUTMG_1_l22cd4li.xlsx]ReferenceData!R187C15</stp>
        <stp>PX391=20161001</stp>
        <stp>PX392=20161231</stp>
        <stp>DS004=USD</stp>
        <stp>Fill=B</stp>
        <tr r="O187" s="3"/>
      </tp>
      <tp t="s">
        <v>#N/A Connection</v>
        <stp/>
        <stp>##V3_BDPV12</stp>
        <stp>WCARITI Index</stp>
        <stp>PX385</stp>
        <stp>[BI_AUTMG_1_l22cd4li.xlsx]ReferenceData!R186C30</stp>
        <stp>PX391=20130101</stp>
        <stp>PX392=20130331</stp>
        <stp>DS004=USD</stp>
        <stp>Fill=B</stp>
        <tr r="AD186" s="3"/>
      </tp>
      <tp t="s">
        <v>#N/A Connection</v>
        <stp/>
        <stp>##V3_BDPV12</stp>
        <stp>WCARLUI Index</stp>
        <stp>PX385</stp>
        <stp>[BI_AUTMG_1_l22cd4li.xlsx]ReferenceData!R187C54</stp>
        <stp>PX391=20070101</stp>
        <stp>PX392=20070331</stp>
        <stp>DS004=USD</stp>
        <stp>Fill=B</stp>
        <tr r="BB187" s="3"/>
      </tp>
      <tp t="s">
        <v>#N/A Connection</v>
        <stp/>
        <stp>##V3_BDPV12</stp>
        <stp>THVHSCAR Index</stp>
        <stp>PX385</stp>
        <stp>[BI_AUTMG_1_l22cd4li.xlsx]ReferenceData!R174C65</stp>
        <stp>PX391=20040401</stp>
        <stp>PX392=20040630</stp>
        <stp>DS004=USD</stp>
        <stp>Fill=B</stp>
        <tr r="BM174" s="3"/>
      </tp>
      <tp t="s">
        <v>#N/A Connection</v>
        <stp/>
        <stp>##V3_BDPV12</stp>
        <stp>WCARBEI Index</stp>
        <stp>PX385</stp>
        <stp>[BI_AUTMG_1_l22cd4li.xlsx]ReferenceData!R177C50</stp>
        <stp>PX391=20080101</stp>
        <stp>PX392=20080331</stp>
        <stp>DS004=USD</stp>
        <stp>Fill=B</stp>
        <tr r="AX177" s="3"/>
      </tp>
      <tp t="s">
        <v>#N/A Connection</v>
        <stp/>
        <stp>##V3_BDPV12</stp>
        <stp>KNNVREG Index</stp>
        <stp>PX385</stp>
        <stp>[BI_AUTMG_1_l22cd4li.xlsx]ReferenceData!R216C61</stp>
        <stp>PX391=20050401</stp>
        <stp>PX392=20050630</stp>
        <stp>DS004=USD</stp>
        <stp>Fill=B</stp>
        <tr r="BI216" s="3"/>
      </tp>
      <tp t="s">
        <v>#N/A Connection</v>
        <stp/>
        <stp>##V3_BDPV12</stp>
        <stp>WCARLUI Index</stp>
        <stp>PX385</stp>
        <stp>[BI_AUTMG_1_l22cd4li.xlsx]ReferenceData!R187C11</stp>
        <stp>PX391=20171001</stp>
        <stp>PX392=20171231</stp>
        <stp>DS004=USD</stp>
        <stp>Fill=B</stp>
        <tr r="K187" s="3"/>
      </tp>
      <tp t="s">
        <v>#N/A Connection</v>
        <stp/>
        <stp>##V3_BDPV12</stp>
        <stp>WCARITI Index</stp>
        <stp>PX385</stp>
        <stp>[BI_AUTMG_1_l22cd4li.xlsx]ReferenceData!R186C34</stp>
        <stp>PX391=20120101</stp>
        <stp>PX392=20120331</stp>
        <stp>DS004=USD</stp>
        <stp>Fill=B</stp>
        <tr r="AH186" s="3"/>
      </tp>
      <tp t="s">
        <v>#N/A Connection</v>
        <stp/>
        <stp>##V3_BDPV12</stp>
        <stp>WCARLUI Index</stp>
        <stp>PX385</stp>
        <stp>[BI_AUTMG_1_l22cd4li.xlsx]ReferenceData!R187C58</stp>
        <stp>PX391=20060101</stp>
        <stp>PX392=20060331</stp>
        <stp>DS004=USD</stp>
        <stp>Fill=B</stp>
        <tr r="BF187" s="3"/>
      </tp>
      <tp t="s">
        <v>#N/A Connection</v>
        <stp/>
        <stp>##V3_BDPV12</stp>
        <stp>THVHSCAR Index</stp>
        <stp>PX385</stp>
        <stp>[BI_AUTMG_1_l22cd4li.xlsx]ReferenceData!R174C61</stp>
        <stp>PX391=20050401</stp>
        <stp>PX392=20050630</stp>
        <stp>DS004=USD</stp>
        <stp>Fill=B</stp>
        <tr r="BI174" s="3"/>
      </tp>
      <tp t="s">
        <v>#N/A Connection</v>
        <stp/>
        <stp>##V3_BDPV12</stp>
        <stp>KNNVREG Index</stp>
        <stp>PX385</stp>
        <stp>[BI_AUTMG_1_l22cd4li.xlsx]ReferenceData!R216C57</stp>
        <stp>PX391=20060401</stp>
        <stp>PX392=20060630</stp>
        <stp>DS004=USD</stp>
        <stp>Fill=B</stp>
        <tr r="BE216" s="3"/>
      </tp>
      <tp t="s">
        <v>#N/A Connection</v>
        <stp/>
        <stp>##V3_BDPV12</stp>
        <stp>WCARLUI Index</stp>
        <stp>PX385</stp>
        <stp>[BI_AUTMG_1_l22cd4li.xlsx]ReferenceData!R187C23</stp>
        <stp>PX391=20141001</stp>
        <stp>PX392=20141231</stp>
        <stp>DS004=USD</stp>
        <stp>Fill=B</stp>
        <tr r="W187" s="3"/>
      </tp>
      <tp t="s">
        <v>#N/A Connection</v>
        <stp/>
        <stp>##V3_BDPV12</stp>
        <stp>WCARLUI Index</stp>
        <stp>PX385</stp>
        <stp>[BI_AUTMG_1_l22cd4li.xlsx]ReferenceData!R187C62</stp>
        <stp>PX391=20050101</stp>
        <stp>PX392=20050331</stp>
        <stp>DS004=USD</stp>
        <stp>Fill=B</stp>
        <tr r="BJ187" s="3"/>
      </tp>
      <tp t="s">
        <v>#N/A Connection</v>
        <stp/>
        <stp>##V3_BDPV12</stp>
        <stp>WCARITI Index</stp>
        <stp>PX385</stp>
        <stp>[BI_AUTMG_1_l22cd4li.xlsx]ReferenceData!R186C38</stp>
        <stp>PX391=20110101</stp>
        <stp>PX392=20110331</stp>
        <stp>DS004=USD</stp>
        <stp>Fill=B</stp>
        <tr r="AL186" s="3"/>
      </tp>
      <tp t="s">
        <v>#N/A Connection</v>
        <stp/>
        <stp>##V3_BDPV12</stp>
        <stp>WCARATI Index</stp>
        <stp>PX385</stp>
        <stp>[BI_AUTMG_1_l22cd4li.xlsx]ReferenceData!R176C47</stp>
        <stp>PX391=20081001</stp>
        <stp>PX392=20081231</stp>
        <stp>DS004=USD</stp>
        <stp>Fill=B</stp>
        <tr r="AU176" s="3"/>
      </tp>
      <tp t="s">
        <v>#N/A Connection</v>
        <stp/>
        <stp>##V3_BDPV12</stp>
        <stp>THVHSCAR Index</stp>
        <stp>PX385</stp>
        <stp>[BI_AUTMG_1_l22cd4li.xlsx]ReferenceData!R174C57</stp>
        <stp>PX391=20060401</stp>
        <stp>PX392=20060630</stp>
        <stp>DS004=USD</stp>
        <stp>Fill=B</stp>
        <tr r="BE174" s="3"/>
      </tp>
      <tp t="s">
        <v>#N/A Connection</v>
        <stp/>
        <stp>##V3_BDPV12</stp>
        <stp>KNNVREG Index</stp>
        <stp>PX385</stp>
        <stp>[BI_AUTMG_1_l22cd4li.xlsx]ReferenceData!R216C53</stp>
        <stp>PX391=20070401</stp>
        <stp>PX392=20070630</stp>
        <stp>DS004=USD</stp>
        <stp>Fill=B</stp>
        <tr r="BA216" s="3"/>
      </tp>
      <tp t="s">
        <v>#N/A Connection</v>
        <stp/>
        <stp>##V3_BDPV12</stp>
        <stp>WCARITI Index</stp>
        <stp>PX385</stp>
        <stp>[BI_AUTMG_1_l22cd4li.xlsx]ReferenceData!R186C42</stp>
        <stp>PX391=20100101</stp>
        <stp>PX392=20100331</stp>
        <stp>DS004=USD</stp>
        <stp>Fill=B</stp>
        <tr r="AP186" s="3"/>
      </tp>
      <tp t="s">
        <v>#N/A Connection</v>
        <stp/>
        <stp>##V3_BDPV12</stp>
        <stp>WCARLUI Index</stp>
        <stp>PX385</stp>
        <stp>[BI_AUTMG_1_l22cd4li.xlsx]ReferenceData!R187C19</stp>
        <stp>PX391=20151001</stp>
        <stp>PX392=20151231</stp>
        <stp>DS004=USD</stp>
        <stp>Fill=B</stp>
        <tr r="S187" s="3"/>
      </tp>
      <tp t="s">
        <v>#N/A Connection</v>
        <stp/>
        <stp>##V3_BDPV12</stp>
        <stp>WCARATI Index</stp>
        <stp>PX385</stp>
        <stp>[BI_AUTMG_1_l22cd4li.xlsx]ReferenceData!R176C43</stp>
        <stp>PX391=20091001</stp>
        <stp>PX392=20091231</stp>
        <stp>DS004=USD</stp>
        <stp>Fill=B</stp>
        <tr r="AQ176" s="3"/>
      </tp>
      <tp t="s">
        <v>#N/A Connection</v>
        <stp/>
        <stp>##V3_BDPV12</stp>
        <stp>WCARATI Index</stp>
        <stp>PX385</stp>
        <stp>[BI_AUTMG_1_l22cd4li.xlsx]ReferenceData!R176C10</stp>
        <stp>PX391=20180101</stp>
        <stp>PX392=20180331</stp>
        <stp>DS004=USD</stp>
        <stp>Fill=B</stp>
        <tr r="J176" s="3"/>
      </tp>
      <tp t="s">
        <v>#N/A Connection</v>
        <stp/>
        <stp>##V3_BDPV12</stp>
        <stp>THVHSCAR Index</stp>
        <stp>PX385</stp>
        <stp>[BI_AUTMG_1_l22cd4li.xlsx]ReferenceData!R174C53</stp>
        <stp>PX391=20070401</stp>
        <stp>PX392=20070630</stp>
        <stp>DS004=USD</stp>
        <stp>Fill=B</stp>
        <tr r="BA174" s="3"/>
      </tp>
      <tp t="s">
        <v>#N/A Connection</v>
        <stp/>
        <stp>##V3_BDPV12</stp>
        <stp>WCARITI Index</stp>
        <stp>PX385</stp>
        <stp>[BI_AUTMG_1_l22cd4li.xlsx]ReferenceData!R186C14</stp>
        <stp>PX391=20170101</stp>
        <stp>PX392=20170331</stp>
        <stp>DS004=USD</stp>
        <stp>Fill=B</stp>
        <tr r="N186" s="3"/>
      </tp>
      <tp t="s">
        <v>#N/A Connection</v>
        <stp/>
        <stp>##V3_BDPV12</stp>
        <stp>WCARLUI Index</stp>
        <stp>PX385</stp>
        <stp>[BI_AUTMG_1_l22cd4li.xlsx]ReferenceData!R187C31</stp>
        <stp>PX391=20121001</stp>
        <stp>PX392=20121231</stp>
        <stp>DS004=USD</stp>
        <stp>Fill=B</stp>
        <tr r="AE187" s="3"/>
      </tp>
      <tp t="s">
        <v>#N/A Connection</v>
        <stp/>
        <stp>##V3_BDPV12</stp>
        <stp>WCARITI Index</stp>
        <stp>PX385</stp>
        <stp>[BI_AUTMG_1_l22cd4li.xlsx]ReferenceData!R186C55</stp>
        <stp>PX391=20061001</stp>
        <stp>PX392=20061231</stp>
        <stp>DS004=USD</stp>
        <stp>Fill=B</stp>
        <tr r="BC186" s="3"/>
      </tp>
      <tp t="s">
        <v>#N/A Connection</v>
        <stp/>
        <stp>##V3_BDPV12</stp>
        <stp>TWVSDOM Index</stp>
        <stp>PX385</stp>
        <stp>[BI_AUTMG_1_l22cd4li.xlsx]ReferenceData!R173C45</stp>
        <stp>PX391=20090401</stp>
        <stp>PX392=20090630</stp>
        <stp>DS004=USD</stp>
        <stp>Fill=B</stp>
        <tr r="AS173" s="3"/>
      </tp>
      <tp t="s">
        <v>#N/A Connection</v>
        <stp/>
        <stp>##V3_BDPV12</stp>
        <stp>WCARFRI Index</stp>
        <stp>PX385</stp>
        <stp>[BI_AUTMG_1_l22cd4li.xlsx]ReferenceData!R181C48</stp>
        <stp>PX391=20080701</stp>
        <stp>PX392=20080930</stp>
        <stp>DS004=USD</stp>
        <stp>Fill=B</stp>
        <tr r="AV181" s="3"/>
      </tp>
      <tp t="s">
        <v>#N/A Connection</v>
        <stp/>
        <stp>##V3_BDPV12</stp>
        <stp>WCARITI Index</stp>
        <stp>PX385</stp>
        <stp>[BI_AUTMG_1_l22cd4li.xlsx]ReferenceData!R186C18</stp>
        <stp>PX391=20160101</stp>
        <stp>PX392=20160331</stp>
        <stp>DS004=USD</stp>
        <stp>Fill=B</stp>
        <tr r="R186" s="3"/>
      </tp>
      <tp t="s">
        <v>#N/A Connection</v>
        <stp/>
        <stp>##V3_BDPV12</stp>
        <stp>WCARLUI Index</stp>
        <stp>PX385</stp>
        <stp>[BI_AUTMG_1_l22cd4li.xlsx]ReferenceData!R187C27</stp>
        <stp>PX391=20131001</stp>
        <stp>PX392=20131231</stp>
        <stp>DS004=USD</stp>
        <stp>Fill=B</stp>
        <tr r="AA187" s="3"/>
      </tp>
      <tp t="s">
        <v>#N/A Connection</v>
        <stp/>
        <stp>##V3_BDPV12</stp>
        <stp>WCARITI Index</stp>
        <stp>PX385</stp>
        <stp>[BI_AUTMG_1_l22cd4li.xlsx]ReferenceData!R186C51</stp>
        <stp>PX391=20071001</stp>
        <stp>PX392=20071231</stp>
        <stp>DS004=USD</stp>
        <stp>Fill=B</stp>
        <tr r="AY186" s="3"/>
      </tp>
      <tp t="s">
        <v>#N/A Connection</v>
        <stp/>
        <stp>##V3_BDPV12</stp>
        <stp>TWVSDOM Index</stp>
        <stp>PX385</stp>
        <stp>[BI_AUTMG_1_l22cd4li.xlsx]ReferenceData!R173C49</stp>
        <stp>PX391=20080401</stp>
        <stp>PX392=20080630</stp>
        <stp>DS004=USD</stp>
        <stp>Fill=B</stp>
        <tr r="AW173" s="3"/>
      </tp>
      <tp t="s">
        <v>#N/A Connection</v>
        <stp/>
        <stp>##V3_BDPV12</stp>
        <stp>WCARFRI Index</stp>
        <stp>PX385</stp>
        <stp>[BI_AUTMG_1_l22cd4li.xlsx]ReferenceData!R181C44</stp>
        <stp>PX391=20090701</stp>
        <stp>PX392=20090930</stp>
        <stp>DS004=USD</stp>
        <stp>Fill=B</stp>
        <tr r="AR181" s="3"/>
      </tp>
      <tp t="s">
        <v>#N/A Connection</v>
        <stp/>
        <stp>##V3_BDPV12</stp>
        <stp>WCARDEI Index</stp>
        <stp>PX385</stp>
        <stp>[BI_AUTMG_1_l22cd4li.xlsx]ReferenceData!R182C49</stp>
        <stp>PX391=20080401</stp>
        <stp>PX392=20080630</stp>
        <stp>DS004=USD</stp>
        <stp>Fill=B</stp>
        <tr r="AW182" s="3"/>
      </tp>
      <tp t="s">
        <v>#N/A Connection</v>
        <stp/>
        <stp>##V3_BDPV12</stp>
        <stp>WCARITI Index</stp>
        <stp>PX385</stp>
        <stp>[BI_AUTMG_1_l22cd4li.xlsx]ReferenceData!R186C22</stp>
        <stp>PX391=20150101</stp>
        <stp>PX392=20150331</stp>
        <stp>DS004=USD</stp>
        <stp>Fill=B</stp>
        <tr r="V186" s="3"/>
      </tp>
      <tp t="s">
        <v>#N/A Connection</v>
        <stp/>
        <stp>##V3_BDPV12</stp>
        <stp>WCARITI Index</stp>
        <stp>PX385</stp>
        <stp>[BI_AUTMG_1_l22cd4li.xlsx]ReferenceData!R186C63</stp>
        <stp>PX391=20041001</stp>
        <stp>PX392=20041231</stp>
        <stp>DS004=USD</stp>
        <stp>Fill=B</stp>
        <tr r="BK186" s="3"/>
      </tp>
      <tp t="s">
        <v>#N/A Connection</v>
        <stp/>
        <stp>##V3_BDPV12</stp>
        <stp>WCARLUI Index</stp>
        <stp>PX385</stp>
        <stp>[BI_AUTMG_1_l22cd4li.xlsx]ReferenceData!R187C39</stp>
        <stp>PX391=20101001</stp>
        <stp>PX392=20101231</stp>
        <stp>DS004=USD</stp>
        <stp>Fill=B</stp>
        <tr r="AM187" s="3"/>
      </tp>
      <tp t="s">
        <v>#N/A Connection</v>
        <stp/>
        <stp>##V3_BDPV12</stp>
        <stp>WCARESI Index</stp>
        <stp>PX385</stp>
        <stp>[BI_AUTMG_1_l22cd4li.xlsx]ReferenceData!R191C44</stp>
        <stp>PX391=20090701</stp>
        <stp>PX392=20090930</stp>
        <stp>DS004=USD</stp>
        <stp>Fill=B</stp>
        <tr r="AR191" s="3"/>
      </tp>
      <tp t="s">
        <v>#N/A Connection</v>
        <stp/>
        <stp>##V3_BDPV12</stp>
        <stp>VNVSTOTL Index</stp>
        <stp>PX385</stp>
        <stp>[BI_AUTMG_1_l22cd4li.xlsx]ReferenceData!R214C46</stp>
        <stp>PX391=20090101</stp>
        <stp>PX392=20090331</stp>
        <stp>DS004=USD</stp>
        <stp>Fill=B</stp>
        <tr r="AT214" s="3"/>
      </tp>
      <tp t="s">
        <v>#N/A Connection</v>
        <stp/>
        <stp>##V3_BDPV12</stp>
        <stp>ARVSARTL Index</stp>
        <stp>PX385</stp>
        <stp>[BI_AUTMG_1_l22cd4li.xlsx]ReferenceData!R210C44</stp>
        <stp>PX391=20090701</stp>
        <stp>PX392=20090930</stp>
        <stp>DS004=USD</stp>
        <stp>Fill=B</stp>
        <tr r="AR210" s="3"/>
      </tp>
      <tp t="s">
        <v>#N/A Connection</v>
        <stp/>
        <stp>##V3_BDPV12</stp>
        <stp>WCARDEI Index</stp>
        <stp>PX385</stp>
        <stp>[BI_AUTMG_1_l22cd4li.xlsx]ReferenceData!R182C45</stp>
        <stp>PX391=20090401</stp>
        <stp>PX392=20090630</stp>
        <stp>DS004=USD</stp>
        <stp>Fill=B</stp>
        <tr r="AS182" s="3"/>
      </tp>
      <tp t="s">
        <v>#N/A Connection</v>
        <stp/>
        <stp>##V3_BDPV12</stp>
        <stp>WCARITI Index</stp>
        <stp>PX385</stp>
        <stp>[BI_AUTMG_1_l22cd4li.xlsx]ReferenceData!R186C26</stp>
        <stp>PX391=20140101</stp>
        <stp>PX392=20140331</stp>
        <stp>DS004=USD</stp>
        <stp>Fill=B</stp>
        <tr r="Z186" s="3"/>
      </tp>
      <tp t="s">
        <v>#N/A Connection</v>
        <stp/>
        <stp>##V3_BDPV12</stp>
        <stp>WCARITI Index</stp>
        <stp>PX385</stp>
        <stp>[BI_AUTMG_1_l22cd4li.xlsx]ReferenceData!R186C59</stp>
        <stp>PX391=20051001</stp>
        <stp>PX392=20051231</stp>
        <stp>DS004=USD</stp>
        <stp>Fill=B</stp>
        <tr r="BG186" s="3"/>
      </tp>
      <tp t="s">
        <v>#N/A Connection</v>
        <stp/>
        <stp>##V3_BDPV12</stp>
        <stp>WCARLUI Index</stp>
        <stp>PX385</stp>
        <stp>[BI_AUTMG_1_l22cd4li.xlsx]ReferenceData!R187C35</stp>
        <stp>PX391=20111001</stp>
        <stp>PX392=20111231</stp>
        <stp>DS004=USD</stp>
        <stp>Fill=B</stp>
        <tr r="AI187" s="3"/>
      </tp>
      <tp t="s">
        <v>#N/A Connection</v>
        <stp/>
        <stp>##V3_BDPV12</stp>
        <stp>WCARESI Index</stp>
        <stp>PX385</stp>
        <stp>[BI_AUTMG_1_l22cd4li.xlsx]ReferenceData!R191C48</stp>
        <stp>PX391=20080701</stp>
        <stp>PX392=20080930</stp>
        <stp>DS004=USD</stp>
        <stp>Fill=B</stp>
        <tr r="AV191" s="3"/>
      </tp>
      <tp t="s">
        <v>#N/A Connection</v>
        <stp/>
        <stp>##V3_BDPV12</stp>
        <stp>ARVSARTL Index</stp>
        <stp>PX385</stp>
        <stp>[BI_AUTMG_1_l22cd4li.xlsx]ReferenceData!R210C48</stp>
        <stp>PX391=20080701</stp>
        <stp>PX392=20080930</stp>
        <stp>DS004=USD</stp>
        <stp>Fill=B</stp>
        <tr r="AV210" s="3"/>
      </tp>
      <tp t="s">
        <v>#N/A Connection</v>
        <stp/>
        <stp>##V3_BDPV12</stp>
        <stp>VNVSTOTL Index</stp>
        <stp>PX385</stp>
        <stp>[BI_AUTMG_1_l22cd4li.xlsx]ReferenceData!R214C50</stp>
        <stp>PX391=20080101</stp>
        <stp>PX392=20080331</stp>
        <stp>DS004=USD</stp>
        <stp>Fill=B</stp>
        <tr r="AX214" s="3"/>
      </tp>
      <tp t="s">
        <v>#N/A Connection</v>
        <stp/>
        <stp>##V3_BDPV12</stp>
        <stp>WCARDEI Index</stp>
        <stp>PX385</stp>
        <stp>[BI_AUTMG_1_l22cd4li.xlsx]ReferenceData!R182C57</stp>
        <stp>PX391=20060401</stp>
        <stp>PX392=20060630</stp>
        <stp>DS004=USD</stp>
        <stp>Fill=B</stp>
        <tr r="BE182" s="3"/>
      </tp>
      <tp t="s">
        <v>#N/A Connection</v>
        <stp/>
        <stp>##V3_BDPV12</stp>
        <stp>WCARBEI Index</stp>
        <stp>PX385</stp>
        <stp>[BI_AUTMG_1_l22cd4li.xlsx]ReferenceData!R177C39</stp>
        <stp>PX391=20101001</stp>
        <stp>PX392=20101231</stp>
        <stp>DS004=USD</stp>
        <stp>Fill=B</stp>
        <tr r="AM177" s="3"/>
      </tp>
      <tp t="s">
        <v>#N/A Connection</v>
        <stp/>
        <stp>##V3_BDPV12</stp>
        <stp>WCARCHI Index</stp>
        <stp>PX385</stp>
        <stp>[BI_AUTMG_1_l22cd4li.xlsx]ReferenceData!R193C41</stp>
        <stp>PX391=20100401</stp>
        <stp>PX392=20100630</stp>
        <stp>DS004=USD</stp>
        <stp>Fill=B</stp>
        <tr r="AO193" s="3"/>
      </tp>
      <tp t="s">
        <v>#N/A Connection</v>
        <stp/>
        <stp>##V3_BDPV12</stp>
        <stp>WCARFII Index</stp>
        <stp>PX385</stp>
        <stp>[BI_AUTMG_1_l22cd4li.xlsx]ReferenceData!R180C20</stp>
        <stp>PX391=20150701</stp>
        <stp>PX392=20150930</stp>
        <stp>DS004=USD</stp>
        <stp>Fill=B</stp>
        <tr r="T180" s="3"/>
      </tp>
      <tp t="s">
        <v>#N/A Connection</v>
        <stp/>
        <stp>##V3_BDPV12</stp>
        <stp>WCARFRI Index</stp>
        <stp>PX385</stp>
        <stp>[BI_AUTMG_1_l22cd4li.xlsx]ReferenceData!R181C64</stp>
        <stp>PX391=20040701</stp>
        <stp>PX392=20040930</stp>
        <stp>DS004=USD</stp>
        <stp>Fill=B</stp>
        <tr r="BL181" s="3"/>
      </tp>
      <tp t="s">
        <v>#N/A Connection</v>
        <stp/>
        <stp>##V3_BDPV12</stp>
        <stp>WCARESI Index</stp>
        <stp>PX385</stp>
        <stp>[BI_AUTMG_1_l22cd4li.xlsx]ReferenceData!R191C52</stp>
        <stp>PX391=20070701</stp>
        <stp>PX392=20070930</stp>
        <stp>DS004=USD</stp>
        <stp>Fill=B</stp>
        <tr r="AZ191" s="3"/>
      </tp>
      <tp t="s">
        <v>#N/A Connection</v>
        <stp/>
        <stp>##V3_BDPV12</stp>
        <stp>WCARGRI Index</stp>
        <stp>PX385</stp>
        <stp>[BI_AUTMG_1_l22cd4li.xlsx]ReferenceData!R183C25</stp>
        <stp>PX391=20140401</stp>
        <stp>PX392=20140630</stp>
        <stp>DS004=USD</stp>
        <stp>Fill=B</stp>
        <tr r="Y183" s="3"/>
      </tp>
      <tp t="s">
        <v>#N/A Connection</v>
        <stp/>
        <stp>##V3_BDPV12</stp>
        <stp>WCARATI Index</stp>
        <stp>PX385</stp>
        <stp>[BI_AUTMG_1_l22cd4li.xlsx]ReferenceData!R176C30</stp>
        <stp>PX391=20130101</stp>
        <stp>PX392=20130331</stp>
        <stp>DS004=USD</stp>
        <stp>Fill=B</stp>
        <tr r="AD176" s="3"/>
      </tp>
      <tp t="s">
        <v>#N/A Connection</v>
        <stp/>
        <stp>##V3_BDPV12</stp>
        <stp>CNVSTTL Index</stp>
        <stp>PX385</stp>
        <stp>[BI_AUTMG_1_l22cd4li.xlsx]ReferenceData!R162C29</stp>
        <stp>PX391=20130401</stp>
        <stp>PX392=20130630</stp>
        <stp>DS004=USD</stp>
        <stp>Fill=B</stp>
        <tr r="AC162" s="3"/>
      </tp>
      <tp t="s">
        <v>#N/A Connection</v>
        <stp/>
        <stp>##V3_BDPV12</stp>
        <stp>TWVSDOM Index</stp>
        <stp>PX385</stp>
        <stp>[BI_AUTMG_1_l22cd4li.xlsx]ReferenceData!R173C61</stp>
        <stp>PX391=20050401</stp>
        <stp>PX392=20050630</stp>
        <stp>DS004=USD</stp>
        <stp>Fill=B</stp>
        <tr r="BI173" s="3"/>
      </tp>
      <tp t="s">
        <v>#N/A Connection</v>
        <stp/>
        <stp>##V3_BDPV12</stp>
        <stp>VNVSTOTL Index</stp>
        <stp>PX385</stp>
        <stp>[BI_AUTMG_1_l22cd4li.xlsx]ReferenceData!R214C15</stp>
        <stp>PX391=20161001</stp>
        <stp>PX392=20161231</stp>
        <stp>DS004=USD</stp>
        <stp>Fill=B</stp>
        <tr r="O214" s="3"/>
      </tp>
      <tp t="s">
        <v>#N/A Connection</v>
        <stp/>
        <stp>##V3_BDPV12</stp>
        <stp>AUTMAUVS Index</stp>
        <stp>PX385</stp>
        <stp>[BI_AUTMG_1_l22cd4li.xlsx]ReferenceData!R161C16</stp>
        <stp>PX391=20160701</stp>
        <stp>PX392=20160930</stp>
        <stp>DS004=USD</stp>
        <stp>Fill=B</stp>
        <tr r="P161" s="3"/>
      </tp>
      <tp t="s">
        <v>#N/A Connection</v>
        <stp/>
        <stp>##V3_BDPV12</stp>
        <stp>VNVSTOTL Index</stp>
        <stp>PX385</stp>
        <stp>[BI_AUTMG_1_l22cd4li.xlsx]ReferenceData!R214C54</stp>
        <stp>PX391=20070101</stp>
        <stp>PX392=20070331</stp>
        <stp>DS004=USD</stp>
        <stp>Fill=B</stp>
        <tr r="BB214" s="3"/>
      </tp>
      <tp t="s">
        <v>#N/A Connection</v>
        <stp/>
        <stp>##V3_BDPV12</stp>
        <stp>ARVSARTL Index</stp>
        <stp>PX385</stp>
        <stp>[BI_AUTMG_1_l22cd4li.xlsx]ReferenceData!R210C52</stp>
        <stp>PX391=20070701</stp>
        <stp>PX392=20070930</stp>
        <stp>DS004=USD</stp>
        <stp>Fill=B</stp>
        <tr r="AZ210" s="3"/>
      </tp>
      <tp t="s">
        <v>#N/A Connection</v>
        <stp/>
        <stp>##V3_BDPV12</stp>
        <stp>WCARBEI Index</stp>
        <stp>PX385</stp>
        <stp>[BI_AUTMG_1_l22cd4li.xlsx]ReferenceData!R177C35</stp>
        <stp>PX391=20111001</stp>
        <stp>PX392=20111231</stp>
        <stp>DS004=USD</stp>
        <stp>Fill=B</stp>
        <tr r="AI177" s="3"/>
      </tp>
      <tp t="s">
        <v>#N/A Connection</v>
        <stp/>
        <stp>##V3_BDPV12</stp>
        <stp>WCARDEI Index</stp>
        <stp>PX385</stp>
        <stp>[BI_AUTMG_1_l22cd4li.xlsx]ReferenceData!R182C53</stp>
        <stp>PX391=20070401</stp>
        <stp>PX392=20070630</stp>
        <stp>DS004=USD</stp>
        <stp>Fill=B</stp>
        <tr r="BA182" s="3"/>
      </tp>
      <tp t="s">
        <v>#N/A Connection</v>
        <stp/>
        <stp>##V3_BDPV12</stp>
        <stp>WCARCHI Index</stp>
        <stp>PX385</stp>
        <stp>[BI_AUTMG_1_l22cd4li.xlsx]ReferenceData!R193C37</stp>
        <stp>PX391=20110401</stp>
        <stp>PX392=20110630</stp>
        <stp>DS004=USD</stp>
        <stp>Fill=B</stp>
        <tr r="AK193" s="3"/>
      </tp>
      <tp t="s">
        <v>#N/A Connection</v>
        <stp/>
        <stp>##V3_BDPV12</stp>
        <stp>WCARFII Index</stp>
        <stp>PX385</stp>
        <stp>[BI_AUTMG_1_l22cd4li.xlsx]ReferenceData!R180C24</stp>
        <stp>PX391=20140701</stp>
        <stp>PX392=20140930</stp>
        <stp>DS004=USD</stp>
        <stp>Fill=B</stp>
        <tr r="X180" s="3"/>
      </tp>
      <tp t="s">
        <v>#N/A Connection</v>
        <stp/>
        <stp>##V3_BDPV12</stp>
        <stp>WCARESI Index</stp>
        <stp>PX385</stp>
        <stp>[BI_AUTMG_1_l22cd4li.xlsx]ReferenceData!R191C56</stp>
        <stp>PX391=20060701</stp>
        <stp>PX392=20060930</stp>
        <stp>DS004=USD</stp>
        <stp>Fill=B</stp>
        <tr r="BD191" s="3"/>
      </tp>
      <tp t="s">
        <v>#N/A Connection</v>
        <stp/>
        <stp>##V3_BDPV12</stp>
        <stp>WCARFRI Index</stp>
        <stp>PX385</stp>
        <stp>[BI_AUTMG_1_l22cd4li.xlsx]ReferenceData!R181C60</stp>
        <stp>PX391=20050701</stp>
        <stp>PX392=20050930</stp>
        <stp>DS004=USD</stp>
        <stp>Fill=B</stp>
        <tr r="BH181" s="3"/>
      </tp>
      <tp t="s">
        <v>#N/A Connection</v>
        <stp/>
        <stp>##V3_BDPV12</stp>
        <stp>WCARGRI Index</stp>
        <stp>PX385</stp>
        <stp>[BI_AUTMG_1_l22cd4li.xlsx]ReferenceData!R183C21</stp>
        <stp>PX391=20150401</stp>
        <stp>PX392=20150630</stp>
        <stp>DS004=USD</stp>
        <stp>Fill=B</stp>
        <tr r="U183" s="3"/>
      </tp>
      <tp t="s">
        <v>#N/A Connection</v>
        <stp/>
        <stp>##V3_BDPV12</stp>
        <stp>WCARATI Index</stp>
        <stp>PX385</stp>
        <stp>[BI_AUTMG_1_l22cd4li.xlsx]ReferenceData!R176C34</stp>
        <stp>PX391=20120101</stp>
        <stp>PX392=20120331</stp>
        <stp>DS004=USD</stp>
        <stp>Fill=B</stp>
        <tr r="AH176" s="3"/>
      </tp>
      <tp t="s">
        <v>#N/A Connection</v>
        <stp/>
        <stp>##V3_BDPV12</stp>
        <stp>CNVSTTL Index</stp>
        <stp>PX385</stp>
        <stp>[BI_AUTMG_1_l22cd4li.xlsx]ReferenceData!R162C33</stp>
        <stp>PX391=20120401</stp>
        <stp>PX392=20120630</stp>
        <stp>DS004=USD</stp>
        <stp>Fill=B</stp>
        <tr r="AG162" s="3"/>
      </tp>
      <tp t="s">
        <v>#N/A Connection</v>
        <stp/>
        <stp>##V3_BDPV12</stp>
        <stp>TWVSDOM Index</stp>
        <stp>PX385</stp>
        <stp>[BI_AUTMG_1_l22cd4li.xlsx]ReferenceData!R173C65</stp>
        <stp>PX391=20040401</stp>
        <stp>PX392=20040630</stp>
        <stp>DS004=USD</stp>
        <stp>Fill=B</stp>
        <tr r="BM173" s="3"/>
      </tp>
      <tp t="s">
        <v>#N/A Connection</v>
        <stp/>
        <stp>##V3_BDPV12</stp>
        <stp>VNVSTOTL Index</stp>
        <stp>PX385</stp>
        <stp>[BI_AUTMG_1_l22cd4li.xlsx]ReferenceData!R214C11</stp>
        <stp>PX391=20171001</stp>
        <stp>PX392=20171231</stp>
        <stp>DS004=USD</stp>
        <stp>Fill=B</stp>
        <tr r="K214" s="3"/>
      </tp>
      <tp t="s">
        <v>#N/A Connection</v>
        <stp/>
        <stp>##V3_BDPV12</stp>
        <stp>AUTMAUVS Index</stp>
        <stp>PX385</stp>
        <stp>[BI_AUTMG_1_l22cd4li.xlsx]ReferenceData!R161C12</stp>
        <stp>PX391=20170701</stp>
        <stp>PX392=20170930</stp>
        <stp>DS004=USD</stp>
        <stp>Fill=B</stp>
        <tr r="L161" s="3"/>
      </tp>
      <tp t="s">
        <v>#N/A Connection</v>
        <stp/>
        <stp>##V3_BDPV12</stp>
        <stp>ARVSARTL Index</stp>
        <stp>PX385</stp>
        <stp>[BI_AUTMG_1_l22cd4li.xlsx]ReferenceData!R210C56</stp>
        <stp>PX391=20060701</stp>
        <stp>PX392=20060930</stp>
        <stp>DS004=USD</stp>
        <stp>Fill=B</stp>
        <tr r="BD210" s="3"/>
      </tp>
      <tp t="s">
        <v>#N/A Connection</v>
        <stp/>
        <stp>##V3_BDPV12</stp>
        <stp>VNVSTOTL Index</stp>
        <stp>PX385</stp>
        <stp>[BI_AUTMG_1_l22cd4li.xlsx]ReferenceData!R214C58</stp>
        <stp>PX391=20060101</stp>
        <stp>PX392=20060331</stp>
        <stp>DS004=USD</stp>
        <stp>Fill=B</stp>
        <tr r="BF214" s="3"/>
      </tp>
      <tp t="s">
        <v>#N/A Connection</v>
        <stp/>
        <stp>##V3_BDPV12</stp>
        <stp>WCARBEI Index</stp>
        <stp>PX385</stp>
        <stp>[BI_AUTMG_1_l22cd4li.xlsx]ReferenceData!R177C31</stp>
        <stp>PX391=20121001</stp>
        <stp>PX392=20121231</stp>
        <stp>DS004=USD</stp>
        <stp>Fill=B</stp>
        <tr r="AE177" s="3"/>
      </tp>
      <tp t="s">
        <v>#N/A Connection</v>
        <stp/>
        <stp>##V3_BDPV12</stp>
        <stp>WCARDEI Index</stp>
        <stp>PX385</stp>
        <stp>[BI_AUTMG_1_l22cd4li.xlsx]ReferenceData!R182C65</stp>
        <stp>PX391=20040401</stp>
        <stp>PX392=20040630</stp>
        <stp>DS004=USD</stp>
        <stp>Fill=B</stp>
        <tr r="BM182" s="3"/>
      </tp>
      <tp t="s">
        <v>#N/A Connection</v>
        <stp/>
        <stp>##V3_BDPV12</stp>
        <stp>WCARCHI Index</stp>
        <stp>PX385</stp>
        <stp>[BI_AUTMG_1_l22cd4li.xlsx]ReferenceData!R193C33</stp>
        <stp>PX391=20120401</stp>
        <stp>PX392=20120630</stp>
        <stp>DS004=USD</stp>
        <stp>Fill=B</stp>
        <tr r="AG193" s="3"/>
      </tp>
      <tp t="s">
        <v>#N/A Connection</v>
        <stp/>
        <stp>##V3_BDPV12</stp>
        <stp>WCARFII Index</stp>
        <stp>PX385</stp>
        <stp>[BI_AUTMG_1_l22cd4li.xlsx]ReferenceData!R180C12</stp>
        <stp>PX391=20170701</stp>
        <stp>PX392=20170930</stp>
        <stp>DS004=USD</stp>
        <stp>Fill=B</stp>
        <tr r="L180" s="3"/>
      </tp>
      <tp t="s">
        <v>#N/A Connection</v>
        <stp/>
        <stp>##V3_BDPV12</stp>
        <stp>WCARESI Index</stp>
        <stp>PX385</stp>
        <stp>[BI_AUTMG_1_l22cd4li.xlsx]ReferenceData!R191C60</stp>
        <stp>PX391=20050701</stp>
        <stp>PX392=20050930</stp>
        <stp>DS004=USD</stp>
        <stp>Fill=B</stp>
        <tr r="BH191" s="3"/>
      </tp>
      <tp t="s">
        <v>#N/A Connection</v>
        <stp/>
        <stp>##V3_BDPV12</stp>
        <stp>WCARFRI Index</stp>
        <stp>PX385</stp>
        <stp>[BI_AUTMG_1_l22cd4li.xlsx]ReferenceData!R181C56</stp>
        <stp>PX391=20060701</stp>
        <stp>PX392=20060930</stp>
        <stp>DS004=USD</stp>
        <stp>Fill=B</stp>
        <tr r="BD181" s="3"/>
      </tp>
      <tp t="s">
        <v>#N/A Connection</v>
        <stp/>
        <stp>##V3_BDPV12</stp>
        <stp>WCARGRI Index</stp>
        <stp>PX385</stp>
        <stp>[BI_AUTMG_1_l22cd4li.xlsx]ReferenceData!R183C17</stp>
        <stp>PX391=20160401</stp>
        <stp>PX392=20160630</stp>
        <stp>DS004=USD</stp>
        <stp>Fill=B</stp>
        <tr r="Q183" s="3"/>
      </tp>
      <tp t="s">
        <v>#N/A Connection</v>
        <stp/>
        <stp>##V3_BDPV12</stp>
        <stp>WCARATI Index</stp>
        <stp>PX385</stp>
        <stp>[BI_AUTMG_1_l22cd4li.xlsx]ReferenceData!R176C38</stp>
        <stp>PX391=20110101</stp>
        <stp>PX392=20110331</stp>
        <stp>DS004=USD</stp>
        <stp>Fill=B</stp>
        <tr r="AL176" s="3"/>
      </tp>
      <tp t="s">
        <v>#N/A Connection</v>
        <stp/>
        <stp>##V3_BDPV12</stp>
        <stp>WCARITI Index</stp>
        <stp>PX385</stp>
        <stp>[BI_AUTMG_1_l22cd4li.xlsx]ReferenceData!R186C47</stp>
        <stp>PX391=20081001</stp>
        <stp>PX392=20081231</stp>
        <stp>DS004=USD</stp>
        <stp>Fill=B</stp>
        <tr r="AU186" s="3"/>
      </tp>
      <tp t="s">
        <v>#N/A Connection</v>
        <stp/>
        <stp>##V3_BDPV12</stp>
        <stp>TWVSDOM Index</stp>
        <stp>PX385</stp>
        <stp>[BI_AUTMG_1_l22cd4li.xlsx]ReferenceData!R173C53</stp>
        <stp>PX391=20070401</stp>
        <stp>PX392=20070630</stp>
        <stp>DS004=USD</stp>
        <stp>Fill=B</stp>
        <tr r="BA173" s="3"/>
      </tp>
      <tp t="s">
        <v>#N/A Connection</v>
        <stp/>
        <stp>##V3_BDPV12</stp>
        <stp>CNVSTTL Index</stp>
        <stp>PX385</stp>
        <stp>[BI_AUTMG_1_l22cd4li.xlsx]ReferenceData!R162C37</stp>
        <stp>PX391=20110401</stp>
        <stp>PX392=20110630</stp>
        <stp>DS004=USD</stp>
        <stp>Fill=B</stp>
        <tr r="AK162" s="3"/>
      </tp>
      <tp t="s">
        <v>#N/A Connection</v>
        <stp/>
        <stp>##V3_BDPV12</stp>
        <stp>VNVSTOTL Index</stp>
        <stp>PX385</stp>
        <stp>[BI_AUTMG_1_l22cd4li.xlsx]ReferenceData!R214C23</stp>
        <stp>PX391=20141001</stp>
        <stp>PX392=20141231</stp>
        <stp>DS004=USD</stp>
        <stp>Fill=B</stp>
        <tr r="W214" s="3"/>
      </tp>
      <tp t="s">
        <v>#N/A Connection</v>
        <stp/>
        <stp>##V3_BDPV12</stp>
        <stp>AUTMAUVS Index</stp>
        <stp>PX385</stp>
        <stp>[BI_AUTMG_1_l22cd4li.xlsx]ReferenceData!R161C24</stp>
        <stp>PX391=20140701</stp>
        <stp>PX392=20140930</stp>
        <stp>DS004=USD</stp>
        <stp>Fill=B</stp>
        <tr r="X161" s="3"/>
      </tp>
      <tp t="s">
        <v>#N/A Connection</v>
        <stp/>
        <stp>##V3_BDPV12</stp>
        <stp>VNVSTOTL Index</stp>
        <stp>PX385</stp>
        <stp>[BI_AUTMG_1_l22cd4li.xlsx]ReferenceData!R214C62</stp>
        <stp>PX391=20050101</stp>
        <stp>PX392=20050331</stp>
        <stp>DS004=USD</stp>
        <stp>Fill=B</stp>
        <tr r="BJ214" s="3"/>
      </tp>
      <tp t="s">
        <v>#N/A Connection</v>
        <stp/>
        <stp>##V3_BDPV12</stp>
        <stp>ARVSARTL Index</stp>
        <stp>PX385</stp>
        <stp>[BI_AUTMG_1_l22cd4li.xlsx]ReferenceData!R210C60</stp>
        <stp>PX391=20050701</stp>
        <stp>PX392=20050930</stp>
        <stp>DS004=USD</stp>
        <stp>Fill=B</stp>
        <tr r="BH210" s="3"/>
      </tp>
      <tp t="s">
        <v>#N/A Connection</v>
        <stp/>
        <stp>##V3_BDPV12</stp>
        <stp>WCARBEI Index</stp>
        <stp>PX385</stp>
        <stp>[BI_AUTMG_1_l22cd4li.xlsx]ReferenceData!R177C27</stp>
        <stp>PX391=20131001</stp>
        <stp>PX392=20131231</stp>
        <stp>DS004=USD</stp>
        <stp>Fill=B</stp>
        <tr r="AA177" s="3"/>
      </tp>
      <tp t="s">
        <v>#N/A Connection</v>
        <stp/>
        <stp>##V3_BDPV12</stp>
        <stp>WCARDEI Index</stp>
        <stp>PX385</stp>
        <stp>[BI_AUTMG_1_l22cd4li.xlsx]ReferenceData!R182C61</stp>
        <stp>PX391=20050401</stp>
        <stp>PX392=20050630</stp>
        <stp>DS004=USD</stp>
        <stp>Fill=B</stp>
        <tr r="BI182" s="3"/>
      </tp>
      <tp t="s">
        <v>#N/A Connection</v>
        <stp/>
        <stp>##V3_BDPV12</stp>
        <stp>WCARCHI Index</stp>
        <stp>PX385</stp>
        <stp>[BI_AUTMG_1_l22cd4li.xlsx]ReferenceData!R193C29</stp>
        <stp>PX391=20130401</stp>
        <stp>PX392=20130630</stp>
        <stp>DS004=USD</stp>
        <stp>Fill=B</stp>
        <tr r="AC193" s="3"/>
      </tp>
      <tp t="s">
        <v>#N/A Connection</v>
        <stp/>
        <stp>##V3_BDPV12</stp>
        <stp>WCARFII Index</stp>
        <stp>PX385</stp>
        <stp>[BI_AUTMG_1_l22cd4li.xlsx]ReferenceData!R180C16</stp>
        <stp>PX391=20160701</stp>
        <stp>PX392=20160930</stp>
        <stp>DS004=USD</stp>
        <stp>Fill=B</stp>
        <tr r="P180" s="3"/>
      </tp>
      <tp t="s">
        <v>#N/A Connection</v>
        <stp/>
        <stp>##V3_BDPV12</stp>
        <stp>WCARATI Index</stp>
        <stp>PX385</stp>
        <stp>[BI_AUTMG_1_l22cd4li.xlsx]ReferenceData!R176C42</stp>
        <stp>PX391=20100101</stp>
        <stp>PX392=20100331</stp>
        <stp>DS004=USD</stp>
        <stp>Fill=B</stp>
        <tr r="AP176" s="3"/>
      </tp>
      <tp t="s">
        <v>#N/A Connection</v>
        <stp/>
        <stp>##V3_BDPV12</stp>
        <stp>WCARFRI Index</stp>
        <stp>PX385</stp>
        <stp>[BI_AUTMG_1_l22cd4li.xlsx]ReferenceData!R181C52</stp>
        <stp>PX391=20070701</stp>
        <stp>PX392=20070930</stp>
        <stp>DS004=USD</stp>
        <stp>Fill=B</stp>
        <tr r="AZ181" s="3"/>
      </tp>
      <tp t="s">
        <v>#N/A Connection</v>
        <stp/>
        <stp>##V3_BDPV12</stp>
        <stp>WCARESI Index</stp>
        <stp>PX385</stp>
        <stp>[BI_AUTMG_1_l22cd4li.xlsx]ReferenceData!R191C64</stp>
        <stp>PX391=20040701</stp>
        <stp>PX392=20040930</stp>
        <stp>DS004=USD</stp>
        <stp>Fill=B</stp>
        <tr r="BL191" s="3"/>
      </tp>
      <tp t="s">
        <v>#N/A Connection</v>
        <stp/>
        <stp>##V3_BDPV12</stp>
        <stp>WCARGRI Index</stp>
        <stp>PX385</stp>
        <stp>[BI_AUTMG_1_l22cd4li.xlsx]ReferenceData!R183C13</stp>
        <stp>PX391=20170401</stp>
        <stp>PX392=20170630</stp>
        <stp>DS004=USD</stp>
        <stp>Fill=B</stp>
        <tr r="M183" s="3"/>
      </tp>
      <tp t="s">
        <v>#N/A Connection</v>
        <stp/>
        <stp>##V3_BDPV12</stp>
        <stp>WCARITI Index</stp>
        <stp>PX385</stp>
        <stp>[BI_AUTMG_1_l22cd4li.xlsx]ReferenceData!R186C43</stp>
        <stp>PX391=20091001</stp>
        <stp>PX392=20091231</stp>
        <stp>DS004=USD</stp>
        <stp>Fill=B</stp>
        <tr r="AQ186" s="3"/>
      </tp>
      <tp t="s">
        <v>#N/A Connection</v>
        <stp/>
        <stp>##V3_BDPV12</stp>
        <stp>TWVSDOM Index</stp>
        <stp>PX385</stp>
        <stp>[BI_AUTMG_1_l22cd4li.xlsx]ReferenceData!R173C57</stp>
        <stp>PX391=20060401</stp>
        <stp>PX392=20060630</stp>
        <stp>DS004=USD</stp>
        <stp>Fill=B</stp>
        <tr r="BE173" s="3"/>
      </tp>
      <tp t="s">
        <v>#N/A Connection</v>
        <stp/>
        <stp>##V3_BDPV12</stp>
        <stp>WCARITI Index</stp>
        <stp>PX385</stp>
        <stp>[BI_AUTMG_1_l22cd4li.xlsx]ReferenceData!R186C10</stp>
        <stp>PX391=20180101</stp>
        <stp>PX392=20180331</stp>
        <stp>DS004=USD</stp>
        <stp>Fill=B</stp>
        <tr r="J186" s="3"/>
      </tp>
      <tp t="s">
        <v>#N/A Connection</v>
        <stp/>
        <stp>##V3_BDPV12</stp>
        <stp>CNVSTTL Index</stp>
        <stp>PX385</stp>
        <stp>[BI_AUTMG_1_l22cd4li.xlsx]ReferenceData!R162C41</stp>
        <stp>PX391=20100401</stp>
        <stp>PX392=20100630</stp>
        <stp>DS004=USD</stp>
        <stp>Fill=B</stp>
        <tr r="AO162" s="3"/>
      </tp>
      <tp t="s">
        <v>#N/A Connection</v>
        <stp/>
        <stp>##V3_BDPV12</stp>
        <stp>AUTMAUVS Index</stp>
        <stp>PX385</stp>
        <stp>[BI_AUTMG_1_l22cd4li.xlsx]ReferenceData!R161C20</stp>
        <stp>PX391=20150701</stp>
        <stp>PX392=20150930</stp>
        <stp>DS004=USD</stp>
        <stp>Fill=B</stp>
        <tr r="T161" s="3"/>
      </tp>
      <tp t="s">
        <v>#N/A Connection</v>
        <stp/>
        <stp>##V3_BDPV12</stp>
        <stp>VNVSTOTL Index</stp>
        <stp>PX385</stp>
        <stp>[BI_AUTMG_1_l22cd4li.xlsx]ReferenceData!R214C19</stp>
        <stp>PX391=20151001</stp>
        <stp>PX392=20151231</stp>
        <stp>DS004=USD</stp>
        <stp>Fill=B</stp>
        <tr r="S214" s="3"/>
      </tp>
      <tp t="s">
        <v>#N/A Connection</v>
        <stp/>
        <stp>##V3_BDPV12</stp>
        <stp>ARVSARTL Index</stp>
        <stp>PX385</stp>
        <stp>[BI_AUTMG_1_l22cd4li.xlsx]ReferenceData!R210C64</stp>
        <stp>PX391=20040701</stp>
        <stp>PX392=20040930</stp>
        <stp>DS004=USD</stp>
        <stp>Fill=B</stp>
        <tr r="BL210" s="3"/>
      </tp>
      <tp t="s">
        <v>#N/A Connection</v>
        <stp/>
        <stp>##V3_BDPV12</stp>
        <stp>WCARBEI Index</stp>
        <stp>PX385</stp>
        <stp>[BI_AUTMG_1_l22cd4li.xlsx]ReferenceData!R177C23</stp>
        <stp>PX391=20141001</stp>
        <stp>PX392=20141231</stp>
        <stp>DS004=USD</stp>
        <stp>Fill=B</stp>
        <tr r="W177" s="3"/>
      </tp>
      <tp t="s">
        <v>#N/A Connection</v>
        <stp/>
        <stp>##V3_BDPV12</stp>
        <stp>WCARBEI Index</stp>
        <stp>PX385</stp>
        <stp>[BI_AUTMG_1_l22cd4li.xlsx]ReferenceData!R177C62</stp>
        <stp>PX391=20050101</stp>
        <stp>PX392=20050331</stp>
        <stp>DS004=USD</stp>
        <stp>Fill=B</stp>
        <tr r="BJ177" s="3"/>
      </tp>
      <tp t="s">
        <v>#N/A Connection</v>
        <stp/>
        <stp>##V3_BDPV12</stp>
        <stp>KNNVREG Index</stp>
        <stp>PX385</stp>
        <stp>[BI_AUTMG_1_l22cd4li.xlsx]ReferenceData!R216C49</stp>
        <stp>PX391=20080401</stp>
        <stp>PX392=20080630</stp>
        <stp>DS004=USD</stp>
        <stp>Fill=B</stp>
        <tr r="AW216" s="3"/>
      </tp>
      <tp t="s">
        <v>#N/A Connection</v>
        <stp/>
        <stp>##V3_BDPV12</stp>
        <stp>WCARFII Index</stp>
        <stp>PX385</stp>
        <stp>[BI_AUTMG_1_l22cd4li.xlsx]ReferenceData!R180C36</stp>
        <stp>PX391=20110701</stp>
        <stp>PX392=20110930</stp>
        <stp>DS004=USD</stp>
        <stp>Fill=B</stp>
        <tr r="AJ180" s="3"/>
      </tp>
      <tp t="s">
        <v>#N/A Connection</v>
        <stp/>
        <stp>##V3_BDPV12</stp>
        <stp>WCARCHI Index</stp>
        <stp>PX385</stp>
        <stp>[BI_AUTMG_1_l22cd4li.xlsx]ReferenceData!R193C25</stp>
        <stp>PX391=20140401</stp>
        <stp>PX392=20140630</stp>
        <stp>DS004=USD</stp>
        <stp>Fill=B</stp>
        <tr r="Y193" s="3"/>
      </tp>
      <tp t="s">
        <v>#N/A Connection</v>
        <stp/>
        <stp>##V3_BDPV12</stp>
        <stp>WCARATI Index</stp>
        <stp>PX385</stp>
        <stp>[BI_AUTMG_1_l22cd4li.xlsx]ReferenceData!R176C14</stp>
        <stp>PX391=20170101</stp>
        <stp>PX392=20170331</stp>
        <stp>DS004=USD</stp>
        <stp>Fill=B</stp>
        <tr r="N176" s="3"/>
      </tp>
      <tp t="s">
        <v>#N/A Connection</v>
        <stp/>
        <stp>##V3_BDPV12</stp>
        <stp>WCARGRI Index</stp>
        <stp>PX385</stp>
        <stp>[BI_AUTMG_1_l22cd4li.xlsx]ReferenceData!R183C41</stp>
        <stp>PX391=20100401</stp>
        <stp>PX392=20100630</stp>
        <stp>DS004=USD</stp>
        <stp>Fill=B</stp>
        <tr r="AO183" s="3"/>
      </tp>
      <tp t="s">
        <v>#N/A Connection</v>
        <stp/>
        <stp>##V3_BDPV12</stp>
        <stp>WCARATI Index</stp>
        <stp>PX385</stp>
        <stp>[BI_AUTMG_1_l22cd4li.xlsx]ReferenceData!R176C55</stp>
        <stp>PX391=20061001</stp>
        <stp>PX392=20061231</stp>
        <stp>DS004=USD</stp>
        <stp>Fill=B</stp>
        <tr r="BC176" s="3"/>
      </tp>
      <tp t="s">
        <v>#N/A Connection</v>
        <stp/>
        <stp>##V3_BDPV12</stp>
        <stp>CNVSTTL Index</stp>
        <stp>PX385</stp>
        <stp>[BI_AUTMG_1_l22cd4li.xlsx]ReferenceData!R162C13</stp>
        <stp>PX391=20170401</stp>
        <stp>PX392=20170630</stp>
        <stp>DS004=USD</stp>
        <stp>Fill=B</stp>
        <tr r="M162" s="3"/>
      </tp>
      <tp t="s">
        <v>#N/A Connection</v>
        <stp/>
        <stp>##V3_BDPV12</stp>
        <stp>THVHSCAR Index</stp>
        <stp>PX385</stp>
        <stp>[BI_AUTMG_1_l22cd4li.xlsx]ReferenceData!R174C49</stp>
        <stp>PX391=20080401</stp>
        <stp>PX392=20080630</stp>
        <stp>DS004=USD</stp>
        <stp>Fill=B</stp>
        <tr r="AW174" s="3"/>
      </tp>
      <tp t="s">
        <v>#N/A Connection</v>
        <stp/>
        <stp>##V3_BDPV12</stp>
        <stp>AUTMAUVS Index</stp>
        <stp>PX385</stp>
        <stp>[BI_AUTMG_1_l22cd4li.xlsx]ReferenceData!R161C32</stp>
        <stp>PX391=20120701</stp>
        <stp>PX392=20120930</stp>
        <stp>DS004=USD</stp>
        <stp>Fill=B</stp>
        <tr r="AF161" s="3"/>
      </tp>
      <tp t="s">
        <v>#N/A Connection</v>
        <stp/>
        <stp>##V3_BDPV12</stp>
        <stp>VNVSTOTL Index</stp>
        <stp>PX385</stp>
        <stp>[BI_AUTMG_1_l22cd4li.xlsx]ReferenceData!R214C31</stp>
        <stp>PX391=20121001</stp>
        <stp>PX392=20121231</stp>
        <stp>DS004=USD</stp>
        <stp>Fill=B</stp>
        <tr r="AE214" s="3"/>
      </tp>
      <tp t="s">
        <v>#N/A Connection</v>
        <stp/>
        <stp>##V3_BDPV12</stp>
        <stp>WCARBEI Index</stp>
        <stp>PX385</stp>
        <stp>[BI_AUTMG_1_l22cd4li.xlsx]ReferenceData!R177C19</stp>
        <stp>PX391=20151001</stp>
        <stp>PX392=20151231</stp>
        <stp>DS004=USD</stp>
        <stp>Fill=B</stp>
        <tr r="S177" s="3"/>
      </tp>
      <tp t="s">
        <v>#N/A Connection</v>
        <stp/>
        <stp>##V3_BDPV12</stp>
        <stp>KNNVREG Index</stp>
        <stp>PX385</stp>
        <stp>[BI_AUTMG_1_l22cd4li.xlsx]ReferenceData!R216C45</stp>
        <stp>PX391=20090401</stp>
        <stp>PX392=20090630</stp>
        <stp>DS004=USD</stp>
        <stp>Fill=B</stp>
        <tr r="AS216" s="3"/>
      </tp>
      <tp t="s">
        <v>#N/A Connection</v>
        <stp/>
        <stp>##V3_BDPV12</stp>
        <stp>WCARFII Index</stp>
        <stp>PX385</stp>
        <stp>[BI_AUTMG_1_l22cd4li.xlsx]ReferenceData!R180C40</stp>
        <stp>PX391=20100701</stp>
        <stp>PX392=20100930</stp>
        <stp>DS004=USD</stp>
        <stp>Fill=B</stp>
        <tr r="AN180" s="3"/>
      </tp>
      <tp t="s">
        <v>#N/A Connection</v>
        <stp/>
        <stp>##V3_BDPV12</stp>
        <stp>WCARCHI Index</stp>
        <stp>PX385</stp>
        <stp>[BI_AUTMG_1_l22cd4li.xlsx]ReferenceData!R193C21</stp>
        <stp>PX391=20150401</stp>
        <stp>PX392=20150630</stp>
        <stp>DS004=USD</stp>
        <stp>Fill=B</stp>
        <tr r="U193" s="3"/>
      </tp>
      <tp t="s">
        <v>#N/A Connection</v>
        <stp/>
        <stp>##V3_BDPV12</stp>
        <stp>WCARGRI Index</stp>
        <stp>PX385</stp>
        <stp>[BI_AUTMG_1_l22cd4li.xlsx]ReferenceData!R183C37</stp>
        <stp>PX391=20110401</stp>
        <stp>PX392=20110630</stp>
        <stp>DS004=USD</stp>
        <stp>Fill=B</stp>
        <tr r="AK183" s="3"/>
      </tp>
      <tp t="s">
        <v>#N/A Connection</v>
        <stp/>
        <stp>##V3_BDPV12</stp>
        <stp>WCARATI Index</stp>
        <stp>PX385</stp>
        <stp>[BI_AUTMG_1_l22cd4li.xlsx]ReferenceData!R176C18</stp>
        <stp>PX391=20160101</stp>
        <stp>PX392=20160331</stp>
        <stp>DS004=USD</stp>
        <stp>Fill=B</stp>
        <tr r="R176" s="3"/>
      </tp>
      <tp t="s">
        <v>#N/A Connection</v>
        <stp/>
        <stp>##V3_BDPV12</stp>
        <stp>WCARATI Index</stp>
        <stp>PX385</stp>
        <stp>[BI_AUTMG_1_l22cd4li.xlsx]ReferenceData!R176C51</stp>
        <stp>PX391=20071001</stp>
        <stp>PX392=20071231</stp>
        <stp>DS004=USD</stp>
        <stp>Fill=B</stp>
        <tr r="AY176" s="3"/>
      </tp>
      <tp t="s">
        <v>#N/A Connection</v>
        <stp/>
        <stp>##V3_BDPV12</stp>
        <stp>CNVSTTL Index</stp>
        <stp>PX385</stp>
        <stp>[BI_AUTMG_1_l22cd4li.xlsx]ReferenceData!R162C17</stp>
        <stp>PX391=20160401</stp>
        <stp>PX392=20160630</stp>
        <stp>DS004=USD</stp>
        <stp>Fill=B</stp>
        <tr r="Q162" s="3"/>
      </tp>
      <tp t="s">
        <v>#N/A Connection</v>
        <stp/>
        <stp>##V3_BDPV12</stp>
        <stp>THVHSCAR Index</stp>
        <stp>PX385</stp>
        <stp>[BI_AUTMG_1_l22cd4li.xlsx]ReferenceData!R174C45</stp>
        <stp>PX391=20090401</stp>
        <stp>PX392=20090630</stp>
        <stp>DS004=USD</stp>
        <stp>Fill=B</stp>
        <tr r="AS174" s="3"/>
      </tp>
      <tp t="s">
        <v>#N/A Connection</v>
        <stp/>
        <stp>##V3_BDPV12</stp>
        <stp>AUTMAUVS Index</stp>
        <stp>PX385</stp>
        <stp>[BI_AUTMG_1_l22cd4li.xlsx]ReferenceData!R161C28</stp>
        <stp>PX391=20130701</stp>
        <stp>PX392=20130930</stp>
        <stp>DS004=USD</stp>
        <stp>Fill=B</stp>
        <tr r="AB161" s="3"/>
      </tp>
      <tp t="s">
        <v>#N/A Connection</v>
        <stp/>
        <stp>##V3_BDPV12</stp>
        <stp>VNVSTOTL Index</stp>
        <stp>PX385</stp>
        <stp>[BI_AUTMG_1_l22cd4li.xlsx]ReferenceData!R214C27</stp>
        <stp>PX391=20131001</stp>
        <stp>PX392=20131231</stp>
        <stp>DS004=USD</stp>
        <stp>Fill=B</stp>
        <tr r="AA214" s="3"/>
      </tp>
      <tp t="s">
        <v>#N/A Connection</v>
        <stp/>
        <stp>##V3_BDPV12</stp>
        <stp>WCARBEI Index</stp>
        <stp>PX385</stp>
        <stp>[BI_AUTMG_1_l22cd4li.xlsx]ReferenceData!R177C15</stp>
        <stp>PX391=20161001</stp>
        <stp>PX392=20161231</stp>
        <stp>DS004=USD</stp>
        <stp>Fill=B</stp>
        <tr r="O177" s="3"/>
      </tp>
      <tp t="s">
        <v>#N/A Connection</v>
        <stp/>
        <stp>##V3_BDPV12</stp>
        <stp>WCARBEI Index</stp>
        <stp>PX385</stp>
        <stp>[BI_AUTMG_1_l22cd4li.xlsx]ReferenceData!R177C54</stp>
        <stp>PX391=20070101</stp>
        <stp>PX392=20070331</stp>
        <stp>DS004=USD</stp>
        <stp>Fill=B</stp>
        <tr r="BB177" s="3"/>
      </tp>
      <tp t="s">
        <v>#N/A Connection</v>
        <stp/>
        <stp>##V3_BDPV12</stp>
        <stp>WCARFII Index</stp>
        <stp>PX385</stp>
        <stp>[BI_AUTMG_1_l22cd4li.xlsx]ReferenceData!R180C28</stp>
        <stp>PX391=20130701</stp>
        <stp>PX392=20130930</stp>
        <stp>DS004=USD</stp>
        <stp>Fill=B</stp>
        <tr r="AB180" s="3"/>
      </tp>
      <tp t="s">
        <v>#N/A Connection</v>
        <stp/>
        <stp>##V3_BDPV12</stp>
        <stp>WCARCHI Index</stp>
        <stp>PX385</stp>
        <stp>[BI_AUTMG_1_l22cd4li.xlsx]ReferenceData!R193C17</stp>
        <stp>PX391=20160401</stp>
        <stp>PX392=20160630</stp>
        <stp>DS004=USD</stp>
        <stp>Fill=B</stp>
        <tr r="Q193" s="3"/>
      </tp>
      <tp t="s">
        <v>#N/A Connection</v>
        <stp/>
        <stp>##V3_BDPV12</stp>
        <stp>WCARGRI Index</stp>
        <stp>PX385</stp>
        <stp>[BI_AUTMG_1_l22cd4li.xlsx]ReferenceData!R183C33</stp>
        <stp>PX391=20120401</stp>
        <stp>PX392=20120630</stp>
        <stp>DS004=USD</stp>
        <stp>Fill=B</stp>
        <tr r="AG183" s="3"/>
      </tp>
      <tp t="s">
        <v>#N/A Connection</v>
        <stp/>
        <stp>##V3_BDPV12</stp>
        <stp>WCARATI Index</stp>
        <stp>PX385</stp>
        <stp>[BI_AUTMG_1_l22cd4li.xlsx]ReferenceData!R176C22</stp>
        <stp>PX391=20150101</stp>
        <stp>PX392=20150331</stp>
        <stp>DS004=USD</stp>
        <stp>Fill=B</stp>
        <tr r="V176" s="3"/>
      </tp>
      <tp t="s">
        <v>#N/A Connection</v>
        <stp/>
        <stp>##V3_BDPV12</stp>
        <stp>WCARATI Index</stp>
        <stp>PX385</stp>
        <stp>[BI_AUTMG_1_l22cd4li.xlsx]ReferenceData!R176C63</stp>
        <stp>PX391=20041001</stp>
        <stp>PX392=20041231</stp>
        <stp>DS004=USD</stp>
        <stp>Fill=B</stp>
        <tr r="BK176" s="3"/>
      </tp>
      <tp t="s">
        <v>#N/A Connection</v>
        <stp/>
        <stp>##V3_BDPV12</stp>
        <stp>WCARLUI Index</stp>
        <stp>PX385</stp>
        <stp>[BI_AUTMG_1_l22cd4li.xlsx]ReferenceData!R187C46</stp>
        <stp>PX391=20090101</stp>
        <stp>PX392=20090331</stp>
        <stp>DS004=USD</stp>
        <stp>Fill=B</stp>
        <tr r="AT187" s="3"/>
      </tp>
      <tp t="s">
        <v>#N/A Connection</v>
        <stp/>
        <stp>##V3_BDPV12</stp>
        <stp>CNVSTTL Index</stp>
        <stp>PX385</stp>
        <stp>[BI_AUTMG_1_l22cd4li.xlsx]ReferenceData!R162C21</stp>
        <stp>PX391=20150401</stp>
        <stp>PX392=20150630</stp>
        <stp>DS004=USD</stp>
        <stp>Fill=B</stp>
        <tr r="U162" s="3"/>
      </tp>
      <tp t="s">
        <v>#N/A Connection</v>
        <stp/>
        <stp>##V3_BDPV12</stp>
        <stp>AUTMAUVS Index</stp>
        <stp>PX385</stp>
        <stp>[BI_AUTMG_1_l22cd4li.xlsx]ReferenceData!R161C40</stp>
        <stp>PX391=20100701</stp>
        <stp>PX392=20100930</stp>
        <stp>DS004=USD</stp>
        <stp>Fill=B</stp>
        <tr r="AN161" s="3"/>
      </tp>
      <tp t="s">
        <v>#N/A Connection</v>
        <stp/>
        <stp>##V3_BDPV12</stp>
        <stp>VNVSTOTL Index</stp>
        <stp>PX385</stp>
        <stp>[BI_AUTMG_1_l22cd4li.xlsx]ReferenceData!R214C39</stp>
        <stp>PX391=20101001</stp>
        <stp>PX392=20101231</stp>
        <stp>DS004=USD</stp>
        <stp>Fill=B</stp>
        <tr r="AM214" s="3"/>
      </tp>
      <tp t="s">
        <v>#N/A Connection</v>
        <stp/>
        <stp>##V3_BDPV12</stp>
        <stp>WCARBEI Index</stp>
        <stp>PX385</stp>
        <stp>[BI_AUTMG_1_l22cd4li.xlsx]ReferenceData!R177C11</stp>
        <stp>PX391=20171001</stp>
        <stp>PX392=20171231</stp>
        <stp>DS004=USD</stp>
        <stp>Fill=B</stp>
        <tr r="K177" s="3"/>
      </tp>
      <tp t="s">
        <v>#N/A Connection</v>
        <stp/>
        <stp>##V3_BDPV12</stp>
        <stp>WCARBEI Index</stp>
        <stp>PX385</stp>
        <stp>[BI_AUTMG_1_l22cd4li.xlsx]ReferenceData!R177C58</stp>
        <stp>PX391=20060101</stp>
        <stp>PX392=20060331</stp>
        <stp>DS004=USD</stp>
        <stp>Fill=B</stp>
        <tr r="BF177" s="3"/>
      </tp>
      <tp t="s">
        <v>#N/A Connection</v>
        <stp/>
        <stp>##V3_BDPV12</stp>
        <stp>WCARFII Index</stp>
        <stp>PX385</stp>
        <stp>[BI_AUTMG_1_l22cd4li.xlsx]ReferenceData!R180C32</stp>
        <stp>PX391=20120701</stp>
        <stp>PX392=20120930</stp>
        <stp>DS004=USD</stp>
        <stp>Fill=B</stp>
        <tr r="AF180" s="3"/>
      </tp>
      <tp t="s">
        <v>#N/A Connection</v>
        <stp/>
        <stp>##V3_BDPV12</stp>
        <stp>WCARCHI Index</stp>
        <stp>PX385</stp>
        <stp>[BI_AUTMG_1_l22cd4li.xlsx]ReferenceData!R193C13</stp>
        <stp>PX391=20170401</stp>
        <stp>PX392=20170630</stp>
        <stp>DS004=USD</stp>
        <stp>Fill=B</stp>
        <tr r="M193" s="3"/>
      </tp>
      <tp t="s">
        <v>#N/A Connection</v>
        <stp/>
        <stp>##V3_BDPV12</stp>
        <stp>WCARATI Index</stp>
        <stp>PX385</stp>
        <stp>[BI_AUTMG_1_l22cd4li.xlsx]ReferenceData!R176C26</stp>
        <stp>PX391=20140101</stp>
        <stp>PX392=20140331</stp>
        <stp>DS004=USD</stp>
        <stp>Fill=B</stp>
        <tr r="Z176" s="3"/>
      </tp>
      <tp t="s">
        <v>#N/A Connection</v>
        <stp/>
        <stp>##V3_BDPV12</stp>
        <stp>WCARGRI Index</stp>
        <stp>PX385</stp>
        <stp>[BI_AUTMG_1_l22cd4li.xlsx]ReferenceData!R183C29</stp>
        <stp>PX391=20130401</stp>
        <stp>PX392=20130630</stp>
        <stp>DS004=USD</stp>
        <stp>Fill=B</stp>
        <tr r="AC183" s="3"/>
      </tp>
      <tp t="s">
        <v>#N/A Connection</v>
        <stp/>
        <stp>##V3_BDPV12</stp>
        <stp>WCARATI Index</stp>
        <stp>PX385</stp>
        <stp>[BI_AUTMG_1_l22cd4li.xlsx]ReferenceData!R176C59</stp>
        <stp>PX391=20051001</stp>
        <stp>PX392=20051231</stp>
        <stp>DS004=USD</stp>
        <stp>Fill=B</stp>
        <tr r="BG176" s="3"/>
      </tp>
      <tp t="s">
        <v>#N/A Connection</v>
        <stp/>
        <stp>##V3_BDPV12</stp>
        <stp>WCARLUI Index</stp>
        <stp>PX385</stp>
        <stp>[BI_AUTMG_1_l22cd4li.xlsx]ReferenceData!R187C50</stp>
        <stp>PX391=20080101</stp>
        <stp>PX392=20080331</stp>
        <stp>DS004=USD</stp>
        <stp>Fill=B</stp>
        <tr r="AX187" s="3"/>
      </tp>
      <tp t="s">
        <v>#N/A Connection</v>
        <stp/>
        <stp>##V3_BDPV12</stp>
        <stp>CNVSTTL Index</stp>
        <stp>PX385</stp>
        <stp>[BI_AUTMG_1_l22cd4li.xlsx]ReferenceData!R162C25</stp>
        <stp>PX391=20140401</stp>
        <stp>PX392=20140630</stp>
        <stp>DS004=USD</stp>
        <stp>Fill=B</stp>
        <tr r="Y162" s="3"/>
      </tp>
      <tp t="s">
        <v>#N/A Connection</v>
        <stp/>
        <stp>##V3_BDPV12</stp>
        <stp>VNVSTOTL Index</stp>
        <stp>PX385</stp>
        <stp>[BI_AUTMG_1_l22cd4li.xlsx]ReferenceData!R214C35</stp>
        <stp>PX391=20111001</stp>
        <stp>PX392=20111231</stp>
        <stp>DS004=USD</stp>
        <stp>Fill=B</stp>
        <tr r="AI214" s="3"/>
      </tp>
      <tp t="s">
        <v>#N/A Connection</v>
        <stp/>
        <stp>##V3_BDPV12</stp>
        <stp>AUTMAUVS Index</stp>
        <stp>PX385</stp>
        <stp>[BI_AUTMG_1_l22cd4li.xlsx]ReferenceData!R161C36</stp>
        <stp>PX391=20110701</stp>
        <stp>PX392=20110930</stp>
        <stp>DS004=USD</stp>
        <stp>Fill=B</stp>
        <tr r="AJ161" s="3"/>
      </tp>
      <tp t="s">
        <v>#N/A Connection</v>
        <stp/>
        <stp>##V3_BDPV12</stp>
        <stp>SINVHR Index</stp>
        <stp>PX385</stp>
        <stp>[BI_AUTMG_1_l22cd4li.xlsx]ReferenceData!R172C45</stp>
        <stp>PX391=20090401</stp>
        <stp>PX392=20090630</stp>
        <stp>DS004=USD</stp>
        <stp>Fill=B</stp>
        <tr r="AS172" s="3"/>
      </tp>
      <tp t="s">
        <v>#N/A Connection</v>
        <stp/>
        <stp>##V3_BDPV12</stp>
        <stp>RUAUTOTL Index</stp>
        <stp>PX385</stp>
        <stp>[BI_AUTMG_1_l22cd4li.xlsx]ReferenceData!R204C61</stp>
        <stp>PX391=20050401</stp>
        <stp>PX392=20050630</stp>
        <stp>DS004=USD</stp>
        <stp>Fill=B</stp>
        <tr r="BI204" s="3"/>
      </tp>
      <tp t="s">
        <v>#N/A Connection</v>
        <stp/>
        <stp>##V3_BDPV12</stp>
        <stp>CHVSAUTO Index</stp>
        <stp>PX385</stp>
        <stp>[BI_AUTMG_1_l22cd4li.xlsx]ReferenceData!R212C28</stp>
        <stp>PX391=20130701</stp>
        <stp>PX392=20130930</stp>
        <stp>DS004=USD</stp>
        <stp>Fill=B</stp>
        <tr r="AB212" s="3"/>
      </tp>
      <tp t="s">
        <v>#N/A Connection</v>
        <stp/>
        <stp>##V3_BDPV12</stp>
        <stp>SINVHR Index</stp>
        <stp>PX385</stp>
        <stp>[BI_AUTMG_1_l22cd4li.xlsx]ReferenceData!R172C49</stp>
        <stp>PX391=20080401</stp>
        <stp>PX392=20080630</stp>
        <stp>DS004=USD</stp>
        <stp>Fill=B</stp>
        <tr r="AW172" s="3"/>
      </tp>
      <tp t="s">
        <v>#N/A Connection</v>
        <stp/>
        <stp>##V3_BDPV12</stp>
        <stp>RUAUTOTL Index</stp>
        <stp>PX385</stp>
        <stp>[BI_AUTMG_1_l22cd4li.xlsx]ReferenceData!R204C65</stp>
        <stp>PX391=20040401</stp>
        <stp>PX392=20040630</stp>
        <stp>DS004=USD</stp>
        <stp>Fill=B</stp>
        <tr r="BM204" s="3"/>
      </tp>
      <tp t="s">
        <v>#N/A Connection</v>
        <stp/>
        <stp>##V3_BDPV12</stp>
        <stp>CHVSAUTO Index</stp>
        <stp>PX385</stp>
        <stp>[BI_AUTMG_1_l22cd4li.xlsx]ReferenceData!R212C32</stp>
        <stp>PX391=20120701</stp>
        <stp>PX392=20120930</stp>
        <stp>DS004=USD</stp>
        <stp>Fill=B</stp>
        <tr r="AF212" s="3"/>
      </tp>
      <tp t="s">
        <v>#N/A Connection</v>
        <stp/>
        <stp>##V3_BDPV12</stp>
        <stp>WCARPTI Index</stp>
        <stp>PX385</stp>
        <stp>[BI_AUTMG_1_l22cd4li.xlsx]ReferenceData!R190C48</stp>
        <stp>PX391=20080701</stp>
        <stp>PX392=20080930</stp>
        <stp>DS004=USD</stp>
        <stp>Fill=B</stp>
        <tr r="AV190" s="3"/>
      </tp>
      <tp t="s">
        <v>#N/A Connection</v>
        <stp/>
        <stp>##V3_BDPV12</stp>
        <stp>RUAUTOTL Index</stp>
        <stp>PX385</stp>
        <stp>[BI_AUTMG_1_l22cd4li.xlsx]ReferenceData!R204C53</stp>
        <stp>PX391=20070401</stp>
        <stp>PX392=20070630</stp>
        <stp>DS004=USD</stp>
        <stp>Fill=B</stp>
        <tr r="BA204" s="3"/>
      </tp>
      <tp t="s">
        <v>#N/A Connection</v>
        <stp/>
        <stp>##V3_BDPV12</stp>
        <stp>CHVSAUTO Index</stp>
        <stp>PX385</stp>
        <stp>[BI_AUTMG_1_l22cd4li.xlsx]ReferenceData!R212C36</stp>
        <stp>PX391=20110701</stp>
        <stp>PX392=20110930</stp>
        <stp>DS004=USD</stp>
        <stp>Fill=B</stp>
        <tr r="AJ212" s="3"/>
      </tp>
      <tp t="s">
        <v>#N/A Connection</v>
        <stp/>
        <stp>##V3_BDPV12</stp>
        <stp>WCARPTI Index</stp>
        <stp>PX385</stp>
        <stp>[BI_AUTMG_1_l22cd4li.xlsx]ReferenceData!R190C44</stp>
        <stp>PX391=20090701</stp>
        <stp>PX392=20090930</stp>
        <stp>DS004=USD</stp>
        <stp>Fill=B</stp>
        <tr r="AR190" s="3"/>
      </tp>
      <tp t="s">
        <v>#N/A Connection</v>
        <stp/>
        <stp>##V3_BDPV12</stp>
        <stp>RUAUTOTL Index</stp>
        <stp>PX385</stp>
        <stp>[BI_AUTMG_1_l22cd4li.xlsx]ReferenceData!R204C57</stp>
        <stp>PX391=20060401</stp>
        <stp>PX392=20060630</stp>
        <stp>DS004=USD</stp>
        <stp>Fill=B</stp>
        <tr r="BE204" s="3"/>
      </tp>
      <tp t="s">
        <v>#N/A Connection</v>
        <stp/>
        <stp>##V3_BDPV12</stp>
        <stp>CHVSAUTO Index</stp>
        <stp>PX385</stp>
        <stp>[BI_AUTMG_1_l22cd4li.xlsx]ReferenceData!R212C40</stp>
        <stp>PX391=20100701</stp>
        <stp>PX392=20100930</stp>
        <stp>DS004=USD</stp>
        <stp>Fill=B</stp>
        <tr r="AN212" s="3"/>
      </tp>
      <tp t="s">
        <v>#N/A Connection</v>
        <stp/>
        <stp>##V3_BDPV12</stp>
        <stp>WCARHU Index</stp>
        <stp>PX385</stp>
        <stp>[BI_AUTMG_1_l22cd4li.xlsx]ReferenceData!R199C47</stp>
        <stp>PX391=20081001</stp>
        <stp>PX392=20081231</stp>
        <stp>DS004=USD</stp>
        <stp>Fill=B</stp>
        <tr r="AU199" s="3"/>
      </tp>
      <tp t="s">
        <v>#N/A Connection</v>
        <stp/>
        <stp>##V3_BDPV12</stp>
        <stp>WCAREE Index</stp>
        <stp>PX385</stp>
        <stp>[BI_AUTMG_1_l22cd4li.xlsx]ReferenceData!R198C50</stp>
        <stp>PX391=20080101</stp>
        <stp>PX392=20080331</stp>
        <stp>DS004=USD</stp>
        <stp>Fill=B</stp>
        <tr r="AX198" s="3"/>
      </tp>
      <tp t="s">
        <v>#N/A Connection</v>
        <stp/>
        <stp>##V3_BDPV12</stp>
        <stp>CHVSAUTO Index</stp>
        <stp>PX385</stp>
        <stp>[BI_AUTMG_1_l22cd4li.xlsx]ReferenceData!R212C12</stp>
        <stp>PX391=20170701</stp>
        <stp>PX392=20170930</stp>
        <stp>DS004=USD</stp>
        <stp>Fill=B</stp>
        <tr r="L212" s="3"/>
      </tp>
      <tp t="s">
        <v>#N/A Connection</v>
        <stp/>
        <stp>##V3_BDPV12</stp>
        <stp>WCARHU Index</stp>
        <stp>PX385</stp>
        <stp>[BI_AUTMG_1_l22cd4li.xlsx]ReferenceData!R199C43</stp>
        <stp>PX391=20091001</stp>
        <stp>PX392=20091231</stp>
        <stp>DS004=USD</stp>
        <stp>Fill=B</stp>
        <tr r="AQ199" s="3"/>
      </tp>
      <tp t="s">
        <v>#N/A Connection</v>
        <stp/>
        <stp>##V3_BDPV12</stp>
        <stp>WCARHU Index</stp>
        <stp>PX385</stp>
        <stp>[BI_AUTMG_1_l22cd4li.xlsx]ReferenceData!R199C10</stp>
        <stp>PX391=20180101</stp>
        <stp>PX392=20180331</stp>
        <stp>DS004=USD</stp>
        <stp>Fill=B</stp>
        <tr r="J199" s="3"/>
      </tp>
      <tp t="s">
        <v>#N/A Connection</v>
        <stp/>
        <stp>##V3_BDPV12</stp>
        <stp>WCAREE Index</stp>
        <stp>PX385</stp>
        <stp>[BI_AUTMG_1_l22cd4li.xlsx]ReferenceData!R198C46</stp>
        <stp>PX391=20090101</stp>
        <stp>PX392=20090331</stp>
        <stp>DS004=USD</stp>
        <stp>Fill=B</stp>
        <tr r="AT198" s="3"/>
      </tp>
      <tp t="s">
        <v>#N/A Connection</v>
        <stp/>
        <stp>##V3_BDPV12</stp>
        <stp>CHVSAUTO Index</stp>
        <stp>PX385</stp>
        <stp>[BI_AUTMG_1_l22cd4li.xlsx]ReferenceData!R212C16</stp>
        <stp>PX391=20160701</stp>
        <stp>PX392=20160930</stp>
        <stp>DS004=USD</stp>
        <stp>Fill=B</stp>
        <tr r="P212" s="3"/>
      </tp>
      <tp t="s">
        <v>#N/A Connection</v>
        <stp/>
        <stp>##V3_BDPV12</stp>
        <stp>CHVSAUTO Index</stp>
        <stp>PX385</stp>
        <stp>[BI_AUTMG_1_l22cd4li.xlsx]ReferenceData!R212C20</stp>
        <stp>PX391=20150701</stp>
        <stp>PX392=20150930</stp>
        <stp>DS004=USD</stp>
        <stp>Fill=B</stp>
        <tr r="T212" s="3"/>
      </tp>
      <tp t="s">
        <v>#N/A Connection</v>
        <stp/>
        <stp>##V3_BDPV12</stp>
        <stp>CHVSAUTO Index</stp>
        <stp>PX385</stp>
        <stp>[BI_AUTMG_1_l22cd4li.xlsx]ReferenceData!R212C24</stp>
        <stp>PX391=20140701</stp>
        <stp>PX392=20140930</stp>
        <stp>DS004=USD</stp>
        <stp>Fill=B</stp>
        <tr r="X212" s="3"/>
      </tp>
      <tp t="s">
        <v>#N/A Connection</v>
        <stp/>
        <stp>##V3_BDPV12</stp>
        <stp>WCARSEI Index</stp>
        <stp>PX385</stp>
        <stp>[BI_AUTMG_1_l22cd4li.xlsx]ReferenceData!R192C41</stp>
        <stp>PX391=20100401</stp>
        <stp>PX392=20100630</stp>
        <stp>DS004=USD</stp>
        <stp>Fill=B</stp>
        <tr r="AO192" s="3"/>
      </tp>
      <tp t="s">
        <v>#N/A Connection</v>
        <stp/>
        <stp>##V3_BDPV12</stp>
        <stp>WCAREE Index</stp>
        <stp>PX385</stp>
        <stp>[BI_AUTMG_1_l22cd4li.xlsx]ReferenceData!R198C19</stp>
        <stp>PX391=20151001</stp>
        <stp>PX392=20151231</stp>
        <stp>DS004=USD</stp>
        <stp>Fill=B</stp>
        <tr r="S198" s="3"/>
      </tp>
      <tp t="s">
        <v>#N/A Connection</v>
        <stp/>
        <stp>##V3_BDPV12</stp>
        <stp>WCARHU Index</stp>
        <stp>PX385</stp>
        <stp>[BI_AUTMG_1_l22cd4li.xlsx]ReferenceData!R199C22</stp>
        <stp>PX391=20150101</stp>
        <stp>PX392=20150331</stp>
        <stp>DS004=USD</stp>
        <stp>Fill=B</stp>
        <tr r="V199" s="3"/>
      </tp>
      <tp t="s">
        <v>#N/A Connection</v>
        <stp/>
        <stp>##V3_BDPV12</stp>
        <stp>WCARHU Index</stp>
        <stp>PX385</stp>
        <stp>[BI_AUTMG_1_l22cd4li.xlsx]ReferenceData!R199C63</stp>
        <stp>PX391=20041001</stp>
        <stp>PX392=20041231</stp>
        <stp>DS004=USD</stp>
        <stp>Fill=B</stp>
        <tr r="BK199" s="3"/>
      </tp>
      <tp t="s">
        <v>#N/A Connection</v>
        <stp/>
        <stp>##V3_BDHV12</stp>
        <stp>MTLQQ US Equity</stp>
        <stp>FS265</stp>
        <stp>-60CQ</stp>
        <stp>3/31/2019</stp>
        <stp>[BI_AUTMG_1_l22cd4li.xlsx]ReferenceData!R231C6</stp>
        <stp>Per=CQ</stp>
        <stp>Dts=H</stp>
        <stp>Dir=H</stp>
        <stp>Points=60</stp>
        <stp>Sort=R</stp>
        <stp>Days=A</stp>
        <stp>Fill=B</stp>
        <stp>FX=USD</stp>
        <tr r="F231" s="3"/>
      </tp>
      <tp t="s">
        <v>#N/A Connection</v>
        <stp/>
        <stp>##V3_BDPV12</stp>
        <stp>WCAREE Index</stp>
        <stp>PX385</stp>
        <stp>[BI_AUTMG_1_l22cd4li.xlsx]ReferenceData!R198C62</stp>
        <stp>PX391=20050101</stp>
        <stp>PX392=20050331</stp>
        <stp>DS004=USD</stp>
        <stp>Fill=B</stp>
        <tr r="BJ198" s="3"/>
      </tp>
      <tp t="s">
        <v>#N/A Connection</v>
        <stp/>
        <stp>##V3_BDPV12</stp>
        <stp>WCAREE Index</stp>
        <stp>PX385</stp>
        <stp>[BI_AUTMG_1_l22cd4li.xlsx]ReferenceData!R198C23</stp>
        <stp>PX391=20141001</stp>
        <stp>PX392=20141231</stp>
        <stp>DS004=USD</stp>
        <stp>Fill=B</stp>
        <tr r="W198" s="3"/>
      </tp>
      <tp t="s">
        <v>#N/A Connection</v>
        <stp/>
        <stp>##V3_BDPV12</stp>
        <stp>WCARSEI Index</stp>
        <stp>PX385</stp>
        <stp>[BI_AUTMG_1_l22cd4li.xlsx]ReferenceData!R192C37</stp>
        <stp>PX391=20110401</stp>
        <stp>PX392=20110630</stp>
        <stp>DS004=USD</stp>
        <stp>Fill=B</stp>
        <tr r="AK192" s="3"/>
      </tp>
      <tp t="s">
        <v>#N/A Connection</v>
        <stp/>
        <stp>##V3_BDPV12</stp>
        <stp>WCARHU Index</stp>
        <stp>PX385</stp>
        <stp>[BI_AUTMG_1_l22cd4li.xlsx]ReferenceData!R199C26</stp>
        <stp>PX391=20140101</stp>
        <stp>PX392=20140331</stp>
        <stp>DS004=USD</stp>
        <stp>Fill=B</stp>
        <tr r="Z199" s="3"/>
      </tp>
      <tp t="s">
        <v>#N/A Connection</v>
        <stp/>
        <stp>##V3_BDPV12</stp>
        <stp>WCARHU Index</stp>
        <stp>PX385</stp>
        <stp>[BI_AUTMG_1_l22cd4li.xlsx]ReferenceData!R199C59</stp>
        <stp>PX391=20051001</stp>
        <stp>PX392=20051231</stp>
        <stp>DS004=USD</stp>
        <stp>Fill=B</stp>
        <tr r="BG199" s="3"/>
      </tp>
      <tp t="s">
        <v>#N/A Connection</v>
        <stp/>
        <stp>##V3_BDPV12</stp>
        <stp>WCAREE Index</stp>
        <stp>PX385</stp>
        <stp>[BI_AUTMG_1_l22cd4li.xlsx]ReferenceData!R198C58</stp>
        <stp>PX391=20060101</stp>
        <stp>PX392=20060331</stp>
        <stp>DS004=USD</stp>
        <stp>Fill=B</stp>
        <tr r="BF198" s="3"/>
      </tp>
      <tp t="s">
        <v>#N/A Connection</v>
        <stp/>
        <stp>##V3_BDPV12</stp>
        <stp>WCAREE Index</stp>
        <stp>PX385</stp>
        <stp>[BI_AUTMG_1_l22cd4li.xlsx]ReferenceData!R198C11</stp>
        <stp>PX391=20171001</stp>
        <stp>PX392=20171231</stp>
        <stp>DS004=USD</stp>
        <stp>Fill=B</stp>
        <tr r="K198" s="3"/>
      </tp>
      <tp t="s">
        <v>#N/A Connection</v>
        <stp/>
        <stp>##V3_BDPV12</stp>
        <stp>WCARSEI Index</stp>
        <stp>PX385</stp>
        <stp>[BI_AUTMG_1_l22cd4li.xlsx]ReferenceData!R192C33</stp>
        <stp>PX391=20120401</stp>
        <stp>PX392=20120630</stp>
        <stp>DS004=USD</stp>
        <stp>Fill=B</stp>
        <tr r="AG192" s="3"/>
      </tp>
      <tp t="s">
        <v>#N/A Connection</v>
        <stp/>
        <stp>##V3_BDPV12</stp>
        <stp>WCARHU Index</stp>
        <stp>PX385</stp>
        <stp>[BI_AUTMG_1_l22cd4li.xlsx]ReferenceData!R199C14</stp>
        <stp>PX391=20170101</stp>
        <stp>PX392=20170331</stp>
        <stp>DS004=USD</stp>
        <stp>Fill=B</stp>
        <tr r="N199" s="3"/>
      </tp>
      <tp t="s">
        <v>#N/A Connection</v>
        <stp/>
        <stp>##V3_BDPV12</stp>
        <stp>WCARHU Index</stp>
        <stp>PX385</stp>
        <stp>[BI_AUTMG_1_l22cd4li.xlsx]ReferenceData!R199C55</stp>
        <stp>PX391=20061001</stp>
        <stp>PX392=20061231</stp>
        <stp>DS004=USD</stp>
        <stp>Fill=B</stp>
        <tr r="BC199" s="3"/>
      </tp>
      <tp t="s">
        <v>#N/A Connection</v>
        <stp/>
        <stp>##V3_BDPV12</stp>
        <stp>WCAREE Index</stp>
        <stp>PX385</stp>
        <stp>[BI_AUTMG_1_l22cd4li.xlsx]ReferenceData!R198C54</stp>
        <stp>PX391=20070101</stp>
        <stp>PX392=20070331</stp>
        <stp>DS004=USD</stp>
        <stp>Fill=B</stp>
        <tr r="BB198" s="3"/>
      </tp>
      <tp t="s">
        <v>#N/A Connection</v>
        <stp/>
        <stp>##V3_BDPV12</stp>
        <stp>WCARSEI Index</stp>
        <stp>PX385</stp>
        <stp>[BI_AUTMG_1_l22cd4li.xlsx]ReferenceData!R192C29</stp>
        <stp>PX391=20130401</stp>
        <stp>PX392=20130630</stp>
        <stp>DS004=USD</stp>
        <stp>Fill=B</stp>
        <tr r="AC192" s="3"/>
      </tp>
      <tp t="s">
        <v>#N/A Connection</v>
        <stp/>
        <stp>##V3_BDPV12</stp>
        <stp>WCAREE Index</stp>
        <stp>PX385</stp>
        <stp>[BI_AUTMG_1_l22cd4li.xlsx]ReferenceData!R198C15</stp>
        <stp>PX391=20161001</stp>
        <stp>PX392=20161231</stp>
        <stp>DS004=USD</stp>
        <stp>Fill=B</stp>
        <tr r="O198" s="3"/>
      </tp>
      <tp t="s">
        <v>#N/A Connection</v>
        <stp/>
        <stp>##V3_BDPV12</stp>
        <stp>WCARHU Index</stp>
        <stp>PX385</stp>
        <stp>[BI_AUTMG_1_l22cd4li.xlsx]ReferenceData!R199C18</stp>
        <stp>PX391=20160101</stp>
        <stp>PX392=20160331</stp>
        <stp>DS004=USD</stp>
        <stp>Fill=B</stp>
        <tr r="R199" s="3"/>
      </tp>
      <tp t="s">
        <v>#N/A Connection</v>
        <stp/>
        <stp>##V3_BDPV12</stp>
        <stp>WCARHU Index</stp>
        <stp>PX385</stp>
        <stp>[BI_AUTMG_1_l22cd4li.xlsx]ReferenceData!R199C51</stp>
        <stp>PX391=20071001</stp>
        <stp>PX392=20071231</stp>
        <stp>DS004=USD</stp>
        <stp>Fill=B</stp>
        <tr r="AY199" s="3"/>
      </tp>
      <tp t="s">
        <v>#N/A Connection</v>
        <stp/>
        <stp>##V3_BDPV12</stp>
        <stp>WCAREE Index</stp>
        <stp>PX385</stp>
        <stp>[BI_AUTMG_1_l22cd4li.xlsx]ReferenceData!R198C35</stp>
        <stp>PX391=20111001</stp>
        <stp>PX392=20111231</stp>
        <stp>DS004=USD</stp>
        <stp>Fill=B</stp>
        <tr r="AI198" s="3"/>
      </tp>
      <tp t="s">
        <v>#N/A Connection</v>
        <stp/>
        <stp>##V3_BDPV12</stp>
        <stp>WCARSEI Index</stp>
        <stp>PX385</stp>
        <stp>[BI_AUTMG_1_l22cd4li.xlsx]ReferenceData!R192C25</stp>
        <stp>PX391=20140401</stp>
        <stp>PX392=20140630</stp>
        <stp>DS004=USD</stp>
        <stp>Fill=B</stp>
        <tr r="Y192" s="3"/>
      </tp>
      <tp t="s">
        <v>#N/A Connection</v>
        <stp/>
        <stp>##V3_BDPV12</stp>
        <stp>SINVHR Index</stp>
        <stp>PX385</stp>
        <stp>[BI_AUTMG_1_l22cd4li.xlsx]ReferenceData!R172C61</stp>
        <stp>PX391=20050401</stp>
        <stp>PX392=20050630</stp>
        <stp>DS004=USD</stp>
        <stp>Fill=B</stp>
        <tr r="BI172" s="3"/>
      </tp>
      <tp t="s">
        <v>#N/A Connection</v>
        <stp/>
        <stp>##V3_BDPV12</stp>
        <stp>WCARHU Index</stp>
        <stp>PX385</stp>
        <stp>[BI_AUTMG_1_l22cd4li.xlsx]ReferenceData!R199C38</stp>
        <stp>PX391=20110101</stp>
        <stp>PX392=20110331</stp>
        <stp>DS004=USD</stp>
        <stp>Fill=B</stp>
        <tr r="AL199" s="3"/>
      </tp>
      <tp t="s">
        <v>#N/A Connection</v>
        <stp/>
        <stp>##V3_BDPV12</stp>
        <stp>WCARPTI Index</stp>
        <stp>PX385</stp>
        <stp>[BI_AUTMG_1_l22cd4li.xlsx]ReferenceData!R190C56</stp>
        <stp>PX391=20060701</stp>
        <stp>PX392=20060930</stp>
        <stp>DS004=USD</stp>
        <stp>Fill=B</stp>
        <tr r="BD190" s="3"/>
      </tp>
      <tp t="s">
        <v>#N/A Connection</v>
        <stp/>
        <stp>##V3_BDPV12</stp>
        <stp>RUAUTOTL Index</stp>
        <stp>PX385</stp>
        <stp>[BI_AUTMG_1_l22cd4li.xlsx]ReferenceData!R204C45</stp>
        <stp>PX391=20090401</stp>
        <stp>PX392=20090630</stp>
        <stp>DS004=USD</stp>
        <stp>Fill=B</stp>
        <tr r="AS204" s="3"/>
      </tp>
      <tp t="s">
        <v>#N/A Connection</v>
        <stp/>
        <stp>##V3_BDPV12</stp>
        <stp>WCAREE Index</stp>
        <stp>PX385</stp>
        <stp>[BI_AUTMG_1_l22cd4li.xlsx]ReferenceData!R198C39</stp>
        <stp>PX391=20101001</stp>
        <stp>PX392=20101231</stp>
        <stp>DS004=USD</stp>
        <stp>Fill=B</stp>
        <tr r="AM198" s="3"/>
      </tp>
      <tp t="s">
        <v>#N/A Connection</v>
        <stp/>
        <stp>##V3_BDPV12</stp>
        <stp>WCARSEI Index</stp>
        <stp>PX385</stp>
        <stp>[BI_AUTMG_1_l22cd4li.xlsx]ReferenceData!R192C21</stp>
        <stp>PX391=20150401</stp>
        <stp>PX392=20150630</stp>
        <stp>DS004=USD</stp>
        <stp>Fill=B</stp>
        <tr r="U192" s="3"/>
      </tp>
      <tp t="s">
        <v>#N/A Connection</v>
        <stp/>
        <stp>##V3_BDPV12</stp>
        <stp>SINVHR Index</stp>
        <stp>PX385</stp>
        <stp>[BI_AUTMG_1_l22cd4li.xlsx]ReferenceData!R172C65</stp>
        <stp>PX391=20040401</stp>
        <stp>PX392=20040630</stp>
        <stp>DS004=USD</stp>
        <stp>Fill=B</stp>
        <tr r="BM172" s="3"/>
      </tp>
      <tp t="s">
        <v>#N/A Connection</v>
        <stp/>
        <stp>##V3_BDPV12</stp>
        <stp>WCARHU Index</stp>
        <stp>PX385</stp>
        <stp>[BI_AUTMG_1_l22cd4li.xlsx]ReferenceData!R199C42</stp>
        <stp>PX391=20100101</stp>
        <stp>PX392=20100331</stp>
        <stp>DS004=USD</stp>
        <stp>Fill=B</stp>
        <tr r="AP199" s="3"/>
      </tp>
      <tp t="s">
        <v>#N/A Connection</v>
        <stp/>
        <stp>##V3_BDPV12</stp>
        <stp>WCARPTI Index</stp>
        <stp>PX385</stp>
        <stp>[BI_AUTMG_1_l22cd4li.xlsx]ReferenceData!R190C52</stp>
        <stp>PX391=20070701</stp>
        <stp>PX392=20070930</stp>
        <stp>DS004=USD</stp>
        <stp>Fill=B</stp>
        <tr r="AZ190" s="3"/>
      </tp>
      <tp t="s">
        <v>#N/A Connection</v>
        <stp/>
        <stp>##V3_BDPV12</stp>
        <stp>RUAUTOTL Index</stp>
        <stp>PX385</stp>
        <stp>[BI_AUTMG_1_l22cd4li.xlsx]ReferenceData!R204C49</stp>
        <stp>PX391=20080401</stp>
        <stp>PX392=20080630</stp>
        <stp>DS004=USD</stp>
        <stp>Fill=B</stp>
        <tr r="AW204" s="3"/>
      </tp>
      <tp t="s">
        <v>#N/A Connection</v>
        <stp/>
        <stp>##V3_BDPV12</stp>
        <stp>WCARSEI Index</stp>
        <stp>PX385</stp>
        <stp>[BI_AUTMG_1_l22cd4li.xlsx]ReferenceData!R192C17</stp>
        <stp>PX391=20160401</stp>
        <stp>PX392=20160630</stp>
        <stp>DS004=USD</stp>
        <stp>Fill=B</stp>
        <tr r="Q192" s="3"/>
      </tp>
      <tp t="s">
        <v>#N/A Connection</v>
        <stp/>
        <stp>##V3_BDPV12</stp>
        <stp>WCAREE Index</stp>
        <stp>PX385</stp>
        <stp>[BI_AUTMG_1_l22cd4li.xlsx]ReferenceData!R198C27</stp>
        <stp>PX391=20131001</stp>
        <stp>PX392=20131231</stp>
        <stp>DS004=USD</stp>
        <stp>Fill=B</stp>
        <tr r="AA198" s="3"/>
      </tp>
      <tp t="s">
        <v>#N/A Connection</v>
        <stp/>
        <stp>##V3_BDPV12</stp>
        <stp>SINVHR Index</stp>
        <stp>PX385</stp>
        <stp>[BI_AUTMG_1_l22cd4li.xlsx]ReferenceData!R172C53</stp>
        <stp>PX391=20070401</stp>
        <stp>PX392=20070630</stp>
        <stp>DS004=USD</stp>
        <stp>Fill=B</stp>
        <tr r="BA172" s="3"/>
      </tp>
      <tp t="s">
        <v>#N/A Connection</v>
        <stp/>
        <stp>##V3_BDPV12</stp>
        <stp>WCARHU Index</stp>
        <stp>PX385</stp>
        <stp>[BI_AUTMG_1_l22cd4li.xlsx]ReferenceData!R199C30</stp>
        <stp>PX391=20130101</stp>
        <stp>PX392=20130331</stp>
        <stp>DS004=USD</stp>
        <stp>Fill=B</stp>
        <tr r="AD199" s="3"/>
      </tp>
      <tp t="s">
        <v>#N/A Connection</v>
        <stp/>
        <stp>##V3_BDPV12</stp>
        <stp>WCARPTI Index</stp>
        <stp>PX385</stp>
        <stp>[BI_AUTMG_1_l22cd4li.xlsx]ReferenceData!R190C64</stp>
        <stp>PX391=20040701</stp>
        <stp>PX392=20040930</stp>
        <stp>DS004=USD</stp>
        <stp>Fill=B</stp>
        <tr r="BL190" s="3"/>
      </tp>
      <tp t="s">
        <v>#N/A Connection</v>
        <stp/>
        <stp>##V3_BDPV12</stp>
        <stp>WCAREE Index</stp>
        <stp>PX385</stp>
        <stp>[BI_AUTMG_1_l22cd4li.xlsx]ReferenceData!R198C31</stp>
        <stp>PX391=20121001</stp>
        <stp>PX392=20121231</stp>
        <stp>DS004=USD</stp>
        <stp>Fill=B</stp>
        <tr r="AE198" s="3"/>
      </tp>
      <tp t="s">
        <v>#N/A Connection</v>
        <stp/>
        <stp>##V3_BDPV12</stp>
        <stp>WCARSEI Index</stp>
        <stp>PX385</stp>
        <stp>[BI_AUTMG_1_l22cd4li.xlsx]ReferenceData!R192C13</stp>
        <stp>PX391=20170401</stp>
        <stp>PX392=20170630</stp>
        <stp>DS004=USD</stp>
        <stp>Fill=B</stp>
        <tr r="M192" s="3"/>
      </tp>
      <tp t="s">
        <v>#N/A Connection</v>
        <stp/>
        <stp>##V3_BDPV12</stp>
        <stp>SINVHR Index</stp>
        <stp>PX385</stp>
        <stp>[BI_AUTMG_1_l22cd4li.xlsx]ReferenceData!R172C57</stp>
        <stp>PX391=20060401</stp>
        <stp>PX392=20060630</stp>
        <stp>DS004=USD</stp>
        <stp>Fill=B</stp>
        <tr r="BE172" s="3"/>
      </tp>
      <tp t="s">
        <v>#N/A Connection</v>
        <stp/>
        <stp>##V3_BDPV12</stp>
        <stp>WCARHU Index</stp>
        <stp>PX385</stp>
        <stp>[BI_AUTMG_1_l22cd4li.xlsx]ReferenceData!R199C34</stp>
        <stp>PX391=20120101</stp>
        <stp>PX392=20120331</stp>
        <stp>DS004=USD</stp>
        <stp>Fill=B</stp>
        <tr r="AH199" s="3"/>
      </tp>
      <tp t="s">
        <v>#N/A Connection</v>
        <stp/>
        <stp>##V3_BDPV12</stp>
        <stp>WCARPTI Index</stp>
        <stp>PX385</stp>
        <stp>[BI_AUTMG_1_l22cd4li.xlsx]ReferenceData!R190C60</stp>
        <stp>PX391=20050701</stp>
        <stp>PX392=20050930</stp>
        <stp>DS004=USD</stp>
        <stp>Fill=B</stp>
        <tr r="BH190" s="3"/>
      </tp>
      <tp t="s">
        <v>#N/A Connection</v>
        <stp/>
        <stp>##V3_BDPV12</stp>
        <stp>WCARCHI Index</stp>
        <stp>PX385</stp>
        <stp>[BI_AUTMG_1_l22cd4li.xlsx]ReferenceData!R193C45</stp>
        <stp>PX391=20090401</stp>
        <stp>PX392=20090630</stp>
        <stp>DS004=USD</stp>
        <stp>Fill=B</stp>
        <tr r="AS193" s="3"/>
      </tp>
      <tp t="s">
        <v>#N/A Connection</v>
        <stp/>
        <stp>##V3_BDPV12</stp>
        <stp>WCARBEI Index</stp>
        <stp>PX385</stp>
        <stp>[BI_AUTMG_1_l22cd4li.xlsx]ReferenceData!R177C43</stp>
        <stp>PX391=20091001</stp>
        <stp>PX392=20091231</stp>
        <stp>DS004=USD</stp>
        <stp>Fill=B</stp>
        <tr r="AQ177" s="3"/>
      </tp>
      <tp t="s">
        <v>#N/A Connection</v>
        <stp/>
        <stp>##V3_BDPV12</stp>
        <stp>WCARBEI Index</stp>
        <stp>PX385</stp>
        <stp>[BI_AUTMG_1_l22cd4li.xlsx]ReferenceData!R177C10</stp>
        <stp>PX391=20180101</stp>
        <stp>PX392=20180331</stp>
        <stp>DS004=USD</stp>
        <stp>Fill=B</stp>
        <tr r="J177" s="3"/>
      </tp>
      <tp t="s">
        <v>#N/A Connection</v>
        <stp/>
        <stp>##V3_BDPV12</stp>
        <stp>KNNVREG Index</stp>
        <stp>PX385</stp>
        <stp>[BI_AUTMG_1_l22cd4li.xlsx]ReferenceData!R216C21</stp>
        <stp>PX391=20150401</stp>
        <stp>PX392=20150630</stp>
        <stp>DS004=USD</stp>
        <stp>Fill=B</stp>
        <tr r="U216" s="3"/>
      </tp>
      <tp t="s">
        <v>#N/A Connection</v>
        <stp/>
        <stp>##V3_BDPV12</stp>
        <stp>WCARLUI Index</stp>
        <stp>PX385</stp>
        <stp>[BI_AUTMG_1_l22cd4li.xlsx]ReferenceData!R187C18</stp>
        <stp>PX391=20160101</stp>
        <stp>PX392=20160331</stp>
        <stp>DS004=USD</stp>
        <stp>Fill=B</stp>
        <tr r="R187" s="3"/>
      </tp>
      <tp t="s">
        <v>#N/A Connection</v>
        <stp/>
        <stp>##V3_BDPV12</stp>
        <stp>WCARITI Index</stp>
        <stp>PX385</stp>
        <stp>[BI_AUTMG_1_l22cd4li.xlsx]ReferenceData!R186C27</stp>
        <stp>PX391=20131001</stp>
        <stp>PX392=20131231</stp>
        <stp>DS004=USD</stp>
        <stp>Fill=B</stp>
        <tr r="AA186" s="3"/>
      </tp>
      <tp t="s">
        <v>#N/A Connection</v>
        <stp/>
        <stp>##V3_BDPV12</stp>
        <stp>WCARLUI Index</stp>
        <stp>PX385</stp>
        <stp>[BI_AUTMG_1_l22cd4li.xlsx]ReferenceData!R187C51</stp>
        <stp>PX391=20071001</stp>
        <stp>PX392=20071231</stp>
        <stp>DS004=USD</stp>
        <stp>Fill=B</stp>
        <tr r="AY187" s="3"/>
      </tp>
      <tp t="s">
        <v>#N/A Connection</v>
        <stp/>
        <stp>##V3_BDPV12</stp>
        <stp>THVHSCAR Index</stp>
        <stp>PX385</stp>
        <stp>[BI_AUTMG_1_l22cd4li.xlsx]ReferenceData!R174C21</stp>
        <stp>PX391=20150401</stp>
        <stp>PX392=20150630</stp>
        <stp>DS004=USD</stp>
        <stp>Fill=B</stp>
        <tr r="U174" s="3"/>
      </tp>
      <tp t="s">
        <v>#N/A Connection</v>
        <stp/>
        <stp>##V3_BDPV12</stp>
        <stp>WCARCHI Index</stp>
        <stp>PX385</stp>
        <stp>[BI_AUTMG_1_l22cd4li.xlsx]ReferenceData!R193C49</stp>
        <stp>PX391=20080401</stp>
        <stp>PX392=20080630</stp>
        <stp>DS004=USD</stp>
        <stp>Fill=B</stp>
        <tr r="AW193" s="3"/>
      </tp>
      <tp t="s">
        <v>#N/A Connection</v>
        <stp/>
        <stp>##V3_BDPV12</stp>
        <stp>WCARBEI Index</stp>
        <stp>PX385</stp>
        <stp>[BI_AUTMG_1_l22cd4li.xlsx]ReferenceData!R177C47</stp>
        <stp>PX391=20081001</stp>
        <stp>PX392=20081231</stp>
        <stp>DS004=USD</stp>
        <stp>Fill=B</stp>
        <tr r="AU177" s="3"/>
      </tp>
      <tp t="s">
        <v>#N/A Connection</v>
        <stp/>
        <stp>##V3_BDPV12</stp>
        <stp>KNNVREG Index</stp>
        <stp>PX385</stp>
        <stp>[BI_AUTMG_1_l22cd4li.xlsx]ReferenceData!R216C25</stp>
        <stp>PX391=20140401</stp>
        <stp>PX392=20140630</stp>
        <stp>DS004=USD</stp>
        <stp>Fill=B</stp>
        <tr r="Y216" s="3"/>
      </tp>
      <tp t="s">
        <v>#N/A Connection</v>
        <stp/>
        <stp>##V3_BDPV12</stp>
        <stp>WCARLUI Index</stp>
        <stp>PX385</stp>
        <stp>[BI_AUTMG_1_l22cd4li.xlsx]ReferenceData!R187C14</stp>
        <stp>PX391=20170101</stp>
        <stp>PX392=20170331</stp>
        <stp>DS004=USD</stp>
        <stp>Fill=B</stp>
        <tr r="N187" s="3"/>
      </tp>
      <tp t="s">
        <v>#N/A Connection</v>
        <stp/>
        <stp>##V3_BDPV12</stp>
        <stp>WCARITI Index</stp>
        <stp>PX385</stp>
        <stp>[BI_AUTMG_1_l22cd4li.xlsx]ReferenceData!R186C31</stp>
        <stp>PX391=20121001</stp>
        <stp>PX392=20121231</stp>
        <stp>DS004=USD</stp>
        <stp>Fill=B</stp>
        <tr r="AE186" s="3"/>
      </tp>
      <tp t="s">
        <v>#N/A Connection</v>
        <stp/>
        <stp>##V3_BDPV12</stp>
        <stp>WCARLUI Index</stp>
        <stp>PX385</stp>
        <stp>[BI_AUTMG_1_l22cd4li.xlsx]ReferenceData!R187C55</stp>
        <stp>PX391=20061001</stp>
        <stp>PX392=20061231</stp>
        <stp>DS004=USD</stp>
        <stp>Fill=B</stp>
        <tr r="BC187" s="3"/>
      </tp>
      <tp t="s">
        <v>#N/A Connection</v>
        <stp/>
        <stp>##V3_BDPV12</stp>
        <stp>THVHSCAR Index</stp>
        <stp>PX385</stp>
        <stp>[BI_AUTMG_1_l22cd4li.xlsx]ReferenceData!R174C25</stp>
        <stp>PX391=20140401</stp>
        <stp>PX392=20140630</stp>
        <stp>DS004=USD</stp>
        <stp>Fill=B</stp>
        <tr r="Y174" s="3"/>
      </tp>
      <tp t="s">
        <v>#N/A Connection</v>
        <stp/>
        <stp>##V3_BDPV12</stp>
        <stp>KNNVREG Index</stp>
        <stp>PX385</stp>
        <stp>[BI_AUTMG_1_l22cd4li.xlsx]ReferenceData!R216C13</stp>
        <stp>PX391=20170401</stp>
        <stp>PX392=20170630</stp>
        <stp>DS004=USD</stp>
        <stp>Fill=B</stp>
        <tr r="M216" s="3"/>
      </tp>
      <tp t="s">
        <v>#N/A Connection</v>
        <stp/>
        <stp>##V3_BDPV12</stp>
        <stp>WCARLUI Index</stp>
        <stp>PX385</stp>
        <stp>[BI_AUTMG_1_l22cd4li.xlsx]ReferenceData!R187C26</stp>
        <stp>PX391=20140101</stp>
        <stp>PX392=20140331</stp>
        <stp>DS004=USD</stp>
        <stp>Fill=B</stp>
        <tr r="Z187" s="3"/>
      </tp>
      <tp t="s">
        <v>#N/A Connection</v>
        <stp/>
        <stp>##V3_BDPV12</stp>
        <stp>WCARLUI Index</stp>
        <stp>PX385</stp>
        <stp>[BI_AUTMG_1_l22cd4li.xlsx]ReferenceData!R187C59</stp>
        <stp>PX391=20051001</stp>
        <stp>PX392=20051231</stp>
        <stp>DS004=USD</stp>
        <stp>Fill=B</stp>
        <tr r="BG187" s="3"/>
      </tp>
      <tp t="s">
        <v>#N/A Connection</v>
        <stp/>
        <stp>##V3_BDPV12</stp>
        <stp>CNVSTTL Index</stp>
        <stp>PX385</stp>
        <stp>[BI_AUTMG_1_l22cd4li.xlsx]ReferenceData!R162C49</stp>
        <stp>PX391=20080401</stp>
        <stp>PX392=20080630</stp>
        <stp>DS004=USD</stp>
        <stp>Fill=B</stp>
        <tr r="AW162" s="3"/>
      </tp>
      <tp t="s">
        <v>#N/A Connection</v>
        <stp/>
        <stp>##V3_BDPV12</stp>
        <stp>WCARITI Index</stp>
        <stp>PX385</stp>
        <stp>[BI_AUTMG_1_l22cd4li.xlsx]ReferenceData!R186C35</stp>
        <stp>PX391=20111001</stp>
        <stp>PX392=20111231</stp>
        <stp>DS004=USD</stp>
        <stp>Fill=B</stp>
        <tr r="AI186" s="3"/>
      </tp>
      <tp t="s">
        <v>#N/A Connection</v>
        <stp/>
        <stp>##V3_BDPV12</stp>
        <stp>WCARATI Index</stp>
        <stp>PX385</stp>
        <stp>[BI_AUTMG_1_l22cd4li.xlsx]ReferenceData!R176C50</stp>
        <stp>PX391=20080101</stp>
        <stp>PX392=20080331</stp>
        <stp>DS004=USD</stp>
        <stp>Fill=B</stp>
        <tr r="AX176" s="3"/>
      </tp>
      <tp t="s">
        <v>#N/A Connection</v>
        <stp/>
        <stp>##V3_BDPV12</stp>
        <stp>THVHSCAR Index</stp>
        <stp>PX385</stp>
        <stp>[BI_AUTMG_1_l22cd4li.xlsx]ReferenceData!R174C13</stp>
        <stp>PX391=20170401</stp>
        <stp>PX392=20170630</stp>
        <stp>DS004=USD</stp>
        <stp>Fill=B</stp>
        <tr r="M174" s="3"/>
      </tp>
      <tp t="s">
        <v>#N/A Connection</v>
        <stp/>
        <stp>##V3_BDPV12</stp>
        <stp>KNNVREG Index</stp>
        <stp>PX385</stp>
        <stp>[BI_AUTMG_1_l22cd4li.xlsx]ReferenceData!R216C17</stp>
        <stp>PX391=20160401</stp>
        <stp>PX392=20160630</stp>
        <stp>DS004=USD</stp>
        <stp>Fill=B</stp>
        <tr r="Q216" s="3"/>
      </tp>
      <tp t="s">
        <v>#N/A Connection</v>
        <stp/>
        <stp>##V3_BDPV12</stp>
        <stp>WCARLUI Index</stp>
        <stp>PX385</stp>
        <stp>[BI_AUTMG_1_l22cd4li.xlsx]ReferenceData!R187C22</stp>
        <stp>PX391=20150101</stp>
        <stp>PX392=20150331</stp>
        <stp>DS004=USD</stp>
        <stp>Fill=B</stp>
        <tr r="V187" s="3"/>
      </tp>
      <tp t="s">
        <v>#N/A Connection</v>
        <stp/>
        <stp>##V3_BDPV12</stp>
        <stp>CNVSTTL Index</stp>
        <stp>PX385</stp>
        <stp>[BI_AUTMG_1_l22cd4li.xlsx]ReferenceData!R162C45</stp>
        <stp>PX391=20090401</stp>
        <stp>PX392=20090630</stp>
        <stp>DS004=USD</stp>
        <stp>Fill=B</stp>
        <tr r="AS162" s="3"/>
      </tp>
      <tp t="s">
        <v>#N/A Connection</v>
        <stp/>
        <stp>##V3_BDPV12</stp>
        <stp>WCARLUI Index</stp>
        <stp>PX385</stp>
        <stp>[BI_AUTMG_1_l22cd4li.xlsx]ReferenceData!R187C63</stp>
        <stp>PX391=20041001</stp>
        <stp>PX392=20041231</stp>
        <stp>DS004=USD</stp>
        <stp>Fill=B</stp>
        <tr r="BK187" s="3"/>
      </tp>
      <tp t="s">
        <v>#N/A Connection</v>
        <stp/>
        <stp>##V3_BDPV12</stp>
        <stp>WCARITI Index</stp>
        <stp>PX385</stp>
        <stp>[BI_AUTMG_1_l22cd4li.xlsx]ReferenceData!R186C39</stp>
        <stp>PX391=20101001</stp>
        <stp>PX392=20101231</stp>
        <stp>DS004=USD</stp>
        <stp>Fill=B</stp>
        <tr r="AM186" s="3"/>
      </tp>
      <tp t="s">
        <v>#N/A Connection</v>
        <stp/>
        <stp>##V3_BDPV12</stp>
        <stp>WCARATI Index</stp>
        <stp>PX385</stp>
        <stp>[BI_AUTMG_1_l22cd4li.xlsx]ReferenceData!R176C46</stp>
        <stp>PX391=20090101</stp>
        <stp>PX392=20090331</stp>
        <stp>DS004=USD</stp>
        <stp>Fill=B</stp>
        <tr r="AT176" s="3"/>
      </tp>
      <tp t="s">
        <v>#N/A Connection</v>
        <stp/>
        <stp>##V3_BDPV12</stp>
        <stp>THVHSCAR Index</stp>
        <stp>PX385</stp>
        <stp>[BI_AUTMG_1_l22cd4li.xlsx]ReferenceData!R174C17</stp>
        <stp>PX391=20160401</stp>
        <stp>PX392=20160630</stp>
        <stp>DS004=USD</stp>
        <stp>Fill=B</stp>
        <tr r="Q174" s="3"/>
      </tp>
      <tp t="s">
        <v>#N/A Connection</v>
        <stp/>
        <stp>##V3_BDPV12</stp>
        <stp>WCARFII Index</stp>
        <stp>PX385</stp>
        <stp>[BI_AUTMG_1_l22cd4li.xlsx]ReferenceData!R180C48</stp>
        <stp>PX391=20080701</stp>
        <stp>PX392=20080930</stp>
        <stp>DS004=USD</stp>
        <stp>Fill=B</stp>
        <tr r="AV180" s="3"/>
      </tp>
      <tp t="s">
        <v>#N/A Connection</v>
        <stp/>
        <stp>##V3_BDPV12</stp>
        <stp>KNNVREG Index</stp>
        <stp>PX385</stp>
        <stp>[BI_AUTMG_1_l22cd4li.xlsx]ReferenceData!R216C37</stp>
        <stp>PX391=20110401</stp>
        <stp>PX392=20110630</stp>
        <stp>DS004=USD</stp>
        <stp>Fill=B</stp>
        <tr r="AK216" s="3"/>
      </tp>
      <tp t="s">
        <v>#N/A Connection</v>
        <stp/>
        <stp>##V3_BDPV12</stp>
        <stp>WCARITI Index</stp>
        <stp>PX385</stp>
        <stp>[BI_AUTMG_1_l22cd4li.xlsx]ReferenceData!R186C11</stp>
        <stp>PX391=20171001</stp>
        <stp>PX392=20171231</stp>
        <stp>DS004=USD</stp>
        <stp>Fill=B</stp>
        <tr r="K186" s="3"/>
      </tp>
      <tp t="s">
        <v>#N/A Connection</v>
        <stp/>
        <stp>##V3_BDPV12</stp>
        <stp>WCARLUI Index</stp>
        <stp>PX385</stp>
        <stp>[BI_AUTMG_1_l22cd4li.xlsx]ReferenceData!R187C34</stp>
        <stp>PX391=20120101</stp>
        <stp>PX392=20120331</stp>
        <stp>DS004=USD</stp>
        <stp>Fill=B</stp>
        <tr r="AH187" s="3"/>
      </tp>
      <tp t="s">
        <v>#N/A Connection</v>
        <stp/>
        <stp>##V3_BDPV12</stp>
        <stp>WCARITI Index</stp>
        <stp>PX385</stp>
        <stp>[BI_AUTMG_1_l22cd4li.xlsx]ReferenceData!R186C58</stp>
        <stp>PX391=20060101</stp>
        <stp>PX392=20060331</stp>
        <stp>DS004=USD</stp>
        <stp>Fill=B</stp>
        <tr r="BF186" s="3"/>
      </tp>
      <tp t="s">
        <v>#N/A Connection</v>
        <stp/>
        <stp>##V3_BDPV12</stp>
        <stp>WCARGRI Index</stp>
        <stp>PX385</stp>
        <stp>[BI_AUTMG_1_l22cd4li.xlsx]ReferenceData!R183C45</stp>
        <stp>PX391=20090401</stp>
        <stp>PX392=20090630</stp>
        <stp>DS004=USD</stp>
        <stp>Fill=B</stp>
        <tr r="AS183" s="3"/>
      </tp>
      <tp t="s">
        <v>#N/A Connection</v>
        <stp/>
        <stp>##V3_BDPV12</stp>
        <stp>THVHSCAR Index</stp>
        <stp>PX385</stp>
        <stp>[BI_AUTMG_1_l22cd4li.xlsx]ReferenceData!R174C37</stp>
        <stp>PX391=20110401</stp>
        <stp>PX392=20110630</stp>
        <stp>DS004=USD</stp>
        <stp>Fill=B</stp>
        <tr r="AK174" s="3"/>
      </tp>
      <tp t="s">
        <v>#N/A Connection</v>
        <stp/>
        <stp>##V3_BDPV12</stp>
        <stp>WCARFII Index</stp>
        <stp>PX385</stp>
        <stp>[BI_AUTMG_1_l22cd4li.xlsx]ReferenceData!R180C44</stp>
        <stp>PX391=20090701</stp>
        <stp>PX392=20090930</stp>
        <stp>DS004=USD</stp>
        <stp>Fill=B</stp>
        <tr r="AR180" s="3"/>
      </tp>
      <tp t="s">
        <v>#N/A Connection</v>
        <stp/>
        <stp>##V3_BDPV12</stp>
        <stp>KNNVREG Index</stp>
        <stp>PX385</stp>
        <stp>[BI_AUTMG_1_l22cd4li.xlsx]ReferenceData!R216C41</stp>
        <stp>PX391=20100401</stp>
        <stp>PX392=20100630</stp>
        <stp>DS004=USD</stp>
        <stp>Fill=B</stp>
        <tr r="AO216" s="3"/>
      </tp>
      <tp t="s">
        <v>#N/A Connection</v>
        <stp/>
        <stp>##V3_BDPV12</stp>
        <stp>WCARITI Index</stp>
        <stp>PX385</stp>
        <stp>[BI_AUTMG_1_l22cd4li.xlsx]ReferenceData!R186C15</stp>
        <stp>PX391=20161001</stp>
        <stp>PX392=20161231</stp>
        <stp>DS004=USD</stp>
        <stp>Fill=B</stp>
        <tr r="O186" s="3"/>
      </tp>
      <tp t="s">
        <v>#N/A Connection</v>
        <stp/>
        <stp>##V3_BDPV12</stp>
        <stp>WCARLUI Index</stp>
        <stp>PX385</stp>
        <stp>[BI_AUTMG_1_l22cd4li.xlsx]ReferenceData!R187C30</stp>
        <stp>PX391=20130101</stp>
        <stp>PX392=20130331</stp>
        <stp>DS004=USD</stp>
        <stp>Fill=B</stp>
        <tr r="AD187" s="3"/>
      </tp>
      <tp t="s">
        <v>#N/A Connection</v>
        <stp/>
        <stp>##V3_BDPV12</stp>
        <stp>WCARITI Index</stp>
        <stp>PX385</stp>
        <stp>[BI_AUTMG_1_l22cd4li.xlsx]ReferenceData!R186C54</stp>
        <stp>PX391=20070101</stp>
        <stp>PX392=20070331</stp>
        <stp>DS004=USD</stp>
        <stp>Fill=B</stp>
        <tr r="BB186" s="3"/>
      </tp>
      <tp t="s">
        <v>#N/A Connection</v>
        <stp/>
        <stp>##V3_BDPV12</stp>
        <stp>WCARGRI Index</stp>
        <stp>PX385</stp>
        <stp>[BI_AUTMG_1_l22cd4li.xlsx]ReferenceData!R183C49</stp>
        <stp>PX391=20080401</stp>
        <stp>PX392=20080630</stp>
        <stp>DS004=USD</stp>
        <stp>Fill=B</stp>
        <tr r="AW183" s="3"/>
      </tp>
      <tp t="s">
        <v>#N/A Connection</v>
        <stp/>
        <stp>##V3_BDPV12</stp>
        <stp>THVHSCAR Index</stp>
        <stp>PX385</stp>
        <stp>[BI_AUTMG_1_l22cd4li.xlsx]ReferenceData!R174C41</stp>
        <stp>PX391=20100401</stp>
        <stp>PX392=20100630</stp>
        <stp>DS004=USD</stp>
        <stp>Fill=B</stp>
        <tr r="AO174" s="3"/>
      </tp>
      <tp t="s">
        <v>#N/A Connection</v>
        <stp/>
        <stp>##V3_BDPV12</stp>
        <stp>KNNVREG Index</stp>
        <stp>PX385</stp>
        <stp>[BI_AUTMG_1_l22cd4li.xlsx]ReferenceData!R216C29</stp>
        <stp>PX391=20130401</stp>
        <stp>PX392=20130630</stp>
        <stp>DS004=USD</stp>
        <stp>Fill=B</stp>
        <tr r="AC216" s="3"/>
      </tp>
      <tp t="s">
        <v>#N/A Connection</v>
        <stp/>
        <stp>##V3_BDPV12</stp>
        <stp>WCARLUI Index</stp>
        <stp>PX385</stp>
        <stp>[BI_AUTMG_1_l22cd4li.xlsx]ReferenceData!R187C42</stp>
        <stp>PX391=20100101</stp>
        <stp>PX392=20100331</stp>
        <stp>DS004=USD</stp>
        <stp>Fill=B</stp>
        <tr r="AP187" s="3"/>
      </tp>
      <tp t="s">
        <v>#N/A Connection</v>
        <stp/>
        <stp>##V3_BDPV12</stp>
        <stp>WCARITI Index</stp>
        <stp>PX385</stp>
        <stp>[BI_AUTMG_1_l22cd4li.xlsx]ReferenceData!R186C19</stp>
        <stp>PX391=20151001</stp>
        <stp>PX392=20151231</stp>
        <stp>DS004=USD</stp>
        <stp>Fill=B</stp>
        <tr r="S186" s="3"/>
      </tp>
      <tp t="s">
        <v>#N/A Connection</v>
        <stp/>
        <stp>##V3_BDPV12</stp>
        <stp>THVHSCAR Index</stp>
        <stp>PX385</stp>
        <stp>[BI_AUTMG_1_l22cd4li.xlsx]ReferenceData!R174C29</stp>
        <stp>PX391=20130401</stp>
        <stp>PX392=20130630</stp>
        <stp>DS004=USD</stp>
        <stp>Fill=B</stp>
        <tr r="AC174" s="3"/>
      </tp>
      <tp t="s">
        <v>#N/A Connection</v>
        <stp/>
        <stp>##V3_BDPV12</stp>
        <stp>AUTMAUVS Index</stp>
        <stp>PX385</stp>
        <stp>[BI_AUTMG_1_l22cd4li.xlsx]ReferenceData!R161C44</stp>
        <stp>PX391=20090701</stp>
        <stp>PX392=20090930</stp>
        <stp>DS004=USD</stp>
        <stp>Fill=B</stp>
        <tr r="AR161" s="3"/>
      </tp>
      <tp t="s">
        <v>#N/A Connection</v>
        <stp/>
        <stp>##V3_BDPV12</stp>
        <stp>VNVSTOTL Index</stp>
        <stp>PX385</stp>
        <stp>[BI_AUTMG_1_l22cd4li.xlsx]ReferenceData!R214C43</stp>
        <stp>PX391=20091001</stp>
        <stp>PX392=20091231</stp>
        <stp>DS004=USD</stp>
        <stp>Fill=B</stp>
        <tr r="AQ214" s="3"/>
      </tp>
      <tp t="s">
        <v>#N/A Connection</v>
        <stp/>
        <stp>##V3_BDPV12</stp>
        <stp>VNVSTOTL Index</stp>
        <stp>PX385</stp>
        <stp>[BI_AUTMG_1_l22cd4li.xlsx]ReferenceData!R214C10</stp>
        <stp>PX391=20180101</stp>
        <stp>PX392=20180331</stp>
        <stp>DS004=USD</stp>
        <stp>Fill=B</stp>
        <tr r="J214" s="3"/>
      </tp>
      <tp t="s">
        <v>#N/A Connection</v>
        <stp/>
        <stp>##V3_BDPV12</stp>
        <stp>KNNVREG Index</stp>
        <stp>PX385</stp>
        <stp>[BI_AUTMG_1_l22cd4li.xlsx]ReferenceData!R216C33</stp>
        <stp>PX391=20120401</stp>
        <stp>PX392=20120630</stp>
        <stp>DS004=USD</stp>
        <stp>Fill=B</stp>
        <tr r="AG216" s="3"/>
      </tp>
      <tp t="s">
        <v>#N/A Connection</v>
        <stp/>
        <stp>##V3_BDPV12</stp>
        <stp>WCARITI Index</stp>
        <stp>PX385</stp>
        <stp>[BI_AUTMG_1_l22cd4li.xlsx]ReferenceData!R186C23</stp>
        <stp>PX391=20141001</stp>
        <stp>PX392=20141231</stp>
        <stp>DS004=USD</stp>
        <stp>Fill=B</stp>
        <tr r="W186" s="3"/>
      </tp>
      <tp t="s">
        <v>#N/A Connection</v>
        <stp/>
        <stp>##V3_BDPV12</stp>
        <stp>WCARITI Index</stp>
        <stp>PX385</stp>
        <stp>[BI_AUTMG_1_l22cd4li.xlsx]ReferenceData!R186C62</stp>
        <stp>PX391=20050101</stp>
        <stp>PX392=20050331</stp>
        <stp>DS004=USD</stp>
        <stp>Fill=B</stp>
        <tr r="BJ186" s="3"/>
      </tp>
      <tp t="s">
        <v>#N/A Connection</v>
        <stp/>
        <stp>##V3_BDPV12</stp>
        <stp>WCARLUI Index</stp>
        <stp>PX385</stp>
        <stp>[BI_AUTMG_1_l22cd4li.xlsx]ReferenceData!R187C38</stp>
        <stp>PX391=20110101</stp>
        <stp>PX392=20110331</stp>
        <stp>DS004=USD</stp>
        <stp>Fill=B</stp>
        <tr r="AL187" s="3"/>
      </tp>
      <tp t="s">
        <v>#N/A Connection</v>
        <stp/>
        <stp>##V3_BDPV12</stp>
        <stp>THVHSCAR Index</stp>
        <stp>PX385</stp>
        <stp>[BI_AUTMG_1_l22cd4li.xlsx]ReferenceData!R174C33</stp>
        <stp>PX391=20120401</stp>
        <stp>PX392=20120630</stp>
        <stp>DS004=USD</stp>
        <stp>Fill=B</stp>
        <tr r="AG174" s="3"/>
      </tp>
      <tp t="s">
        <v>#N/A Connection</v>
        <stp/>
        <stp>##V3_BDPV12</stp>
        <stp>AUTMAUVS Index</stp>
        <stp>PX385</stp>
        <stp>[BI_AUTMG_1_l22cd4li.xlsx]ReferenceData!R161C48</stp>
        <stp>PX391=20080701</stp>
        <stp>PX392=20080930</stp>
        <stp>DS004=USD</stp>
        <stp>Fill=B</stp>
        <tr r="AV161" s="3"/>
      </tp>
      <tp t="s">
        <v>#N/A Connection</v>
        <stp/>
        <stp>##V3_BDPV12</stp>
        <stp>VNVSTOTL Index</stp>
        <stp>PX385</stp>
        <stp>[BI_AUTMG_1_l22cd4li.xlsx]ReferenceData!R214C47</stp>
        <stp>PX391=20081001</stp>
        <stp>PX392=20081231</stp>
        <stp>DS004=USD</stp>
        <stp>Fill=B</stp>
        <tr r="AU214" s="3"/>
      </tp>
      <tp t="s">
        <v>#N/A Connection</v>
        <stp/>
        <stp>##V3_BDPV12</stp>
        <stp>WCARBEI Index</stp>
        <stp>PX385</stp>
        <stp>[BI_AUTMG_1_l22cd4li.xlsx]ReferenceData!R177C42</stp>
        <stp>PX391=20100101</stp>
        <stp>PX392=20100331</stp>
        <stp>DS004=USD</stp>
        <stp>Fill=B</stp>
        <tr r="AP177" s="3"/>
      </tp>
      <tp t="s">
        <v>#N/A Connection</v>
        <stp/>
        <stp>##V3_BDPV12</stp>
        <stp>WCARDEI Index</stp>
        <stp>PX385</stp>
        <stp>[BI_AUTMG_1_l22cd4li.xlsx]ReferenceData!R182C13</stp>
        <stp>PX391=20170401</stp>
        <stp>PX392=20170630</stp>
        <stp>DS004=USD</stp>
        <stp>Fill=B</stp>
        <tr r="M182" s="3"/>
      </tp>
      <tp t="s">
        <v>#N/A Connection</v>
        <stp/>
        <stp>##V3_BDPV12</stp>
        <stp>WCARFII Index</stp>
        <stp>PX385</stp>
        <stp>[BI_AUTMG_1_l22cd4li.xlsx]ReferenceData!R180C64</stp>
        <stp>PX391=20040701</stp>
        <stp>PX392=20040930</stp>
        <stp>DS004=USD</stp>
        <stp>Fill=B</stp>
        <tr r="BL180" s="3"/>
      </tp>
      <tp t="s">
        <v>#N/A Connection</v>
        <stp/>
        <stp>##V3_BDPV12</stp>
        <stp>WCARGRI Index</stp>
        <stp>PX385</stp>
        <stp>[BI_AUTMG_1_l22cd4li.xlsx]ReferenceData!R183C61</stp>
        <stp>PX391=20050401</stp>
        <stp>PX392=20050630</stp>
        <stp>DS004=USD</stp>
        <stp>Fill=B</stp>
        <tr r="BI183" s="3"/>
      </tp>
      <tp t="s">
        <v>#N/A Connection</v>
        <stp/>
        <stp>##V3_BDPV12</stp>
        <stp>WCARESI Index</stp>
        <stp>PX385</stp>
        <stp>[BI_AUTMG_1_l22cd4li.xlsx]ReferenceData!R191C16</stp>
        <stp>PX391=20160701</stp>
        <stp>PX392=20160930</stp>
        <stp>DS004=USD</stp>
        <stp>Fill=B</stp>
        <tr r="P191" s="3"/>
      </tp>
      <tp t="s">
        <v>#N/A Connection</v>
        <stp/>
        <stp>##V3_BDPV12</stp>
        <stp>WCARATI Index</stp>
        <stp>PX385</stp>
        <stp>[BI_AUTMG_1_l22cd4li.xlsx]ReferenceData!R176C27</stp>
        <stp>PX391=20131001</stp>
        <stp>PX392=20131231</stp>
        <stp>DS004=USD</stp>
        <stp>Fill=B</stp>
        <tr r="AA176" s="3"/>
      </tp>
      <tp t="s">
        <v>#N/A Connection</v>
        <stp/>
        <stp>##V3_BDPV12</stp>
        <stp>WCARFRI Index</stp>
        <stp>PX385</stp>
        <stp>[BI_AUTMG_1_l22cd4li.xlsx]ReferenceData!R181C20</stp>
        <stp>PX391=20150701</stp>
        <stp>PX392=20150930</stp>
        <stp>DS004=USD</stp>
        <stp>Fill=B</stp>
        <tr r="T181" s="3"/>
      </tp>
      <tp t="s">
        <v>#N/A Connection</v>
        <stp/>
        <stp>##V3_BDPV12</stp>
        <stp>TWVSDOM Index</stp>
        <stp>PX385</stp>
        <stp>[BI_AUTMG_1_l22cd4li.xlsx]ReferenceData!R173C25</stp>
        <stp>PX391=20140401</stp>
        <stp>PX392=20140630</stp>
        <stp>DS004=USD</stp>
        <stp>Fill=B</stp>
        <tr r="Y173" s="3"/>
      </tp>
      <tp t="s">
        <v>#N/A Connection</v>
        <stp/>
        <stp>##V3_BDPV12</stp>
        <stp>ARVSARTL Index</stp>
        <stp>PX385</stp>
        <stp>[BI_AUTMG_1_l22cd4li.xlsx]ReferenceData!R210C16</stp>
        <stp>PX391=20160701</stp>
        <stp>PX392=20160930</stp>
        <stp>DS004=USD</stp>
        <stp>Fill=B</stp>
        <tr r="P210" s="3"/>
      </tp>
      <tp t="s">
        <v>#N/A Connection</v>
        <stp/>
        <stp>##V3_BDPV12</stp>
        <stp>VNVSTOTL Index</stp>
        <stp>PX385</stp>
        <stp>[BI_AUTMG_1_l22cd4li.xlsx]ReferenceData!R214C18</stp>
        <stp>PX391=20160101</stp>
        <stp>PX392=20160331</stp>
        <stp>DS004=USD</stp>
        <stp>Fill=B</stp>
        <tr r="R214" s="3"/>
      </tp>
      <tp t="s">
        <v>#N/A Connection</v>
        <stp/>
        <stp>##V3_BDPV12</stp>
        <stp>VNVSTOTL Index</stp>
        <stp>PX385</stp>
        <stp>[BI_AUTMG_1_l22cd4li.xlsx]ReferenceData!R214C51</stp>
        <stp>PX391=20071001</stp>
        <stp>PX392=20071231</stp>
        <stp>DS004=USD</stp>
        <stp>Fill=B</stp>
        <tr r="AY214" s="3"/>
      </tp>
      <tp t="s">
        <v>#N/A Connection</v>
        <stp/>
        <stp>##V3_BDPV12</stp>
        <stp>AUTMAUVS Index</stp>
        <stp>PX385</stp>
        <stp>[BI_AUTMG_1_l22cd4li.xlsx]ReferenceData!R161C52</stp>
        <stp>PX391=20070701</stp>
        <stp>PX392=20070930</stp>
        <stp>DS004=USD</stp>
        <stp>Fill=B</stp>
        <tr r="AZ161" s="3"/>
      </tp>
      <tp t="s">
        <v>#N/A Connection</v>
        <stp/>
        <stp>##V3_BDPV12</stp>
        <stp>WCARDEI Index</stp>
        <stp>PX385</stp>
        <stp>[BI_AUTMG_1_l22cd4li.xlsx]ReferenceData!R182C17</stp>
        <stp>PX391=20160401</stp>
        <stp>PX392=20160630</stp>
        <stp>DS004=USD</stp>
        <stp>Fill=B</stp>
        <tr r="Q182" s="3"/>
      </tp>
      <tp t="s">
        <v>#N/A Connection</v>
        <stp/>
        <stp>##V3_BDPV12</stp>
        <stp>WCARBEI Index</stp>
        <stp>PX385</stp>
        <stp>[BI_AUTMG_1_l22cd4li.xlsx]ReferenceData!R177C38</stp>
        <stp>PX391=20110101</stp>
        <stp>PX392=20110331</stp>
        <stp>DS004=USD</stp>
        <stp>Fill=B</stp>
        <tr r="AL177" s="3"/>
      </tp>
      <tp t="s">
        <v>#N/A Connection</v>
        <stp/>
        <stp>##V3_BDPV12</stp>
        <stp>WCARFII Index</stp>
        <stp>PX385</stp>
        <stp>[BI_AUTMG_1_l22cd4li.xlsx]ReferenceData!R180C60</stp>
        <stp>PX391=20050701</stp>
        <stp>PX392=20050930</stp>
        <stp>DS004=USD</stp>
        <stp>Fill=B</stp>
        <tr r="BH180" s="3"/>
      </tp>
      <tp t="s">
        <v>#N/A Connection</v>
        <stp/>
        <stp>##V3_BDPV12</stp>
        <stp>WCARGRI Index</stp>
        <stp>PX385</stp>
        <stp>[BI_AUTMG_1_l22cd4li.xlsx]ReferenceData!R183C65</stp>
        <stp>PX391=20040401</stp>
        <stp>PX392=20040630</stp>
        <stp>DS004=USD</stp>
        <stp>Fill=B</stp>
        <tr r="BM183" s="3"/>
      </tp>
      <tp t="s">
        <v>#N/A Connection</v>
        <stp/>
        <stp>##V3_BDPV12</stp>
        <stp>WCARATI Index</stp>
        <stp>PX385</stp>
        <stp>[BI_AUTMG_1_l22cd4li.xlsx]ReferenceData!R176C31</stp>
        <stp>PX391=20121001</stp>
        <stp>PX392=20121231</stp>
        <stp>DS004=USD</stp>
        <stp>Fill=B</stp>
        <tr r="AE176" s="3"/>
      </tp>
      <tp t="s">
        <v>#N/A Connection</v>
        <stp/>
        <stp>##V3_BDPV12</stp>
        <stp>WCARFRI Index</stp>
        <stp>PX385</stp>
        <stp>[BI_AUTMG_1_l22cd4li.xlsx]ReferenceData!R181C24</stp>
        <stp>PX391=20140701</stp>
        <stp>PX392=20140930</stp>
        <stp>DS004=USD</stp>
        <stp>Fill=B</stp>
        <tr r="X181" s="3"/>
      </tp>
      <tp t="s">
        <v>#N/A Connection</v>
        <stp/>
        <stp>##V3_BDPV12</stp>
        <stp>WCARESI Index</stp>
        <stp>PX385</stp>
        <stp>[BI_AUTMG_1_l22cd4li.xlsx]ReferenceData!R191C12</stp>
        <stp>PX391=20170701</stp>
        <stp>PX392=20170930</stp>
        <stp>DS004=USD</stp>
        <stp>Fill=B</stp>
        <tr r="L191" s="3"/>
      </tp>
      <tp t="s">
        <v>#N/A Connection</v>
        <stp/>
        <stp>##V3_BDPV12</stp>
        <stp>TWVSDOM Index</stp>
        <stp>PX385</stp>
        <stp>[BI_AUTMG_1_l22cd4li.xlsx]ReferenceData!R173C21</stp>
        <stp>PX391=20150401</stp>
        <stp>PX392=20150630</stp>
        <stp>DS004=USD</stp>
        <stp>Fill=B</stp>
        <tr r="U173" s="3"/>
      </tp>
      <tp t="s">
        <v>#N/A Connection</v>
        <stp/>
        <stp>##V3_BDPV12</stp>
        <stp>VNVSTOTL Index</stp>
        <stp>PX385</stp>
        <stp>[BI_AUTMG_1_l22cd4li.xlsx]ReferenceData!R214C14</stp>
        <stp>PX391=20170101</stp>
        <stp>PX392=20170331</stp>
        <stp>DS004=USD</stp>
        <stp>Fill=B</stp>
        <tr r="N214" s="3"/>
      </tp>
      <tp t="s">
        <v>#N/A Connection</v>
        <stp/>
        <stp>##V3_BDPV12</stp>
        <stp>ARVSARTL Index</stp>
        <stp>PX385</stp>
        <stp>[BI_AUTMG_1_l22cd4li.xlsx]ReferenceData!R210C12</stp>
        <stp>PX391=20170701</stp>
        <stp>PX392=20170930</stp>
        <stp>DS004=USD</stp>
        <stp>Fill=B</stp>
        <tr r="L210" s="3"/>
      </tp>
      <tp t="s">
        <v>#N/A Connection</v>
        <stp/>
        <stp>##V3_BDPV12</stp>
        <stp>VNVSTOTL Index</stp>
        <stp>PX385</stp>
        <stp>[BI_AUTMG_1_l22cd4li.xlsx]ReferenceData!R214C55</stp>
        <stp>PX391=20061001</stp>
        <stp>PX392=20061231</stp>
        <stp>DS004=USD</stp>
        <stp>Fill=B</stp>
        <tr r="BC214" s="3"/>
      </tp>
      <tp t="s">
        <v>#N/A Connection</v>
        <stp/>
        <stp>##V3_BDPV12</stp>
        <stp>AUTMAUVS Index</stp>
        <stp>PX385</stp>
        <stp>[BI_AUTMG_1_l22cd4li.xlsx]ReferenceData!R161C56</stp>
        <stp>PX391=20060701</stp>
        <stp>PX392=20060930</stp>
        <stp>DS004=USD</stp>
        <stp>Fill=B</stp>
        <tr r="BD161" s="3"/>
      </tp>
      <tp t="s">
        <v>#N/A Connection</v>
        <stp/>
        <stp>##V3_BDPV12</stp>
        <stp>WCARDEI Index</stp>
        <stp>PX385</stp>
        <stp>[BI_AUTMG_1_l22cd4li.xlsx]ReferenceData!R182C21</stp>
        <stp>PX391=20150401</stp>
        <stp>PX392=20150630</stp>
        <stp>DS004=USD</stp>
        <stp>Fill=B</stp>
        <tr r="U182" s="3"/>
      </tp>
      <tp t="s">
        <v>#N/A Connection</v>
        <stp/>
        <stp>##V3_BDPV12</stp>
        <stp>WCARBEI Index</stp>
        <stp>PX385</stp>
        <stp>[BI_AUTMG_1_l22cd4li.xlsx]ReferenceData!R177C34</stp>
        <stp>PX391=20120101</stp>
        <stp>PX392=20120331</stp>
        <stp>DS004=USD</stp>
        <stp>Fill=B</stp>
        <tr r="AH177" s="3"/>
      </tp>
      <tp t="s">
        <v>#N/A Connection</v>
        <stp/>
        <stp>##V3_BDPV12</stp>
        <stp>WCARFII Index</stp>
        <stp>PX385</stp>
        <stp>[BI_AUTMG_1_l22cd4li.xlsx]ReferenceData!R180C56</stp>
        <stp>PX391=20060701</stp>
        <stp>PX392=20060930</stp>
        <stp>DS004=USD</stp>
        <stp>Fill=B</stp>
        <tr r="BD180" s="3"/>
      </tp>
      <tp t="s">
        <v>#N/A Connection</v>
        <stp/>
        <stp>##V3_BDPV12</stp>
        <stp>WCARGRI Index</stp>
        <stp>PX385</stp>
        <stp>[BI_AUTMG_1_l22cd4li.xlsx]ReferenceData!R183C53</stp>
        <stp>PX391=20070401</stp>
        <stp>PX392=20070630</stp>
        <stp>DS004=USD</stp>
        <stp>Fill=B</stp>
        <tr r="BA183" s="3"/>
      </tp>
      <tp t="s">
        <v>#N/A Connection</v>
        <stp/>
        <stp>##V3_BDPV12</stp>
        <stp>WCARFRI Index</stp>
        <stp>PX385</stp>
        <stp>[BI_AUTMG_1_l22cd4li.xlsx]ReferenceData!R181C12</stp>
        <stp>PX391=20170701</stp>
        <stp>PX392=20170930</stp>
        <stp>DS004=USD</stp>
        <stp>Fill=B</stp>
        <tr r="L181" s="3"/>
      </tp>
      <tp t="s">
        <v>#N/A Connection</v>
        <stp/>
        <stp>##V3_BDPV12</stp>
        <stp>WCARESI Index</stp>
        <stp>PX385</stp>
        <stp>[BI_AUTMG_1_l22cd4li.xlsx]ReferenceData!R191C24</stp>
        <stp>PX391=20140701</stp>
        <stp>PX392=20140930</stp>
        <stp>DS004=USD</stp>
        <stp>Fill=B</stp>
        <tr r="X191" s="3"/>
      </tp>
      <tp t="s">
        <v>#N/A Connection</v>
        <stp/>
        <stp>##V3_BDPV12</stp>
        <stp>WCARATI Index</stp>
        <stp>PX385</stp>
        <stp>[BI_AUTMG_1_l22cd4li.xlsx]ReferenceData!R176C35</stp>
        <stp>PX391=20111001</stp>
        <stp>PX392=20111231</stp>
        <stp>DS004=USD</stp>
        <stp>Fill=B</stp>
        <tr r="AI176" s="3"/>
      </tp>
      <tp t="s">
        <v>#N/A Connection</v>
        <stp/>
        <stp>##V3_BDPV12</stp>
        <stp>WCARITI Index</stp>
        <stp>PX385</stp>
        <stp>[BI_AUTMG_1_l22cd4li.xlsx]ReferenceData!R186C50</stp>
        <stp>PX391=20080101</stp>
        <stp>PX392=20080331</stp>
        <stp>DS004=USD</stp>
        <stp>Fill=B</stp>
        <tr r="AX186" s="3"/>
      </tp>
      <tp t="s">
        <v>#N/A Connection</v>
        <stp/>
        <stp>##V3_BDPV12</stp>
        <stp>TWVSDOM Index</stp>
        <stp>PX385</stp>
        <stp>[BI_AUTMG_1_l22cd4li.xlsx]ReferenceData!R173C17</stp>
        <stp>PX391=20160401</stp>
        <stp>PX392=20160630</stp>
        <stp>DS004=USD</stp>
        <stp>Fill=B</stp>
        <tr r="Q173" s="3"/>
      </tp>
      <tp t="s">
        <v>#N/A Connection</v>
        <stp/>
        <stp>##V3_BDPV12</stp>
        <stp>VNVSTOTL Index</stp>
        <stp>PX385</stp>
        <stp>[BI_AUTMG_1_l22cd4li.xlsx]ReferenceData!R214C26</stp>
        <stp>PX391=20140101</stp>
        <stp>PX392=20140331</stp>
        <stp>DS004=USD</stp>
        <stp>Fill=B</stp>
        <tr r="Z214" s="3"/>
      </tp>
      <tp t="s">
        <v>#N/A Connection</v>
        <stp/>
        <stp>##V3_BDPV12</stp>
        <stp>ARVSARTL Index</stp>
        <stp>PX385</stp>
        <stp>[BI_AUTMG_1_l22cd4li.xlsx]ReferenceData!R210C24</stp>
        <stp>PX391=20140701</stp>
        <stp>PX392=20140930</stp>
        <stp>DS004=USD</stp>
        <stp>Fill=B</stp>
        <tr r="X210" s="3"/>
      </tp>
      <tp t="s">
        <v>#N/A Connection</v>
        <stp/>
        <stp>##V3_BDPV12</stp>
        <stp>AUTMAUVS Index</stp>
        <stp>PX385</stp>
        <stp>[BI_AUTMG_1_l22cd4li.xlsx]ReferenceData!R161C60</stp>
        <stp>PX391=20050701</stp>
        <stp>PX392=20050930</stp>
        <stp>DS004=USD</stp>
        <stp>Fill=B</stp>
        <tr r="BH161" s="3"/>
      </tp>
      <tp t="s">
        <v>#N/A Connection</v>
        <stp/>
        <stp>##V3_BDPV12</stp>
        <stp>VNVSTOTL Index</stp>
        <stp>PX385</stp>
        <stp>[BI_AUTMG_1_l22cd4li.xlsx]ReferenceData!R214C59</stp>
        <stp>PX391=20051001</stp>
        <stp>PX392=20051231</stp>
        <stp>DS004=USD</stp>
        <stp>Fill=B</stp>
        <tr r="BG214" s="3"/>
      </tp>
      <tp t="s">
        <v>#N/A Connection</v>
        <stp/>
        <stp>##V3_BDPV12</stp>
        <stp>WCARDEI Index</stp>
        <stp>PX385</stp>
        <stp>[BI_AUTMG_1_l22cd4li.xlsx]ReferenceData!R182C25</stp>
        <stp>PX391=20140401</stp>
        <stp>PX392=20140630</stp>
        <stp>DS004=USD</stp>
        <stp>Fill=B</stp>
        <tr r="Y182" s="3"/>
      </tp>
      <tp t="s">
        <v>#N/A Connection</v>
        <stp/>
        <stp>##V3_BDPV12</stp>
        <stp>WCARBEI Index</stp>
        <stp>PX385</stp>
        <stp>[BI_AUTMG_1_l22cd4li.xlsx]ReferenceData!R177C30</stp>
        <stp>PX391=20130101</stp>
        <stp>PX392=20130331</stp>
        <stp>DS004=USD</stp>
        <stp>Fill=B</stp>
        <tr r="AD177" s="3"/>
      </tp>
      <tp t="s">
        <v>#N/A Connection</v>
        <stp/>
        <stp>##V3_BDPV12</stp>
        <stp>WCARFII Index</stp>
        <stp>PX385</stp>
        <stp>[BI_AUTMG_1_l22cd4li.xlsx]ReferenceData!R180C52</stp>
        <stp>PX391=20070701</stp>
        <stp>PX392=20070930</stp>
        <stp>DS004=USD</stp>
        <stp>Fill=B</stp>
        <tr r="AZ180" s="3"/>
      </tp>
      <tp t="s">
        <v>#N/A Connection</v>
        <stp/>
        <stp>##V3_BDPV12</stp>
        <stp>WCARGRI Index</stp>
        <stp>PX385</stp>
        <stp>[BI_AUTMG_1_l22cd4li.xlsx]ReferenceData!R183C57</stp>
        <stp>PX391=20060401</stp>
        <stp>PX392=20060630</stp>
        <stp>DS004=USD</stp>
        <stp>Fill=B</stp>
        <tr r="BE183" s="3"/>
      </tp>
      <tp t="s">
        <v>#N/A Connection</v>
        <stp/>
        <stp>##V3_BDPV12</stp>
        <stp>WCARESI Index</stp>
        <stp>PX385</stp>
        <stp>[BI_AUTMG_1_l22cd4li.xlsx]ReferenceData!R191C20</stp>
        <stp>PX391=20150701</stp>
        <stp>PX392=20150930</stp>
        <stp>DS004=USD</stp>
        <stp>Fill=B</stp>
        <tr r="T191" s="3"/>
      </tp>
      <tp t="s">
        <v>#N/A Connection</v>
        <stp/>
        <stp>##V3_BDPV12</stp>
        <stp>WCARFRI Index</stp>
        <stp>PX385</stp>
        <stp>[BI_AUTMG_1_l22cd4li.xlsx]ReferenceData!R181C16</stp>
        <stp>PX391=20160701</stp>
        <stp>PX392=20160930</stp>
        <stp>DS004=USD</stp>
        <stp>Fill=B</stp>
        <tr r="P181" s="3"/>
      </tp>
      <tp t="s">
        <v>#N/A Connection</v>
        <stp/>
        <stp>##V3_BDPV12</stp>
        <stp>WCARATI Index</stp>
        <stp>PX385</stp>
        <stp>[BI_AUTMG_1_l22cd4li.xlsx]ReferenceData!R176C39</stp>
        <stp>PX391=20101001</stp>
        <stp>PX392=20101231</stp>
        <stp>DS004=USD</stp>
        <stp>Fill=B</stp>
        <tr r="AM176" s="3"/>
      </tp>
      <tp t="s">
        <v>#N/A Connection</v>
        <stp/>
        <stp>##V3_BDPV12</stp>
        <stp>WCARITI Index</stp>
        <stp>PX385</stp>
        <stp>[BI_AUTMG_1_l22cd4li.xlsx]ReferenceData!R186C46</stp>
        <stp>PX391=20090101</stp>
        <stp>PX392=20090331</stp>
        <stp>DS004=USD</stp>
        <stp>Fill=B</stp>
        <tr r="AT186" s="3"/>
      </tp>
      <tp t="s">
        <v>#N/A Connection</v>
        <stp/>
        <stp>##V3_BDPV12</stp>
        <stp>TWVSDOM Index</stp>
        <stp>PX385</stp>
        <stp>[BI_AUTMG_1_l22cd4li.xlsx]ReferenceData!R173C13</stp>
        <stp>PX391=20170401</stp>
        <stp>PX392=20170630</stp>
        <stp>DS004=USD</stp>
        <stp>Fill=B</stp>
        <tr r="M173" s="3"/>
      </tp>
      <tp t="s">
        <v>#N/A Connection</v>
        <stp/>
        <stp>##V3_BDPV12</stp>
        <stp>VNVSTOTL Index</stp>
        <stp>PX385</stp>
        <stp>[BI_AUTMG_1_l22cd4li.xlsx]ReferenceData!R214C22</stp>
        <stp>PX391=20150101</stp>
        <stp>PX392=20150331</stp>
        <stp>DS004=USD</stp>
        <stp>Fill=B</stp>
        <tr r="V214" s="3"/>
      </tp>
      <tp t="s">
        <v>#N/A Connection</v>
        <stp/>
        <stp>##V3_BDPV12</stp>
        <stp>ARVSARTL Index</stp>
        <stp>PX385</stp>
        <stp>[BI_AUTMG_1_l22cd4li.xlsx]ReferenceData!R210C20</stp>
        <stp>PX391=20150701</stp>
        <stp>PX392=20150930</stp>
        <stp>DS004=USD</stp>
        <stp>Fill=B</stp>
        <tr r="T210" s="3"/>
      </tp>
      <tp t="s">
        <v>#N/A Connection</v>
        <stp/>
        <stp>##V3_BDPV12</stp>
        <stp>VNVSTOTL Index</stp>
        <stp>PX385</stp>
        <stp>[BI_AUTMG_1_l22cd4li.xlsx]ReferenceData!R214C63</stp>
        <stp>PX391=20041001</stp>
        <stp>PX392=20041231</stp>
        <stp>DS004=USD</stp>
        <stp>Fill=B</stp>
        <tr r="BK214" s="3"/>
      </tp>
      <tp t="s">
        <v>#N/A Connection</v>
        <stp/>
        <stp>##V3_BDPV12</stp>
        <stp>AUTMAUVS Index</stp>
        <stp>PX385</stp>
        <stp>[BI_AUTMG_1_l22cd4li.xlsx]ReferenceData!R161C64</stp>
        <stp>PX391=20040701</stp>
        <stp>PX392=20040930</stp>
        <stp>DS004=USD</stp>
        <stp>Fill=B</stp>
        <tr r="BL161" s="3"/>
      </tp>
      <tp t="s">
        <v>#N/A Connection</v>
        <stp/>
        <stp>##V3_BDPV12</stp>
        <stp>WCARBEI Index</stp>
        <stp>PX385</stp>
        <stp>[BI_AUTMG_1_l22cd4li.xlsx]ReferenceData!R177C26</stp>
        <stp>PX391=20140101</stp>
        <stp>PX392=20140331</stp>
        <stp>DS004=USD</stp>
        <stp>Fill=B</stp>
        <tr r="Z177" s="3"/>
      </tp>
      <tp t="s">
        <v>#N/A Connection</v>
        <stp/>
        <stp>##V3_BDPV12</stp>
        <stp>WCARBEI Index</stp>
        <stp>PX385</stp>
        <stp>[BI_AUTMG_1_l22cd4li.xlsx]ReferenceData!R177C59</stp>
        <stp>PX391=20051001</stp>
        <stp>PX392=20051231</stp>
        <stp>DS004=USD</stp>
        <stp>Fill=B</stp>
        <tr r="BG177" s="3"/>
      </tp>
      <tp t="s">
        <v>#N/A Connection</v>
        <stp/>
        <stp>##V3_BDPV12</stp>
        <stp>WCARDEI Index</stp>
        <stp>PX385</stp>
        <stp>[BI_AUTMG_1_l22cd4li.xlsx]ReferenceData!R182C29</stp>
        <stp>PX391=20130401</stp>
        <stp>PX392=20130630</stp>
        <stp>DS004=USD</stp>
        <stp>Fill=B</stp>
        <tr r="AC182" s="3"/>
      </tp>
      <tp t="s">
        <v>#N/A Connection</v>
        <stp/>
        <stp>##V3_BDPV12</stp>
        <stp>WCARCHI Index</stp>
        <stp>PX385</stp>
        <stp>[BI_AUTMG_1_l22cd4li.xlsx]ReferenceData!R193C61</stp>
        <stp>PX391=20050401</stp>
        <stp>PX392=20050630</stp>
        <stp>DS004=USD</stp>
        <stp>Fill=B</stp>
        <tr r="BI193" s="3"/>
      </tp>
      <tp t="s">
        <v>#N/A Connection</v>
        <stp/>
        <stp>##V3_BDPV12</stp>
        <stp>WCARFRI Index</stp>
        <stp>PX385</stp>
        <stp>[BI_AUTMG_1_l22cd4li.xlsx]ReferenceData!R181C36</stp>
        <stp>PX391=20110701</stp>
        <stp>PX392=20110930</stp>
        <stp>DS004=USD</stp>
        <stp>Fill=B</stp>
        <tr r="AJ181" s="3"/>
      </tp>
      <tp t="s">
        <v>#N/A Connection</v>
        <stp/>
        <stp>##V3_BDPV12</stp>
        <stp>WCARESI Index</stp>
        <stp>PX385</stp>
        <stp>[BI_AUTMG_1_l22cd4li.xlsx]ReferenceData!R191C32</stp>
        <stp>PX391=20120701</stp>
        <stp>PX392=20120930</stp>
        <stp>DS004=USD</stp>
        <stp>Fill=B</stp>
        <tr r="AF191" s="3"/>
      </tp>
      <tp t="s">
        <v>#N/A Connection</v>
        <stp/>
        <stp>##V3_BDPV12</stp>
        <stp>WCARATI Index</stp>
        <stp>PX385</stp>
        <stp>[BI_AUTMG_1_l22cd4li.xlsx]ReferenceData!R176C11</stp>
        <stp>PX391=20171001</stp>
        <stp>PX392=20171231</stp>
        <stp>DS004=USD</stp>
        <stp>Fill=B</stp>
        <tr r="K176" s="3"/>
      </tp>
      <tp t="s">
        <v>#N/A Connection</v>
        <stp/>
        <stp>##V3_BDPV12</stp>
        <stp>WCARATI Index</stp>
        <stp>PX385</stp>
        <stp>[BI_AUTMG_1_l22cd4li.xlsx]ReferenceData!R176C58</stp>
        <stp>PX391=20060101</stp>
        <stp>PX392=20060331</stp>
        <stp>DS004=USD</stp>
        <stp>Fill=B</stp>
        <tr r="BF176" s="3"/>
      </tp>
      <tp t="s">
        <v>#N/A Connection</v>
        <stp/>
        <stp>##V3_BDPV12</stp>
        <stp>CNVSTTL Index</stp>
        <stp>PX385</stp>
        <stp>[BI_AUTMG_1_l22cd4li.xlsx]ReferenceData!R162C57</stp>
        <stp>PX391=20060401</stp>
        <stp>PX392=20060630</stp>
        <stp>DS004=USD</stp>
        <stp>Fill=B</stp>
        <tr r="BE162" s="3"/>
      </tp>
      <tp t="s">
        <v>#N/A Connection</v>
        <stp/>
        <stp>##V3_BDPV12</stp>
        <stp>TWVSDOM Index</stp>
        <stp>PX385</stp>
        <stp>[BI_AUTMG_1_l22cd4li.xlsx]ReferenceData!R173C41</stp>
        <stp>PX391=20100401</stp>
        <stp>PX392=20100630</stp>
        <stp>DS004=USD</stp>
        <stp>Fill=B</stp>
        <tr r="AO173" s="3"/>
      </tp>
      <tp t="s">
        <v>#N/A Connection</v>
        <stp/>
        <stp>##V3_BDPV12</stp>
        <stp>VNVSTOTL Index</stp>
        <stp>PX385</stp>
        <stp>[BI_AUTMG_1_l22cd4li.xlsx]ReferenceData!R214C34</stp>
        <stp>PX391=20120101</stp>
        <stp>PX392=20120331</stp>
        <stp>DS004=USD</stp>
        <stp>Fill=B</stp>
        <tr r="AH214" s="3"/>
      </tp>
      <tp t="s">
        <v>#N/A Connection</v>
        <stp/>
        <stp>##V3_BDPV12</stp>
        <stp>ARVSARTL Index</stp>
        <stp>PX385</stp>
        <stp>[BI_AUTMG_1_l22cd4li.xlsx]ReferenceData!R210C32</stp>
        <stp>PX391=20120701</stp>
        <stp>PX392=20120930</stp>
        <stp>DS004=USD</stp>
        <stp>Fill=B</stp>
        <tr r="AF210" s="3"/>
      </tp>
      <tp t="s">
        <v>#N/A Connection</v>
        <stp/>
        <stp>##V3_BDPV12</stp>
        <stp>WCARBEI Index</stp>
        <stp>PX385</stp>
        <stp>[BI_AUTMG_1_l22cd4li.xlsx]ReferenceData!R177C22</stp>
        <stp>PX391=20150101</stp>
        <stp>PX392=20150331</stp>
        <stp>DS004=USD</stp>
        <stp>Fill=B</stp>
        <tr r="V177" s="3"/>
      </tp>
      <tp t="s">
        <v>#N/A Connection</v>
        <stp/>
        <stp>##V3_BDPV12</stp>
        <stp>WCARDEI Index</stp>
        <stp>PX385</stp>
        <stp>[BI_AUTMG_1_l22cd4li.xlsx]ReferenceData!R182C33</stp>
        <stp>PX391=20120401</stp>
        <stp>PX392=20120630</stp>
        <stp>DS004=USD</stp>
        <stp>Fill=B</stp>
        <tr r="AG182" s="3"/>
      </tp>
      <tp t="s">
        <v>#N/A Connection</v>
        <stp/>
        <stp>##V3_BDPV12</stp>
        <stp>WCARBEI Index</stp>
        <stp>PX385</stp>
        <stp>[BI_AUTMG_1_l22cd4li.xlsx]ReferenceData!R177C63</stp>
        <stp>PX391=20041001</stp>
        <stp>PX392=20041231</stp>
        <stp>DS004=USD</stp>
        <stp>Fill=B</stp>
        <tr r="BK177" s="3"/>
      </tp>
      <tp t="s">
        <v>#N/A Connection</v>
        <stp/>
        <stp>##V3_BDPV12</stp>
        <stp>WCARCHI Index</stp>
        <stp>PX385</stp>
        <stp>[BI_AUTMG_1_l22cd4li.xlsx]ReferenceData!R193C65</stp>
        <stp>PX391=20040401</stp>
        <stp>PX392=20040630</stp>
        <stp>DS004=USD</stp>
        <stp>Fill=B</stp>
        <tr r="BM193" s="3"/>
      </tp>
      <tp t="s">
        <v>#N/A Connection</v>
        <stp/>
        <stp>##V3_BDPV12</stp>
        <stp>WCARESI Index</stp>
        <stp>PX385</stp>
        <stp>[BI_AUTMG_1_l22cd4li.xlsx]ReferenceData!R191C28</stp>
        <stp>PX391=20130701</stp>
        <stp>PX392=20130930</stp>
        <stp>DS004=USD</stp>
        <stp>Fill=B</stp>
        <tr r="AB191" s="3"/>
      </tp>
      <tp t="s">
        <v>#N/A Connection</v>
        <stp/>
        <stp>##V3_BDPV12</stp>
        <stp>WCARATI Index</stp>
        <stp>PX385</stp>
        <stp>[BI_AUTMG_1_l22cd4li.xlsx]ReferenceData!R176C15</stp>
        <stp>PX391=20161001</stp>
        <stp>PX392=20161231</stp>
        <stp>DS004=USD</stp>
        <stp>Fill=B</stp>
        <tr r="O176" s="3"/>
      </tp>
      <tp t="s">
        <v>#N/A Connection</v>
        <stp/>
        <stp>##V3_BDPV12</stp>
        <stp>WCARFRI Index</stp>
        <stp>PX385</stp>
        <stp>[BI_AUTMG_1_l22cd4li.xlsx]ReferenceData!R181C40</stp>
        <stp>PX391=20100701</stp>
        <stp>PX392=20100930</stp>
        <stp>DS004=USD</stp>
        <stp>Fill=B</stp>
        <tr r="AN181" s="3"/>
      </tp>
      <tp t="s">
        <v>#N/A Connection</v>
        <stp/>
        <stp>##V3_BDPV12</stp>
        <stp>WCARATI Index</stp>
        <stp>PX385</stp>
        <stp>[BI_AUTMG_1_l22cd4li.xlsx]ReferenceData!R176C54</stp>
        <stp>PX391=20070101</stp>
        <stp>PX392=20070331</stp>
        <stp>DS004=USD</stp>
        <stp>Fill=B</stp>
        <tr r="BB176" s="3"/>
      </tp>
      <tp t="s">
        <v>#N/A Connection</v>
        <stp/>
        <stp>##V3_BDPV12</stp>
        <stp>TWVSDOM Index</stp>
        <stp>PX385</stp>
        <stp>[BI_AUTMG_1_l22cd4li.xlsx]ReferenceData!R173C37</stp>
        <stp>PX391=20110401</stp>
        <stp>PX392=20110630</stp>
        <stp>DS004=USD</stp>
        <stp>Fill=B</stp>
        <tr r="AK173" s="3"/>
      </tp>
      <tp t="s">
        <v>#N/A Connection</v>
        <stp/>
        <stp>##V3_BDPV12</stp>
        <stp>CNVSTTL Index</stp>
        <stp>PX385</stp>
        <stp>[BI_AUTMG_1_l22cd4li.xlsx]ReferenceData!R162C53</stp>
        <stp>PX391=20070401</stp>
        <stp>PX392=20070630</stp>
        <stp>DS004=USD</stp>
        <stp>Fill=B</stp>
        <tr r="BA162" s="3"/>
      </tp>
      <tp t="s">
        <v>#N/A Connection</v>
        <stp/>
        <stp>##V3_BDPV12</stp>
        <stp>VNVSTOTL Index</stp>
        <stp>PX385</stp>
        <stp>[BI_AUTMG_1_l22cd4li.xlsx]ReferenceData!R214C30</stp>
        <stp>PX391=20130101</stp>
        <stp>PX392=20130331</stp>
        <stp>DS004=USD</stp>
        <stp>Fill=B</stp>
        <tr r="AD214" s="3"/>
      </tp>
      <tp t="s">
        <v>#N/A Connection</v>
        <stp/>
        <stp>##V3_BDPV12</stp>
        <stp>ARVSARTL Index</stp>
        <stp>PX385</stp>
        <stp>[BI_AUTMG_1_l22cd4li.xlsx]ReferenceData!R210C28</stp>
        <stp>PX391=20130701</stp>
        <stp>PX392=20130930</stp>
        <stp>DS004=USD</stp>
        <stp>Fill=B</stp>
        <tr r="AB210" s="3"/>
      </tp>
      <tp t="s">
        <v>#N/A Connection</v>
        <stp/>
        <stp>##V3_BDPV12</stp>
        <stp>WCARBEI Index</stp>
        <stp>PX385</stp>
        <stp>[BI_AUTMG_1_l22cd4li.xlsx]ReferenceData!R177C18</stp>
        <stp>PX391=20160101</stp>
        <stp>PX392=20160331</stp>
        <stp>DS004=USD</stp>
        <stp>Fill=B</stp>
        <tr r="R177" s="3"/>
      </tp>
      <tp t="s">
        <v>#N/A Connection</v>
        <stp/>
        <stp>##V3_BDPV12</stp>
        <stp>WCARBEI Index</stp>
        <stp>PX385</stp>
        <stp>[BI_AUTMG_1_l22cd4li.xlsx]ReferenceData!R177C51</stp>
        <stp>PX391=20071001</stp>
        <stp>PX392=20071231</stp>
        <stp>DS004=USD</stp>
        <stp>Fill=B</stp>
        <tr r="AY177" s="3"/>
      </tp>
      <tp t="s">
        <v>#N/A Connection</v>
        <stp/>
        <stp>##V3_BDPV12</stp>
        <stp>WCARDEI Index</stp>
        <stp>PX385</stp>
        <stp>[BI_AUTMG_1_l22cd4li.xlsx]ReferenceData!R182C37</stp>
        <stp>PX391=20110401</stp>
        <stp>PX392=20110630</stp>
        <stp>DS004=USD</stp>
        <stp>Fill=B</stp>
        <tr r="AK182" s="3"/>
      </tp>
      <tp t="s">
        <v>#N/A Connection</v>
        <stp/>
        <stp>##V3_BDPV12</stp>
        <stp>WCARCHI Index</stp>
        <stp>PX385</stp>
        <stp>[BI_AUTMG_1_l22cd4li.xlsx]ReferenceData!R193C53</stp>
        <stp>PX391=20070401</stp>
        <stp>PX392=20070630</stp>
        <stp>DS004=USD</stp>
        <stp>Fill=B</stp>
        <tr r="BA193" s="3"/>
      </tp>
      <tp t="s">
        <v>#N/A Connection</v>
        <stp/>
        <stp>##V3_BDPV12</stp>
        <stp>WCARATI Index</stp>
        <stp>PX385</stp>
        <stp>[BI_AUTMG_1_l22cd4li.xlsx]ReferenceData!R176C19</stp>
        <stp>PX391=20151001</stp>
        <stp>PX392=20151231</stp>
        <stp>DS004=USD</stp>
        <stp>Fill=B</stp>
        <tr r="S176" s="3"/>
      </tp>
      <tp t="s">
        <v>#N/A Connection</v>
        <stp/>
        <stp>##V3_BDPV12</stp>
        <stp>WCARFRI Index</stp>
        <stp>PX385</stp>
        <stp>[BI_AUTMG_1_l22cd4li.xlsx]ReferenceData!R181C28</stp>
        <stp>PX391=20130701</stp>
        <stp>PX392=20130930</stp>
        <stp>DS004=USD</stp>
        <stp>Fill=B</stp>
        <tr r="AB181" s="3"/>
      </tp>
      <tp t="s">
        <v>#N/A Connection</v>
        <stp/>
        <stp>##V3_BDPV12</stp>
        <stp>WCARESI Index</stp>
        <stp>PX385</stp>
        <stp>[BI_AUTMG_1_l22cd4li.xlsx]ReferenceData!R191C40</stp>
        <stp>PX391=20100701</stp>
        <stp>PX392=20100930</stp>
        <stp>DS004=USD</stp>
        <stp>Fill=B</stp>
        <tr r="AN191" s="3"/>
      </tp>
      <tp t="s">
        <v>#N/A Connection</v>
        <stp/>
        <stp>##V3_BDPV12</stp>
        <stp>WCARLUI Index</stp>
        <stp>PX385</stp>
        <stp>[BI_AUTMG_1_l22cd4li.xlsx]ReferenceData!R187C43</stp>
        <stp>PX391=20091001</stp>
        <stp>PX392=20091231</stp>
        <stp>DS004=USD</stp>
        <stp>Fill=B</stp>
        <tr r="AQ187" s="3"/>
      </tp>
      <tp t="s">
        <v>#N/A Connection</v>
        <stp/>
        <stp>##V3_BDPV12</stp>
        <stp>TWVSDOM Index</stp>
        <stp>PX385</stp>
        <stp>[BI_AUTMG_1_l22cd4li.xlsx]ReferenceData!R173C33</stp>
        <stp>PX391=20120401</stp>
        <stp>PX392=20120630</stp>
        <stp>DS004=USD</stp>
        <stp>Fill=B</stp>
        <tr r="AG173" s="3"/>
      </tp>
      <tp t="s">
        <v>#N/A Connection</v>
        <stp/>
        <stp>##V3_BDPV12</stp>
        <stp>CNVSTTL Index</stp>
        <stp>PX385</stp>
        <stp>[BI_AUTMG_1_l22cd4li.xlsx]ReferenceData!R162C65</stp>
        <stp>PX391=20040401</stp>
        <stp>PX392=20040630</stp>
        <stp>DS004=USD</stp>
        <stp>Fill=B</stp>
        <tr r="BM162" s="3"/>
      </tp>
      <tp t="s">
        <v>#N/A Connection</v>
        <stp/>
        <stp>##V3_BDPV12</stp>
        <stp>WCARLUI Index</stp>
        <stp>PX385</stp>
        <stp>[BI_AUTMG_1_l22cd4li.xlsx]ReferenceData!R187C10</stp>
        <stp>PX391=20180101</stp>
        <stp>PX392=20180331</stp>
        <stp>DS004=USD</stp>
        <stp>Fill=B</stp>
        <tr r="J187" s="3"/>
      </tp>
      <tp t="s">
        <v>#N/A Connection</v>
        <stp/>
        <stp>##V3_BDPV12</stp>
        <stp>VNVSTOTL Index</stp>
        <stp>PX385</stp>
        <stp>[BI_AUTMG_1_l22cd4li.xlsx]ReferenceData!R214C42</stp>
        <stp>PX391=20100101</stp>
        <stp>PX392=20100331</stp>
        <stp>DS004=USD</stp>
        <stp>Fill=B</stp>
        <tr r="AP214" s="3"/>
      </tp>
      <tp t="s">
        <v>#N/A Connection</v>
        <stp/>
        <stp>##V3_BDPV12</stp>
        <stp>ARVSARTL Index</stp>
        <stp>PX385</stp>
        <stp>[BI_AUTMG_1_l22cd4li.xlsx]ReferenceData!R210C40</stp>
        <stp>PX391=20100701</stp>
        <stp>PX392=20100930</stp>
        <stp>DS004=USD</stp>
        <stp>Fill=B</stp>
        <tr r="AN210" s="3"/>
      </tp>
      <tp t="s">
        <v>#N/A Connection</v>
        <stp/>
        <stp>##V3_BDPV12</stp>
        <stp>WCARDEI Index</stp>
        <stp>PX385</stp>
        <stp>[BI_AUTMG_1_l22cd4li.xlsx]ReferenceData!R182C41</stp>
        <stp>PX391=20100401</stp>
        <stp>PX392=20100630</stp>
        <stp>DS004=USD</stp>
        <stp>Fill=B</stp>
        <tr r="AO182" s="3"/>
      </tp>
      <tp t="s">
        <v>#N/A Connection</v>
        <stp/>
        <stp>##V3_BDPV12</stp>
        <stp>WCARBEI Index</stp>
        <stp>PX385</stp>
        <stp>[BI_AUTMG_1_l22cd4li.xlsx]ReferenceData!R177C14</stp>
        <stp>PX391=20170101</stp>
        <stp>PX392=20170331</stp>
        <stp>DS004=USD</stp>
        <stp>Fill=B</stp>
        <tr r="N177" s="3"/>
      </tp>
      <tp t="s">
        <v>#N/A Connection</v>
        <stp/>
        <stp>##V3_BDPV12</stp>
        <stp>WCARBEI Index</stp>
        <stp>PX385</stp>
        <stp>[BI_AUTMG_1_l22cd4li.xlsx]ReferenceData!R177C55</stp>
        <stp>PX391=20061001</stp>
        <stp>PX392=20061231</stp>
        <stp>DS004=USD</stp>
        <stp>Fill=B</stp>
        <tr r="BC177" s="3"/>
      </tp>
      <tp t="s">
        <v>#N/A Connection</v>
        <stp/>
        <stp>##V3_BDPV12</stp>
        <stp>WCARCHI Index</stp>
        <stp>PX385</stp>
        <stp>[BI_AUTMG_1_l22cd4li.xlsx]ReferenceData!R193C57</stp>
        <stp>PX391=20060401</stp>
        <stp>PX392=20060630</stp>
        <stp>DS004=USD</stp>
        <stp>Fill=B</stp>
        <tr r="BE193" s="3"/>
      </tp>
      <tp t="s">
        <v>#N/A Connection</v>
        <stp/>
        <stp>##V3_BDPV12</stp>
        <stp>WCARESI Index</stp>
        <stp>PX385</stp>
        <stp>[BI_AUTMG_1_l22cd4li.xlsx]ReferenceData!R191C36</stp>
        <stp>PX391=20110701</stp>
        <stp>PX392=20110930</stp>
        <stp>DS004=USD</stp>
        <stp>Fill=B</stp>
        <tr r="AJ191" s="3"/>
      </tp>
      <tp t="s">
        <v>#N/A Connection</v>
        <stp/>
        <stp>##V3_BDPV12</stp>
        <stp>WCARATI Index</stp>
        <stp>PX385</stp>
        <stp>[BI_AUTMG_1_l22cd4li.xlsx]ReferenceData!R176C23</stp>
        <stp>PX391=20141001</stp>
        <stp>PX392=20141231</stp>
        <stp>DS004=USD</stp>
        <stp>Fill=B</stp>
        <tr r="W176" s="3"/>
      </tp>
      <tp t="s">
        <v>#N/A Connection</v>
        <stp/>
        <stp>##V3_BDPV12</stp>
        <stp>WCARFRI Index</stp>
        <stp>PX385</stp>
        <stp>[BI_AUTMG_1_l22cd4li.xlsx]ReferenceData!R181C32</stp>
        <stp>PX391=20120701</stp>
        <stp>PX392=20120930</stp>
        <stp>DS004=USD</stp>
        <stp>Fill=B</stp>
        <tr r="AF181" s="3"/>
      </tp>
      <tp t="s">
        <v>#N/A Connection</v>
        <stp/>
        <stp>##V3_BDPV12</stp>
        <stp>WCARATI Index</stp>
        <stp>PX385</stp>
        <stp>[BI_AUTMG_1_l22cd4li.xlsx]ReferenceData!R176C62</stp>
        <stp>PX391=20050101</stp>
        <stp>PX392=20050331</stp>
        <stp>DS004=USD</stp>
        <stp>Fill=B</stp>
        <tr r="BJ176" s="3"/>
      </tp>
      <tp t="s">
        <v>#N/A Connection</v>
        <stp/>
        <stp>##V3_BDPV12</stp>
        <stp>WCARLUI Index</stp>
        <stp>PX385</stp>
        <stp>[BI_AUTMG_1_l22cd4li.xlsx]ReferenceData!R187C47</stp>
        <stp>PX391=20081001</stp>
        <stp>PX392=20081231</stp>
        <stp>DS004=USD</stp>
        <stp>Fill=B</stp>
        <tr r="AU187" s="3"/>
      </tp>
      <tp t="s">
        <v>#N/A Connection</v>
        <stp/>
        <stp>##V3_BDPV12</stp>
        <stp>TWVSDOM Index</stp>
        <stp>PX385</stp>
        <stp>[BI_AUTMG_1_l22cd4li.xlsx]ReferenceData!R173C29</stp>
        <stp>PX391=20130401</stp>
        <stp>PX392=20130630</stp>
        <stp>DS004=USD</stp>
        <stp>Fill=B</stp>
        <tr r="AC173" s="3"/>
      </tp>
      <tp t="s">
        <v>#N/A Connection</v>
        <stp/>
        <stp>##V3_BDPV12</stp>
        <stp>CNVSTTL Index</stp>
        <stp>PX385</stp>
        <stp>[BI_AUTMG_1_l22cd4li.xlsx]ReferenceData!R162C61</stp>
        <stp>PX391=20050401</stp>
        <stp>PX392=20050630</stp>
        <stp>DS004=USD</stp>
        <stp>Fill=B</stp>
        <tr r="BI162" s="3"/>
      </tp>
      <tp t="s">
        <v>#N/A Connection</v>
        <stp/>
        <stp>##V3_BDPV12</stp>
        <stp>ARVSARTL Index</stp>
        <stp>PX385</stp>
        <stp>[BI_AUTMG_1_l22cd4li.xlsx]ReferenceData!R210C36</stp>
        <stp>PX391=20110701</stp>
        <stp>PX392=20110930</stp>
        <stp>DS004=USD</stp>
        <stp>Fill=B</stp>
        <tr r="AJ210" s="3"/>
      </tp>
      <tp t="s">
        <v>#N/A Connection</v>
        <stp/>
        <stp>##V3_BDPV12</stp>
        <stp>VNVSTOTL Index</stp>
        <stp>PX385</stp>
        <stp>[BI_AUTMG_1_l22cd4li.xlsx]ReferenceData!R214C38</stp>
        <stp>PX391=20110101</stp>
        <stp>PX392=20110331</stp>
        <stp>DS004=USD</stp>
        <stp>Fill=B</stp>
        <tr r="AL214" s="3"/>
      </tp>
      <tp t="s">
        <v>#N/A Connection</v>
        <stp/>
        <stp>##V3_BDPV12</stp>
        <stp>IDVHCLOC Index</stp>
        <stp>PX385</stp>
        <stp>[BI_AUTMG_1_l22cd4li.xlsx]ReferenceData!R166C6</stp>
        <stp>PX391=20190101</stp>
        <stp>PX392=20190331</stp>
        <stp>DS004=USD</stp>
        <stp>Fill=B</stp>
        <tr r="F166" s="3"/>
      </tp>
      <tp t="s">
        <v>#N/A Connection</v>
        <stp/>
        <stp>##V3_BDPV12</stp>
        <stp>SINVHR Index</stp>
        <stp>PX385</stp>
        <stp>[BI_AUTMG_1_l22cd4li.xlsx]ReferenceData!R172C44</stp>
        <stp>PX391=20090701</stp>
        <stp>PX392=20090930</stp>
        <stp>DS004=USD</stp>
        <stp>Fill=B</stp>
        <tr r="AR172" s="3"/>
      </tp>
      <tp t="s">
        <v>#N/A Connection</v>
        <stp/>
        <stp>##V3_BDPV12</stp>
        <stp>RUAUTOTL Index</stp>
        <stp>PX385</stp>
        <stp>[BI_AUTMG_1_l22cd4li.xlsx]ReferenceData!R204C60</stp>
        <stp>PX391=20050701</stp>
        <stp>PX392=20050930</stp>
        <stp>DS004=USD</stp>
        <stp>Fill=B</stp>
        <tr r="BH204" s="3"/>
      </tp>
      <tp t="s">
        <v>#N/A Connection</v>
        <stp/>
        <stp>##V3_BDPV12</stp>
        <stp>CHVSAUTO Index</stp>
        <stp>PX385</stp>
        <stp>[BI_AUTMG_1_l22cd4li.xlsx]ReferenceData!R212C29</stp>
        <stp>PX391=20130401</stp>
        <stp>PX392=20130630</stp>
        <stp>DS004=USD</stp>
        <stp>Fill=B</stp>
        <tr r="AC212" s="3"/>
      </tp>
      <tp t="s">
        <v>#N/A Connection</v>
        <stp/>
        <stp>##V3_BDPV12</stp>
        <stp>SINVHR Index</stp>
        <stp>PX385</stp>
        <stp>[BI_AUTMG_1_l22cd4li.xlsx]ReferenceData!R172C48</stp>
        <stp>PX391=20080701</stp>
        <stp>PX392=20080930</stp>
        <stp>DS004=USD</stp>
        <stp>Fill=B</stp>
        <tr r="AV172" s="3"/>
      </tp>
      <tp t="s">
        <v>#N/A Connection</v>
        <stp/>
        <stp>##V3_BDPV12</stp>
        <stp>RUAUTOTL Index</stp>
        <stp>PX385</stp>
        <stp>[BI_AUTMG_1_l22cd4li.xlsx]ReferenceData!R204C64</stp>
        <stp>PX391=20040701</stp>
        <stp>PX392=20040930</stp>
        <stp>DS004=USD</stp>
        <stp>Fill=B</stp>
        <tr r="BL204" s="3"/>
      </tp>
      <tp t="s">
        <v>#N/A Connection</v>
        <stp/>
        <stp>##V3_BDPV12</stp>
        <stp>CHVSAUTO Index</stp>
        <stp>PX385</stp>
        <stp>[BI_AUTMG_1_l22cd4li.xlsx]ReferenceData!R212C33</stp>
        <stp>PX391=20120401</stp>
        <stp>PX392=20120630</stp>
        <stp>DS004=USD</stp>
        <stp>Fill=B</stp>
        <tr r="AG212" s="3"/>
      </tp>
      <tp t="s">
        <v>#N/A Connection</v>
        <stp/>
        <stp>##V3_BDPV12</stp>
        <stp>WCARPTI Index</stp>
        <stp>PX385</stp>
        <stp>[BI_AUTMG_1_l22cd4li.xlsx]ReferenceData!R190C49</stp>
        <stp>PX391=20080401</stp>
        <stp>PX392=20080630</stp>
        <stp>DS004=USD</stp>
        <stp>Fill=B</stp>
        <tr r="AW190" s="3"/>
      </tp>
      <tp t="s">
        <v>#N/A Connection</v>
        <stp/>
        <stp>##V3_BDPV12</stp>
        <stp>RUAUTOTL Index</stp>
        <stp>PX385</stp>
        <stp>[BI_AUTMG_1_l22cd4li.xlsx]ReferenceData!R204C52</stp>
        <stp>PX391=20070701</stp>
        <stp>PX392=20070930</stp>
        <stp>DS004=USD</stp>
        <stp>Fill=B</stp>
        <tr r="AZ204" s="3"/>
      </tp>
      <tp t="s">
        <v>#N/A Connection</v>
        <stp/>
        <stp>##V3_BDPV12</stp>
        <stp>CHVSAUTO Index</stp>
        <stp>PX385</stp>
        <stp>[BI_AUTMG_1_l22cd4li.xlsx]ReferenceData!R212C37</stp>
        <stp>PX391=20110401</stp>
        <stp>PX392=20110630</stp>
        <stp>DS004=USD</stp>
        <stp>Fill=B</stp>
        <tr r="AK212" s="3"/>
      </tp>
      <tp t="s">
        <v>#N/A Connection</v>
        <stp/>
        <stp>##V3_BDPV12</stp>
        <stp>WCARPTI Index</stp>
        <stp>PX385</stp>
        <stp>[BI_AUTMG_1_l22cd4li.xlsx]ReferenceData!R190C45</stp>
        <stp>PX391=20090401</stp>
        <stp>PX392=20090630</stp>
        <stp>DS004=USD</stp>
        <stp>Fill=B</stp>
        <tr r="AS190" s="3"/>
      </tp>
      <tp t="s">
        <v>#N/A Connection</v>
        <stp/>
        <stp>##V3_BDPV12</stp>
        <stp>RUAUTOTL Index</stp>
        <stp>PX385</stp>
        <stp>[BI_AUTMG_1_l22cd4li.xlsx]ReferenceData!R204C56</stp>
        <stp>PX391=20060701</stp>
        <stp>PX392=20060930</stp>
        <stp>DS004=USD</stp>
        <stp>Fill=B</stp>
        <tr r="BD204" s="3"/>
      </tp>
      <tp t="s">
        <v>#N/A Connection</v>
        <stp/>
        <stp>##V3_BDPV12</stp>
        <stp>CHVSAUTO Index</stp>
        <stp>PX385</stp>
        <stp>[BI_AUTMG_1_l22cd4li.xlsx]ReferenceData!R212C41</stp>
        <stp>PX391=20100401</stp>
        <stp>PX392=20100630</stp>
        <stp>DS004=USD</stp>
        <stp>Fill=B</stp>
        <tr r="AO212" s="3"/>
      </tp>
      <tp t="s">
        <v>#N/A Connection</v>
        <stp/>
        <stp>##V3_BDPV12</stp>
        <stp>CHVSAUTO Index</stp>
        <stp>PX385</stp>
        <stp>[BI_AUTMG_1_l22cd4li.xlsx]ReferenceData!R212C13</stp>
        <stp>PX391=20170401</stp>
        <stp>PX392=20170630</stp>
        <stp>DS004=USD</stp>
        <stp>Fill=B</stp>
        <tr r="M212" s="3"/>
      </tp>
      <tp t="s">
        <v>#N/A Connection</v>
        <stp/>
        <stp>##V3_BDPV12</stp>
        <stp>CHVSAUTO Index</stp>
        <stp>PX385</stp>
        <stp>[BI_AUTMG_1_l22cd4li.xlsx]ReferenceData!R212C17</stp>
        <stp>PX391=20160401</stp>
        <stp>PX392=20160630</stp>
        <stp>DS004=USD</stp>
        <stp>Fill=B</stp>
        <tr r="Q212" s="3"/>
      </tp>
      <tp t="s">
        <v>#N/A Connection</v>
        <stp/>
        <stp>##V3_BDPV12</stp>
        <stp>WCARUKI Index</stp>
        <stp>PX385</stp>
        <stp>[BI_AUTMG_1_l22cd4li.xlsx]ReferenceData!R195C50</stp>
        <stp>PX391=20080101</stp>
        <stp>PX392=20080331</stp>
        <stp>DS004=USD</stp>
        <stp>Fill=B</stp>
        <tr r="AX195" s="3"/>
      </tp>
      <tp t="s">
        <v>#N/A Connection</v>
        <stp/>
        <stp>##V3_BDPV12</stp>
        <stp>CHVSAUTO Index</stp>
        <stp>PX385</stp>
        <stp>[BI_AUTMG_1_l22cd4li.xlsx]ReferenceData!R212C21</stp>
        <stp>PX391=20150401</stp>
        <stp>PX392=20150630</stp>
        <stp>DS004=USD</stp>
        <stp>Fill=B</stp>
        <tr r="U212" s="3"/>
      </tp>
      <tp t="s">
        <v>#N/A Connection</v>
        <stp/>
        <stp>##V3_BDPV12</stp>
        <stp>WCARUKI Index</stp>
        <stp>PX385</stp>
        <stp>[BI_AUTMG_1_l22cd4li.xlsx]ReferenceData!R195C46</stp>
        <stp>PX391=20090101</stp>
        <stp>PX392=20090331</stp>
        <stp>DS004=USD</stp>
        <stp>Fill=B</stp>
        <tr r="AT195" s="3"/>
      </tp>
      <tp t="s">
        <v>#N/A Connection</v>
        <stp/>
        <stp>##V3_BDPV12</stp>
        <stp>CHVSAUTO Index</stp>
        <stp>PX385</stp>
        <stp>[BI_AUTMG_1_l22cd4li.xlsx]ReferenceData!R212C25</stp>
        <stp>PX391=20140401</stp>
        <stp>PX392=20140630</stp>
        <stp>DS004=USD</stp>
        <stp>Fill=B</stp>
        <tr r="Y212" s="3"/>
      </tp>
      <tp t="s">
        <v>#N/A Connection</v>
        <stp/>
        <stp>##V3_BDPV12</stp>
        <stp>WCARSEI Index</stp>
        <stp>PX385</stp>
        <stp>[BI_AUTMG_1_l22cd4li.xlsx]ReferenceData!R192C40</stp>
        <stp>PX391=20100701</stp>
        <stp>PX392=20100930</stp>
        <stp>DS004=USD</stp>
        <stp>Fill=B</stp>
        <tr r="AN192" s="3"/>
      </tp>
      <tp t="s">
        <v>#N/A Connection</v>
        <stp/>
        <stp>##V3_BDPV12</stp>
        <stp>WCARUKI Index</stp>
        <stp>PX385</stp>
        <stp>[BI_AUTMG_1_l22cd4li.xlsx]ReferenceData!R195C58</stp>
        <stp>PX391=20060101</stp>
        <stp>PX392=20060331</stp>
        <stp>DS004=USD</stp>
        <stp>Fill=B</stp>
        <tr r="BF195" s="3"/>
      </tp>
      <tp t="s">
        <v>#N/A Connection</v>
        <stp/>
        <stp>##V3_BDPV12</stp>
        <stp>WCARUKI Index</stp>
        <stp>PX385</stp>
        <stp>[BI_AUTMG_1_l22cd4li.xlsx]ReferenceData!R195C11</stp>
        <stp>PX391=20171001</stp>
        <stp>PX392=20171231</stp>
        <stp>DS004=USD</stp>
        <stp>Fill=B</stp>
        <tr r="K195" s="3"/>
      </tp>
      <tp t="s">
        <v>#N/A Connection</v>
        <stp/>
        <stp>##V3_BDPV12</stp>
        <stp>WCARSEI Index</stp>
        <stp>PX385</stp>
        <stp>[BI_AUTMG_1_l22cd4li.xlsx]ReferenceData!R192C36</stp>
        <stp>PX391=20110701</stp>
        <stp>PX392=20110930</stp>
        <stp>DS004=USD</stp>
        <stp>Fill=B</stp>
        <tr r="AJ192" s="3"/>
      </tp>
      <tp t="s">
        <v>#N/A Connection</v>
        <stp/>
        <stp>##V3_BDPV12</stp>
        <stp>WCARUKI Index</stp>
        <stp>PX385</stp>
        <stp>[BI_AUTMG_1_l22cd4li.xlsx]ReferenceData!R195C54</stp>
        <stp>PX391=20070101</stp>
        <stp>PX392=20070331</stp>
        <stp>DS004=USD</stp>
        <stp>Fill=B</stp>
        <tr r="BB195" s="3"/>
      </tp>
      <tp t="s">
        <v>#N/A Connection</v>
        <stp/>
        <stp>##V3_BDPV12</stp>
        <stp>WCARUKI Index</stp>
        <stp>PX385</stp>
        <stp>[BI_AUTMG_1_l22cd4li.xlsx]ReferenceData!R195C15</stp>
        <stp>PX391=20161001</stp>
        <stp>PX392=20161231</stp>
        <stp>DS004=USD</stp>
        <stp>Fill=B</stp>
        <tr r="O195" s="3"/>
      </tp>
      <tp t="s">
        <v>#N/A Connection</v>
        <stp/>
        <stp>##V3_BDPV12</stp>
        <stp>WCARSEI Index</stp>
        <stp>PX385</stp>
        <stp>[BI_AUTMG_1_l22cd4li.xlsx]ReferenceData!R192C32</stp>
        <stp>PX391=20120701</stp>
        <stp>PX392=20120930</stp>
        <stp>DS004=USD</stp>
        <stp>Fill=B</stp>
        <tr r="AF192" s="3"/>
      </tp>
      <tp t="s">
        <v>#N/A Connection</v>
        <stp/>
        <stp>##V3_BDPV12</stp>
        <stp>WCARUKI Index</stp>
        <stp>PX385</stp>
        <stp>[BI_AUTMG_1_l22cd4li.xlsx]ReferenceData!R195C19</stp>
        <stp>PX391=20151001</stp>
        <stp>PX392=20151231</stp>
        <stp>DS004=USD</stp>
        <stp>Fill=B</stp>
        <tr r="S195" s="3"/>
      </tp>
      <tp t="s">
        <v>#N/A Connection</v>
        <stp/>
        <stp>##V3_BDPV12</stp>
        <stp>WCARSEI Index</stp>
        <stp>PX385</stp>
        <stp>[BI_AUTMG_1_l22cd4li.xlsx]ReferenceData!R192C28</stp>
        <stp>PX391=20130701</stp>
        <stp>PX392=20130930</stp>
        <stp>DS004=USD</stp>
        <stp>Fill=B</stp>
        <tr r="AB192" s="3"/>
      </tp>
      <tp t="s">
        <v>#N/A Connection</v>
        <stp/>
        <stp>##V3_BDPV12</stp>
        <stp>WCARUKI Index</stp>
        <stp>PX385</stp>
        <stp>[BI_AUTMG_1_l22cd4li.xlsx]ReferenceData!R195C62</stp>
        <stp>PX391=20050101</stp>
        <stp>PX392=20050331</stp>
        <stp>DS004=USD</stp>
        <stp>Fill=B</stp>
        <tr r="BJ195" s="3"/>
      </tp>
      <tp t="s">
        <v>#N/A Connection</v>
        <stp/>
        <stp>##V3_BDPV12</stp>
        <stp>WCARUKI Index</stp>
        <stp>PX385</stp>
        <stp>[BI_AUTMG_1_l22cd4li.xlsx]ReferenceData!R195C23</stp>
        <stp>PX391=20141001</stp>
        <stp>PX392=20141231</stp>
        <stp>DS004=USD</stp>
        <stp>Fill=B</stp>
        <tr r="W195" s="3"/>
      </tp>
      <tp t="s">
        <v>#N/A Connection</v>
        <stp/>
        <stp>##V3_BDPV12</stp>
        <stp>WCARSEI Index</stp>
        <stp>PX385</stp>
        <stp>[BI_AUTMG_1_l22cd4li.xlsx]ReferenceData!R192C24</stp>
        <stp>PX391=20140701</stp>
        <stp>PX392=20140930</stp>
        <stp>DS004=USD</stp>
        <stp>Fill=B</stp>
        <tr r="X192" s="3"/>
      </tp>
      <tp t="s">
        <v>#N/A Connection</v>
        <stp/>
        <stp>##V3_BDPV12</stp>
        <stp>SINVHR Index</stp>
        <stp>PX385</stp>
        <stp>[BI_AUTMG_1_l22cd4li.xlsx]ReferenceData!R172C60</stp>
        <stp>PX391=20050701</stp>
        <stp>PX392=20050930</stp>
        <stp>DS004=USD</stp>
        <stp>Fill=B</stp>
        <tr r="BH172" s="3"/>
      </tp>
      <tp t="s">
        <v>#N/A Connection</v>
        <stp/>
        <stp>##V3_BDPV12</stp>
        <stp>WCARUKI Index</stp>
        <stp>PX385</stp>
        <stp>[BI_AUTMG_1_l22cd4li.xlsx]ReferenceData!R195C27</stp>
        <stp>PX391=20131001</stp>
        <stp>PX392=20131231</stp>
        <stp>DS004=USD</stp>
        <stp>Fill=B</stp>
        <tr r="AA195" s="3"/>
      </tp>
      <tp t="s">
        <v>#N/A Connection</v>
        <stp/>
        <stp>##V3_BDPV12</stp>
        <stp>WCARPTI Index</stp>
        <stp>PX385</stp>
        <stp>[BI_AUTMG_1_l22cd4li.xlsx]ReferenceData!R190C57</stp>
        <stp>PX391=20060401</stp>
        <stp>PX392=20060630</stp>
        <stp>DS004=USD</stp>
        <stp>Fill=B</stp>
        <tr r="BE190" s="3"/>
      </tp>
      <tp t="s">
        <v>#N/A Connection</v>
        <stp/>
        <stp>##V3_BDPV12</stp>
        <stp>RUAUTOTL Index</stp>
        <stp>PX385</stp>
        <stp>[BI_AUTMG_1_l22cd4li.xlsx]ReferenceData!R204C44</stp>
        <stp>PX391=20090701</stp>
        <stp>PX392=20090930</stp>
        <stp>DS004=USD</stp>
        <stp>Fill=B</stp>
        <tr r="AR204" s="3"/>
      </tp>
      <tp t="s">
        <v>#N/A Connection</v>
        <stp/>
        <stp>##V3_BDPV12</stp>
        <stp>WCARSEI Index</stp>
        <stp>PX385</stp>
        <stp>[BI_AUTMG_1_l22cd4li.xlsx]ReferenceData!R192C20</stp>
        <stp>PX391=20150701</stp>
        <stp>PX392=20150930</stp>
        <stp>DS004=USD</stp>
        <stp>Fill=B</stp>
        <tr r="T192" s="3"/>
      </tp>
      <tp t="s">
        <v>#N/A Connection</v>
        <stp/>
        <stp>##V3_BDPV12</stp>
        <stp>SINVHR Index</stp>
        <stp>PX385</stp>
        <stp>[BI_AUTMG_1_l22cd4li.xlsx]ReferenceData!R172C64</stp>
        <stp>PX391=20040701</stp>
        <stp>PX392=20040930</stp>
        <stp>DS004=USD</stp>
        <stp>Fill=B</stp>
        <tr r="BL172" s="3"/>
      </tp>
      <tp t="s">
        <v>#N/A Connection</v>
        <stp/>
        <stp>##V3_BDPV12</stp>
        <stp>WCARUKI Index</stp>
        <stp>PX385</stp>
        <stp>[BI_AUTMG_1_l22cd4li.xlsx]ReferenceData!R195C31</stp>
        <stp>PX391=20121001</stp>
        <stp>PX392=20121231</stp>
        <stp>DS004=USD</stp>
        <stp>Fill=B</stp>
        <tr r="AE195" s="3"/>
      </tp>
      <tp t="s">
        <v>#N/A Connection</v>
        <stp/>
        <stp>##V3_BDPV12</stp>
        <stp>WCARPTI Index</stp>
        <stp>PX385</stp>
        <stp>[BI_AUTMG_1_l22cd4li.xlsx]ReferenceData!R190C53</stp>
        <stp>PX391=20070401</stp>
        <stp>PX392=20070630</stp>
        <stp>DS004=USD</stp>
        <stp>Fill=B</stp>
        <tr r="BA190" s="3"/>
      </tp>
      <tp t="s">
        <v>#N/A Connection</v>
        <stp/>
        <stp>##V3_BDPV12</stp>
        <stp>RUAUTOTL Index</stp>
        <stp>PX385</stp>
        <stp>[BI_AUTMG_1_l22cd4li.xlsx]ReferenceData!R204C48</stp>
        <stp>PX391=20080701</stp>
        <stp>PX392=20080930</stp>
        <stp>DS004=USD</stp>
        <stp>Fill=B</stp>
        <tr r="AV204" s="3"/>
      </tp>
      <tp t="s">
        <v>#N/A Connection</v>
        <stp/>
        <stp>##V3_BDPV12</stp>
        <stp>WCARSEI Index</stp>
        <stp>PX385</stp>
        <stp>[BI_AUTMG_1_l22cd4li.xlsx]ReferenceData!R192C16</stp>
        <stp>PX391=20160701</stp>
        <stp>PX392=20160930</stp>
        <stp>DS004=USD</stp>
        <stp>Fill=B</stp>
        <tr r="P192" s="3"/>
      </tp>
      <tp t="s">
        <v>#N/A Connection</v>
        <stp/>
        <stp>##V3_BDPV12</stp>
        <stp>SINVHR Index</stp>
        <stp>PX385</stp>
        <stp>[BI_AUTMG_1_l22cd4li.xlsx]ReferenceData!R172C52</stp>
        <stp>PX391=20070701</stp>
        <stp>PX392=20070930</stp>
        <stp>DS004=USD</stp>
        <stp>Fill=B</stp>
        <tr r="AZ172" s="3"/>
      </tp>
      <tp t="s">
        <v>#N/A Connection</v>
        <stp/>
        <stp>##V3_BDPV12</stp>
        <stp>WCARUKI Index</stp>
        <stp>PX385</stp>
        <stp>[BI_AUTMG_1_l22cd4li.xlsx]ReferenceData!R195C35</stp>
        <stp>PX391=20111001</stp>
        <stp>PX392=20111231</stp>
        <stp>DS004=USD</stp>
        <stp>Fill=B</stp>
        <tr r="AI195" s="3"/>
      </tp>
      <tp t="s">
        <v>#N/A Connection</v>
        <stp/>
        <stp>##V3_BDPV12</stp>
        <stp>WCARPTI Index</stp>
        <stp>PX385</stp>
        <stp>[BI_AUTMG_1_l22cd4li.xlsx]ReferenceData!R190C65</stp>
        <stp>PX391=20040401</stp>
        <stp>PX392=20040630</stp>
        <stp>DS004=USD</stp>
        <stp>Fill=B</stp>
        <tr r="BM190" s="3"/>
      </tp>
      <tp t="s">
        <v>#N/A Connection</v>
        <stp/>
        <stp>##V3_BDPV12</stp>
        <stp>WCARSEI Index</stp>
        <stp>PX385</stp>
        <stp>[BI_AUTMG_1_l22cd4li.xlsx]ReferenceData!R192C12</stp>
        <stp>PX391=20170701</stp>
        <stp>PX392=20170930</stp>
        <stp>DS004=USD</stp>
        <stp>Fill=B</stp>
        <tr r="L192" s="3"/>
      </tp>
      <tp t="s">
        <v>#N/A Connection</v>
        <stp/>
        <stp>##V3_BDPV12</stp>
        <stp>SINVHR Index</stp>
        <stp>PX385</stp>
        <stp>[BI_AUTMG_1_l22cd4li.xlsx]ReferenceData!R172C56</stp>
        <stp>PX391=20060701</stp>
        <stp>PX392=20060930</stp>
        <stp>DS004=USD</stp>
        <stp>Fill=B</stp>
        <tr r="BD172" s="3"/>
      </tp>
      <tp t="s">
        <v>#N/A Connection</v>
        <stp/>
        <stp>##V3_BDPV12</stp>
        <stp>WCARUKI Index</stp>
        <stp>PX385</stp>
        <stp>[BI_AUTMG_1_l22cd4li.xlsx]ReferenceData!R195C39</stp>
        <stp>PX391=20101001</stp>
        <stp>PX392=20101231</stp>
        <stp>DS004=USD</stp>
        <stp>Fill=B</stp>
        <tr r="AM195" s="3"/>
      </tp>
      <tp t="s">
        <v>#N/A Connection</v>
        <stp/>
        <stp>##V3_BDPV12</stp>
        <stp>WCARPTI Index</stp>
        <stp>PX385</stp>
        <stp>[BI_AUTMG_1_l22cd4li.xlsx]ReferenceData!R190C61</stp>
        <stp>PX391=20050401</stp>
        <stp>PX392=20050630</stp>
        <stp>DS004=USD</stp>
        <stp>Fill=B</stp>
        <tr r="BI190" s="3"/>
      </tp>
      <tp t="s">
        <v>#N/A Connection</v>
        <stp/>
        <stp>##V3_BDPV12</stp>
        <stp>WCARIEI Index</stp>
        <stp>PX385</stp>
        <stp>[BI_AUTMG_1_l22cd4li.xlsx]ReferenceData!R185C27</stp>
        <stp>PX391=20131001</stp>
        <stp>PX392=20131231</stp>
        <stp>DS004=USD</stp>
        <stp>Fill=B</stp>
        <tr r="AA185" s="3"/>
      </tp>
      <tp t="s">
        <v>#N/A Connection</v>
        <stp/>
        <stp>##V3_BDPV12</stp>
        <stp>WCARCHI Index</stp>
        <stp>PX385</stp>
        <stp>[BI_AUTMG_1_l22cd4li.xlsx]ReferenceData!R193C44</stp>
        <stp>PX391=20090701</stp>
        <stp>PX392=20090930</stp>
        <stp>DS004=USD</stp>
        <stp>Fill=B</stp>
        <tr r="AR193" s="3"/>
      </tp>
      <tp t="s">
        <v>#N/A Connection</v>
        <stp/>
        <stp>##V3_BDPV12</stp>
        <stp>KNNVREG Index</stp>
        <stp>PX385</stp>
        <stp>[BI_AUTMG_1_l22cd4li.xlsx]ReferenceData!R216C20</stp>
        <stp>PX391=20150701</stp>
        <stp>PX392=20150930</stp>
        <stp>DS004=USD</stp>
        <stp>Fill=B</stp>
        <tr r="T216" s="3"/>
      </tp>
      <tp t="s">
        <v>#N/A Connection</v>
        <stp/>
        <stp>##V3_BDPV12</stp>
        <stp>PHCSTOTL Index</stp>
        <stp>PX385</stp>
        <stp>[BI_AUTMG_1_l22cd4li.xlsx]ReferenceData!R170C46</stp>
        <stp>PX391=20090101</stp>
        <stp>PX392=20090331</stp>
        <stp>DS004=USD</stp>
        <stp>Fill=B</stp>
        <tr r="AT170" s="3"/>
      </tp>
      <tp t="s">
        <v>#N/A Connection</v>
        <stp/>
        <stp>##V3_BDPV12</stp>
        <stp>THVHSCAR Index</stp>
        <stp>PX385</stp>
        <stp>[BI_AUTMG_1_l22cd4li.xlsx]ReferenceData!R174C20</stp>
        <stp>PX391=20150701</stp>
        <stp>PX392=20150930</stp>
        <stp>DS004=USD</stp>
        <stp>Fill=B</stp>
        <tr r="T174" s="3"/>
      </tp>
      <tp t="s">
        <v>#N/A Connection</v>
        <stp/>
        <stp>##V3_BDPV12</stp>
        <stp>WCARCHI Index</stp>
        <stp>PX385</stp>
        <stp>[BI_AUTMG_1_l22cd4li.xlsx]ReferenceData!R193C48</stp>
        <stp>PX391=20080701</stp>
        <stp>PX392=20080930</stp>
        <stp>DS004=USD</stp>
        <stp>Fill=B</stp>
        <tr r="AV193" s="3"/>
      </tp>
      <tp t="s">
        <v>#N/A Connection</v>
        <stp/>
        <stp>##V3_BDPV12</stp>
        <stp>WCARIEI Index</stp>
        <stp>PX385</stp>
        <stp>[BI_AUTMG_1_l22cd4li.xlsx]ReferenceData!R185C31</stp>
        <stp>PX391=20121001</stp>
        <stp>PX392=20121231</stp>
        <stp>DS004=USD</stp>
        <stp>Fill=B</stp>
        <tr r="AE185" s="3"/>
      </tp>
      <tp t="s">
        <v>#N/A Connection</v>
        <stp/>
        <stp>##V3_BDPV12</stp>
        <stp>KNNVREG Index</stp>
        <stp>PX385</stp>
        <stp>[BI_AUTMG_1_l22cd4li.xlsx]ReferenceData!R216C24</stp>
        <stp>PX391=20140701</stp>
        <stp>PX392=20140930</stp>
        <stp>DS004=USD</stp>
        <stp>Fill=B</stp>
        <tr r="X216" s="3"/>
      </tp>
      <tp t="s">
        <v>#N/A Connection</v>
        <stp/>
        <stp>##V3_BDPV12</stp>
        <stp>PHCSTOTL Index</stp>
        <stp>PX385</stp>
        <stp>[BI_AUTMG_1_l22cd4li.xlsx]ReferenceData!R170C50</stp>
        <stp>PX391=20080101</stp>
        <stp>PX392=20080331</stp>
        <stp>DS004=USD</stp>
        <stp>Fill=B</stp>
        <tr r="AX170" s="3"/>
      </tp>
      <tp t="s">
        <v>#N/A Connection</v>
        <stp/>
        <stp>##V3_BDPV12</stp>
        <stp>THVHSCAR Index</stp>
        <stp>PX385</stp>
        <stp>[BI_AUTMG_1_l22cd4li.xlsx]ReferenceData!R174C24</stp>
        <stp>PX391=20140701</stp>
        <stp>PX392=20140930</stp>
        <stp>DS004=USD</stp>
        <stp>Fill=B</stp>
        <tr r="X174" s="3"/>
      </tp>
      <tp t="s">
        <v>#N/A Connection</v>
        <stp/>
        <stp>##V3_BDPV12</stp>
        <stp>WCARIEI Index</stp>
        <stp>PX385</stp>
        <stp>[BI_AUTMG_1_l22cd4li.xlsx]ReferenceData!R185C35</stp>
        <stp>PX391=20111001</stp>
        <stp>PX392=20111231</stp>
        <stp>DS004=USD</stp>
        <stp>Fill=B</stp>
        <tr r="AI185" s="3"/>
      </tp>
      <tp t="s">
        <v>#N/A Connection</v>
        <stp/>
        <stp>##V3_BDPV12</stp>
        <stp>KNNVREG Index</stp>
        <stp>PX385</stp>
        <stp>[BI_AUTMG_1_l22cd4li.xlsx]ReferenceData!R216C12</stp>
        <stp>PX391=20170701</stp>
        <stp>PX392=20170930</stp>
        <stp>DS004=USD</stp>
        <stp>Fill=B</stp>
        <tr r="L216" s="3"/>
      </tp>
      <tp t="s">
        <v>#N/A Connection</v>
        <stp/>
        <stp>##V3_BDPV12</stp>
        <stp>CNVSTTL Index</stp>
        <stp>PX385</stp>
        <stp>[BI_AUTMG_1_l22cd4li.xlsx]ReferenceData!R162C48</stp>
        <stp>PX391=20080701</stp>
        <stp>PX392=20080930</stp>
        <stp>DS004=USD</stp>
        <stp>Fill=B</stp>
        <tr r="AV162" s="3"/>
      </tp>
      <tp t="s">
        <v>#N/A Connection</v>
        <stp/>
        <stp>##V3_BDPV12</stp>
        <stp>THVHSCAR Index</stp>
        <stp>PX385</stp>
        <stp>[BI_AUTMG_1_l22cd4li.xlsx]ReferenceData!R174C12</stp>
        <stp>PX391=20170701</stp>
        <stp>PX392=20170930</stp>
        <stp>DS004=USD</stp>
        <stp>Fill=B</stp>
        <tr r="L174" s="3"/>
      </tp>
      <tp t="s">
        <v>#N/A Connection</v>
        <stp/>
        <stp>##V3_BDPV12</stp>
        <stp>WCARIEI Index</stp>
        <stp>PX385</stp>
        <stp>[BI_AUTMG_1_l22cd4li.xlsx]ReferenceData!R185C39</stp>
        <stp>PX391=20101001</stp>
        <stp>PX392=20101231</stp>
        <stp>DS004=USD</stp>
        <stp>Fill=B</stp>
        <tr r="AM185" s="3"/>
      </tp>
      <tp t="s">
        <v>#N/A Connection</v>
        <stp/>
        <stp>##V3_BDPV12</stp>
        <stp>KNNVREG Index</stp>
        <stp>PX385</stp>
        <stp>[BI_AUTMG_1_l22cd4li.xlsx]ReferenceData!R216C16</stp>
        <stp>PX391=20160701</stp>
        <stp>PX392=20160930</stp>
        <stp>DS004=USD</stp>
        <stp>Fill=B</stp>
        <tr r="P216" s="3"/>
      </tp>
      <tp t="s">
        <v>#N/A Connection</v>
        <stp/>
        <stp>##V3_BDPV12</stp>
        <stp>CNVSTTL Index</stp>
        <stp>PX385</stp>
        <stp>[BI_AUTMG_1_l22cd4li.xlsx]ReferenceData!R162C44</stp>
        <stp>PX391=20090701</stp>
        <stp>PX392=20090930</stp>
        <stp>DS004=USD</stp>
        <stp>Fill=B</stp>
        <tr r="AR162" s="3"/>
      </tp>
      <tp t="s">
        <v>#N/A Connection</v>
        <stp/>
        <stp>##V3_BDPV12</stp>
        <stp>THVHSCAR Index</stp>
        <stp>PX385</stp>
        <stp>[BI_AUTMG_1_l22cd4li.xlsx]ReferenceData!R174C16</stp>
        <stp>PX391=20160701</stp>
        <stp>PX392=20160930</stp>
        <stp>DS004=USD</stp>
        <stp>Fill=B</stp>
        <tr r="P174" s="3"/>
      </tp>
      <tp t="s">
        <v>#N/A Connection</v>
        <stp/>
        <stp>##V3_BDPV12</stp>
        <stp>WCARIEI Index</stp>
        <stp>PX385</stp>
        <stp>[BI_AUTMG_1_l22cd4li.xlsx]ReferenceData!R185C11</stp>
        <stp>PX391=20171001</stp>
        <stp>PX392=20171231</stp>
        <stp>DS004=USD</stp>
        <stp>Fill=B</stp>
        <tr r="K185" s="3"/>
      </tp>
      <tp t="s">
        <v>#N/A Connection</v>
        <stp/>
        <stp>##V3_BDPV12</stp>
        <stp>WCARFII Index</stp>
        <stp>PX385</stp>
        <stp>[BI_AUTMG_1_l22cd4li.xlsx]ReferenceData!R180C49</stp>
        <stp>PX391=20080401</stp>
        <stp>PX392=20080630</stp>
        <stp>DS004=USD</stp>
        <stp>Fill=B</stp>
        <tr r="AW180" s="3"/>
      </tp>
      <tp t="s">
        <v>#N/A Connection</v>
        <stp/>
        <stp>##V3_BDPV12</stp>
        <stp>WCARIEI Index</stp>
        <stp>PX385</stp>
        <stp>[BI_AUTMG_1_l22cd4li.xlsx]ReferenceData!R185C58</stp>
        <stp>PX391=20060101</stp>
        <stp>PX392=20060331</stp>
        <stp>DS004=USD</stp>
        <stp>Fill=B</stp>
        <tr r="BF185" s="3"/>
      </tp>
      <tp t="s">
        <v>#N/A Connection</v>
        <stp/>
        <stp>##V3_BDPV12</stp>
        <stp>KNNVREG Index</stp>
        <stp>PX385</stp>
        <stp>[BI_AUTMG_1_l22cd4li.xlsx]ReferenceData!R216C36</stp>
        <stp>PX391=20110701</stp>
        <stp>PX392=20110930</stp>
        <stp>DS004=USD</stp>
        <stp>Fill=B</stp>
        <tr r="AJ216" s="3"/>
      </tp>
      <tp t="s">
        <v>#N/A Connection</v>
        <stp/>
        <stp>##V3_BDPV12</stp>
        <stp>WCARGRI Index</stp>
        <stp>PX385</stp>
        <stp>[BI_AUTMG_1_l22cd4li.xlsx]ReferenceData!R183C44</stp>
        <stp>PX391=20090701</stp>
        <stp>PX392=20090930</stp>
        <stp>DS004=USD</stp>
        <stp>Fill=B</stp>
        <tr r="AR183" s="3"/>
      </tp>
      <tp t="s">
        <v>#N/A Connection</v>
        <stp/>
        <stp>##V3_BDPV12</stp>
        <stp>THVHSCAR Index</stp>
        <stp>PX385</stp>
        <stp>[BI_AUTMG_1_l22cd4li.xlsx]ReferenceData!R174C36</stp>
        <stp>PX391=20110701</stp>
        <stp>PX392=20110930</stp>
        <stp>DS004=USD</stp>
        <stp>Fill=B</stp>
        <tr r="AJ174" s="3"/>
      </tp>
      <tp t="s">
        <v>#N/A Connection</v>
        <stp/>
        <stp>##V3_BDPV12</stp>
        <stp>WCARIEI Index</stp>
        <stp>PX385</stp>
        <stp>[BI_AUTMG_1_l22cd4li.xlsx]ReferenceData!R185C15</stp>
        <stp>PX391=20161001</stp>
        <stp>PX392=20161231</stp>
        <stp>DS004=USD</stp>
        <stp>Fill=B</stp>
        <tr r="O185" s="3"/>
      </tp>
      <tp t="s">
        <v>#N/A Connection</v>
        <stp/>
        <stp>##V3_BDPV12</stp>
        <stp>WCARFII Index</stp>
        <stp>PX385</stp>
        <stp>[BI_AUTMG_1_l22cd4li.xlsx]ReferenceData!R180C45</stp>
        <stp>PX391=20090401</stp>
        <stp>PX392=20090630</stp>
        <stp>DS004=USD</stp>
        <stp>Fill=B</stp>
        <tr r="AS180" s="3"/>
      </tp>
      <tp t="s">
        <v>#N/A Connection</v>
        <stp/>
        <stp>##V3_BDPV12</stp>
        <stp>WCARIEI Index</stp>
        <stp>PX385</stp>
        <stp>[BI_AUTMG_1_l22cd4li.xlsx]ReferenceData!R185C54</stp>
        <stp>PX391=20070101</stp>
        <stp>PX392=20070331</stp>
        <stp>DS004=USD</stp>
        <stp>Fill=B</stp>
        <tr r="BB185" s="3"/>
      </tp>
      <tp t="s">
        <v>#N/A Connection</v>
        <stp/>
        <stp>##V3_BDPV12</stp>
        <stp>KNNVREG Index</stp>
        <stp>PX385</stp>
        <stp>[BI_AUTMG_1_l22cd4li.xlsx]ReferenceData!R216C40</stp>
        <stp>PX391=20100701</stp>
        <stp>PX392=20100930</stp>
        <stp>DS004=USD</stp>
        <stp>Fill=B</stp>
        <tr r="AN216" s="3"/>
      </tp>
      <tp t="s">
        <v>#N/A Connection</v>
        <stp/>
        <stp>##V3_BDPV12</stp>
        <stp>WCARGRI Index</stp>
        <stp>PX385</stp>
        <stp>[BI_AUTMG_1_l22cd4li.xlsx]ReferenceData!R183C48</stp>
        <stp>PX391=20080701</stp>
        <stp>PX392=20080930</stp>
        <stp>DS004=USD</stp>
        <stp>Fill=B</stp>
        <tr r="AV183" s="3"/>
      </tp>
      <tp t="s">
        <v>#N/A Connection</v>
        <stp/>
        <stp>##V3_BDPV12</stp>
        <stp>THVHSCAR Index</stp>
        <stp>PX385</stp>
        <stp>[BI_AUTMG_1_l22cd4li.xlsx]ReferenceData!R174C40</stp>
        <stp>PX391=20100701</stp>
        <stp>PX392=20100930</stp>
        <stp>DS004=USD</stp>
        <stp>Fill=B</stp>
        <tr r="AN174" s="3"/>
      </tp>
      <tp t="s">
        <v>#N/A Connection</v>
        <stp/>
        <stp>##V3_BDPV12</stp>
        <stp>WCARIEI Index</stp>
        <stp>PX385</stp>
        <stp>[BI_AUTMG_1_l22cd4li.xlsx]ReferenceData!R185C19</stp>
        <stp>PX391=20151001</stp>
        <stp>PX392=20151231</stp>
        <stp>DS004=USD</stp>
        <stp>Fill=B</stp>
        <tr r="S185" s="3"/>
      </tp>
      <tp t="s">
        <v>#N/A Connection</v>
        <stp/>
        <stp>##V3_BDPV12</stp>
        <stp>KNNVREG Index</stp>
        <stp>PX385</stp>
        <stp>[BI_AUTMG_1_l22cd4li.xlsx]ReferenceData!R216C28</stp>
        <stp>PX391=20130701</stp>
        <stp>PX392=20130930</stp>
        <stp>DS004=USD</stp>
        <stp>Fill=B</stp>
        <tr r="AB216" s="3"/>
      </tp>
      <tp t="s">
        <v>#N/A Connection</v>
        <stp/>
        <stp>##V3_BDPV12</stp>
        <stp>THVHSCAR Index</stp>
        <stp>PX385</stp>
        <stp>[BI_AUTMG_1_l22cd4li.xlsx]ReferenceData!R174C28</stp>
        <stp>PX391=20130701</stp>
        <stp>PX392=20130930</stp>
        <stp>DS004=USD</stp>
        <stp>Fill=B</stp>
        <tr r="AB174" s="3"/>
      </tp>
      <tp t="s">
        <v>#N/A Connection</v>
        <stp/>
        <stp>##V3_BDPV12</stp>
        <stp>AUTMAUVS Index</stp>
        <stp>PX385</stp>
        <stp>[BI_AUTMG_1_l22cd4li.xlsx]ReferenceData!R161C45</stp>
        <stp>PX391=20090401</stp>
        <stp>PX392=20090630</stp>
        <stp>DS004=USD</stp>
        <stp>Fill=B</stp>
        <tr r="AS161" s="3"/>
      </tp>
      <tp t="s">
        <v>#N/A Connection</v>
        <stp/>
        <stp>##V3_BDPV12</stp>
        <stp>WCARIEI Index</stp>
        <stp>PX385</stp>
        <stp>[BI_AUTMG_1_l22cd4li.xlsx]ReferenceData!R185C23</stp>
        <stp>PX391=20141001</stp>
        <stp>PX392=20141231</stp>
        <stp>DS004=USD</stp>
        <stp>Fill=B</stp>
        <tr r="W185" s="3"/>
      </tp>
      <tp t="s">
        <v>#N/A Connection</v>
        <stp/>
        <stp>##V3_BDPV12</stp>
        <stp>WCARIEI Index</stp>
        <stp>PX385</stp>
        <stp>[BI_AUTMG_1_l22cd4li.xlsx]ReferenceData!R185C62</stp>
        <stp>PX391=20050101</stp>
        <stp>PX392=20050331</stp>
        <stp>DS004=USD</stp>
        <stp>Fill=B</stp>
        <tr r="BJ185" s="3"/>
      </tp>
      <tp t="s">
        <v>#N/A Connection</v>
        <stp/>
        <stp>##V3_BDPV12</stp>
        <stp>KNNVREG Index</stp>
        <stp>PX385</stp>
        <stp>[BI_AUTMG_1_l22cd4li.xlsx]ReferenceData!R216C32</stp>
        <stp>PX391=20120701</stp>
        <stp>PX392=20120930</stp>
        <stp>DS004=USD</stp>
        <stp>Fill=B</stp>
        <tr r="AF216" s="3"/>
      </tp>
      <tp t="s">
        <v>#N/A Connection</v>
        <stp/>
        <stp>##V3_BDPV12</stp>
        <stp>THVHSCAR Index</stp>
        <stp>PX385</stp>
        <stp>[BI_AUTMG_1_l22cd4li.xlsx]ReferenceData!R174C32</stp>
        <stp>PX391=20120701</stp>
        <stp>PX392=20120930</stp>
        <stp>DS004=USD</stp>
        <stp>Fill=B</stp>
        <tr r="AF174" s="3"/>
      </tp>
      <tp t="s">
        <v>#N/A Connection</v>
        <stp/>
        <stp>##V3_BDPV12</stp>
        <stp>AUTMAUVS Index</stp>
        <stp>PX385</stp>
        <stp>[BI_AUTMG_1_l22cd4li.xlsx]ReferenceData!R161C49</stp>
        <stp>PX391=20080401</stp>
        <stp>PX392=20080630</stp>
        <stp>DS004=USD</stp>
        <stp>Fill=B</stp>
        <tr r="AW161" s="3"/>
      </tp>
      <tp t="s">
        <v>#N/A Connection</v>
        <stp/>
        <stp>##V3_BDPV12</stp>
        <stp>WCARDEI Index</stp>
        <stp>PX385</stp>
        <stp>[BI_AUTMG_1_l22cd4li.xlsx]ReferenceData!R182C12</stp>
        <stp>PX391=20170701</stp>
        <stp>PX392=20170930</stp>
        <stp>DS004=USD</stp>
        <stp>Fill=B</stp>
        <tr r="L182" s="3"/>
      </tp>
      <tp t="s">
        <v>#N/A Connection</v>
        <stp/>
        <stp>##V3_BDPV12</stp>
        <stp>WCARFII Index</stp>
        <stp>PX385</stp>
        <stp>[BI_AUTMG_1_l22cd4li.xlsx]ReferenceData!R180C65</stp>
        <stp>PX391=20040401</stp>
        <stp>PX392=20040630</stp>
        <stp>DS004=USD</stp>
        <stp>Fill=B</stp>
        <tr r="BM180" s="3"/>
      </tp>
      <tp t="s">
        <v>#N/A Connection</v>
        <stp/>
        <stp>##V3_BDPV12</stp>
        <stp>WCARGRI Index</stp>
        <stp>PX385</stp>
        <stp>[BI_AUTMG_1_l22cd4li.xlsx]ReferenceData!R183C60</stp>
        <stp>PX391=20050701</stp>
        <stp>PX392=20050930</stp>
        <stp>DS004=USD</stp>
        <stp>Fill=B</stp>
        <tr r="BH183" s="3"/>
      </tp>
      <tp t="s">
        <v>#N/A Connection</v>
        <stp/>
        <stp>##V3_BDPV12</stp>
        <stp>WCARESI Index</stp>
        <stp>PX385</stp>
        <stp>[BI_AUTMG_1_l22cd4li.xlsx]ReferenceData!R191C17</stp>
        <stp>PX391=20160401</stp>
        <stp>PX392=20160630</stp>
        <stp>DS004=USD</stp>
        <stp>Fill=B</stp>
        <tr r="Q191" s="3"/>
      </tp>
      <tp t="s">
        <v>#N/A Connection</v>
        <stp/>
        <stp>##V3_BDPV12</stp>
        <stp>WCARFRI Index</stp>
        <stp>PX385</stp>
        <stp>[BI_AUTMG_1_l22cd4li.xlsx]ReferenceData!R181C21</stp>
        <stp>PX391=20150401</stp>
        <stp>PX392=20150630</stp>
        <stp>DS004=USD</stp>
        <stp>Fill=B</stp>
        <tr r="U181" s="3"/>
      </tp>
      <tp t="s">
        <v>#N/A Connection</v>
        <stp/>
        <stp>##V3_BDPV12</stp>
        <stp>TWVSDOM Index</stp>
        <stp>PX385</stp>
        <stp>[BI_AUTMG_1_l22cd4li.xlsx]ReferenceData!R173C24</stp>
        <stp>PX391=20140701</stp>
        <stp>PX392=20140930</stp>
        <stp>DS004=USD</stp>
        <stp>Fill=B</stp>
        <tr r="X173" s="3"/>
      </tp>
      <tp t="s">
        <v>#N/A Connection</v>
        <stp/>
        <stp>##V3_BDPV12</stp>
        <stp>PHCSTOTL Index</stp>
        <stp>PX385</stp>
        <stp>[BI_AUTMG_1_l22cd4li.xlsx]ReferenceData!R170C39</stp>
        <stp>PX391=20101001</stp>
        <stp>PX392=20101231</stp>
        <stp>DS004=USD</stp>
        <stp>Fill=B</stp>
        <tr r="AM170" s="3"/>
      </tp>
      <tp t="s">
        <v>#N/A Connection</v>
        <stp/>
        <stp>##V3_BDPV12</stp>
        <stp>ARVSARTL Index</stp>
        <stp>PX385</stp>
        <stp>[BI_AUTMG_1_l22cd4li.xlsx]ReferenceData!R210C17</stp>
        <stp>PX391=20160401</stp>
        <stp>PX392=20160630</stp>
        <stp>DS004=USD</stp>
        <stp>Fill=B</stp>
        <tr r="Q210" s="3"/>
      </tp>
      <tp t="s">
        <v>#N/A Connection</v>
        <stp/>
        <stp>##V3_BDPV12</stp>
        <stp>AUTMAUVS Index</stp>
        <stp>PX385</stp>
        <stp>[BI_AUTMG_1_l22cd4li.xlsx]ReferenceData!R161C53</stp>
        <stp>PX391=20070401</stp>
        <stp>PX392=20070630</stp>
        <stp>DS004=USD</stp>
        <stp>Fill=B</stp>
        <tr r="BA161" s="3"/>
      </tp>
      <tp t="s">
        <v>#N/A Connection</v>
        <stp/>
        <stp>##V3_BDPV12</stp>
        <stp>WCARDEI Index</stp>
        <stp>PX385</stp>
        <stp>[BI_AUTMG_1_l22cd4li.xlsx]ReferenceData!R182C16</stp>
        <stp>PX391=20160701</stp>
        <stp>PX392=20160930</stp>
        <stp>DS004=USD</stp>
        <stp>Fill=B</stp>
        <tr r="P182" s="3"/>
      </tp>
      <tp t="s">
        <v>#N/A Connection</v>
        <stp/>
        <stp>##V3_BDPV12</stp>
        <stp>WCARFII Index</stp>
        <stp>PX385</stp>
        <stp>[BI_AUTMG_1_l22cd4li.xlsx]ReferenceData!R180C61</stp>
        <stp>PX391=20050401</stp>
        <stp>PX392=20050630</stp>
        <stp>DS004=USD</stp>
        <stp>Fill=B</stp>
        <tr r="BI180" s="3"/>
      </tp>
      <tp t="s">
        <v>#N/A Connection</v>
        <stp/>
        <stp>##V3_BDPV12</stp>
        <stp>WCARGRI Index</stp>
        <stp>PX385</stp>
        <stp>[BI_AUTMG_1_l22cd4li.xlsx]ReferenceData!R183C64</stp>
        <stp>PX391=20040701</stp>
        <stp>PX392=20040930</stp>
        <stp>DS004=USD</stp>
        <stp>Fill=B</stp>
        <tr r="BL183" s="3"/>
      </tp>
      <tp t="s">
        <v>#N/A Connection</v>
        <stp/>
        <stp>##V3_BDPV12</stp>
        <stp>WCARFRI Index</stp>
        <stp>PX385</stp>
        <stp>[BI_AUTMG_1_l22cd4li.xlsx]ReferenceData!R181C25</stp>
        <stp>PX391=20140401</stp>
        <stp>PX392=20140630</stp>
        <stp>DS004=USD</stp>
        <stp>Fill=B</stp>
        <tr r="Y181" s="3"/>
      </tp>
      <tp t="s">
        <v>#N/A Connection</v>
        <stp/>
        <stp>##V3_BDPV12</stp>
        <stp>WCARESI Index</stp>
        <stp>PX385</stp>
        <stp>[BI_AUTMG_1_l22cd4li.xlsx]ReferenceData!R191C13</stp>
        <stp>PX391=20170401</stp>
        <stp>PX392=20170630</stp>
        <stp>DS004=USD</stp>
        <stp>Fill=B</stp>
        <tr r="M191" s="3"/>
      </tp>
      <tp t="s">
        <v>#N/A Connection</v>
        <stp/>
        <stp>##V3_BDPV12</stp>
        <stp>TWVSDOM Index</stp>
        <stp>PX385</stp>
        <stp>[BI_AUTMG_1_l22cd4li.xlsx]ReferenceData!R173C20</stp>
        <stp>PX391=20150701</stp>
        <stp>PX392=20150930</stp>
        <stp>DS004=USD</stp>
        <stp>Fill=B</stp>
        <tr r="T173" s="3"/>
      </tp>
      <tp t="s">
        <v>#N/A Connection</v>
        <stp/>
        <stp>##V3_BDPV12</stp>
        <stp>PHCSTOTL Index</stp>
        <stp>PX385</stp>
        <stp>[BI_AUTMG_1_l22cd4li.xlsx]ReferenceData!R170C35</stp>
        <stp>PX391=20111001</stp>
        <stp>PX392=20111231</stp>
        <stp>DS004=USD</stp>
        <stp>Fill=B</stp>
        <tr r="AI170" s="3"/>
      </tp>
      <tp t="s">
        <v>#N/A Connection</v>
        <stp/>
        <stp>##V3_BDPV12</stp>
        <stp>ARVSARTL Index</stp>
        <stp>PX385</stp>
        <stp>[BI_AUTMG_1_l22cd4li.xlsx]ReferenceData!R210C13</stp>
        <stp>PX391=20170401</stp>
        <stp>PX392=20170630</stp>
        <stp>DS004=USD</stp>
        <stp>Fill=B</stp>
        <tr r="M210" s="3"/>
      </tp>
      <tp t="s">
        <v>#N/A Connection</v>
        <stp/>
        <stp>##V3_BDPV12</stp>
        <stp>AUTMAUVS Index</stp>
        <stp>PX385</stp>
        <stp>[BI_AUTMG_1_l22cd4li.xlsx]ReferenceData!R161C57</stp>
        <stp>PX391=20060401</stp>
        <stp>PX392=20060630</stp>
        <stp>DS004=USD</stp>
        <stp>Fill=B</stp>
        <tr r="BE161" s="3"/>
      </tp>
      <tp t="s">
        <v>#N/A Connection</v>
        <stp/>
        <stp>##V3_BDPV12</stp>
        <stp>WCARDEI Index</stp>
        <stp>PX385</stp>
        <stp>[BI_AUTMG_1_l22cd4li.xlsx]ReferenceData!R182C20</stp>
        <stp>PX391=20150701</stp>
        <stp>PX392=20150930</stp>
        <stp>DS004=USD</stp>
        <stp>Fill=B</stp>
        <tr r="T182" s="3"/>
      </tp>
      <tp t="s">
        <v>#N/A Connection</v>
        <stp/>
        <stp>##V3_BDPV12</stp>
        <stp>WCARIEI Index</stp>
        <stp>PX385</stp>
        <stp>[BI_AUTMG_1_l22cd4li.xlsx]ReferenceData!R185C50</stp>
        <stp>PX391=20080101</stp>
        <stp>PX392=20080331</stp>
        <stp>DS004=USD</stp>
        <stp>Fill=B</stp>
        <tr r="AX185" s="3"/>
      </tp>
      <tp t="s">
        <v>#N/A Connection</v>
        <stp/>
        <stp>##V3_BDPV12</stp>
        <stp>WCARFII Index</stp>
        <stp>PX385</stp>
        <stp>[BI_AUTMG_1_l22cd4li.xlsx]ReferenceData!R180C57</stp>
        <stp>PX391=20060401</stp>
        <stp>PX392=20060630</stp>
        <stp>DS004=USD</stp>
        <stp>Fill=B</stp>
        <tr r="BE180" s="3"/>
      </tp>
      <tp t="s">
        <v>#N/A Connection</v>
        <stp/>
        <stp>##V3_BDPV12</stp>
        <stp>WCARGRI Index</stp>
        <stp>PX385</stp>
        <stp>[BI_AUTMG_1_l22cd4li.xlsx]ReferenceData!R183C52</stp>
        <stp>PX391=20070701</stp>
        <stp>PX392=20070930</stp>
        <stp>DS004=USD</stp>
        <stp>Fill=B</stp>
        <tr r="AZ183" s="3"/>
      </tp>
      <tp t="s">
        <v>#N/A Connection</v>
        <stp/>
        <stp>##V3_BDPV12</stp>
        <stp>WCARFRI Index</stp>
        <stp>PX385</stp>
        <stp>[BI_AUTMG_1_l22cd4li.xlsx]ReferenceData!R181C13</stp>
        <stp>PX391=20170401</stp>
        <stp>PX392=20170630</stp>
        <stp>DS004=USD</stp>
        <stp>Fill=B</stp>
        <tr r="M181" s="3"/>
      </tp>
      <tp t="s">
        <v>#N/A Connection</v>
        <stp/>
        <stp>##V3_BDPV12</stp>
        <stp>WCARESI Index</stp>
        <stp>PX385</stp>
        <stp>[BI_AUTMG_1_l22cd4li.xlsx]ReferenceData!R191C25</stp>
        <stp>PX391=20140401</stp>
        <stp>PX392=20140630</stp>
        <stp>DS004=USD</stp>
        <stp>Fill=B</stp>
        <tr r="Y191" s="3"/>
      </tp>
      <tp t="s">
        <v>#N/A Connection</v>
        <stp/>
        <stp>##V3_BDPV12</stp>
        <stp>TWVSDOM Index</stp>
        <stp>PX385</stp>
        <stp>[BI_AUTMG_1_l22cd4li.xlsx]ReferenceData!R173C16</stp>
        <stp>PX391=20160701</stp>
        <stp>PX392=20160930</stp>
        <stp>DS004=USD</stp>
        <stp>Fill=B</stp>
        <tr r="P173" s="3"/>
      </tp>
      <tp t="s">
        <v>#N/A Connection</v>
        <stp/>
        <stp>##V3_BDPV12</stp>
        <stp>PHCSTOTL Index</stp>
        <stp>PX385</stp>
        <stp>[BI_AUTMG_1_l22cd4li.xlsx]ReferenceData!R170C31</stp>
        <stp>PX391=20121001</stp>
        <stp>PX392=20121231</stp>
        <stp>DS004=USD</stp>
        <stp>Fill=B</stp>
        <tr r="AE170" s="3"/>
      </tp>
      <tp t="s">
        <v>#N/A Connection</v>
        <stp/>
        <stp>##V3_BDPV12</stp>
        <stp>ARVSARTL Index</stp>
        <stp>PX385</stp>
        <stp>[BI_AUTMG_1_l22cd4li.xlsx]ReferenceData!R210C25</stp>
        <stp>PX391=20140401</stp>
        <stp>PX392=20140630</stp>
        <stp>DS004=USD</stp>
        <stp>Fill=B</stp>
        <tr r="Y210" s="3"/>
      </tp>
      <tp t="s">
        <v>#N/A Connection</v>
        <stp/>
        <stp>##V3_BDPV12</stp>
        <stp>AUTMAUVS Index</stp>
        <stp>PX385</stp>
        <stp>[BI_AUTMG_1_l22cd4li.xlsx]ReferenceData!R161C61</stp>
        <stp>PX391=20050401</stp>
        <stp>PX392=20050630</stp>
        <stp>DS004=USD</stp>
        <stp>Fill=B</stp>
        <tr r="BI161" s="3"/>
      </tp>
      <tp t="s">
        <v>#N/A Connection</v>
        <stp/>
        <stp>##V3_BDPV12</stp>
        <stp>WCARDEI Index</stp>
        <stp>PX385</stp>
        <stp>[BI_AUTMG_1_l22cd4li.xlsx]ReferenceData!R182C24</stp>
        <stp>PX391=20140701</stp>
        <stp>PX392=20140930</stp>
        <stp>DS004=USD</stp>
        <stp>Fill=B</stp>
        <tr r="X182" s="3"/>
      </tp>
      <tp t="s">
        <v>#N/A Connection</v>
        <stp/>
        <stp>##V3_BDPV12</stp>
        <stp>WCARIEI Index</stp>
        <stp>PX385</stp>
        <stp>[BI_AUTMG_1_l22cd4li.xlsx]ReferenceData!R185C46</stp>
        <stp>PX391=20090101</stp>
        <stp>PX392=20090331</stp>
        <stp>DS004=USD</stp>
        <stp>Fill=B</stp>
        <tr r="AT185" s="3"/>
      </tp>
      <tp t="s">
        <v>#N/A Connection</v>
        <stp/>
        <stp>##V3_BDPV12</stp>
        <stp>WCARFII Index</stp>
        <stp>PX385</stp>
        <stp>[BI_AUTMG_1_l22cd4li.xlsx]ReferenceData!R180C53</stp>
        <stp>PX391=20070401</stp>
        <stp>PX392=20070630</stp>
        <stp>DS004=USD</stp>
        <stp>Fill=B</stp>
        <tr r="BA180" s="3"/>
      </tp>
      <tp t="s">
        <v>#N/A Connection</v>
        <stp/>
        <stp>##V3_BDPV12</stp>
        <stp>WCARGRI Index</stp>
        <stp>PX385</stp>
        <stp>[BI_AUTMG_1_l22cd4li.xlsx]ReferenceData!R183C56</stp>
        <stp>PX391=20060701</stp>
        <stp>PX392=20060930</stp>
        <stp>DS004=USD</stp>
        <stp>Fill=B</stp>
        <tr r="BD183" s="3"/>
      </tp>
      <tp t="s">
        <v>#N/A Connection</v>
        <stp/>
        <stp>##V3_BDPV12</stp>
        <stp>WCARESI Index</stp>
        <stp>PX385</stp>
        <stp>[BI_AUTMG_1_l22cd4li.xlsx]ReferenceData!R191C21</stp>
        <stp>PX391=20150401</stp>
        <stp>PX392=20150630</stp>
        <stp>DS004=USD</stp>
        <stp>Fill=B</stp>
        <tr r="U191" s="3"/>
      </tp>
      <tp t="s">
        <v>#N/A Connection</v>
        <stp/>
        <stp>##V3_BDPV12</stp>
        <stp>WCARFRI Index</stp>
        <stp>PX385</stp>
        <stp>[BI_AUTMG_1_l22cd4li.xlsx]ReferenceData!R181C17</stp>
        <stp>PX391=20160401</stp>
        <stp>PX392=20160630</stp>
        <stp>DS004=USD</stp>
        <stp>Fill=B</stp>
        <tr r="Q181" s="3"/>
      </tp>
      <tp t="s">
        <v>#N/A Connection</v>
        <stp/>
        <stp>##V3_BDPV12</stp>
        <stp>TWVSDOM Index</stp>
        <stp>PX385</stp>
        <stp>[BI_AUTMG_1_l22cd4li.xlsx]ReferenceData!R173C12</stp>
        <stp>PX391=20170701</stp>
        <stp>PX392=20170930</stp>
        <stp>DS004=USD</stp>
        <stp>Fill=B</stp>
        <tr r="L173" s="3"/>
      </tp>
      <tp t="s">
        <v>#N/A Connection</v>
        <stp/>
        <stp>##V3_BDPV12</stp>
        <stp>PHCSTOTL Index</stp>
        <stp>PX385</stp>
        <stp>[BI_AUTMG_1_l22cd4li.xlsx]ReferenceData!R170C27</stp>
        <stp>PX391=20131001</stp>
        <stp>PX392=20131231</stp>
        <stp>DS004=USD</stp>
        <stp>Fill=B</stp>
        <tr r="AA170" s="3"/>
      </tp>
      <tp t="s">
        <v>#N/A Connection</v>
        <stp/>
        <stp>##V3_BDPV12</stp>
        <stp>ARVSARTL Index</stp>
        <stp>PX385</stp>
        <stp>[BI_AUTMG_1_l22cd4li.xlsx]ReferenceData!R210C21</stp>
        <stp>PX391=20150401</stp>
        <stp>PX392=20150630</stp>
        <stp>DS004=USD</stp>
        <stp>Fill=B</stp>
        <tr r="U210" s="3"/>
      </tp>
      <tp t="s">
        <v>#N/A Connection</v>
        <stp/>
        <stp>##V3_BDPV12</stp>
        <stp>AUTMAUVS Index</stp>
        <stp>PX385</stp>
        <stp>[BI_AUTMG_1_l22cd4li.xlsx]ReferenceData!R161C65</stp>
        <stp>PX391=20040401</stp>
        <stp>PX392=20040630</stp>
        <stp>DS004=USD</stp>
        <stp>Fill=B</stp>
        <tr r="BM161" s="3"/>
      </tp>
      <tp t="s">
        <v>#N/A Connection</v>
        <stp/>
        <stp>##V3_BDPV12</stp>
        <stp>WCARDEI Index</stp>
        <stp>PX385</stp>
        <stp>[BI_AUTMG_1_l22cd4li.xlsx]ReferenceData!R182C28</stp>
        <stp>PX391=20130701</stp>
        <stp>PX392=20130930</stp>
        <stp>DS004=USD</stp>
        <stp>Fill=B</stp>
        <tr r="AB182" s="3"/>
      </tp>
      <tp t="s">
        <v>#N/A Connection</v>
        <stp/>
        <stp>##V3_BDPV12</stp>
        <stp>WCARCHI Index</stp>
        <stp>PX385</stp>
        <stp>[BI_AUTMG_1_l22cd4li.xlsx]ReferenceData!R193C60</stp>
        <stp>PX391=20050701</stp>
        <stp>PX392=20050930</stp>
        <stp>DS004=USD</stp>
        <stp>Fill=B</stp>
        <tr r="BH193" s="3"/>
      </tp>
      <tp t="s">
        <v>#N/A Connection</v>
        <stp/>
        <stp>##V3_BDPV12</stp>
        <stp>WCARFRI Index</stp>
        <stp>PX385</stp>
        <stp>[BI_AUTMG_1_l22cd4li.xlsx]ReferenceData!R181C37</stp>
        <stp>PX391=20110401</stp>
        <stp>PX392=20110630</stp>
        <stp>DS004=USD</stp>
        <stp>Fill=B</stp>
        <tr r="AK181" s="3"/>
      </tp>
      <tp t="s">
        <v>#N/A Connection</v>
        <stp/>
        <stp>##V3_BDPV12</stp>
        <stp>WCARESI Index</stp>
        <stp>PX385</stp>
        <stp>[BI_AUTMG_1_l22cd4li.xlsx]ReferenceData!R191C33</stp>
        <stp>PX391=20120401</stp>
        <stp>PX392=20120630</stp>
        <stp>DS004=USD</stp>
        <stp>Fill=B</stp>
        <tr r="AG191" s="3"/>
      </tp>
      <tp t="s">
        <v>#N/A Connection</v>
        <stp/>
        <stp>##V3_BDPV12</stp>
        <stp>CNVSTTL Index</stp>
        <stp>PX385</stp>
        <stp>[BI_AUTMG_1_l22cd4li.xlsx]ReferenceData!R162C56</stp>
        <stp>PX391=20060701</stp>
        <stp>PX392=20060930</stp>
        <stp>DS004=USD</stp>
        <stp>Fill=B</stp>
        <tr r="BD162" s="3"/>
      </tp>
      <tp t="s">
        <v>#N/A Connection</v>
        <stp/>
        <stp>##V3_BDPV12</stp>
        <stp>TWVSDOM Index</stp>
        <stp>PX385</stp>
        <stp>[BI_AUTMG_1_l22cd4li.xlsx]ReferenceData!R173C40</stp>
        <stp>PX391=20100701</stp>
        <stp>PX392=20100930</stp>
        <stp>DS004=USD</stp>
        <stp>Fill=B</stp>
        <tr r="AN173" s="3"/>
      </tp>
      <tp t="s">
        <v>#N/A Connection</v>
        <stp/>
        <stp>##V3_BDPV12</stp>
        <stp>PHCSTOTL Index</stp>
        <stp>PX385</stp>
        <stp>[BI_AUTMG_1_l22cd4li.xlsx]ReferenceData!R170C62</stp>
        <stp>PX391=20050101</stp>
        <stp>PX392=20050331</stp>
        <stp>DS004=USD</stp>
        <stp>Fill=B</stp>
        <tr r="BJ170" s="3"/>
      </tp>
      <tp t="s">
        <v>#N/A Connection</v>
        <stp/>
        <stp>##V3_BDPV12</stp>
        <stp>PHCSTOTL Index</stp>
        <stp>PX385</stp>
        <stp>[BI_AUTMG_1_l22cd4li.xlsx]ReferenceData!R170C23</stp>
        <stp>PX391=20141001</stp>
        <stp>PX392=20141231</stp>
        <stp>DS004=USD</stp>
        <stp>Fill=B</stp>
        <tr r="W170" s="3"/>
      </tp>
      <tp t="s">
        <v>#N/A Connection</v>
        <stp/>
        <stp>##V3_BDPV12</stp>
        <stp>ARVSARTL Index</stp>
        <stp>PX385</stp>
        <stp>[BI_AUTMG_1_l22cd4li.xlsx]ReferenceData!R210C33</stp>
        <stp>PX391=20120401</stp>
        <stp>PX392=20120630</stp>
        <stp>DS004=USD</stp>
        <stp>Fill=B</stp>
        <tr r="AG210" s="3"/>
      </tp>
      <tp t="s">
        <v>#N/A Connection</v>
        <stp/>
        <stp>##V3_BDPV12</stp>
        <stp>WCARDEI Index</stp>
        <stp>PX385</stp>
        <stp>[BI_AUTMG_1_l22cd4li.xlsx]ReferenceData!R182C32</stp>
        <stp>PX391=20120701</stp>
        <stp>PX392=20120930</stp>
        <stp>DS004=USD</stp>
        <stp>Fill=B</stp>
        <tr r="AF182" s="3"/>
      </tp>
      <tp t="s">
        <v>#N/A Connection</v>
        <stp/>
        <stp>##V3_BDPV12</stp>
        <stp>WCARCHI Index</stp>
        <stp>PX385</stp>
        <stp>[BI_AUTMG_1_l22cd4li.xlsx]ReferenceData!R193C64</stp>
        <stp>PX391=20040701</stp>
        <stp>PX392=20040930</stp>
        <stp>DS004=USD</stp>
        <stp>Fill=B</stp>
        <tr r="BL193" s="3"/>
      </tp>
      <tp t="s">
        <v>#N/A Connection</v>
        <stp/>
        <stp>##V3_BDPV12</stp>
        <stp>WCARESI Index</stp>
        <stp>PX385</stp>
        <stp>[BI_AUTMG_1_l22cd4li.xlsx]ReferenceData!R191C29</stp>
        <stp>PX391=20130401</stp>
        <stp>PX392=20130630</stp>
        <stp>DS004=USD</stp>
        <stp>Fill=B</stp>
        <tr r="AC191" s="3"/>
      </tp>
      <tp t="s">
        <v>#N/A Connection</v>
        <stp/>
        <stp>##V3_BDPV12</stp>
        <stp>WCARFRI Index</stp>
        <stp>PX385</stp>
        <stp>[BI_AUTMG_1_l22cd4li.xlsx]ReferenceData!R181C41</stp>
        <stp>PX391=20100401</stp>
        <stp>PX392=20100630</stp>
        <stp>DS004=USD</stp>
        <stp>Fill=B</stp>
        <tr r="AO181" s="3"/>
      </tp>
      <tp t="s">
        <v>#N/A Connection</v>
        <stp/>
        <stp>##V3_BDPV12</stp>
        <stp>TWVSDOM Index</stp>
        <stp>PX385</stp>
        <stp>[BI_AUTMG_1_l22cd4li.xlsx]ReferenceData!R173C36</stp>
        <stp>PX391=20110701</stp>
        <stp>PX392=20110930</stp>
        <stp>DS004=USD</stp>
        <stp>Fill=B</stp>
        <tr r="AJ173" s="3"/>
      </tp>
      <tp t="s">
        <v>#N/A Connection</v>
        <stp/>
        <stp>##V3_BDPV12</stp>
        <stp>CNVSTTL Index</stp>
        <stp>PX385</stp>
        <stp>[BI_AUTMG_1_l22cd4li.xlsx]ReferenceData!R162C52</stp>
        <stp>PX391=20070701</stp>
        <stp>PX392=20070930</stp>
        <stp>DS004=USD</stp>
        <stp>Fill=B</stp>
        <tr r="AZ162" s="3"/>
      </tp>
      <tp t="s">
        <v>#N/A Connection</v>
        <stp/>
        <stp>##V3_BDPV12</stp>
        <stp>PHCSTOTL Index</stp>
        <stp>PX385</stp>
        <stp>[BI_AUTMG_1_l22cd4li.xlsx]ReferenceData!R170C19</stp>
        <stp>PX391=20151001</stp>
        <stp>PX392=20151231</stp>
        <stp>DS004=USD</stp>
        <stp>Fill=B</stp>
        <tr r="S170" s="3"/>
      </tp>
      <tp t="s">
        <v>#N/A Connection</v>
        <stp/>
        <stp>##V3_BDPV12</stp>
        <stp>ARVSARTL Index</stp>
        <stp>PX385</stp>
        <stp>[BI_AUTMG_1_l22cd4li.xlsx]ReferenceData!R210C29</stp>
        <stp>PX391=20130401</stp>
        <stp>PX392=20130630</stp>
        <stp>DS004=USD</stp>
        <stp>Fill=B</stp>
        <tr r="AC210" s="3"/>
      </tp>
      <tp t="s">
        <v>#N/A Connection</v>
        <stp/>
        <stp>##V3_BDPV12</stp>
        <stp>WCARDEI Index</stp>
        <stp>PX385</stp>
        <stp>[BI_AUTMG_1_l22cd4li.xlsx]ReferenceData!R182C36</stp>
        <stp>PX391=20110701</stp>
        <stp>PX392=20110930</stp>
        <stp>DS004=USD</stp>
        <stp>Fill=B</stp>
        <tr r="AJ182" s="3"/>
      </tp>
      <tp t="s">
        <v>#N/A Connection</v>
        <stp/>
        <stp>##V3_BDPV12</stp>
        <stp>WCARCHI Index</stp>
        <stp>PX385</stp>
        <stp>[BI_AUTMG_1_l22cd4li.xlsx]ReferenceData!R193C52</stp>
        <stp>PX391=20070701</stp>
        <stp>PX392=20070930</stp>
        <stp>DS004=USD</stp>
        <stp>Fill=B</stp>
        <tr r="AZ193" s="3"/>
      </tp>
      <tp t="s">
        <v>#N/A Connection</v>
        <stp/>
        <stp>##V3_BDPV12</stp>
        <stp>WCARFRI Index</stp>
        <stp>PX385</stp>
        <stp>[BI_AUTMG_1_l22cd4li.xlsx]ReferenceData!R181C29</stp>
        <stp>PX391=20130401</stp>
        <stp>PX392=20130630</stp>
        <stp>DS004=USD</stp>
        <stp>Fill=B</stp>
        <tr r="AC181" s="3"/>
      </tp>
      <tp t="s">
        <v>#N/A Connection</v>
        <stp/>
        <stp>##V3_BDPV12</stp>
        <stp>WCARESI Index</stp>
        <stp>PX385</stp>
        <stp>[BI_AUTMG_1_l22cd4li.xlsx]ReferenceData!R191C41</stp>
        <stp>PX391=20100401</stp>
        <stp>PX392=20100630</stp>
        <stp>DS004=USD</stp>
        <stp>Fill=B</stp>
        <tr r="AO191" s="3"/>
      </tp>
      <tp t="s">
        <v>#N/A Connection</v>
        <stp/>
        <stp>##V3_BDPV12</stp>
        <stp>TWVSDOM Index</stp>
        <stp>PX385</stp>
        <stp>[BI_AUTMG_1_l22cd4li.xlsx]ReferenceData!R173C32</stp>
        <stp>PX391=20120701</stp>
        <stp>PX392=20120930</stp>
        <stp>DS004=USD</stp>
        <stp>Fill=B</stp>
        <tr r="AF173" s="3"/>
      </tp>
      <tp t="s">
        <v>#N/A Connection</v>
        <stp/>
        <stp>##V3_BDPV12</stp>
        <stp>CNVSTTL Index</stp>
        <stp>PX385</stp>
        <stp>[BI_AUTMG_1_l22cd4li.xlsx]ReferenceData!R162C64</stp>
        <stp>PX391=20040701</stp>
        <stp>PX392=20040930</stp>
        <stp>DS004=USD</stp>
        <stp>Fill=B</stp>
        <tr r="BL162" s="3"/>
      </tp>
      <tp t="s">
        <v>#N/A Connection</v>
        <stp/>
        <stp>##V3_BDPV12</stp>
        <stp>PHCSTOTL Index</stp>
        <stp>PX385</stp>
        <stp>[BI_AUTMG_1_l22cd4li.xlsx]ReferenceData!R170C54</stp>
        <stp>PX391=20070101</stp>
        <stp>PX392=20070331</stp>
        <stp>DS004=USD</stp>
        <stp>Fill=B</stp>
        <tr r="BB170" s="3"/>
      </tp>
      <tp t="s">
        <v>#N/A Connection</v>
        <stp/>
        <stp>##V3_BDPV12</stp>
        <stp>PHCSTOTL Index</stp>
        <stp>PX385</stp>
        <stp>[BI_AUTMG_1_l22cd4li.xlsx]ReferenceData!R170C15</stp>
        <stp>PX391=20161001</stp>
        <stp>PX392=20161231</stp>
        <stp>DS004=USD</stp>
        <stp>Fill=B</stp>
        <tr r="O170" s="3"/>
      </tp>
      <tp t="s">
        <v>#N/A Connection</v>
        <stp/>
        <stp>##V3_BDPV12</stp>
        <stp>ARVSARTL Index</stp>
        <stp>PX385</stp>
        <stp>[BI_AUTMG_1_l22cd4li.xlsx]ReferenceData!R210C41</stp>
        <stp>PX391=20100401</stp>
        <stp>PX392=20100630</stp>
        <stp>DS004=USD</stp>
        <stp>Fill=B</stp>
        <tr r="AO210" s="3"/>
      </tp>
      <tp t="s">
        <v>#N/A Connection</v>
        <stp/>
        <stp>##V3_BDPV12</stp>
        <stp>WCARDEI Index</stp>
        <stp>PX385</stp>
        <stp>[BI_AUTMG_1_l22cd4li.xlsx]ReferenceData!R182C40</stp>
        <stp>PX391=20100701</stp>
        <stp>PX392=20100930</stp>
        <stp>DS004=USD</stp>
        <stp>Fill=B</stp>
        <tr r="AN182" s="3"/>
      </tp>
      <tp t="s">
        <v>#N/A Connection</v>
        <stp/>
        <stp>##V3_BDPV12</stp>
        <stp>WCARCHI Index</stp>
        <stp>PX385</stp>
        <stp>[BI_AUTMG_1_l22cd4li.xlsx]ReferenceData!R193C56</stp>
        <stp>PX391=20060701</stp>
        <stp>PX392=20060930</stp>
        <stp>DS004=USD</stp>
        <stp>Fill=B</stp>
        <tr r="BD193" s="3"/>
      </tp>
      <tp t="s">
        <v>#N/A Connection</v>
        <stp/>
        <stp>##V3_BDPV12</stp>
        <stp>WCARESI Index</stp>
        <stp>PX385</stp>
        <stp>[BI_AUTMG_1_l22cd4li.xlsx]ReferenceData!R191C37</stp>
        <stp>PX391=20110401</stp>
        <stp>PX392=20110630</stp>
        <stp>DS004=USD</stp>
        <stp>Fill=B</stp>
        <tr r="AK191" s="3"/>
      </tp>
      <tp t="s">
        <v>#N/A Connection</v>
        <stp/>
        <stp>##V3_BDPV12</stp>
        <stp>WCARFRI Index</stp>
        <stp>PX385</stp>
        <stp>[BI_AUTMG_1_l22cd4li.xlsx]ReferenceData!R181C33</stp>
        <stp>PX391=20120401</stp>
        <stp>PX392=20120630</stp>
        <stp>DS004=USD</stp>
        <stp>Fill=B</stp>
        <tr r="AG181" s="3"/>
      </tp>
      <tp t="s">
        <v>#N/A Connection</v>
        <stp/>
        <stp>##V3_BDPV12</stp>
        <stp>CNVSTTL Index</stp>
        <stp>PX385</stp>
        <stp>[BI_AUTMG_1_l22cd4li.xlsx]ReferenceData!R162C60</stp>
        <stp>PX391=20050701</stp>
        <stp>PX392=20050930</stp>
        <stp>DS004=USD</stp>
        <stp>Fill=B</stp>
        <tr r="BH162" s="3"/>
      </tp>
      <tp t="s">
        <v>#N/A Connection</v>
        <stp/>
        <stp>##V3_BDPV12</stp>
        <stp>TWVSDOM Index</stp>
        <stp>PX385</stp>
        <stp>[BI_AUTMG_1_l22cd4li.xlsx]ReferenceData!R173C28</stp>
        <stp>PX391=20130701</stp>
        <stp>PX392=20130930</stp>
        <stp>DS004=USD</stp>
        <stp>Fill=B</stp>
        <tr r="AB173" s="3"/>
      </tp>
      <tp t="s">
        <v>#N/A Connection</v>
        <stp/>
        <stp>##V3_BDPV12</stp>
        <stp>PHCSTOTL Index</stp>
        <stp>PX385</stp>
        <stp>[BI_AUTMG_1_l22cd4li.xlsx]ReferenceData!R170C58</stp>
        <stp>PX391=20060101</stp>
        <stp>PX392=20060331</stp>
        <stp>DS004=USD</stp>
        <stp>Fill=B</stp>
        <tr r="BF170" s="3"/>
      </tp>
      <tp t="s">
        <v>#N/A Connection</v>
        <stp/>
        <stp>##V3_BDPV12</stp>
        <stp>PHCSTOTL Index</stp>
        <stp>PX385</stp>
        <stp>[BI_AUTMG_1_l22cd4li.xlsx]ReferenceData!R170C11</stp>
        <stp>PX391=20171001</stp>
        <stp>PX392=20171231</stp>
        <stp>DS004=USD</stp>
        <stp>Fill=B</stp>
        <tr r="K170" s="3"/>
      </tp>
      <tp t="s">
        <v>#N/A Connection</v>
        <stp/>
        <stp>##V3_BDPV12</stp>
        <stp>ARVSARTL Index</stp>
        <stp>PX385</stp>
        <stp>[BI_AUTMG_1_l22cd4li.xlsx]ReferenceData!R210C37</stp>
        <stp>PX391=20110401</stp>
        <stp>PX392=20110630</stp>
        <stp>DS004=USD</stp>
        <stp>Fill=B</stp>
        <tr r="AK210" s="3"/>
      </tp>
      <tp t="s">
        <v>#N/A Connection</v>
        <stp/>
        <stp>##V3_BDPV12</stp>
        <stp>IDVHCLOC Index</stp>
        <stp>PX385</stp>
        <stp>[BI_AUTMG_1_l22cd4li.xlsx]ReferenceData!R166C7</stp>
        <stp>PX391=20181001</stp>
        <stp>PX392=20181231</stp>
        <stp>DS004=USD</stp>
        <stp>Fill=B</stp>
        <tr r="G166" s="3"/>
      </tp>
      <tp t="s">
        <v>#N/A Connection</v>
        <stp/>
        <stp>##V3_BDPV12</stp>
        <stp>WCARSEI Index</stp>
        <stp>PX385</stp>
        <stp>[BI_AUTMG_1_l22cd4li.xlsx]ReferenceData!R192C44</stp>
        <stp>PX391=20090701</stp>
        <stp>PX392=20090930</stp>
        <stp>DS004=USD</stp>
        <stp>Fill=B</stp>
        <tr r="AR192" s="3"/>
      </tp>
      <tp t="s">
        <v>#N/A Connection</v>
        <stp/>
        <stp>##V3_BDPV12</stp>
        <stp>RUAUTOTL Index</stp>
        <stp>PX385</stp>
        <stp>[BI_AUTMG_1_l22cd4li.xlsx]ReferenceData!R204C24</stp>
        <stp>PX391=20140701</stp>
        <stp>PX392=20140930</stp>
        <stp>DS004=USD</stp>
        <stp>Fill=B</stp>
        <tr r="X204" s="3"/>
      </tp>
      <tp t="s">
        <v>#N/A Connection</v>
        <stp/>
        <stp>##V3_BDPV12</stp>
        <stp>WCARSEI Index</stp>
        <stp>PX385</stp>
        <stp>[BI_AUTMG_1_l22cd4li.xlsx]ReferenceData!R192C48</stp>
        <stp>PX391=20080701</stp>
        <stp>PX392=20080930</stp>
        <stp>DS004=USD</stp>
        <stp>Fill=B</stp>
        <tr r="AV192" s="3"/>
      </tp>
      <tp t="s">
        <v>#N/A Connection</v>
        <stp/>
        <stp>##V3_BDPV12</stp>
        <stp>RUAUTOTL Index</stp>
        <stp>PX385</stp>
        <stp>[BI_AUTMG_1_l22cd4li.xlsx]ReferenceData!R204C20</stp>
        <stp>PX391=20150701</stp>
        <stp>PX392=20150930</stp>
        <stp>DS004=USD</stp>
        <stp>Fill=B</stp>
        <tr r="T204" s="3"/>
      </tp>
      <tp t="s">
        <v>#N/A Connection</v>
        <stp/>
        <stp>##V3_BDPV12</stp>
        <stp>RUAUTOTL Index</stp>
        <stp>PX385</stp>
        <stp>[BI_AUTMG_1_l22cd4li.xlsx]ReferenceData!R204C16</stp>
        <stp>PX391=20160701</stp>
        <stp>PX392=20160930</stp>
        <stp>DS004=USD</stp>
        <stp>Fill=B</stp>
        <tr r="P204" s="3"/>
      </tp>
      <tp t="s">
        <v>#N/A Connection</v>
        <stp/>
        <stp>##V3_BDPV12</stp>
        <stp>RUAUTOTL Index</stp>
        <stp>PX385</stp>
        <stp>[BI_AUTMG_1_l22cd4li.xlsx]ReferenceData!R204C12</stp>
        <stp>PX391=20170701</stp>
        <stp>PX392=20170930</stp>
        <stp>DS004=USD</stp>
        <stp>Fill=B</stp>
        <tr r="L204" s="3"/>
      </tp>
      <tp t="s">
        <v>#N/A Connection</v>
        <stp/>
        <stp>##V3_BDPV12</stp>
        <stp>RUAUTOTL Index</stp>
        <stp>PX385</stp>
        <stp>[BI_AUTMG_1_l22cd4li.xlsx]ReferenceData!R204C40</stp>
        <stp>PX391=20100701</stp>
        <stp>PX392=20100930</stp>
        <stp>DS004=USD</stp>
        <stp>Fill=B</stp>
        <tr r="AN204" s="3"/>
      </tp>
      <tp t="s">
        <v>#N/A Connection</v>
        <stp/>
        <stp>##V3_BDPV12</stp>
        <stp>CHVSAUTO Index</stp>
        <stp>PX385</stp>
        <stp>[BI_AUTMG_1_l22cd4li.xlsx]ReferenceData!R212C57</stp>
        <stp>PX391=20060401</stp>
        <stp>PX392=20060630</stp>
        <stp>DS004=USD</stp>
        <stp>Fill=B</stp>
        <tr r="BE212" s="3"/>
      </tp>
      <tp t="s">
        <v>#N/A Connection</v>
        <stp/>
        <stp>##V3_BDPV12</stp>
        <stp>RUAUTOTL Index</stp>
        <stp>PX385</stp>
        <stp>[BI_AUTMG_1_l22cd4li.xlsx]ReferenceData!R204C36</stp>
        <stp>PX391=20110701</stp>
        <stp>PX392=20110930</stp>
        <stp>DS004=USD</stp>
        <stp>Fill=B</stp>
        <tr r="AJ204" s="3"/>
      </tp>
      <tp t="s">
        <v>#N/A Connection</v>
        <stp/>
        <stp>##V3_BDPV12</stp>
        <stp>CHVSAUTO Index</stp>
        <stp>PX385</stp>
        <stp>[BI_AUTMG_1_l22cd4li.xlsx]ReferenceData!R212C53</stp>
        <stp>PX391=20070401</stp>
        <stp>PX392=20070630</stp>
        <stp>DS004=USD</stp>
        <stp>Fill=B</stp>
        <tr r="BA212" s="3"/>
      </tp>
      <tp t="s">
        <v>#N/A Connection</v>
        <stp/>
        <stp>##V3_BDPV12</stp>
        <stp>WCARUKI Index</stp>
        <stp>PX385</stp>
        <stp>[BI_AUTMG_1_l22cd4li.xlsx]ReferenceData!R195C47</stp>
        <stp>PX391=20081001</stp>
        <stp>PX392=20081231</stp>
        <stp>DS004=USD</stp>
        <stp>Fill=B</stp>
        <tr r="AU195" s="3"/>
      </tp>
      <tp t="s">
        <v>#N/A Connection</v>
        <stp/>
        <stp>##V3_BDPV12</stp>
        <stp>RUAUTOTL Index</stp>
        <stp>PX385</stp>
        <stp>[BI_AUTMG_1_l22cd4li.xlsx]ReferenceData!R204C32</stp>
        <stp>PX391=20120701</stp>
        <stp>PX392=20120930</stp>
        <stp>DS004=USD</stp>
        <stp>Fill=B</stp>
        <tr r="AF204" s="3"/>
      </tp>
      <tp t="s">
        <v>#N/A Connection</v>
        <stp/>
        <stp>##V3_BDPV12</stp>
        <stp>CHVSAUTO Index</stp>
        <stp>PX385</stp>
        <stp>[BI_AUTMG_1_l22cd4li.xlsx]ReferenceData!R212C65</stp>
        <stp>PX391=20040401</stp>
        <stp>PX392=20040630</stp>
        <stp>DS004=USD</stp>
        <stp>Fill=B</stp>
        <tr r="BM212" s="3"/>
      </tp>
      <tp t="s">
        <v>#N/A Connection</v>
        <stp/>
        <stp>##V3_BDPV12</stp>
        <stp>WCARUKI Index</stp>
        <stp>PX385</stp>
        <stp>[BI_AUTMG_1_l22cd4li.xlsx]ReferenceData!R195C10</stp>
        <stp>PX391=20180101</stp>
        <stp>PX392=20180331</stp>
        <stp>DS004=USD</stp>
        <stp>Fill=B</stp>
        <tr r="J195" s="3"/>
      </tp>
      <tp t="s">
        <v>#N/A Connection</v>
        <stp/>
        <stp>##V3_BDPV12</stp>
        <stp>WCARUKI Index</stp>
        <stp>PX385</stp>
        <stp>[BI_AUTMG_1_l22cd4li.xlsx]ReferenceData!R195C43</stp>
        <stp>PX391=20091001</stp>
        <stp>PX392=20091231</stp>
        <stp>DS004=USD</stp>
        <stp>Fill=B</stp>
        <tr r="AQ195" s="3"/>
      </tp>
      <tp t="s">
        <v>#N/A Connection</v>
        <stp/>
        <stp>##V3_BDPV12</stp>
        <stp>RUAUTOTL Index</stp>
        <stp>PX385</stp>
        <stp>[BI_AUTMG_1_l22cd4li.xlsx]ReferenceData!R204C28</stp>
        <stp>PX391=20130701</stp>
        <stp>PX392=20130930</stp>
        <stp>DS004=USD</stp>
        <stp>Fill=B</stp>
        <tr r="AB204" s="3"/>
      </tp>
      <tp t="s">
        <v>#N/A Connection</v>
        <stp/>
        <stp>##V3_BDPV12</stp>
        <stp>CHVSAUTO Index</stp>
        <stp>PX385</stp>
        <stp>[BI_AUTMG_1_l22cd4li.xlsx]ReferenceData!R212C61</stp>
        <stp>PX391=20050401</stp>
        <stp>PX392=20050630</stp>
        <stp>DS004=USD</stp>
        <stp>Fill=B</stp>
        <tr r="BI212" s="3"/>
      </tp>
      <tp t="s">
        <v>#N/A Connection</v>
        <stp/>
        <stp>##V3_BDPV12</stp>
        <stp>WCARUKI Index</stp>
        <stp>PX385</stp>
        <stp>[BI_AUTMG_1_l22cd4li.xlsx]ReferenceData!R195C55</stp>
        <stp>PX391=20061001</stp>
        <stp>PX392=20061231</stp>
        <stp>DS004=USD</stp>
        <stp>Fill=B</stp>
        <tr r="BC195" s="3"/>
      </tp>
      <tp t="s">
        <v>#N/A Connection</v>
        <stp/>
        <stp>##V3_BDPV12</stp>
        <stp>WCARUKI Index</stp>
        <stp>PX385</stp>
        <stp>[BI_AUTMG_1_l22cd4li.xlsx]ReferenceData!R195C14</stp>
        <stp>PX391=20170101</stp>
        <stp>PX392=20170331</stp>
        <stp>DS004=USD</stp>
        <stp>Fill=B</stp>
        <tr r="N195" s="3"/>
      </tp>
      <tp t="s">
        <v>#N/A Connection</v>
        <stp/>
        <stp>##V3_BDPV12</stp>
        <stp>SINVHR Index</stp>
        <stp>PX385</stp>
        <stp>[BI_AUTMG_1_l22cd4li.xlsx]ReferenceData!R172C40</stp>
        <stp>PX391=20100701</stp>
        <stp>PX392=20100930</stp>
        <stp>DS004=USD</stp>
        <stp>Fill=B</stp>
        <tr r="AN172" s="3"/>
      </tp>
      <tp t="s">
        <v>#N/A Connection</v>
        <stp/>
        <stp>##V3_BDPV12</stp>
        <stp>WCARPTI Index</stp>
        <stp>PX385</stp>
        <stp>[BI_AUTMG_1_l22cd4li.xlsx]ReferenceData!R190C29</stp>
        <stp>PX391=20130401</stp>
        <stp>PX392=20130630</stp>
        <stp>DS004=USD</stp>
        <stp>Fill=B</stp>
        <tr r="AC190" s="3"/>
      </tp>
      <tp t="s">
        <v>#N/A Connection</v>
        <stp/>
        <stp>##V3_BDPV12</stp>
        <stp>SINVHR Index</stp>
        <stp>PX385</stp>
        <stp>[BI_AUTMG_1_l22cd4li.xlsx]ReferenceData!R172C36</stp>
        <stp>PX391=20110701</stp>
        <stp>PX392=20110930</stp>
        <stp>DS004=USD</stp>
        <stp>Fill=B</stp>
        <tr r="AJ172" s="3"/>
      </tp>
      <tp t="s">
        <v>#N/A Connection</v>
        <stp/>
        <stp>##V3_BDPV12</stp>
        <stp>WCARUKI Index</stp>
        <stp>PX385</stp>
        <stp>[BI_AUTMG_1_l22cd4li.xlsx]ReferenceData!R195C51</stp>
        <stp>PX391=20071001</stp>
        <stp>PX392=20071231</stp>
        <stp>DS004=USD</stp>
        <stp>Fill=B</stp>
        <tr r="AY195" s="3"/>
      </tp>
      <tp t="s">
        <v>#N/A Connection</v>
        <stp/>
        <stp>##V3_BDPV12</stp>
        <stp>WCARUKI Index</stp>
        <stp>PX385</stp>
        <stp>[BI_AUTMG_1_l22cd4li.xlsx]ReferenceData!R195C18</stp>
        <stp>PX391=20160101</stp>
        <stp>PX392=20160331</stp>
        <stp>DS004=USD</stp>
        <stp>Fill=B</stp>
        <tr r="R195" s="3"/>
      </tp>
      <tp t="s">
        <v>#N/A Connection</v>
        <stp/>
        <stp>##V3_BDPV12</stp>
        <stp>WCARPTI Index</stp>
        <stp>PX385</stp>
        <stp>[BI_AUTMG_1_l22cd4li.xlsx]ReferenceData!R190C33</stp>
        <stp>PX391=20120401</stp>
        <stp>PX392=20120630</stp>
        <stp>DS004=USD</stp>
        <stp>Fill=B</stp>
        <tr r="AG190" s="3"/>
      </tp>
      <tp t="s">
        <v>#N/A Connection</v>
        <stp/>
        <stp>##V3_BDPV12</stp>
        <stp>WCARUKI Index</stp>
        <stp>PX385</stp>
        <stp>[BI_AUTMG_1_l22cd4li.xlsx]ReferenceData!R195C63</stp>
        <stp>PX391=20041001</stp>
        <stp>PX392=20041231</stp>
        <stp>DS004=USD</stp>
        <stp>Fill=B</stp>
        <tr r="BK195" s="3"/>
      </tp>
      <tp t="s">
        <v>#N/A Connection</v>
        <stp/>
        <stp>##V3_BDPV12</stp>
        <stp>SINVHR Index</stp>
        <stp>PX385</stp>
        <stp>[BI_AUTMG_1_l22cd4li.xlsx]ReferenceData!R172C32</stp>
        <stp>PX391=20120701</stp>
        <stp>PX392=20120930</stp>
        <stp>DS004=USD</stp>
        <stp>Fill=B</stp>
        <tr r="AF172" s="3"/>
      </tp>
      <tp t="s">
        <v>#N/A Connection</v>
        <stp/>
        <stp>##V3_BDPV12</stp>
        <stp>WCARUKI Index</stp>
        <stp>PX385</stp>
        <stp>[BI_AUTMG_1_l22cd4li.xlsx]ReferenceData!R195C22</stp>
        <stp>PX391=20150101</stp>
        <stp>PX392=20150331</stp>
        <stp>DS004=USD</stp>
        <stp>Fill=B</stp>
        <tr r="V195" s="3"/>
      </tp>
      <tp t="s">
        <v>#N/A Connection</v>
        <stp/>
        <stp>##V3_BDPV12</stp>
        <stp>WCARPTI Index</stp>
        <stp>PX385</stp>
        <stp>[BI_AUTMG_1_l22cd4li.xlsx]ReferenceData!R190C37</stp>
        <stp>PX391=20110401</stp>
        <stp>PX392=20110630</stp>
        <stp>DS004=USD</stp>
        <stp>Fill=B</stp>
        <tr r="AK190" s="3"/>
      </tp>
      <tp t="s">
        <v>#N/A Connection</v>
        <stp/>
        <stp>##V3_BDPV12</stp>
        <stp>CHVSAUTO Index</stp>
        <stp>PX385</stp>
        <stp>[BI_AUTMG_1_l22cd4li.xlsx]ReferenceData!R212C49</stp>
        <stp>PX391=20080401</stp>
        <stp>PX392=20080630</stp>
        <stp>DS004=USD</stp>
        <stp>Fill=B</stp>
        <tr r="AW212" s="3"/>
      </tp>
      <tp t="s">
        <v>#N/A Connection</v>
        <stp/>
        <stp>##V3_BDPV12</stp>
        <stp>WCARUKI Index</stp>
        <stp>PX385</stp>
        <stp>[BI_AUTMG_1_l22cd4li.xlsx]ReferenceData!R195C59</stp>
        <stp>PX391=20051001</stp>
        <stp>PX392=20051231</stp>
        <stp>DS004=USD</stp>
        <stp>Fill=B</stp>
        <tr r="BG195" s="3"/>
      </tp>
      <tp t="s">
        <v>#N/A Connection</v>
        <stp/>
        <stp>##V3_BDPV12</stp>
        <stp>SINVHR Index</stp>
        <stp>PX385</stp>
        <stp>[BI_AUTMG_1_l22cd4li.xlsx]ReferenceData!R172C28</stp>
        <stp>PX391=20130701</stp>
        <stp>PX392=20130930</stp>
        <stp>DS004=USD</stp>
        <stp>Fill=B</stp>
        <tr r="AB172" s="3"/>
      </tp>
      <tp t="s">
        <v>#N/A Connection</v>
        <stp/>
        <stp>##V3_BDPV12</stp>
        <stp>WCARUKI Index</stp>
        <stp>PX385</stp>
        <stp>[BI_AUTMG_1_l22cd4li.xlsx]ReferenceData!R195C26</stp>
        <stp>PX391=20140101</stp>
        <stp>PX392=20140331</stp>
        <stp>DS004=USD</stp>
        <stp>Fill=B</stp>
        <tr r="Z195" s="3"/>
      </tp>
      <tp t="s">
        <v>#N/A Connection</v>
        <stp/>
        <stp>##V3_BDPV12</stp>
        <stp>WCARPTI Index</stp>
        <stp>PX385</stp>
        <stp>[BI_AUTMG_1_l22cd4li.xlsx]ReferenceData!R190C41</stp>
        <stp>PX391=20100401</stp>
        <stp>PX392=20100630</stp>
        <stp>DS004=USD</stp>
        <stp>Fill=B</stp>
        <tr r="AO190" s="3"/>
      </tp>
      <tp t="s">
        <v>#N/A Connection</v>
        <stp/>
        <stp>##V3_BDPV12</stp>
        <stp>CHVSAUTO Index</stp>
        <stp>PX385</stp>
        <stp>[BI_AUTMG_1_l22cd4li.xlsx]ReferenceData!R212C45</stp>
        <stp>PX391=20090401</stp>
        <stp>PX392=20090630</stp>
        <stp>DS004=USD</stp>
        <stp>Fill=B</stp>
        <tr r="AS212" s="3"/>
      </tp>
      <tp t="s">
        <v>#N/A Connection</v>
        <stp/>
        <stp>##V3_BDPV12</stp>
        <stp>WCARSEI Index</stp>
        <stp>PX385</stp>
        <stp>[BI_AUTMG_1_l22cd4li.xlsx]ReferenceData!R192C60</stp>
        <stp>PX391=20050701</stp>
        <stp>PX392=20050930</stp>
        <stp>DS004=USD</stp>
        <stp>Fill=B</stp>
        <tr r="BH192" s="3"/>
      </tp>
      <tp t="s">
        <v>#N/A Connection</v>
        <stp/>
        <stp>##V3_BDPV12</stp>
        <stp>WCARUKI Index</stp>
        <stp>PX385</stp>
        <stp>[BI_AUTMG_1_l22cd4li.xlsx]ReferenceData!R195C30</stp>
        <stp>PX391=20130101</stp>
        <stp>PX392=20130331</stp>
        <stp>DS004=USD</stp>
        <stp>Fill=B</stp>
        <tr r="AD195" s="3"/>
      </tp>
      <tp t="s">
        <v>#N/A Connection</v>
        <stp/>
        <stp>##V3_BDPV12</stp>
        <stp>SINVHR Index</stp>
        <stp>PX385</stp>
        <stp>[BI_AUTMG_1_l22cd4li.xlsx]ReferenceData!R172C24</stp>
        <stp>PX391=20140701</stp>
        <stp>PX392=20140930</stp>
        <stp>DS004=USD</stp>
        <stp>Fill=B</stp>
        <tr r="X172" s="3"/>
      </tp>
      <tp t="s">
        <v>#N/A Connection</v>
        <stp/>
        <stp>##V3_BDPV12</stp>
        <stp>WCARPTI Index</stp>
        <stp>PX385</stp>
        <stp>[BI_AUTMG_1_l22cd4li.xlsx]ReferenceData!R190C13</stp>
        <stp>PX391=20170401</stp>
        <stp>PX392=20170630</stp>
        <stp>DS004=USD</stp>
        <stp>Fill=B</stp>
        <tr r="M190" s="3"/>
      </tp>
      <tp t="s">
        <v>#N/A Connection</v>
        <stp/>
        <stp>##V3_BDPV12</stp>
        <stp>WCARSEI Index</stp>
        <stp>PX385</stp>
        <stp>[BI_AUTMG_1_l22cd4li.xlsx]ReferenceData!R192C64</stp>
        <stp>PX391=20040701</stp>
        <stp>PX392=20040930</stp>
        <stp>DS004=USD</stp>
        <stp>Fill=B</stp>
        <tr r="BL192" s="3"/>
      </tp>
      <tp t="s">
        <v>#N/A Connection</v>
        <stp/>
        <stp>##V3_BDPV12</stp>
        <stp>WCARUKI Index</stp>
        <stp>PX385</stp>
        <stp>[BI_AUTMG_1_l22cd4li.xlsx]ReferenceData!R195C34</stp>
        <stp>PX391=20120101</stp>
        <stp>PX392=20120331</stp>
        <stp>DS004=USD</stp>
        <stp>Fill=B</stp>
        <tr r="AH195" s="3"/>
      </tp>
      <tp t="s">
        <v>#N/A Connection</v>
        <stp/>
        <stp>##V3_BDPV12</stp>
        <stp>SINVHR Index</stp>
        <stp>PX385</stp>
        <stp>[BI_AUTMG_1_l22cd4li.xlsx]ReferenceData!R172C20</stp>
        <stp>PX391=20150701</stp>
        <stp>PX392=20150930</stp>
        <stp>DS004=USD</stp>
        <stp>Fill=B</stp>
        <tr r="T172" s="3"/>
      </tp>
      <tp t="s">
        <v>#N/A Connection</v>
        <stp/>
        <stp>##V3_BDPV12</stp>
        <stp>WCARPTI Index</stp>
        <stp>PX385</stp>
        <stp>[BI_AUTMG_1_l22cd4li.xlsx]ReferenceData!R190C17</stp>
        <stp>PX391=20160401</stp>
        <stp>PX392=20160630</stp>
        <stp>DS004=USD</stp>
        <stp>Fill=B</stp>
        <tr r="Q190" s="3"/>
      </tp>
      <tp t="s">
        <v>#N/A Connection</v>
        <stp/>
        <stp>##V3_BDPV12</stp>
        <stp>WCARSEI Index</stp>
        <stp>PX385</stp>
        <stp>[BI_AUTMG_1_l22cd4li.xlsx]ReferenceData!R192C52</stp>
        <stp>PX391=20070701</stp>
        <stp>PX392=20070930</stp>
        <stp>DS004=USD</stp>
        <stp>Fill=B</stp>
        <tr r="AZ192" s="3"/>
      </tp>
      <tp t="s">
        <v>#N/A Connection</v>
        <stp/>
        <stp>##V3_BDPV12</stp>
        <stp>WCARUKI Index</stp>
        <stp>PX385</stp>
        <stp>[BI_AUTMG_1_l22cd4li.xlsx]ReferenceData!R195C38</stp>
        <stp>PX391=20110101</stp>
        <stp>PX392=20110331</stp>
        <stp>DS004=USD</stp>
        <stp>Fill=B</stp>
        <tr r="AL195" s="3"/>
      </tp>
      <tp t="s">
        <v>#N/A Connection</v>
        <stp/>
        <stp>##V3_BDPV12</stp>
        <stp>SINVHR Index</stp>
        <stp>PX385</stp>
        <stp>[BI_AUTMG_1_l22cd4li.xlsx]ReferenceData!R172C16</stp>
        <stp>PX391=20160701</stp>
        <stp>PX392=20160930</stp>
        <stp>DS004=USD</stp>
        <stp>Fill=B</stp>
        <tr r="P172" s="3"/>
      </tp>
      <tp t="s">
        <v>#N/A Connection</v>
        <stp/>
        <stp>##V3_BDPV12</stp>
        <stp>WCARPTI Index</stp>
        <stp>PX385</stp>
        <stp>[BI_AUTMG_1_l22cd4li.xlsx]ReferenceData!R190C21</stp>
        <stp>PX391=20150401</stp>
        <stp>PX392=20150630</stp>
        <stp>DS004=USD</stp>
        <stp>Fill=B</stp>
        <tr r="U190" s="3"/>
      </tp>
      <tp t="s">
        <v>#N/A Connection</v>
        <stp/>
        <stp>##V3_BDPV12</stp>
        <stp>WCARSEI Index</stp>
        <stp>PX385</stp>
        <stp>[BI_AUTMG_1_l22cd4li.xlsx]ReferenceData!R192C56</stp>
        <stp>PX391=20060701</stp>
        <stp>PX392=20060930</stp>
        <stp>DS004=USD</stp>
        <stp>Fill=B</stp>
        <tr r="BD192" s="3"/>
      </tp>
      <tp t="s">
        <v>#N/A Connection</v>
        <stp/>
        <stp>##V3_BDPV12</stp>
        <stp>SINVHR Index</stp>
        <stp>PX385</stp>
        <stp>[BI_AUTMG_1_l22cd4li.xlsx]ReferenceData!R172C12</stp>
        <stp>PX391=20170701</stp>
        <stp>PX392=20170930</stp>
        <stp>DS004=USD</stp>
        <stp>Fill=B</stp>
        <tr r="L172" s="3"/>
      </tp>
      <tp t="s">
        <v>#N/A Connection</v>
        <stp/>
        <stp>##V3_BDPV12</stp>
        <stp>WCARUKI Index</stp>
        <stp>PX385</stp>
        <stp>[BI_AUTMG_1_l22cd4li.xlsx]ReferenceData!R195C42</stp>
        <stp>PX391=20100101</stp>
        <stp>PX392=20100331</stp>
        <stp>DS004=USD</stp>
        <stp>Fill=B</stp>
        <tr r="AP195" s="3"/>
      </tp>
      <tp t="s">
        <v>#N/A Connection</v>
        <stp/>
        <stp>##V3_BDPV12</stp>
        <stp>WCARPTI Index</stp>
        <stp>PX385</stp>
        <stp>[BI_AUTMG_1_l22cd4li.xlsx]ReferenceData!R190C25</stp>
        <stp>PX391=20140401</stp>
        <stp>PX392=20140630</stp>
        <stp>DS004=USD</stp>
        <stp>Fill=B</stp>
        <tr r="Y190" s="3"/>
      </tp>
      <tp t="s">
        <v>#N/A Connection</v>
        <stp/>
        <stp>##V3_BDPV12</stp>
        <stp>WCARIEI Index</stp>
        <stp>PX385</stp>
        <stp>[BI_AUTMG_1_l22cd4li.xlsx]ReferenceData!R185C30</stp>
        <stp>PX391=20130101</stp>
        <stp>PX392=20130331</stp>
        <stp>DS004=USD</stp>
        <stp>Fill=B</stp>
        <tr r="AD185" s="3"/>
      </tp>
      <tp t="s">
        <v>#N/A Connection</v>
        <stp/>
        <stp>##V3_BDPV12</stp>
        <stp>KNNVREG Index</stp>
        <stp>PX385</stp>
        <stp>[BI_AUTMG_1_l22cd4li.xlsx]ReferenceData!R216C64</stp>
        <stp>PX391=20040701</stp>
        <stp>PX392=20040930</stp>
        <stp>DS004=USD</stp>
        <stp>Fill=B</stp>
        <tr r="BL216" s="3"/>
      </tp>
      <tp t="s">
        <v>#N/A Connection</v>
        <stp/>
        <stp>##V3_BDPV12</stp>
        <stp>PHCSTOTL Index</stp>
        <stp>PX385</stp>
        <stp>[BI_AUTMG_1_l22cd4li.xlsx]ReferenceData!R170C10</stp>
        <stp>PX391=20180101</stp>
        <stp>PX392=20180331</stp>
        <stp>DS004=USD</stp>
        <stp>Fill=B</stp>
        <tr r="J170" s="3"/>
      </tp>
      <tp t="s">
        <v>#N/A Connection</v>
        <stp/>
        <stp>##V3_BDPV12</stp>
        <stp>PHCSTOTL Index</stp>
        <stp>PX385</stp>
        <stp>[BI_AUTMG_1_l22cd4li.xlsx]ReferenceData!R170C43</stp>
        <stp>PX391=20091001</stp>
        <stp>PX392=20091231</stp>
        <stp>DS004=USD</stp>
        <stp>Fill=B</stp>
        <tr r="AQ170" s="3"/>
      </tp>
      <tp t="s">
        <v>#N/A Connection</v>
        <stp/>
        <stp>##V3_BDPV12</stp>
        <stp>THVHSCAR Index</stp>
        <stp>PX385</stp>
        <stp>[BI_AUTMG_1_l22cd4li.xlsx]ReferenceData!R174C64</stp>
        <stp>PX391=20040701</stp>
        <stp>PX392=20040930</stp>
        <stp>DS004=USD</stp>
        <stp>Fill=B</stp>
        <tr r="BL174" s="3"/>
      </tp>
      <tp t="s">
        <v>#N/A Connection</v>
        <stp/>
        <stp>##V3_BDPV12</stp>
        <stp>WCARIEI Index</stp>
        <stp>PX385</stp>
        <stp>[BI_AUTMG_1_l22cd4li.xlsx]ReferenceData!R185C34</stp>
        <stp>PX391=20120101</stp>
        <stp>PX392=20120331</stp>
        <stp>DS004=USD</stp>
        <stp>Fill=B</stp>
        <tr r="AH185" s="3"/>
      </tp>
      <tp t="s">
        <v>#N/A Connection</v>
        <stp/>
        <stp>##V3_BDPV12</stp>
        <stp>KNNVREG Index</stp>
        <stp>PX385</stp>
        <stp>[BI_AUTMG_1_l22cd4li.xlsx]ReferenceData!R216C60</stp>
        <stp>PX391=20050701</stp>
        <stp>PX392=20050930</stp>
        <stp>DS004=USD</stp>
        <stp>Fill=B</stp>
        <tr r="BH216" s="3"/>
      </tp>
      <tp t="s">
        <v>#N/A Connection</v>
        <stp/>
        <stp>##V3_BDPV12</stp>
        <stp>PHCSTOTL Index</stp>
        <stp>PX385</stp>
        <stp>[BI_AUTMG_1_l22cd4li.xlsx]ReferenceData!R170C47</stp>
        <stp>PX391=20081001</stp>
        <stp>PX392=20081231</stp>
        <stp>DS004=USD</stp>
        <stp>Fill=B</stp>
        <tr r="AU170" s="3"/>
      </tp>
      <tp t="s">
        <v>#N/A Connection</v>
        <stp/>
        <stp>##V3_BDPV12</stp>
        <stp>THVHSCAR Index</stp>
        <stp>PX385</stp>
        <stp>[BI_AUTMG_1_l22cd4li.xlsx]ReferenceData!R174C60</stp>
        <stp>PX391=20050701</stp>
        <stp>PX392=20050930</stp>
        <stp>DS004=USD</stp>
        <stp>Fill=B</stp>
        <tr r="BH174" s="3"/>
      </tp>
      <tp t="s">
        <v>#N/A Connection</v>
        <stp/>
        <stp>##V3_BDPV12</stp>
        <stp>WCARIEI Index</stp>
        <stp>PX385</stp>
        <stp>[BI_AUTMG_1_l22cd4li.xlsx]ReferenceData!R185C38</stp>
        <stp>PX391=20110101</stp>
        <stp>PX392=20110331</stp>
        <stp>DS004=USD</stp>
        <stp>Fill=B</stp>
        <tr r="AL185" s="3"/>
      </tp>
      <tp t="s">
        <v>#N/A Connection</v>
        <stp/>
        <stp>##V3_BDPV12</stp>
        <stp>KNNVREG Index</stp>
        <stp>PX385</stp>
        <stp>[BI_AUTMG_1_l22cd4li.xlsx]ReferenceData!R216C56</stp>
        <stp>PX391=20060701</stp>
        <stp>PX392=20060930</stp>
        <stp>DS004=USD</stp>
        <stp>Fill=B</stp>
        <tr r="BD216" s="3"/>
      </tp>
      <tp t="s">
        <v>#N/A Connection</v>
        <stp/>
        <stp>##V3_BDPV12</stp>
        <stp>THVHSCAR Index</stp>
        <stp>PX385</stp>
        <stp>[BI_AUTMG_1_l22cd4li.xlsx]ReferenceData!R174C56</stp>
        <stp>PX391=20060701</stp>
        <stp>PX392=20060930</stp>
        <stp>DS004=USD</stp>
        <stp>Fill=B</stp>
        <tr r="BD174" s="3"/>
      </tp>
      <tp t="s">
        <v>#N/A Connection</v>
        <stp/>
        <stp>##V3_BDPV12</stp>
        <stp>WCARIEI Index</stp>
        <stp>PX385</stp>
        <stp>[BI_AUTMG_1_l22cd4li.xlsx]ReferenceData!R185C42</stp>
        <stp>PX391=20100101</stp>
        <stp>PX392=20100331</stp>
        <stp>DS004=USD</stp>
        <stp>Fill=B</stp>
        <tr r="AP185" s="3"/>
      </tp>
      <tp t="s">
        <v>#N/A Connection</v>
        <stp/>
        <stp>##V3_BDPV12</stp>
        <stp>KNNVREG Index</stp>
        <stp>PX385</stp>
        <stp>[BI_AUTMG_1_l22cd4li.xlsx]ReferenceData!R216C52</stp>
        <stp>PX391=20070701</stp>
        <stp>PX392=20070930</stp>
        <stp>DS004=USD</stp>
        <stp>Fill=B</stp>
        <tr r="AZ216" s="3"/>
      </tp>
      <tp t="s">
        <v>#N/A Connection</v>
        <stp/>
        <stp>##V3_BDPV12</stp>
        <stp>THVHSCAR Index</stp>
        <stp>PX385</stp>
        <stp>[BI_AUTMG_1_l22cd4li.xlsx]ReferenceData!R174C52</stp>
        <stp>PX391=20070701</stp>
        <stp>PX392=20070930</stp>
        <stp>DS004=USD</stp>
        <stp>Fill=B</stp>
        <tr r="AZ174" s="3"/>
      </tp>
      <tp t="s">
        <v>#N/A Connection</v>
        <stp/>
        <stp>##V3_BDPV12</stp>
        <stp>WCARIEI Index</stp>
        <stp>PX385</stp>
        <stp>[BI_AUTMG_1_l22cd4li.xlsx]ReferenceData!R185C14</stp>
        <stp>PX391=20170101</stp>
        <stp>PX392=20170331</stp>
        <stp>DS004=USD</stp>
        <stp>Fill=B</stp>
        <tr r="N185" s="3"/>
      </tp>
      <tp t="s">
        <v>#N/A Connection</v>
        <stp/>
        <stp>##V3_BDPV12</stp>
        <stp>WCARIEI Index</stp>
        <stp>PX385</stp>
        <stp>[BI_AUTMG_1_l22cd4li.xlsx]ReferenceData!R185C55</stp>
        <stp>PX391=20061001</stp>
        <stp>PX392=20061231</stp>
        <stp>DS004=USD</stp>
        <stp>Fill=B</stp>
        <tr r="BC185" s="3"/>
      </tp>
      <tp t="s">
        <v>#N/A Connection</v>
        <stp/>
        <stp>##V3_BDPV12</stp>
        <stp>TWVSDOM Index</stp>
        <stp>PX385</stp>
        <stp>[BI_AUTMG_1_l22cd4li.xlsx]ReferenceData!R173C44</stp>
        <stp>PX391=20090701</stp>
        <stp>PX392=20090930</stp>
        <stp>DS004=USD</stp>
        <stp>Fill=B</stp>
        <tr r="AR173" s="3"/>
      </tp>
      <tp t="s">
        <v>#N/A Connection</v>
        <stp/>
        <stp>##V3_BDPV12</stp>
        <stp>WCARFRI Index</stp>
        <stp>PX385</stp>
        <stp>[BI_AUTMG_1_l22cd4li.xlsx]ReferenceData!R181C49</stp>
        <stp>PX391=20080401</stp>
        <stp>PX392=20080630</stp>
        <stp>DS004=USD</stp>
        <stp>Fill=B</stp>
        <tr r="AW181" s="3"/>
      </tp>
      <tp t="s">
        <v>#N/A Connection</v>
        <stp/>
        <stp>##V3_BDPV12</stp>
        <stp>WCARIEI Index</stp>
        <stp>PX385</stp>
        <stp>[BI_AUTMG_1_l22cd4li.xlsx]ReferenceData!R185C18</stp>
        <stp>PX391=20160101</stp>
        <stp>PX392=20160331</stp>
        <stp>DS004=USD</stp>
        <stp>Fill=B</stp>
        <tr r="R185" s="3"/>
      </tp>
      <tp t="s">
        <v>#N/A Connection</v>
        <stp/>
        <stp>##V3_BDPV12</stp>
        <stp>WCARIEI Index</stp>
        <stp>PX385</stp>
        <stp>[BI_AUTMG_1_l22cd4li.xlsx]ReferenceData!R185C51</stp>
        <stp>PX391=20071001</stp>
        <stp>PX392=20071231</stp>
        <stp>DS004=USD</stp>
        <stp>Fill=B</stp>
        <tr r="AY185" s="3"/>
      </tp>
      <tp t="s">
        <v>#N/A Connection</v>
        <stp/>
        <stp>##V3_BDPV12</stp>
        <stp>TWVSDOM Index</stp>
        <stp>PX385</stp>
        <stp>[BI_AUTMG_1_l22cd4li.xlsx]ReferenceData!R173C48</stp>
        <stp>PX391=20080701</stp>
        <stp>PX392=20080930</stp>
        <stp>DS004=USD</stp>
        <stp>Fill=B</stp>
        <tr r="AV173" s="3"/>
      </tp>
      <tp t="s">
        <v>#N/A Connection</v>
        <stp/>
        <stp>##V3_BDPV12</stp>
        <stp>WCARFRI Index</stp>
        <stp>PX385</stp>
        <stp>[BI_AUTMG_1_l22cd4li.xlsx]ReferenceData!R181C45</stp>
        <stp>PX391=20090401</stp>
        <stp>PX392=20090630</stp>
        <stp>DS004=USD</stp>
        <stp>Fill=B</stp>
        <tr r="AS181" s="3"/>
      </tp>
      <tp t="s">
        <v>#N/A Connection</v>
        <stp/>
        <stp>##V3_BDPV12</stp>
        <stp>WCARIEI Index</stp>
        <stp>PX385</stp>
        <stp>[BI_AUTMG_1_l22cd4li.xlsx]ReferenceData!R185C22</stp>
        <stp>PX391=20150101</stp>
        <stp>PX392=20150331</stp>
        <stp>DS004=USD</stp>
        <stp>Fill=B</stp>
        <tr r="V185" s="3"/>
      </tp>
      <tp t="s">
        <v>#N/A Connection</v>
        <stp/>
        <stp>##V3_BDPV12</stp>
        <stp>WCARIEI Index</stp>
        <stp>PX385</stp>
        <stp>[BI_AUTMG_1_l22cd4li.xlsx]ReferenceData!R185C63</stp>
        <stp>PX391=20041001</stp>
        <stp>PX392=20041231</stp>
        <stp>DS004=USD</stp>
        <stp>Fill=B</stp>
        <tr r="BK185" s="3"/>
      </tp>
      <tp t="s">
        <v>#N/A Connection</v>
        <stp/>
        <stp>##V3_BDPV12</stp>
        <stp>WCARDEI Index</stp>
        <stp>PX385</stp>
        <stp>[BI_AUTMG_1_l22cd4li.xlsx]ReferenceData!R182C48</stp>
        <stp>PX391=20080701</stp>
        <stp>PX392=20080930</stp>
        <stp>DS004=USD</stp>
        <stp>Fill=B</stp>
        <tr r="AV182" s="3"/>
      </tp>
      <tp t="s">
        <v>#N/A Connection</v>
        <stp/>
        <stp>##V3_BDPV12</stp>
        <stp>WCARESI Index</stp>
        <stp>PX385</stp>
        <stp>[BI_AUTMG_1_l22cd4li.xlsx]ReferenceData!R191C45</stp>
        <stp>PX391=20090401</stp>
        <stp>PX392=20090630</stp>
        <stp>DS004=USD</stp>
        <stp>Fill=B</stp>
        <tr r="AS191" s="3"/>
      </tp>
      <tp t="s">
        <v>#N/A Connection</v>
        <stp/>
        <stp>##V3_BDPV12</stp>
        <stp>ARVSARTL Index</stp>
        <stp>PX385</stp>
        <stp>[BI_AUTMG_1_l22cd4li.xlsx]ReferenceData!R210C45</stp>
        <stp>PX391=20090401</stp>
        <stp>PX392=20090630</stp>
        <stp>DS004=USD</stp>
        <stp>Fill=B</stp>
        <tr r="AS210" s="3"/>
      </tp>
      <tp t="s">
        <v>#N/A Connection</v>
        <stp/>
        <stp>##V3_BDPV12</stp>
        <stp>WCARIEI Index</stp>
        <stp>PX385</stp>
        <stp>[BI_AUTMG_1_l22cd4li.xlsx]ReferenceData!R185C26</stp>
        <stp>PX391=20140101</stp>
        <stp>PX392=20140331</stp>
        <stp>DS004=USD</stp>
        <stp>Fill=B</stp>
        <tr r="Z185" s="3"/>
      </tp>
      <tp t="s">
        <v>#N/A Connection</v>
        <stp/>
        <stp>##V3_BDPV12</stp>
        <stp>WCARIEI Index</stp>
        <stp>PX385</stp>
        <stp>[BI_AUTMG_1_l22cd4li.xlsx]ReferenceData!R185C59</stp>
        <stp>PX391=20051001</stp>
        <stp>PX392=20051231</stp>
        <stp>DS004=USD</stp>
        <stp>Fill=B</stp>
        <tr r="BG185" s="3"/>
      </tp>
      <tp t="s">
        <v>#N/A Connection</v>
        <stp/>
        <stp>##V3_BDPV12</stp>
        <stp>WCARDEI Index</stp>
        <stp>PX385</stp>
        <stp>[BI_AUTMG_1_l22cd4li.xlsx]ReferenceData!R182C44</stp>
        <stp>PX391=20090701</stp>
        <stp>PX392=20090930</stp>
        <stp>DS004=USD</stp>
        <stp>Fill=B</stp>
        <tr r="AR182" s="3"/>
      </tp>
      <tp t="s">
        <v>#N/A Connection</v>
        <stp/>
        <stp>##V3_BDPV12</stp>
        <stp>WCARESI Index</stp>
        <stp>PX385</stp>
        <stp>[BI_AUTMG_1_l22cd4li.xlsx]ReferenceData!R191C49</stp>
        <stp>PX391=20080401</stp>
        <stp>PX392=20080630</stp>
        <stp>DS004=USD</stp>
        <stp>Fill=B</stp>
        <tr r="AW191" s="3"/>
      </tp>
      <tp t="s">
        <v>#N/A Connection</v>
        <stp/>
        <stp>##V3_BDPV12</stp>
        <stp>ARVSARTL Index</stp>
        <stp>PX385</stp>
        <stp>[BI_AUTMG_1_l22cd4li.xlsx]ReferenceData!R210C49</stp>
        <stp>PX391=20080401</stp>
        <stp>PX392=20080630</stp>
        <stp>DS004=USD</stp>
        <stp>Fill=B</stp>
        <tr r="AW210" s="3"/>
      </tp>
      <tp t="s">
        <v>#N/A Connection</v>
        <stp/>
        <stp>##V3_BDPV12</stp>
        <stp>WCARDEI Index</stp>
        <stp>PX385</stp>
        <stp>[BI_AUTMG_1_l22cd4li.xlsx]ReferenceData!R182C56</stp>
        <stp>PX391=20060701</stp>
        <stp>PX392=20060930</stp>
        <stp>DS004=USD</stp>
        <stp>Fill=B</stp>
        <tr r="BD182" s="3"/>
      </tp>
      <tp t="s">
        <v>#N/A Connection</v>
        <stp/>
        <stp>##V3_BDPV12</stp>
        <stp>WCARCHI Index</stp>
        <stp>PX385</stp>
        <stp>[BI_AUTMG_1_l22cd4li.xlsx]ReferenceData!R193C40</stp>
        <stp>PX391=20100701</stp>
        <stp>PX392=20100930</stp>
        <stp>DS004=USD</stp>
        <stp>Fill=B</stp>
        <tr r="AN193" s="3"/>
      </tp>
      <tp t="s">
        <v>#N/A Connection</v>
        <stp/>
        <stp>##V3_BDPV12</stp>
        <stp>WCARFII Index</stp>
        <stp>PX385</stp>
        <stp>[BI_AUTMG_1_l22cd4li.xlsx]ReferenceData!R180C21</stp>
        <stp>PX391=20150401</stp>
        <stp>PX392=20150630</stp>
        <stp>DS004=USD</stp>
        <stp>Fill=B</stp>
        <tr r="U180" s="3"/>
      </tp>
      <tp t="s">
        <v>#N/A Connection</v>
        <stp/>
        <stp>##V3_BDPV12</stp>
        <stp>WCARFRI Index</stp>
        <stp>PX385</stp>
        <stp>[BI_AUTMG_1_l22cd4li.xlsx]ReferenceData!R181C65</stp>
        <stp>PX391=20040401</stp>
        <stp>PX392=20040630</stp>
        <stp>DS004=USD</stp>
        <stp>Fill=B</stp>
        <tr r="BM181" s="3"/>
      </tp>
      <tp t="s">
        <v>#N/A Connection</v>
        <stp/>
        <stp>##V3_BDPV12</stp>
        <stp>WCARESI Index</stp>
        <stp>PX385</stp>
        <stp>[BI_AUTMG_1_l22cd4li.xlsx]ReferenceData!R191C53</stp>
        <stp>PX391=20070401</stp>
        <stp>PX392=20070630</stp>
        <stp>DS004=USD</stp>
        <stp>Fill=B</stp>
        <tr r="BA191" s="3"/>
      </tp>
      <tp t="s">
        <v>#N/A Connection</v>
        <stp/>
        <stp>##V3_BDPV12</stp>
        <stp>WCARGRI Index</stp>
        <stp>PX385</stp>
        <stp>[BI_AUTMG_1_l22cd4li.xlsx]ReferenceData!R183C24</stp>
        <stp>PX391=20140701</stp>
        <stp>PX392=20140930</stp>
        <stp>DS004=USD</stp>
        <stp>Fill=B</stp>
        <tr r="X183" s="3"/>
      </tp>
      <tp t="s">
        <v>#N/A Connection</v>
        <stp/>
        <stp>##V3_BDPV12</stp>
        <stp>TWVSDOM Index</stp>
        <stp>PX385</stp>
        <stp>[BI_AUTMG_1_l22cd4li.xlsx]ReferenceData!R173C60</stp>
        <stp>PX391=20050701</stp>
        <stp>PX392=20050930</stp>
        <stp>DS004=USD</stp>
        <stp>Fill=B</stp>
        <tr r="BH173" s="3"/>
      </tp>
      <tp t="s">
        <v>#N/A Connection</v>
        <stp/>
        <stp>##V3_BDPV12</stp>
        <stp>CNVSTTL Index</stp>
        <stp>PX385</stp>
        <stp>[BI_AUTMG_1_l22cd4li.xlsx]ReferenceData!R162C28</stp>
        <stp>PX391=20130701</stp>
        <stp>PX392=20130930</stp>
        <stp>DS004=USD</stp>
        <stp>Fill=B</stp>
        <tr r="AB162" s="3"/>
      </tp>
      <tp t="s">
        <v>#N/A Connection</v>
        <stp/>
        <stp>##V3_BDPV12</stp>
        <stp>PHCSTOTL Index</stp>
        <stp>PX385</stp>
        <stp>[BI_AUTMG_1_l22cd4li.xlsx]ReferenceData!R170C42</stp>
        <stp>PX391=20100101</stp>
        <stp>PX392=20100331</stp>
        <stp>DS004=USD</stp>
        <stp>Fill=B</stp>
        <tr r="AP170" s="3"/>
      </tp>
      <tp t="s">
        <v>#N/A Connection</v>
        <stp/>
        <stp>##V3_BDPV12</stp>
        <stp>AUTMAUVS Index</stp>
        <stp>PX385</stp>
        <stp>[BI_AUTMG_1_l22cd4li.xlsx]ReferenceData!R161C17</stp>
        <stp>PX391=20160401</stp>
        <stp>PX392=20160630</stp>
        <stp>DS004=USD</stp>
        <stp>Fill=B</stp>
        <tr r="Q161" s="3"/>
      </tp>
      <tp t="s">
        <v>#N/A Connection</v>
        <stp/>
        <stp>##V3_BDPV12</stp>
        <stp>ARVSARTL Index</stp>
        <stp>PX385</stp>
        <stp>[BI_AUTMG_1_l22cd4li.xlsx]ReferenceData!R210C53</stp>
        <stp>PX391=20070401</stp>
        <stp>PX392=20070630</stp>
        <stp>DS004=USD</stp>
        <stp>Fill=B</stp>
        <tr r="BA210" s="3"/>
      </tp>
      <tp t="s">
        <v>#N/A Connection</v>
        <stp/>
        <stp>##V3_BDPV12</stp>
        <stp>WCARDEI Index</stp>
        <stp>PX385</stp>
        <stp>[BI_AUTMG_1_l22cd4li.xlsx]ReferenceData!R182C52</stp>
        <stp>PX391=20070701</stp>
        <stp>PX392=20070930</stp>
        <stp>DS004=USD</stp>
        <stp>Fill=B</stp>
        <tr r="AZ182" s="3"/>
      </tp>
      <tp t="s">
        <v>#N/A Connection</v>
        <stp/>
        <stp>##V3_BDPV12</stp>
        <stp>WCARCHI Index</stp>
        <stp>PX385</stp>
        <stp>[BI_AUTMG_1_l22cd4li.xlsx]ReferenceData!R193C36</stp>
        <stp>PX391=20110701</stp>
        <stp>PX392=20110930</stp>
        <stp>DS004=USD</stp>
        <stp>Fill=B</stp>
        <tr r="AJ193" s="3"/>
      </tp>
      <tp t="s">
        <v>#N/A Connection</v>
        <stp/>
        <stp>##V3_BDPV12</stp>
        <stp>WCARFII Index</stp>
        <stp>PX385</stp>
        <stp>[BI_AUTMG_1_l22cd4li.xlsx]ReferenceData!R180C25</stp>
        <stp>PX391=20140401</stp>
        <stp>PX392=20140630</stp>
        <stp>DS004=USD</stp>
        <stp>Fill=B</stp>
        <tr r="Y180" s="3"/>
      </tp>
      <tp t="s">
        <v>#N/A Connection</v>
        <stp/>
        <stp>##V3_BDPV12</stp>
        <stp>WCARESI Index</stp>
        <stp>PX385</stp>
        <stp>[BI_AUTMG_1_l22cd4li.xlsx]ReferenceData!R191C57</stp>
        <stp>PX391=20060401</stp>
        <stp>PX392=20060630</stp>
        <stp>DS004=USD</stp>
        <stp>Fill=B</stp>
        <tr r="BE191" s="3"/>
      </tp>
      <tp t="s">
        <v>#N/A Connection</v>
        <stp/>
        <stp>##V3_BDPV12</stp>
        <stp>WCARFRI Index</stp>
        <stp>PX385</stp>
        <stp>[BI_AUTMG_1_l22cd4li.xlsx]ReferenceData!R181C61</stp>
        <stp>PX391=20050401</stp>
        <stp>PX392=20050630</stp>
        <stp>DS004=USD</stp>
        <stp>Fill=B</stp>
        <tr r="BI181" s="3"/>
      </tp>
      <tp t="s">
        <v>#N/A Connection</v>
        <stp/>
        <stp>##V3_BDPV12</stp>
        <stp>WCARGRI Index</stp>
        <stp>PX385</stp>
        <stp>[BI_AUTMG_1_l22cd4li.xlsx]ReferenceData!R183C20</stp>
        <stp>PX391=20150701</stp>
        <stp>PX392=20150930</stp>
        <stp>DS004=USD</stp>
        <stp>Fill=B</stp>
        <tr r="T183" s="3"/>
      </tp>
      <tp t="s">
        <v>#N/A Connection</v>
        <stp/>
        <stp>##V3_BDPV12</stp>
        <stp>CNVSTTL Index</stp>
        <stp>PX385</stp>
        <stp>[BI_AUTMG_1_l22cd4li.xlsx]ReferenceData!R162C32</stp>
        <stp>PX391=20120701</stp>
        <stp>PX392=20120930</stp>
        <stp>DS004=USD</stp>
        <stp>Fill=B</stp>
        <tr r="AF162" s="3"/>
      </tp>
      <tp t="s">
        <v>#N/A Connection</v>
        <stp/>
        <stp>##V3_BDPV12</stp>
        <stp>TWVSDOM Index</stp>
        <stp>PX385</stp>
        <stp>[BI_AUTMG_1_l22cd4li.xlsx]ReferenceData!R173C64</stp>
        <stp>PX391=20040701</stp>
        <stp>PX392=20040930</stp>
        <stp>DS004=USD</stp>
        <stp>Fill=B</stp>
        <tr r="BL173" s="3"/>
      </tp>
      <tp t="s">
        <v>#N/A Connection</v>
        <stp/>
        <stp>##V3_BDPV12</stp>
        <stp>PHCSTOTL Index</stp>
        <stp>PX385</stp>
        <stp>[BI_AUTMG_1_l22cd4li.xlsx]ReferenceData!R170C38</stp>
        <stp>PX391=20110101</stp>
        <stp>PX392=20110331</stp>
        <stp>DS004=USD</stp>
        <stp>Fill=B</stp>
        <tr r="AL170" s="3"/>
      </tp>
      <tp t="s">
        <v>#N/A Connection</v>
        <stp/>
        <stp>##V3_BDPV12</stp>
        <stp>AUTMAUVS Index</stp>
        <stp>PX385</stp>
        <stp>[BI_AUTMG_1_l22cd4li.xlsx]ReferenceData!R161C13</stp>
        <stp>PX391=20170401</stp>
        <stp>PX392=20170630</stp>
        <stp>DS004=USD</stp>
        <stp>Fill=B</stp>
        <tr r="M161" s="3"/>
      </tp>
      <tp t="s">
        <v>#N/A Connection</v>
        <stp/>
        <stp>##V3_BDPV12</stp>
        <stp>ARVSARTL Index</stp>
        <stp>PX385</stp>
        <stp>[BI_AUTMG_1_l22cd4li.xlsx]ReferenceData!R210C57</stp>
        <stp>PX391=20060401</stp>
        <stp>PX392=20060630</stp>
        <stp>DS004=USD</stp>
        <stp>Fill=B</stp>
        <tr r="BE210" s="3"/>
      </tp>
      <tp t="s">
        <v>#N/A Connection</v>
        <stp/>
        <stp>##V3_BDPV12</stp>
        <stp>WCARDEI Index</stp>
        <stp>PX385</stp>
        <stp>[BI_AUTMG_1_l22cd4li.xlsx]ReferenceData!R182C64</stp>
        <stp>PX391=20040701</stp>
        <stp>PX392=20040930</stp>
        <stp>DS004=USD</stp>
        <stp>Fill=B</stp>
        <tr r="BL182" s="3"/>
      </tp>
      <tp t="s">
        <v>#N/A Connection</v>
        <stp/>
        <stp>##V3_BDPV12</stp>
        <stp>WCARIEI Index</stp>
        <stp>PX385</stp>
        <stp>[BI_AUTMG_1_l22cd4li.xlsx]ReferenceData!R185C47</stp>
        <stp>PX391=20081001</stp>
        <stp>PX392=20081231</stp>
        <stp>DS004=USD</stp>
        <stp>Fill=B</stp>
        <tr r="AU185" s="3"/>
      </tp>
      <tp t="s">
        <v>#N/A Connection</v>
        <stp/>
        <stp>##V3_BDPV12</stp>
        <stp>WCARCHI Index</stp>
        <stp>PX385</stp>
        <stp>[BI_AUTMG_1_l22cd4li.xlsx]ReferenceData!R193C32</stp>
        <stp>PX391=20120701</stp>
        <stp>PX392=20120930</stp>
        <stp>DS004=USD</stp>
        <stp>Fill=B</stp>
        <tr r="AF193" s="3"/>
      </tp>
      <tp t="s">
        <v>#N/A Connection</v>
        <stp/>
        <stp>##V3_BDPV12</stp>
        <stp>WCARFII Index</stp>
        <stp>PX385</stp>
        <stp>[BI_AUTMG_1_l22cd4li.xlsx]ReferenceData!R180C13</stp>
        <stp>PX391=20170401</stp>
        <stp>PX392=20170630</stp>
        <stp>DS004=USD</stp>
        <stp>Fill=B</stp>
        <tr r="M180" s="3"/>
      </tp>
      <tp t="s">
        <v>#N/A Connection</v>
        <stp/>
        <stp>##V3_BDPV12</stp>
        <stp>WCARESI Index</stp>
        <stp>PX385</stp>
        <stp>[BI_AUTMG_1_l22cd4li.xlsx]ReferenceData!R191C61</stp>
        <stp>PX391=20050401</stp>
        <stp>PX392=20050630</stp>
        <stp>DS004=USD</stp>
        <stp>Fill=B</stp>
        <tr r="BI191" s="3"/>
      </tp>
      <tp t="s">
        <v>#N/A Connection</v>
        <stp/>
        <stp>##V3_BDPV12</stp>
        <stp>WCARFRI Index</stp>
        <stp>PX385</stp>
        <stp>[BI_AUTMG_1_l22cd4li.xlsx]ReferenceData!R181C57</stp>
        <stp>PX391=20060401</stp>
        <stp>PX392=20060630</stp>
        <stp>DS004=USD</stp>
        <stp>Fill=B</stp>
        <tr r="BE181" s="3"/>
      </tp>
      <tp t="s">
        <v>#N/A Connection</v>
        <stp/>
        <stp>##V3_BDPV12</stp>
        <stp>WCARGRI Index</stp>
        <stp>PX385</stp>
        <stp>[BI_AUTMG_1_l22cd4li.xlsx]ReferenceData!R183C16</stp>
        <stp>PX391=20160701</stp>
        <stp>PX392=20160930</stp>
        <stp>DS004=USD</stp>
        <stp>Fill=B</stp>
        <tr r="P183" s="3"/>
      </tp>
      <tp t="s">
        <v>#N/A Connection</v>
        <stp/>
        <stp>##V3_BDPV12</stp>
        <stp>TWVSDOM Index</stp>
        <stp>PX385</stp>
        <stp>[BI_AUTMG_1_l22cd4li.xlsx]ReferenceData!R173C52</stp>
        <stp>PX391=20070701</stp>
        <stp>PX392=20070930</stp>
        <stp>DS004=USD</stp>
        <stp>Fill=B</stp>
        <tr r="AZ173" s="3"/>
      </tp>
      <tp t="s">
        <v>#N/A Connection</v>
        <stp/>
        <stp>##V3_BDPV12</stp>
        <stp>CNVSTTL Index</stp>
        <stp>PX385</stp>
        <stp>[BI_AUTMG_1_l22cd4li.xlsx]ReferenceData!R162C36</stp>
        <stp>PX391=20110701</stp>
        <stp>PX392=20110930</stp>
        <stp>DS004=USD</stp>
        <stp>Fill=B</stp>
        <tr r="AJ162" s="3"/>
      </tp>
      <tp t="s">
        <v>#N/A Connection</v>
        <stp/>
        <stp>##V3_BDPV12</stp>
        <stp>PHCSTOTL Index</stp>
        <stp>PX385</stp>
        <stp>[BI_AUTMG_1_l22cd4li.xlsx]ReferenceData!R170C34</stp>
        <stp>PX391=20120101</stp>
        <stp>PX392=20120331</stp>
        <stp>DS004=USD</stp>
        <stp>Fill=B</stp>
        <tr r="AH170" s="3"/>
      </tp>
      <tp t="s">
        <v>#N/A Connection</v>
        <stp/>
        <stp>##V3_BDPV12</stp>
        <stp>AUTMAUVS Index</stp>
        <stp>PX385</stp>
        <stp>[BI_AUTMG_1_l22cd4li.xlsx]ReferenceData!R161C25</stp>
        <stp>PX391=20140401</stp>
        <stp>PX392=20140630</stp>
        <stp>DS004=USD</stp>
        <stp>Fill=B</stp>
        <tr r="Y161" s="3"/>
      </tp>
      <tp t="s">
        <v>#N/A Connection</v>
        <stp/>
        <stp>##V3_BDPV12</stp>
        <stp>ARVSARTL Index</stp>
        <stp>PX385</stp>
        <stp>[BI_AUTMG_1_l22cd4li.xlsx]ReferenceData!R210C61</stp>
        <stp>PX391=20050401</stp>
        <stp>PX392=20050630</stp>
        <stp>DS004=USD</stp>
        <stp>Fill=B</stp>
        <tr r="BI210" s="3"/>
      </tp>
      <tp t="s">
        <v>#N/A Connection</v>
        <stp/>
        <stp>##V3_BDPV12</stp>
        <stp>WCARDEI Index</stp>
        <stp>PX385</stp>
        <stp>[BI_AUTMG_1_l22cd4li.xlsx]ReferenceData!R182C60</stp>
        <stp>PX391=20050701</stp>
        <stp>PX392=20050930</stp>
        <stp>DS004=USD</stp>
        <stp>Fill=B</stp>
        <tr r="BH182" s="3"/>
      </tp>
      <tp t="s">
        <v>#N/A Connection</v>
        <stp/>
        <stp>##V3_BDPV12</stp>
        <stp>WCARCHI Index</stp>
        <stp>PX385</stp>
        <stp>[BI_AUTMG_1_l22cd4li.xlsx]ReferenceData!R193C28</stp>
        <stp>PX391=20130701</stp>
        <stp>PX392=20130930</stp>
        <stp>DS004=USD</stp>
        <stp>Fill=B</stp>
        <tr r="AB193" s="3"/>
      </tp>
      <tp t="s">
        <v>#N/A Connection</v>
        <stp/>
        <stp>##V3_BDPV12</stp>
        <stp>WCARIEI Index</stp>
        <stp>PX385</stp>
        <stp>[BI_AUTMG_1_l22cd4li.xlsx]ReferenceData!R185C43</stp>
        <stp>PX391=20091001</stp>
        <stp>PX392=20091231</stp>
        <stp>DS004=USD</stp>
        <stp>Fill=B</stp>
        <tr r="AQ185" s="3"/>
      </tp>
      <tp t="s">
        <v>#N/A Connection</v>
        <stp/>
        <stp>##V3_BDPV12</stp>
        <stp>WCARIEI Index</stp>
        <stp>PX385</stp>
        <stp>[BI_AUTMG_1_l22cd4li.xlsx]ReferenceData!R185C10</stp>
        <stp>PX391=20180101</stp>
        <stp>PX392=20180331</stp>
        <stp>DS004=USD</stp>
        <stp>Fill=B</stp>
        <tr r="J185" s="3"/>
      </tp>
      <tp t="s">
        <v>#N/A Connection</v>
        <stp/>
        <stp>##V3_BDPV12</stp>
        <stp>WCARFII Index</stp>
        <stp>PX385</stp>
        <stp>[BI_AUTMG_1_l22cd4li.xlsx]ReferenceData!R180C17</stp>
        <stp>PX391=20160401</stp>
        <stp>PX392=20160630</stp>
        <stp>DS004=USD</stp>
        <stp>Fill=B</stp>
        <tr r="Q180" s="3"/>
      </tp>
      <tp t="s">
        <v>#N/A Connection</v>
        <stp/>
        <stp>##V3_BDPV12</stp>
        <stp>WCARFRI Index</stp>
        <stp>PX385</stp>
        <stp>[BI_AUTMG_1_l22cd4li.xlsx]ReferenceData!R181C53</stp>
        <stp>PX391=20070401</stp>
        <stp>PX392=20070630</stp>
        <stp>DS004=USD</stp>
        <stp>Fill=B</stp>
        <tr r="BA181" s="3"/>
      </tp>
      <tp t="s">
        <v>#N/A Connection</v>
        <stp/>
        <stp>##V3_BDPV12</stp>
        <stp>WCARESI Index</stp>
        <stp>PX385</stp>
        <stp>[BI_AUTMG_1_l22cd4li.xlsx]ReferenceData!R191C65</stp>
        <stp>PX391=20040401</stp>
        <stp>PX392=20040630</stp>
        <stp>DS004=USD</stp>
        <stp>Fill=B</stp>
        <tr r="BM191" s="3"/>
      </tp>
      <tp t="s">
        <v>#N/A Connection</v>
        <stp/>
        <stp>##V3_BDPV12</stp>
        <stp>WCARGRI Index</stp>
        <stp>PX385</stp>
        <stp>[BI_AUTMG_1_l22cd4li.xlsx]ReferenceData!R183C12</stp>
        <stp>PX391=20170701</stp>
        <stp>PX392=20170930</stp>
        <stp>DS004=USD</stp>
        <stp>Fill=B</stp>
        <tr r="L183" s="3"/>
      </tp>
      <tp t="s">
        <v>#N/A Connection</v>
        <stp/>
        <stp>##V3_BDPV12</stp>
        <stp>TWVSDOM Index</stp>
        <stp>PX385</stp>
        <stp>[BI_AUTMG_1_l22cd4li.xlsx]ReferenceData!R173C56</stp>
        <stp>PX391=20060701</stp>
        <stp>PX392=20060930</stp>
        <stp>DS004=USD</stp>
        <stp>Fill=B</stp>
        <tr r="BD173" s="3"/>
      </tp>
      <tp t="s">
        <v>#N/A Connection</v>
        <stp/>
        <stp>##V3_BDPV12</stp>
        <stp>CNVSTTL Index</stp>
        <stp>PX385</stp>
        <stp>[BI_AUTMG_1_l22cd4li.xlsx]ReferenceData!R162C40</stp>
        <stp>PX391=20100701</stp>
        <stp>PX392=20100930</stp>
        <stp>DS004=USD</stp>
        <stp>Fill=B</stp>
        <tr r="AN162" s="3"/>
      </tp>
      <tp t="s">
        <v>#N/A Connection</v>
        <stp/>
        <stp>##V3_BDPV12</stp>
        <stp>PHCSTOTL Index</stp>
        <stp>PX385</stp>
        <stp>[BI_AUTMG_1_l22cd4li.xlsx]ReferenceData!R170C30</stp>
        <stp>PX391=20130101</stp>
        <stp>PX392=20130331</stp>
        <stp>DS004=USD</stp>
        <stp>Fill=B</stp>
        <tr r="AD170" s="3"/>
      </tp>
      <tp t="s">
        <v>#N/A Connection</v>
        <stp/>
        <stp>##V3_BDPV12</stp>
        <stp>AUTMAUVS Index</stp>
        <stp>PX385</stp>
        <stp>[BI_AUTMG_1_l22cd4li.xlsx]ReferenceData!R161C21</stp>
        <stp>PX391=20150401</stp>
        <stp>PX392=20150630</stp>
        <stp>DS004=USD</stp>
        <stp>Fill=B</stp>
        <tr r="U161" s="3"/>
      </tp>
      <tp t="s">
        <v>#N/A Connection</v>
        <stp/>
        <stp>##V3_BDPV12</stp>
        <stp>ARVSARTL Index</stp>
        <stp>PX385</stp>
        <stp>[BI_AUTMG_1_l22cd4li.xlsx]ReferenceData!R210C65</stp>
        <stp>PX391=20040401</stp>
        <stp>PX392=20040630</stp>
        <stp>DS004=USD</stp>
        <stp>Fill=B</stp>
        <tr r="BM210" s="3"/>
      </tp>
      <tp t="s">
        <v>#N/A Connection</v>
        <stp/>
        <stp>##V3_BDPV12</stp>
        <stp>KNNVREG Index</stp>
        <stp>PX385</stp>
        <stp>[BI_AUTMG_1_l22cd4li.xlsx]ReferenceData!R216C48</stp>
        <stp>PX391=20080701</stp>
        <stp>PX392=20080930</stp>
        <stp>DS004=USD</stp>
        <stp>Fill=B</stp>
        <tr r="AV216" s="3"/>
      </tp>
      <tp t="s">
        <v>#N/A Connection</v>
        <stp/>
        <stp>##V3_BDPV12</stp>
        <stp>WCARFII Index</stp>
        <stp>PX385</stp>
        <stp>[BI_AUTMG_1_l22cd4li.xlsx]ReferenceData!R180C37</stp>
        <stp>PX391=20110401</stp>
        <stp>PX392=20110630</stp>
        <stp>DS004=USD</stp>
        <stp>Fill=B</stp>
        <tr r="AK180" s="3"/>
      </tp>
      <tp t="s">
        <v>#N/A Connection</v>
        <stp/>
        <stp>##V3_BDPV12</stp>
        <stp>WCARCHI Index</stp>
        <stp>PX385</stp>
        <stp>[BI_AUTMG_1_l22cd4li.xlsx]ReferenceData!R193C24</stp>
        <stp>PX391=20140701</stp>
        <stp>PX392=20140930</stp>
        <stp>DS004=USD</stp>
        <stp>Fill=B</stp>
        <tr r="X193" s="3"/>
      </tp>
      <tp t="s">
        <v>#N/A Connection</v>
        <stp/>
        <stp>##V3_BDPV12</stp>
        <stp>WCARGRI Index</stp>
        <stp>PX385</stp>
        <stp>[BI_AUTMG_1_l22cd4li.xlsx]ReferenceData!R183C40</stp>
        <stp>PX391=20100701</stp>
        <stp>PX392=20100930</stp>
        <stp>DS004=USD</stp>
        <stp>Fill=B</stp>
        <tr r="AN183" s="3"/>
      </tp>
      <tp t="s">
        <v>#N/A Connection</v>
        <stp/>
        <stp>##V3_BDPV12</stp>
        <stp>CNVSTTL Index</stp>
        <stp>PX385</stp>
        <stp>[BI_AUTMG_1_l22cd4li.xlsx]ReferenceData!R162C12</stp>
        <stp>PX391=20170701</stp>
        <stp>PX392=20170930</stp>
        <stp>DS004=USD</stp>
        <stp>Fill=B</stp>
        <tr r="L162" s="3"/>
      </tp>
      <tp t="s">
        <v>#N/A Connection</v>
        <stp/>
        <stp>##V3_BDPV12</stp>
        <stp>THVHSCAR Index</stp>
        <stp>PX385</stp>
        <stp>[BI_AUTMG_1_l22cd4li.xlsx]ReferenceData!R174C48</stp>
        <stp>PX391=20080701</stp>
        <stp>PX392=20080930</stp>
        <stp>DS004=USD</stp>
        <stp>Fill=B</stp>
        <tr r="AV174" s="3"/>
      </tp>
      <tp t="s">
        <v>#N/A Connection</v>
        <stp/>
        <stp>##V3_BDPV12</stp>
        <stp>PHCSTOTL Index</stp>
        <stp>PX385</stp>
        <stp>[BI_AUTMG_1_l22cd4li.xlsx]ReferenceData!R170C59</stp>
        <stp>PX391=20051001</stp>
        <stp>PX392=20051231</stp>
        <stp>DS004=USD</stp>
        <stp>Fill=B</stp>
        <tr r="BG170" s="3"/>
      </tp>
      <tp t="s">
        <v>#N/A Connection</v>
        <stp/>
        <stp>##V3_BDPV12</stp>
        <stp>PHCSTOTL Index</stp>
        <stp>PX385</stp>
        <stp>[BI_AUTMG_1_l22cd4li.xlsx]ReferenceData!R170C26</stp>
        <stp>PX391=20140101</stp>
        <stp>PX392=20140331</stp>
        <stp>DS004=USD</stp>
        <stp>Fill=B</stp>
        <tr r="Z170" s="3"/>
      </tp>
      <tp t="s">
        <v>#N/A Connection</v>
        <stp/>
        <stp>##V3_BDPV12</stp>
        <stp>AUTMAUVS Index</stp>
        <stp>PX385</stp>
        <stp>[BI_AUTMG_1_l22cd4li.xlsx]ReferenceData!R161C33</stp>
        <stp>PX391=20120401</stp>
        <stp>PX392=20120630</stp>
        <stp>DS004=USD</stp>
        <stp>Fill=B</stp>
        <tr r="AG161" s="3"/>
      </tp>
      <tp t="s">
        <v>#N/A Connection</v>
        <stp/>
        <stp>##V3_BDPV12</stp>
        <stp>KNNVREG Index</stp>
        <stp>PX385</stp>
        <stp>[BI_AUTMG_1_l22cd4li.xlsx]ReferenceData!R216C44</stp>
        <stp>PX391=20090701</stp>
        <stp>PX392=20090930</stp>
        <stp>DS004=USD</stp>
        <stp>Fill=B</stp>
        <tr r="AR216" s="3"/>
      </tp>
      <tp t="s">
        <v>#N/A Connection</v>
        <stp/>
        <stp>##V3_BDPV12</stp>
        <stp>WCARFII Index</stp>
        <stp>PX385</stp>
        <stp>[BI_AUTMG_1_l22cd4li.xlsx]ReferenceData!R180C41</stp>
        <stp>PX391=20100401</stp>
        <stp>PX392=20100630</stp>
        <stp>DS004=USD</stp>
        <stp>Fill=B</stp>
        <tr r="AO180" s="3"/>
      </tp>
      <tp t="s">
        <v>#N/A Connection</v>
        <stp/>
        <stp>##V3_BDPV12</stp>
        <stp>WCARCHI Index</stp>
        <stp>PX385</stp>
        <stp>[BI_AUTMG_1_l22cd4li.xlsx]ReferenceData!R193C20</stp>
        <stp>PX391=20150701</stp>
        <stp>PX392=20150930</stp>
        <stp>DS004=USD</stp>
        <stp>Fill=B</stp>
        <tr r="T193" s="3"/>
      </tp>
      <tp t="s">
        <v>#N/A Connection</v>
        <stp/>
        <stp>##V3_BDPV12</stp>
        <stp>WCARGRI Index</stp>
        <stp>PX385</stp>
        <stp>[BI_AUTMG_1_l22cd4li.xlsx]ReferenceData!R183C36</stp>
        <stp>PX391=20110701</stp>
        <stp>PX392=20110930</stp>
        <stp>DS004=USD</stp>
        <stp>Fill=B</stp>
        <tr r="AJ183" s="3"/>
      </tp>
      <tp t="s">
        <v>#N/A Connection</v>
        <stp/>
        <stp>##V3_BDPV12</stp>
        <stp>CNVSTTL Index</stp>
        <stp>PX385</stp>
        <stp>[BI_AUTMG_1_l22cd4li.xlsx]ReferenceData!R162C16</stp>
        <stp>PX391=20160701</stp>
        <stp>PX392=20160930</stp>
        <stp>DS004=USD</stp>
        <stp>Fill=B</stp>
        <tr r="P162" s="3"/>
      </tp>
      <tp t="s">
        <v>#N/A Connection</v>
        <stp/>
        <stp>##V3_BDPV12</stp>
        <stp>THVHSCAR Index</stp>
        <stp>PX385</stp>
        <stp>[BI_AUTMG_1_l22cd4li.xlsx]ReferenceData!R174C44</stp>
        <stp>PX391=20090701</stp>
        <stp>PX392=20090930</stp>
        <stp>DS004=USD</stp>
        <stp>Fill=B</stp>
        <tr r="AR174" s="3"/>
      </tp>
      <tp t="s">
        <v>#N/A Connection</v>
        <stp/>
        <stp>##V3_BDPV12</stp>
        <stp>PHCSTOTL Index</stp>
        <stp>PX385</stp>
        <stp>[BI_AUTMG_1_l22cd4li.xlsx]ReferenceData!R170C63</stp>
        <stp>PX391=20041001</stp>
        <stp>PX392=20041231</stp>
        <stp>DS004=USD</stp>
        <stp>Fill=B</stp>
        <tr r="BK170" s="3"/>
      </tp>
      <tp t="s">
        <v>#N/A Connection</v>
        <stp/>
        <stp>##V3_BDPV12</stp>
        <stp>PHCSTOTL Index</stp>
        <stp>PX385</stp>
        <stp>[BI_AUTMG_1_l22cd4li.xlsx]ReferenceData!R170C22</stp>
        <stp>PX391=20150101</stp>
        <stp>PX392=20150331</stp>
        <stp>DS004=USD</stp>
        <stp>Fill=B</stp>
        <tr r="V170" s="3"/>
      </tp>
      <tp t="s">
        <v>#N/A Connection</v>
        <stp/>
        <stp>##V3_BDPV12</stp>
        <stp>AUTMAUVS Index</stp>
        <stp>PX385</stp>
        <stp>[BI_AUTMG_1_l22cd4li.xlsx]ReferenceData!R161C29</stp>
        <stp>PX391=20130401</stp>
        <stp>PX392=20130630</stp>
        <stp>DS004=USD</stp>
        <stp>Fill=B</stp>
        <tr r="AC161" s="3"/>
      </tp>
      <tp t="s">
        <v>#N/A Connection</v>
        <stp/>
        <stp>##V3_BDPV12</stp>
        <stp>WCARFII Index</stp>
        <stp>PX385</stp>
        <stp>[BI_AUTMG_1_l22cd4li.xlsx]ReferenceData!R180C29</stp>
        <stp>PX391=20130401</stp>
        <stp>PX392=20130630</stp>
        <stp>DS004=USD</stp>
        <stp>Fill=B</stp>
        <tr r="AC180" s="3"/>
      </tp>
      <tp t="s">
        <v>#N/A Connection</v>
        <stp/>
        <stp>##V3_BDPV12</stp>
        <stp>WCARCHI Index</stp>
        <stp>PX385</stp>
        <stp>[BI_AUTMG_1_l22cd4li.xlsx]ReferenceData!R193C16</stp>
        <stp>PX391=20160701</stp>
        <stp>PX392=20160930</stp>
        <stp>DS004=USD</stp>
        <stp>Fill=B</stp>
        <tr r="P193" s="3"/>
      </tp>
      <tp t="s">
        <v>#N/A Connection</v>
        <stp/>
        <stp>##V3_BDPV12</stp>
        <stp>WCARGRI Index</stp>
        <stp>PX385</stp>
        <stp>[BI_AUTMG_1_l22cd4li.xlsx]ReferenceData!R183C32</stp>
        <stp>PX391=20120701</stp>
        <stp>PX392=20120930</stp>
        <stp>DS004=USD</stp>
        <stp>Fill=B</stp>
        <tr r="AF183" s="3"/>
      </tp>
      <tp t="s">
        <v>#N/A Connection</v>
        <stp/>
        <stp>##V3_BDPV12</stp>
        <stp>CNVSTTL Index</stp>
        <stp>PX385</stp>
        <stp>[BI_AUTMG_1_l22cd4li.xlsx]ReferenceData!R162C20</stp>
        <stp>PX391=20150701</stp>
        <stp>PX392=20150930</stp>
        <stp>DS004=USD</stp>
        <stp>Fill=B</stp>
        <tr r="T162" s="3"/>
      </tp>
      <tp t="s">
        <v>#N/A Connection</v>
        <stp/>
        <stp>##V3_BDPV12</stp>
        <stp>PHCSTOTL Index</stp>
        <stp>PX385</stp>
        <stp>[BI_AUTMG_1_l22cd4li.xlsx]ReferenceData!R170C51</stp>
        <stp>PX391=20071001</stp>
        <stp>PX392=20071231</stp>
        <stp>DS004=USD</stp>
        <stp>Fill=B</stp>
        <tr r="AY170" s="3"/>
      </tp>
      <tp t="s">
        <v>#N/A Connection</v>
        <stp/>
        <stp>##V3_BDPV12</stp>
        <stp>PHCSTOTL Index</stp>
        <stp>PX385</stp>
        <stp>[BI_AUTMG_1_l22cd4li.xlsx]ReferenceData!R170C18</stp>
        <stp>PX391=20160101</stp>
        <stp>PX392=20160331</stp>
        <stp>DS004=USD</stp>
        <stp>Fill=B</stp>
        <tr r="R170" s="3"/>
      </tp>
      <tp t="s">
        <v>#N/A Connection</v>
        <stp/>
        <stp>##V3_BDPV12</stp>
        <stp>AUTMAUVS Index</stp>
        <stp>PX385</stp>
        <stp>[BI_AUTMG_1_l22cd4li.xlsx]ReferenceData!R161C41</stp>
        <stp>PX391=20100401</stp>
        <stp>PX392=20100630</stp>
        <stp>DS004=USD</stp>
        <stp>Fill=B</stp>
        <tr r="AO161" s="3"/>
      </tp>
      <tp t="s">
        <v>#N/A Connection</v>
        <stp/>
        <stp>##V3_BDPV12</stp>
        <stp>WCARFII Index</stp>
        <stp>PX385</stp>
        <stp>[BI_AUTMG_1_l22cd4li.xlsx]ReferenceData!R180C33</stp>
        <stp>PX391=20120401</stp>
        <stp>PX392=20120630</stp>
        <stp>DS004=USD</stp>
        <stp>Fill=B</stp>
        <tr r="AG180" s="3"/>
      </tp>
      <tp t="s">
        <v>#N/A Connection</v>
        <stp/>
        <stp>##V3_BDPV12</stp>
        <stp>WCARCHI Index</stp>
        <stp>PX385</stp>
        <stp>[BI_AUTMG_1_l22cd4li.xlsx]ReferenceData!R193C12</stp>
        <stp>PX391=20170701</stp>
        <stp>PX392=20170930</stp>
        <stp>DS004=USD</stp>
        <stp>Fill=B</stp>
        <tr r="L193" s="3"/>
      </tp>
      <tp t="s">
        <v>#N/A Connection</v>
        <stp/>
        <stp>##V3_BDPV12</stp>
        <stp>WCARGRI Index</stp>
        <stp>PX385</stp>
        <stp>[BI_AUTMG_1_l22cd4li.xlsx]ReferenceData!R183C28</stp>
        <stp>PX391=20130701</stp>
        <stp>PX392=20130930</stp>
        <stp>DS004=USD</stp>
        <stp>Fill=B</stp>
        <tr r="AB183" s="3"/>
      </tp>
      <tp t="s">
        <v>#N/A Connection</v>
        <stp/>
        <stp>##V3_BDPV12</stp>
        <stp>CNVSTTL Index</stp>
        <stp>PX385</stp>
        <stp>[BI_AUTMG_1_l22cd4li.xlsx]ReferenceData!R162C24</stp>
        <stp>PX391=20140701</stp>
        <stp>PX392=20140930</stp>
        <stp>DS004=USD</stp>
        <stp>Fill=B</stp>
        <tr r="X162" s="3"/>
      </tp>
      <tp t="s">
        <v>#N/A Connection</v>
        <stp/>
        <stp>##V3_BDPV12</stp>
        <stp>PHCSTOTL Index</stp>
        <stp>PX385</stp>
        <stp>[BI_AUTMG_1_l22cd4li.xlsx]ReferenceData!R170C55</stp>
        <stp>PX391=20061001</stp>
        <stp>PX392=20061231</stp>
        <stp>DS004=USD</stp>
        <stp>Fill=B</stp>
        <tr r="BC170" s="3"/>
      </tp>
      <tp t="s">
        <v>#N/A Connection</v>
        <stp/>
        <stp>##V3_BDPV12</stp>
        <stp>PHCSTOTL Index</stp>
        <stp>PX385</stp>
        <stp>[BI_AUTMG_1_l22cd4li.xlsx]ReferenceData!R170C14</stp>
        <stp>PX391=20170101</stp>
        <stp>PX392=20170331</stp>
        <stp>DS004=USD</stp>
        <stp>Fill=B</stp>
        <tr r="N170" s="3"/>
      </tp>
      <tp t="s">
        <v>#N/A Connection</v>
        <stp/>
        <stp>##V3_BDPV12</stp>
        <stp>AUTMAUVS Index</stp>
        <stp>PX385</stp>
        <stp>[BI_AUTMG_1_l22cd4li.xlsx]ReferenceData!R161C37</stp>
        <stp>PX391=20110401</stp>
        <stp>PX392=20110630</stp>
        <stp>DS004=USD</stp>
        <stp>Fill=B</stp>
        <tr r="AK161" s="3"/>
      </tp>
      <tp t="s">
        <v>#N/A Connection</v>
        <stp/>
        <stp>##V3_BDPV12</stp>
        <stp>IDVHCLOC Index</stp>
        <stp>PX385</stp>
        <stp>[BI_AUTMG_1_l22cd4li.xlsx]ReferenceData!R166C8</stp>
        <stp>PX391=20180701</stp>
        <stp>PX392=20180930</stp>
        <stp>DS004=USD</stp>
        <stp>Fill=B</stp>
        <tr r="H166" s="3"/>
      </tp>
      <tp t="s">
        <v>#N/A Connection</v>
        <stp/>
        <stp>##V3_BDPV12</stp>
        <stp>SINVHR Index</stp>
        <stp>PX385</stp>
        <stp>[BI_AUTMG_1_l22cd4li.xlsx]ReferenceData!R172C50</stp>
        <stp>PX391=20080101</stp>
        <stp>PX392=20080331</stp>
        <stp>DS004=USD</stp>
        <stp>Fill=B</stp>
        <tr r="AX172" s="3"/>
      </tp>
      <tp t="s">
        <v>#N/A Connection</v>
        <stp/>
        <stp>##V3_BDPV12</stp>
        <stp>WCARSEI Index</stp>
        <stp>PX385</stp>
        <stp>[BI_AUTMG_1_l22cd4li.xlsx]ReferenceData!R192C47</stp>
        <stp>PX391=20081001</stp>
        <stp>PX392=20081231</stp>
        <stp>DS004=USD</stp>
        <stp>Fill=B</stp>
        <tr r="AU192" s="3"/>
      </tp>
      <tp t="s">
        <v>#N/A Connection</v>
        <stp/>
        <stp>##V3_BDPV12</stp>
        <stp>RUAUTOTL Index</stp>
        <stp>PX385</stp>
        <stp>[BI_AUTMG_1_l22cd4li.xlsx]ReferenceData!R204C19</stp>
        <stp>PX391=20151001</stp>
        <stp>PX392=20151231</stp>
        <stp>DS004=USD</stp>
        <stp>Fill=B</stp>
        <tr r="S204" s="3"/>
      </tp>
      <tp t="s">
        <v>#N/A Connection</v>
        <stp/>
        <stp>##V3_BDPV12</stp>
        <stp>SINVHR Index</stp>
        <stp>PX385</stp>
        <stp>[BI_AUTMG_1_l22cd4li.xlsx]ReferenceData!R172C46</stp>
        <stp>PX391=20090101</stp>
        <stp>PX392=20090331</stp>
        <stp>DS004=USD</stp>
        <stp>Fill=B</stp>
        <tr r="AT172" s="3"/>
      </tp>
      <tp t="s">
        <v>#N/A Connection</v>
        <stp/>
        <stp>##V3_BDPV12</stp>
        <stp>WCARSEI Index</stp>
        <stp>PX385</stp>
        <stp>[BI_AUTMG_1_l22cd4li.xlsx]ReferenceData!R192C43</stp>
        <stp>PX391=20091001</stp>
        <stp>PX392=20091231</stp>
        <stp>DS004=USD</stp>
        <stp>Fill=B</stp>
        <tr r="AQ192" s="3"/>
      </tp>
      <tp t="s">
        <v>#N/A Connection</v>
        <stp/>
        <stp>##V3_BDPV12</stp>
        <stp>WCARSEI Index</stp>
        <stp>PX385</stp>
        <stp>[BI_AUTMG_1_l22cd4li.xlsx]ReferenceData!R192C10</stp>
        <stp>PX391=20180101</stp>
        <stp>PX392=20180331</stp>
        <stp>DS004=USD</stp>
        <stp>Fill=B</stp>
        <tr r="J192" s="3"/>
      </tp>
      <tp t="s">
        <v>#N/A Connection</v>
        <stp/>
        <stp>##V3_BDPV12</stp>
        <stp>RUAUTOTL Index</stp>
        <stp>PX385</stp>
        <stp>[BI_AUTMG_1_l22cd4li.xlsx]ReferenceData!R204C62</stp>
        <stp>PX391=20050101</stp>
        <stp>PX392=20050331</stp>
        <stp>DS004=USD</stp>
        <stp>Fill=B</stp>
        <tr r="BJ204" s="3"/>
      </tp>
      <tp t="s">
        <v>#N/A Connection</v>
        <stp/>
        <stp>##V3_BDPV12</stp>
        <stp>RUAUTOTL Index</stp>
        <stp>PX385</stp>
        <stp>[BI_AUTMG_1_l22cd4li.xlsx]ReferenceData!R204C23</stp>
        <stp>PX391=20141001</stp>
        <stp>PX392=20141231</stp>
        <stp>DS004=USD</stp>
        <stp>Fill=B</stp>
        <tr r="W204" s="3"/>
      </tp>
      <tp t="s">
        <v>#N/A Connection</v>
        <stp/>
        <stp>##V3_BDPV12</stp>
        <stp>RUAUTOTL Index</stp>
        <stp>PX385</stp>
        <stp>[BI_AUTMG_1_l22cd4li.xlsx]ReferenceData!R204C58</stp>
        <stp>PX391=20060101</stp>
        <stp>PX392=20060331</stp>
        <stp>DS004=USD</stp>
        <stp>Fill=B</stp>
        <tr r="BF204" s="3"/>
      </tp>
      <tp t="s">
        <v>#N/A Connection</v>
        <stp/>
        <stp>##V3_BDPV12</stp>
        <stp>RUAUTOTL Index</stp>
        <stp>PX385</stp>
        <stp>[BI_AUTMG_1_l22cd4li.xlsx]ReferenceData!R204C11</stp>
        <stp>PX391=20171001</stp>
        <stp>PX392=20171231</stp>
        <stp>DS004=USD</stp>
        <stp>Fill=B</stp>
        <tr r="K204" s="3"/>
      </tp>
      <tp t="s">
        <v>#N/A Connection</v>
        <stp/>
        <stp>##V3_BDPV12</stp>
        <stp>RUAUTOTL Index</stp>
        <stp>PX385</stp>
        <stp>[BI_AUTMG_1_l22cd4li.xlsx]ReferenceData!R204C54</stp>
        <stp>PX391=20070101</stp>
        <stp>PX392=20070331</stp>
        <stp>DS004=USD</stp>
        <stp>Fill=B</stp>
        <tr r="BB204" s="3"/>
      </tp>
      <tp t="s">
        <v>#N/A Connection</v>
        <stp/>
        <stp>##V3_BDPV12</stp>
        <stp>RUAUTOTL Index</stp>
        <stp>PX385</stp>
        <stp>[BI_AUTMG_1_l22cd4li.xlsx]ReferenceData!R204C15</stp>
        <stp>PX391=20161001</stp>
        <stp>PX392=20161231</stp>
        <stp>DS004=USD</stp>
        <stp>Fill=B</stp>
        <tr r="O204" s="3"/>
      </tp>
      <tp t="s">
        <v>#N/A Connection</v>
        <stp/>
        <stp>##V3_BDPV12</stp>
        <stp>WCAREE Index</stp>
        <stp>PX385</stp>
        <stp>[BI_AUTMG_1_l22cd4li.xlsx]ReferenceData!R198C45</stp>
        <stp>PX391=20090401</stp>
        <stp>PX392=20090630</stp>
        <stp>DS004=USD</stp>
        <stp>Fill=B</stp>
        <tr r="AS198" s="3"/>
      </tp>
      <tp t="s">
        <v>#N/A Connection</v>
        <stp/>
        <stp>##V3_BDPV12</stp>
        <stp>RUAUTOTL Index</stp>
        <stp>PX385</stp>
        <stp>[BI_AUTMG_1_l22cd4li.xlsx]ReferenceData!R204C35</stp>
        <stp>PX391=20111001</stp>
        <stp>PX392=20111231</stp>
        <stp>DS004=USD</stp>
        <stp>Fill=B</stp>
        <tr r="AI204" s="3"/>
      </tp>
      <tp t="s">
        <v>#N/A Connection</v>
        <stp/>
        <stp>##V3_BDPV12</stp>
        <stp>WCAREE Index</stp>
        <stp>PX385</stp>
        <stp>[BI_AUTMG_1_l22cd4li.xlsx]ReferenceData!R198C49</stp>
        <stp>PX391=20080401</stp>
        <stp>PX392=20080630</stp>
        <stp>DS004=USD</stp>
        <stp>Fill=B</stp>
        <tr r="AW198" s="3"/>
      </tp>
      <tp t="s">
        <v>#N/A Connection</v>
        <stp/>
        <stp>##V3_BDPV12</stp>
        <stp>RUAUTOTL Index</stp>
        <stp>PX385</stp>
        <stp>[BI_AUTMG_1_l22cd4li.xlsx]ReferenceData!R204C39</stp>
        <stp>PX391=20101001</stp>
        <stp>PX392=20101231</stp>
        <stp>DS004=USD</stp>
        <stp>Fill=B</stp>
        <tr r="AM204" s="3"/>
      </tp>
      <tp t="s">
        <v>#N/A Connection</v>
        <stp/>
        <stp>##V3_BDPV12</stp>
        <stp>WCARUKI Index</stp>
        <stp>PX385</stp>
        <stp>[BI_AUTMG_1_l22cd4li.xlsx]ReferenceData!R195C44</stp>
        <stp>PX391=20090701</stp>
        <stp>PX392=20090930</stp>
        <stp>DS004=USD</stp>
        <stp>Fill=B</stp>
        <tr r="AR195" s="3"/>
      </tp>
      <tp t="s">
        <v>#N/A Connection</v>
        <stp/>
        <stp>##V3_BDPV12</stp>
        <stp>RUAUTOTL Index</stp>
        <stp>PX385</stp>
        <stp>[BI_AUTMG_1_l22cd4li.xlsx]ReferenceData!R204C27</stp>
        <stp>PX391=20131001</stp>
        <stp>PX392=20131231</stp>
        <stp>DS004=USD</stp>
        <stp>Fill=B</stp>
        <tr r="AA204" s="3"/>
      </tp>
      <tp t="s">
        <v>#N/A Connection</v>
        <stp/>
        <stp>##V3_BDPV12</stp>
        <stp>WCARUKI Index</stp>
        <stp>PX385</stp>
        <stp>[BI_AUTMG_1_l22cd4li.xlsx]ReferenceData!R195C48</stp>
        <stp>PX391=20080701</stp>
        <stp>PX392=20080930</stp>
        <stp>DS004=USD</stp>
        <stp>Fill=B</stp>
        <tr r="AV195" s="3"/>
      </tp>
      <tp t="s">
        <v>#N/A Connection</v>
        <stp/>
        <stp>##V3_BDPV12</stp>
        <stp>RUAUTOTL Index</stp>
        <stp>PX385</stp>
        <stp>[BI_AUTMG_1_l22cd4li.xlsx]ReferenceData!R204C31</stp>
        <stp>PX391=20121001</stp>
        <stp>PX392=20121231</stp>
        <stp>DS004=USD</stp>
        <stp>Fill=B</stp>
        <tr r="AE204" s="3"/>
      </tp>
      <tp t="s">
        <v>#N/A Connection</v>
        <stp/>
        <stp>##V3_BDPV12</stp>
        <stp>WCAREE Index</stp>
        <stp>PX385</stp>
        <stp>[BI_AUTMG_1_l22cd4li.xlsx]ReferenceData!R198C61</stp>
        <stp>PX391=20050401</stp>
        <stp>PX392=20050630</stp>
        <stp>DS004=USD</stp>
        <stp>Fill=B</stp>
        <tr r="BI198" s="3"/>
      </tp>
      <tp t="s">
        <v>#N/A Connection</v>
        <stp/>
        <stp>##V3_BDPV12</stp>
        <stp>WCARSEI Index</stp>
        <stp>PX385</stp>
        <stp>[BI_AUTMG_1_l22cd4li.xlsx]ReferenceData!R192C38</stp>
        <stp>PX391=20110101</stp>
        <stp>PX392=20110331</stp>
        <stp>DS004=USD</stp>
        <stp>Fill=B</stp>
        <tr r="AL192" s="3"/>
      </tp>
      <tp t="s">
        <v>#N/A Connection</v>
        <stp/>
        <stp>##V3_BDPV12</stp>
        <stp>WCARHU Index</stp>
        <stp>PX385</stp>
        <stp>[BI_AUTMG_1_l22cd4li.xlsx]ReferenceData!R199C25</stp>
        <stp>PX391=20140401</stp>
        <stp>PX392=20140630</stp>
        <stp>DS004=USD</stp>
        <stp>Fill=B</stp>
        <tr r="Y199" s="3"/>
      </tp>
      <tp t="s">
        <v>#N/A Connection</v>
        <stp/>
        <stp>##V3_BDPV12</stp>
        <stp>SINVHR Index</stp>
        <stp>PX385</stp>
        <stp>[BI_AUTMG_1_l22cd4li.xlsx]ReferenceData!R172C35</stp>
        <stp>PX391=20111001</stp>
        <stp>PX392=20111231</stp>
        <stp>DS004=USD</stp>
        <stp>Fill=B</stp>
        <tr r="AI172" s="3"/>
      </tp>
      <tp t="s">
        <v>#N/A Connection</v>
        <stp/>
        <stp>##V3_BDPV12</stp>
        <stp>WCARUKI Index</stp>
        <stp>PX385</stp>
        <stp>[BI_AUTMG_1_l22cd4li.xlsx]ReferenceData!R195C52</stp>
        <stp>PX391=20070701</stp>
        <stp>PX392=20070930</stp>
        <stp>DS004=USD</stp>
        <stp>Fill=B</stp>
        <tr r="AZ195" s="3"/>
      </tp>
      <tp t="s">
        <v>#N/A Connection</v>
        <stp/>
        <stp>##V3_BDPV12</stp>
        <stp>WCAREE Index</stp>
        <stp>PX385</stp>
        <stp>[BI_AUTMG_1_l22cd4li.xlsx]ReferenceData!R198C65</stp>
        <stp>PX391=20040401</stp>
        <stp>PX392=20040630</stp>
        <stp>DS004=USD</stp>
        <stp>Fill=B</stp>
        <tr r="BM198" s="3"/>
      </tp>
      <tp t="s">
        <v>#N/A Connection</v>
        <stp/>
        <stp>##V3_BDPV12</stp>
        <stp>WCARSEI Index</stp>
        <stp>PX385</stp>
        <stp>[BI_AUTMG_1_l22cd4li.xlsx]ReferenceData!R192C42</stp>
        <stp>PX391=20100101</stp>
        <stp>PX392=20100331</stp>
        <stp>DS004=USD</stp>
        <stp>Fill=B</stp>
        <tr r="AP192" s="3"/>
      </tp>
      <tp t="s">
        <v>#N/A Connection</v>
        <stp/>
        <stp>##V3_BDPV12</stp>
        <stp>SINVHR Index</stp>
        <stp>PX385</stp>
        <stp>[BI_AUTMG_1_l22cd4li.xlsx]ReferenceData!R172C39</stp>
        <stp>PX391=20101001</stp>
        <stp>PX392=20101231</stp>
        <stp>DS004=USD</stp>
        <stp>Fill=B</stp>
        <tr r="AM172" s="3"/>
      </tp>
      <tp t="s">
        <v>#N/A Connection</v>
        <stp/>
        <stp>##V3_BDPV12</stp>
        <stp>WCARUKI Index</stp>
        <stp>PX385</stp>
        <stp>[BI_AUTMG_1_l22cd4li.xlsx]ReferenceData!R195C56</stp>
        <stp>PX391=20060701</stp>
        <stp>PX392=20060930</stp>
        <stp>DS004=USD</stp>
        <stp>Fill=B</stp>
        <tr r="BD195" s="3"/>
      </tp>
      <tp t="s">
        <v>#N/A Connection</v>
        <stp/>
        <stp>##V3_BDPV12</stp>
        <stp>WCARHU Index</stp>
        <stp>PX385</stp>
        <stp>[BI_AUTMG_1_l22cd4li.xlsx]ReferenceData!R199C21</stp>
        <stp>PX391=20150401</stp>
        <stp>PX392=20150630</stp>
        <stp>DS004=USD</stp>
        <stp>Fill=B</stp>
        <tr r="U199" s="3"/>
      </tp>
      <tp t="s">
        <v>#N/A Connection</v>
        <stp/>
        <stp>##V3_BDPV12</stp>
        <stp>WCAREE Index</stp>
        <stp>PX385</stp>
        <stp>[BI_AUTMG_1_l22cd4li.xlsx]ReferenceData!R198C53</stp>
        <stp>PX391=20070401</stp>
        <stp>PX392=20070630</stp>
        <stp>DS004=USD</stp>
        <stp>Fill=B</stp>
        <tr r="BA198" s="3"/>
      </tp>
      <tp t="s">
        <v>#N/A Connection</v>
        <stp/>
        <stp>##V3_BDPV12</stp>
        <stp>WCARSEI Index</stp>
        <stp>PX385</stp>
        <stp>[BI_AUTMG_1_l22cd4li.xlsx]ReferenceData!R192C30</stp>
        <stp>PX391=20130101</stp>
        <stp>PX392=20130331</stp>
        <stp>DS004=USD</stp>
        <stp>Fill=B</stp>
        <tr r="AD192" s="3"/>
      </tp>
      <tp t="s">
        <v>#N/A Connection</v>
        <stp/>
        <stp>##V3_BDPV12</stp>
        <stp>WCARUKI Index</stp>
        <stp>PX385</stp>
        <stp>[BI_AUTMG_1_l22cd4li.xlsx]ReferenceData!R195C60</stp>
        <stp>PX391=20050701</stp>
        <stp>PX392=20050930</stp>
        <stp>DS004=USD</stp>
        <stp>Fill=B</stp>
        <tr r="BH195" s="3"/>
      </tp>
      <tp t="s">
        <v>#N/A Connection</v>
        <stp/>
        <stp>##V3_BDPV12</stp>
        <stp>WCARHU Index</stp>
        <stp>PX385</stp>
        <stp>[BI_AUTMG_1_l22cd4li.xlsx]ReferenceData!R199C17</stp>
        <stp>PX391=20160401</stp>
        <stp>PX392=20160630</stp>
        <stp>DS004=USD</stp>
        <stp>Fill=B</stp>
        <tr r="Q199" s="3"/>
      </tp>
      <tp t="s">
        <v>#N/A Connection</v>
        <stp/>
        <stp>##V3_BDPV12</stp>
        <stp>SINVHR Index</stp>
        <stp>PX385</stp>
        <stp>[BI_AUTMG_1_l22cd4li.xlsx]ReferenceData!R172C27</stp>
        <stp>PX391=20131001</stp>
        <stp>PX392=20131231</stp>
        <stp>DS004=USD</stp>
        <stp>Fill=B</stp>
        <tr r="AA172" s="3"/>
      </tp>
      <tp t="s">
        <v>#N/A Connection</v>
        <stp/>
        <stp>##V3_BDPV12</stp>
        <stp>WCAREE Index</stp>
        <stp>PX385</stp>
        <stp>[BI_AUTMG_1_l22cd4li.xlsx]ReferenceData!R198C57</stp>
        <stp>PX391=20060401</stp>
        <stp>PX392=20060630</stp>
        <stp>DS004=USD</stp>
        <stp>Fill=B</stp>
        <tr r="BE198" s="3"/>
      </tp>
      <tp t="s">
        <v>#N/A Connection</v>
        <stp/>
        <stp>##V3_BDPV12</stp>
        <stp>WCARSEI Index</stp>
        <stp>PX385</stp>
        <stp>[BI_AUTMG_1_l22cd4li.xlsx]ReferenceData!R192C34</stp>
        <stp>PX391=20120101</stp>
        <stp>PX392=20120331</stp>
        <stp>DS004=USD</stp>
        <stp>Fill=B</stp>
        <tr r="AH192" s="3"/>
      </tp>
      <tp t="s">
        <v>#N/A Connection</v>
        <stp/>
        <stp>##V3_BDPV12</stp>
        <stp>WCARHU Index</stp>
        <stp>PX385</stp>
        <stp>[BI_AUTMG_1_l22cd4li.xlsx]ReferenceData!R199C13</stp>
        <stp>PX391=20170401</stp>
        <stp>PX392=20170630</stp>
        <stp>DS004=USD</stp>
        <stp>Fill=B</stp>
        <tr r="M199" s="3"/>
      </tp>
      <tp t="s">
        <v>#N/A Connection</v>
        <stp/>
        <stp>##V3_BDPV12</stp>
        <stp>WCARUKI Index</stp>
        <stp>PX385</stp>
        <stp>[BI_AUTMG_1_l22cd4li.xlsx]ReferenceData!R195C64</stp>
        <stp>PX391=20040701</stp>
        <stp>PX392=20040930</stp>
        <stp>DS004=USD</stp>
        <stp>Fill=B</stp>
        <tr r="BL195" s="3"/>
      </tp>
      <tp t="s">
        <v>#N/A Connection</v>
        <stp/>
        <stp>##V3_BDPV12</stp>
        <stp>SINVHR Index</stp>
        <stp>PX385</stp>
        <stp>[BI_AUTMG_1_l22cd4li.xlsx]ReferenceData!R172C31</stp>
        <stp>PX391=20121001</stp>
        <stp>PX392=20121231</stp>
        <stp>DS004=USD</stp>
        <stp>Fill=B</stp>
        <tr r="AE172" s="3"/>
      </tp>
      <tp t="s">
        <v>#N/A Connection</v>
        <stp/>
        <stp>##V3_BDPV12</stp>
        <stp>WCARSEI Index</stp>
        <stp>PX385</stp>
        <stp>[BI_AUTMG_1_l22cd4li.xlsx]ReferenceData!R192C22</stp>
        <stp>PX391=20150101</stp>
        <stp>PX392=20150331</stp>
        <stp>DS004=USD</stp>
        <stp>Fill=B</stp>
        <tr r="V192" s="3"/>
      </tp>
      <tp t="s">
        <v>#N/A Connection</v>
        <stp/>
        <stp>##V3_BDPV12</stp>
        <stp>WCARSEI Index</stp>
        <stp>PX385</stp>
        <stp>[BI_AUTMG_1_l22cd4li.xlsx]ReferenceData!R192C63</stp>
        <stp>PX391=20041001</stp>
        <stp>PX392=20041231</stp>
        <stp>DS004=USD</stp>
        <stp>Fill=B</stp>
        <tr r="BK192" s="3"/>
      </tp>
      <tp t="s">
        <v>#N/A Connection</v>
        <stp/>
        <stp>##V3_BDPV12</stp>
        <stp>WCARHU Index</stp>
        <stp>PX385</stp>
        <stp>[BI_AUTMG_1_l22cd4li.xlsx]ReferenceData!R199C41</stp>
        <stp>PX391=20100401</stp>
        <stp>PX392=20100630</stp>
        <stp>DS004=USD</stp>
        <stp>Fill=B</stp>
        <tr r="AO199" s="3"/>
      </tp>
      <tp t="s">
        <v>#N/A Connection</v>
        <stp/>
        <stp>##V3_BDPV12</stp>
        <stp>SINVHR Index</stp>
        <stp>PX385</stp>
        <stp>[BI_AUTMG_1_l22cd4li.xlsx]ReferenceData!R172C19</stp>
        <stp>PX391=20151001</stp>
        <stp>PX392=20151231</stp>
        <stp>DS004=USD</stp>
        <stp>Fill=B</stp>
        <tr r="S172" s="3"/>
      </tp>
      <tp t="s">
        <v>#N/A Connection</v>
        <stp/>
        <stp>##V3_BDPV12</stp>
        <stp>RUAUTOTL Index</stp>
        <stp>PX385</stp>
        <stp>[BI_AUTMG_1_l22cd4li.xlsx]ReferenceData!R204C50</stp>
        <stp>PX391=20080101</stp>
        <stp>PX392=20080331</stp>
        <stp>DS004=USD</stp>
        <stp>Fill=B</stp>
        <tr r="AX204" s="3"/>
      </tp>
      <tp t="s">
        <v>#N/A Connection</v>
        <stp/>
        <stp>##V3_BDPV12</stp>
        <stp>WCARSEI Index</stp>
        <stp>PX385</stp>
        <stp>[BI_AUTMG_1_l22cd4li.xlsx]ReferenceData!R192C26</stp>
        <stp>PX391=20140101</stp>
        <stp>PX392=20140331</stp>
        <stp>DS004=USD</stp>
        <stp>Fill=B</stp>
        <tr r="Z192" s="3"/>
      </tp>
      <tp t="s">
        <v>#N/A Connection</v>
        <stp/>
        <stp>##V3_BDPV12</stp>
        <stp>WCARSEI Index</stp>
        <stp>PX385</stp>
        <stp>[BI_AUTMG_1_l22cd4li.xlsx]ReferenceData!R192C59</stp>
        <stp>PX391=20051001</stp>
        <stp>PX392=20051231</stp>
        <stp>DS004=USD</stp>
        <stp>Fill=B</stp>
        <tr r="BG192" s="3"/>
      </tp>
      <tp t="s">
        <v>#N/A Connection</v>
        <stp/>
        <stp>##V3_BDPV12</stp>
        <stp>SINVHR Index</stp>
        <stp>PX385</stp>
        <stp>[BI_AUTMG_1_l22cd4li.xlsx]ReferenceData!R172C62</stp>
        <stp>PX391=20050101</stp>
        <stp>PX392=20050331</stp>
        <stp>DS004=USD</stp>
        <stp>Fill=B</stp>
        <tr r="BJ172" s="3"/>
      </tp>
      <tp t="s">
        <v>#N/A Connection</v>
        <stp/>
        <stp>##V3_BDPV12</stp>
        <stp>WCARHU Index</stp>
        <stp>PX385</stp>
        <stp>[BI_AUTMG_1_l22cd4li.xlsx]ReferenceData!R199C37</stp>
        <stp>PX391=20110401</stp>
        <stp>PX392=20110630</stp>
        <stp>DS004=USD</stp>
        <stp>Fill=B</stp>
        <tr r="AK199" s="3"/>
      </tp>
      <tp t="s">
        <v>#N/A Connection</v>
        <stp/>
        <stp>##V3_BDPV12</stp>
        <stp>SINVHR Index</stp>
        <stp>PX385</stp>
        <stp>[BI_AUTMG_1_l22cd4li.xlsx]ReferenceData!R172C23</stp>
        <stp>PX391=20141001</stp>
        <stp>PX392=20141231</stp>
        <stp>DS004=USD</stp>
        <stp>Fill=B</stp>
        <tr r="W172" s="3"/>
      </tp>
      <tp t="s">
        <v>#N/A Connection</v>
        <stp/>
        <stp>##V3_BDPV12</stp>
        <stp>RUAUTOTL Index</stp>
        <stp>PX385</stp>
        <stp>[BI_AUTMG_1_l22cd4li.xlsx]ReferenceData!R204C46</stp>
        <stp>PX391=20090101</stp>
        <stp>PX392=20090331</stp>
        <stp>DS004=USD</stp>
        <stp>Fill=B</stp>
        <tr r="AT204" s="3"/>
      </tp>
      <tp t="s">
        <v>#N/A Connection</v>
        <stp/>
        <stp>##V3_BDPV12</stp>
        <stp>WCARSEI Index</stp>
        <stp>PX385</stp>
        <stp>[BI_AUTMG_1_l22cd4li.xlsx]ReferenceData!R192C14</stp>
        <stp>PX391=20170101</stp>
        <stp>PX392=20170331</stp>
        <stp>DS004=USD</stp>
        <stp>Fill=B</stp>
        <tr r="N192" s="3"/>
      </tp>
      <tp t="s">
        <v>#N/A Connection</v>
        <stp/>
        <stp>##V3_BDPV12</stp>
        <stp>WCARSEI Index</stp>
        <stp>PX385</stp>
        <stp>[BI_AUTMG_1_l22cd4li.xlsx]ReferenceData!R192C55</stp>
        <stp>PX391=20061001</stp>
        <stp>PX392=20061231</stp>
        <stp>DS004=USD</stp>
        <stp>Fill=B</stp>
        <tr r="BC192" s="3"/>
      </tp>
      <tp t="s">
        <v>#N/A Connection</v>
        <stp/>
        <stp>##V3_BDPV12</stp>
        <stp>SINVHR Index</stp>
        <stp>PX385</stp>
        <stp>[BI_AUTMG_1_l22cd4li.xlsx]ReferenceData!R172C58</stp>
        <stp>PX391=20060101</stp>
        <stp>PX392=20060331</stp>
        <stp>DS004=USD</stp>
        <stp>Fill=B</stp>
        <tr r="BF172" s="3"/>
      </tp>
      <tp t="s">
        <v>#N/A Connection</v>
        <stp/>
        <stp>##V3_BDPV12</stp>
        <stp>SINVHR Index</stp>
        <stp>PX385</stp>
        <stp>[BI_AUTMG_1_l22cd4li.xlsx]ReferenceData!R172C11</stp>
        <stp>PX391=20171001</stp>
        <stp>PX392=20171231</stp>
        <stp>DS004=USD</stp>
        <stp>Fill=B</stp>
        <tr r="K172" s="3"/>
      </tp>
      <tp t="s">
        <v>#N/A Connection</v>
        <stp/>
        <stp>##V3_BDPV12</stp>
        <stp>WCARHU Index</stp>
        <stp>PX385</stp>
        <stp>[BI_AUTMG_1_l22cd4li.xlsx]ReferenceData!R199C33</stp>
        <stp>PX391=20120401</stp>
        <stp>PX392=20120630</stp>
        <stp>DS004=USD</stp>
        <stp>Fill=B</stp>
        <tr r="AG199" s="3"/>
      </tp>
      <tp t="s">
        <v>#N/A Connection</v>
        <stp/>
        <stp>##V3_BDPV12</stp>
        <stp>WCARSEI Index</stp>
        <stp>PX385</stp>
        <stp>[BI_AUTMG_1_l22cd4li.xlsx]ReferenceData!R192C18</stp>
        <stp>PX391=20160101</stp>
        <stp>PX392=20160331</stp>
        <stp>DS004=USD</stp>
        <stp>Fill=B</stp>
        <tr r="R192" s="3"/>
      </tp>
      <tp t="s">
        <v>#N/A Connection</v>
        <stp/>
        <stp>##V3_BDPV12</stp>
        <stp>WCARSEI Index</stp>
        <stp>PX385</stp>
        <stp>[BI_AUTMG_1_l22cd4li.xlsx]ReferenceData!R192C51</stp>
        <stp>PX391=20071001</stp>
        <stp>PX392=20071231</stp>
        <stp>DS004=USD</stp>
        <stp>Fill=B</stp>
        <tr r="AY192" s="3"/>
      </tp>
      <tp t="s">
        <v>#N/A Connection</v>
        <stp/>
        <stp>##V3_BDPV12</stp>
        <stp>SINVHR Index</stp>
        <stp>PX385</stp>
        <stp>[BI_AUTMG_1_l22cd4li.xlsx]ReferenceData!R172C54</stp>
        <stp>PX391=20070101</stp>
        <stp>PX392=20070331</stp>
        <stp>DS004=USD</stp>
        <stp>Fill=B</stp>
        <tr r="BB172" s="3"/>
      </tp>
      <tp t="s">
        <v>#N/A Connection</v>
        <stp/>
        <stp>##V3_BDPV12</stp>
        <stp>SINVHR Index</stp>
        <stp>PX385</stp>
        <stp>[BI_AUTMG_1_l22cd4li.xlsx]ReferenceData!R172C15</stp>
        <stp>PX391=20161001</stp>
        <stp>PX392=20161231</stp>
        <stp>DS004=USD</stp>
        <stp>Fill=B</stp>
        <tr r="O172" s="3"/>
      </tp>
      <tp t="s">
        <v>#N/A Connection</v>
        <stp/>
        <stp>##V3_BDPV12</stp>
        <stp>WCARHU Index</stp>
        <stp>PX385</stp>
        <stp>[BI_AUTMG_1_l22cd4li.xlsx]ReferenceData!R199C29</stp>
        <stp>PX391=20130401</stp>
        <stp>PX392=20130630</stp>
        <stp>DS004=USD</stp>
        <stp>Fill=B</stp>
        <tr r="AC199" s="3"/>
      </tp>
      <tp t="s">
        <v>#N/A Connection</v>
        <stp/>
        <stp>##V3_BDPV12</stp>
        <stp>WCARCHI Index</stp>
        <stp>PX385</stp>
        <stp>[BI_AUTMG_1_l22cd4li.xlsx]ReferenceData!R193C50</stp>
        <stp>PX391=20080101</stp>
        <stp>PX392=20080331</stp>
        <stp>DS004=USD</stp>
        <stp>Fill=B</stp>
        <tr r="AX193" s="3"/>
      </tp>
      <tp t="s">
        <v>#N/A Connection</v>
        <stp/>
        <stp>##V3_BDPV12</stp>
        <stp>KNNVREG Index</stp>
        <stp>PX385</stp>
        <stp>[BI_AUTMG_1_l22cd4li.xlsx]ReferenceData!R216C59</stp>
        <stp>PX391=20051001</stp>
        <stp>PX392=20051231</stp>
        <stp>DS004=USD</stp>
        <stp>Fill=B</stp>
        <tr r="BG216" s="3"/>
      </tp>
      <tp t="s">
        <v>#N/A Connection</v>
        <stp/>
        <stp>##V3_BDPV12</stp>
        <stp>KNNVREG Index</stp>
        <stp>PX385</stp>
        <stp>[BI_AUTMG_1_l22cd4li.xlsx]ReferenceData!R216C26</stp>
        <stp>PX391=20140101</stp>
        <stp>PX392=20140331</stp>
        <stp>DS004=USD</stp>
        <stp>Fill=B</stp>
        <tr r="Z216" s="3"/>
      </tp>
      <tp t="s">
        <v>#N/A Connection</v>
        <stp/>
        <stp>##V3_BDPV12</stp>
        <stp>WCARLUI Index</stp>
        <stp>PX385</stp>
        <stp>[BI_AUTMG_1_l22cd4li.xlsx]ReferenceData!R187C13</stp>
        <stp>PX391=20170401</stp>
        <stp>PX392=20170630</stp>
        <stp>DS004=USD</stp>
        <stp>Fill=B</stp>
        <tr r="M187" s="3"/>
      </tp>
      <tp t="s">
        <v>#N/A Connection</v>
        <stp/>
        <stp>##V3_BDPV12</stp>
        <stp>PHCSTOTL Index</stp>
        <stp>PX385</stp>
        <stp>[BI_AUTMG_1_l22cd4li.xlsx]ReferenceData!R170C48</stp>
        <stp>PX391=20080701</stp>
        <stp>PX392=20080930</stp>
        <stp>DS004=USD</stp>
        <stp>Fill=B</stp>
        <tr r="AV170" s="3"/>
      </tp>
      <tp t="s">
        <v>#N/A Connection</v>
        <stp/>
        <stp>##V3_BDPV12</stp>
        <stp>THVHSCAR Index</stp>
        <stp>PX385</stp>
        <stp>[BI_AUTMG_1_l22cd4li.xlsx]ReferenceData!R174C59</stp>
        <stp>PX391=20051001</stp>
        <stp>PX392=20051231</stp>
        <stp>DS004=USD</stp>
        <stp>Fill=B</stp>
        <tr r="BG174" s="3"/>
      </tp>
      <tp t="s">
        <v>#N/A Connection</v>
        <stp/>
        <stp>##V3_BDPV12</stp>
        <stp>THVHSCAR Index</stp>
        <stp>PX385</stp>
        <stp>[BI_AUTMG_1_l22cd4li.xlsx]ReferenceData!R174C26</stp>
        <stp>PX391=20140101</stp>
        <stp>PX392=20140331</stp>
        <stp>DS004=USD</stp>
        <stp>Fill=B</stp>
        <tr r="Z174" s="3"/>
      </tp>
      <tp t="s">
        <v>#N/A Connection</v>
        <stp/>
        <stp>##V3_BDPV12</stp>
        <stp>WCARCHI Index</stp>
        <stp>PX385</stp>
        <stp>[BI_AUTMG_1_l22cd4li.xlsx]ReferenceData!R193C46</stp>
        <stp>PX391=20090101</stp>
        <stp>PX392=20090331</stp>
        <stp>DS004=USD</stp>
        <stp>Fill=B</stp>
        <tr r="AT193" s="3"/>
      </tp>
      <tp t="s">
        <v>#N/A Connection</v>
        <stp/>
        <stp>##V3_BDPV12</stp>
        <stp>KNNVREG Index</stp>
        <stp>PX385</stp>
        <stp>[BI_AUTMG_1_l22cd4li.xlsx]ReferenceData!R216C63</stp>
        <stp>PX391=20041001</stp>
        <stp>PX392=20041231</stp>
        <stp>DS004=USD</stp>
        <stp>Fill=B</stp>
        <tr r="BK216" s="3"/>
      </tp>
      <tp t="s">
        <v>#N/A Connection</v>
        <stp/>
        <stp>##V3_BDPV12</stp>
        <stp>KNNVREG Index</stp>
        <stp>PX385</stp>
        <stp>[BI_AUTMG_1_l22cd4li.xlsx]ReferenceData!R216C22</stp>
        <stp>PX391=20150101</stp>
        <stp>PX392=20150331</stp>
        <stp>DS004=USD</stp>
        <stp>Fill=B</stp>
        <tr r="V216" s="3"/>
      </tp>
      <tp t="s">
        <v>#N/A Connection</v>
        <stp/>
        <stp>##V3_BDPV12</stp>
        <stp>WCARLUI Index</stp>
        <stp>PX385</stp>
        <stp>[BI_AUTMG_1_l22cd4li.xlsx]ReferenceData!R187C17</stp>
        <stp>PX391=20160401</stp>
        <stp>PX392=20160630</stp>
        <stp>DS004=USD</stp>
        <stp>Fill=B</stp>
        <tr r="Q187" s="3"/>
      </tp>
      <tp t="s">
        <v>#N/A Connection</v>
        <stp/>
        <stp>##V3_BDPV12</stp>
        <stp>PHCSTOTL Index</stp>
        <stp>PX385</stp>
        <stp>[BI_AUTMG_1_l22cd4li.xlsx]ReferenceData!R170C44</stp>
        <stp>PX391=20090701</stp>
        <stp>PX392=20090930</stp>
        <stp>DS004=USD</stp>
        <stp>Fill=B</stp>
        <tr r="AR170" s="3"/>
      </tp>
      <tp t="s">
        <v>#N/A Connection</v>
        <stp/>
        <stp>##V3_BDPV12</stp>
        <stp>THVHSCAR Index</stp>
        <stp>PX385</stp>
        <stp>[BI_AUTMG_1_l22cd4li.xlsx]ReferenceData!R174C63</stp>
        <stp>PX391=20041001</stp>
        <stp>PX392=20041231</stp>
        <stp>DS004=USD</stp>
        <stp>Fill=B</stp>
        <tr r="BK174" s="3"/>
      </tp>
      <tp t="s">
        <v>#N/A Connection</v>
        <stp/>
        <stp>##V3_BDPV12</stp>
        <stp>THVHSCAR Index</stp>
        <stp>PX385</stp>
        <stp>[BI_AUTMG_1_l22cd4li.xlsx]ReferenceData!R174C22</stp>
        <stp>PX391=20150101</stp>
        <stp>PX392=20150331</stp>
        <stp>DS004=USD</stp>
        <stp>Fill=B</stp>
        <tr r="V174" s="3"/>
      </tp>
      <tp t="s">
        <v>#N/A Connection</v>
        <stp/>
        <stp>##V3_BDPV12</stp>
        <stp>KNNVREG Index</stp>
        <stp>PX385</stp>
        <stp>[BI_AUTMG_1_l22cd4li.xlsx]ReferenceData!R216C51</stp>
        <stp>PX391=20071001</stp>
        <stp>PX392=20071231</stp>
        <stp>DS004=USD</stp>
        <stp>Fill=B</stp>
        <tr r="AY216" s="3"/>
      </tp>
      <tp t="s">
        <v>#N/A Connection</v>
        <stp/>
        <stp>##V3_BDPV12</stp>
        <stp>KNNVREG Index</stp>
        <stp>PX385</stp>
        <stp>[BI_AUTMG_1_l22cd4li.xlsx]ReferenceData!R216C18</stp>
        <stp>PX391=20160101</stp>
        <stp>PX392=20160331</stp>
        <stp>DS004=USD</stp>
        <stp>Fill=B</stp>
        <tr r="R216" s="3"/>
      </tp>
      <tp t="s">
        <v>#N/A Connection</v>
        <stp/>
        <stp>##V3_BDPV12</stp>
        <stp>WCARLUI Index</stp>
        <stp>PX385</stp>
        <stp>[BI_AUTMG_1_l22cd4li.xlsx]ReferenceData!R187C21</stp>
        <stp>PX391=20150401</stp>
        <stp>PX392=20150630</stp>
        <stp>DS004=USD</stp>
        <stp>Fill=B</stp>
        <tr r="U187" s="3"/>
      </tp>
      <tp t="s">
        <v>#N/A Connection</v>
        <stp/>
        <stp>##V3_BDPV12</stp>
        <stp>CNVSTTL Index</stp>
        <stp>PX385</stp>
        <stp>[BI_AUTMG_1_l22cd4li.xlsx]ReferenceData!R162C46</stp>
        <stp>PX391=20090101</stp>
        <stp>PX392=20090331</stp>
        <stp>DS004=USD</stp>
        <stp>Fill=B</stp>
        <tr r="AT162" s="3"/>
      </tp>
      <tp t="s">
        <v>#N/A Connection</v>
        <stp/>
        <stp>##V3_BDPV12</stp>
        <stp>WCARATI Index</stp>
        <stp>PX385</stp>
        <stp>[BI_AUTMG_1_l22cd4li.xlsx]ReferenceData!R176C45</stp>
        <stp>PX391=20090401</stp>
        <stp>PX392=20090630</stp>
        <stp>DS004=USD</stp>
        <stp>Fill=B</stp>
        <tr r="AS176" s="3"/>
      </tp>
      <tp t="s">
        <v>#N/A Connection</v>
        <stp/>
        <stp>##V3_BDPV12</stp>
        <stp>THVHSCAR Index</stp>
        <stp>PX385</stp>
        <stp>[BI_AUTMG_1_l22cd4li.xlsx]ReferenceData!R174C51</stp>
        <stp>PX391=20071001</stp>
        <stp>PX392=20071231</stp>
        <stp>DS004=USD</stp>
        <stp>Fill=B</stp>
        <tr r="AY174" s="3"/>
      </tp>
      <tp t="s">
        <v>#N/A Connection</v>
        <stp/>
        <stp>##V3_BDPV12</stp>
        <stp>THVHSCAR Index</stp>
        <stp>PX385</stp>
        <stp>[BI_AUTMG_1_l22cd4li.xlsx]ReferenceData!R174C18</stp>
        <stp>PX391=20160101</stp>
        <stp>PX392=20160331</stp>
        <stp>DS004=USD</stp>
        <stp>Fill=B</stp>
        <tr r="R174" s="3"/>
      </tp>
      <tp t="s">
        <v>#N/A Connection</v>
        <stp/>
        <stp>##V3_BDPV12</stp>
        <stp>KNNVREG Index</stp>
        <stp>PX385</stp>
        <stp>[BI_AUTMG_1_l22cd4li.xlsx]ReferenceData!R216C55</stp>
        <stp>PX391=20061001</stp>
        <stp>PX392=20061231</stp>
        <stp>DS004=USD</stp>
        <stp>Fill=B</stp>
        <tr r="BC216" s="3"/>
      </tp>
      <tp t="s">
        <v>#N/A Connection</v>
        <stp/>
        <stp>##V3_BDPV12</stp>
        <stp>KNNVREG Index</stp>
        <stp>PX385</stp>
        <stp>[BI_AUTMG_1_l22cd4li.xlsx]ReferenceData!R216C14</stp>
        <stp>PX391=20170101</stp>
        <stp>PX392=20170331</stp>
        <stp>DS004=USD</stp>
        <stp>Fill=B</stp>
        <tr r="N216" s="3"/>
      </tp>
      <tp t="s">
        <v>#N/A Connection</v>
        <stp/>
        <stp>##V3_BDPV12</stp>
        <stp>WCARLUI Index</stp>
        <stp>PX385</stp>
        <stp>[BI_AUTMG_1_l22cd4li.xlsx]ReferenceData!R187C25</stp>
        <stp>PX391=20140401</stp>
        <stp>PX392=20140630</stp>
        <stp>DS004=USD</stp>
        <stp>Fill=B</stp>
        <tr r="Y187" s="3"/>
      </tp>
      <tp t="s">
        <v>#N/A Connection</v>
        <stp/>
        <stp>##V3_BDPV12</stp>
        <stp>CNVSTTL Index</stp>
        <stp>PX385</stp>
        <stp>[BI_AUTMG_1_l22cd4li.xlsx]ReferenceData!R162C50</stp>
        <stp>PX391=20080101</stp>
        <stp>PX392=20080331</stp>
        <stp>DS004=USD</stp>
        <stp>Fill=B</stp>
        <tr r="AX162" s="3"/>
      </tp>
      <tp t="s">
        <v>#N/A Connection</v>
        <stp/>
        <stp>##V3_BDPV12</stp>
        <stp>WCARATI Index</stp>
        <stp>PX385</stp>
        <stp>[BI_AUTMG_1_l22cd4li.xlsx]ReferenceData!R176C49</stp>
        <stp>PX391=20080401</stp>
        <stp>PX392=20080630</stp>
        <stp>DS004=USD</stp>
        <stp>Fill=B</stp>
        <tr r="AW176" s="3"/>
      </tp>
      <tp t="s">
        <v>#N/A Connection</v>
        <stp/>
        <stp>##V3_BDPV12</stp>
        <stp>THVHSCAR Index</stp>
        <stp>PX385</stp>
        <stp>[BI_AUTMG_1_l22cd4li.xlsx]ReferenceData!R174C55</stp>
        <stp>PX391=20061001</stp>
        <stp>PX392=20061231</stp>
        <stp>DS004=USD</stp>
        <stp>Fill=B</stp>
        <tr r="BC174" s="3"/>
      </tp>
      <tp t="s">
        <v>#N/A Connection</v>
        <stp/>
        <stp>##V3_BDPV12</stp>
        <stp>THVHSCAR Index</stp>
        <stp>PX385</stp>
        <stp>[BI_AUTMG_1_l22cd4li.xlsx]ReferenceData!R174C14</stp>
        <stp>PX391=20170101</stp>
        <stp>PX392=20170331</stp>
        <stp>DS004=USD</stp>
        <stp>Fill=B</stp>
        <tr r="N174" s="3"/>
      </tp>
      <tp t="s">
        <v>#N/A Connection</v>
        <stp/>
        <stp>##V3_BDPV12</stp>
        <stp>WCARIEI Index</stp>
        <stp>PX385</stp>
        <stp>[BI_AUTMG_1_l22cd4li.xlsx]ReferenceData!R185C52</stp>
        <stp>PX391=20070701</stp>
        <stp>PX392=20070930</stp>
        <stp>DS004=USD</stp>
        <stp>Fill=B</stp>
        <tr r="AZ185" s="3"/>
      </tp>
      <tp t="s">
        <v>#N/A Connection</v>
        <stp/>
        <stp>##V3_BDPV12</stp>
        <stp>KNNVREG Index</stp>
        <stp>PX385</stp>
        <stp>[BI_AUTMG_1_l22cd4li.xlsx]ReferenceData!R216C42</stp>
        <stp>PX391=20100101</stp>
        <stp>PX392=20100331</stp>
        <stp>DS004=USD</stp>
        <stp>Fill=B</stp>
        <tr r="AP216" s="3"/>
      </tp>
      <tp t="s">
        <v>#N/A Connection</v>
        <stp/>
        <stp>##V3_BDPV12</stp>
        <stp>WCARLUI Index</stp>
        <stp>PX385</stp>
        <stp>[BI_AUTMG_1_l22cd4li.xlsx]ReferenceData!R187C29</stp>
        <stp>PX391=20130401</stp>
        <stp>PX392=20130630</stp>
        <stp>DS004=USD</stp>
        <stp>Fill=B</stp>
        <tr r="AC187" s="3"/>
      </tp>
      <tp t="s">
        <v>#N/A Connection</v>
        <stp/>
        <stp>##V3_BDPV12</stp>
        <stp>WCARITI Index</stp>
        <stp>PX385</stp>
        <stp>[BI_AUTMG_1_l22cd4li.xlsx]ReferenceData!R186C53</stp>
        <stp>PX391=20070401</stp>
        <stp>PX392=20070630</stp>
        <stp>DS004=USD</stp>
        <stp>Fill=B</stp>
        <tr r="BA186" s="3"/>
      </tp>
      <tp t="s">
        <v>#N/A Connection</v>
        <stp/>
        <stp>##V3_BDPV12</stp>
        <stp>TWVSDOM Index</stp>
        <stp>PX385</stp>
        <stp>[BI_AUTMG_1_l22cd4li.xlsx]ReferenceData!R173C47</stp>
        <stp>PX391=20081001</stp>
        <stp>PX392=20081231</stp>
        <stp>DS004=USD</stp>
        <stp>Fill=B</stp>
        <tr r="AU173" s="3"/>
      </tp>
      <tp t="s">
        <v>#N/A Connection</v>
        <stp/>
        <stp>##V3_BDPV12</stp>
        <stp>WCARGRI Index</stp>
        <stp>PX385</stp>
        <stp>[BI_AUTMG_1_l22cd4li.xlsx]ReferenceData!R183C50</stp>
        <stp>PX391=20080101</stp>
        <stp>PX392=20080331</stp>
        <stp>DS004=USD</stp>
        <stp>Fill=B</stp>
        <tr r="AX183" s="3"/>
      </tp>
      <tp t="s">
        <v>#N/A Connection</v>
        <stp/>
        <stp>##V3_BDPV12</stp>
        <stp>THVHSCAR Index</stp>
        <stp>PX385</stp>
        <stp>[BI_AUTMG_1_l22cd4li.xlsx]ReferenceData!R174C42</stp>
        <stp>PX391=20100101</stp>
        <stp>PX392=20100331</stp>
        <stp>DS004=USD</stp>
        <stp>Fill=B</stp>
        <tr r="AP174" s="3"/>
      </tp>
      <tp t="s">
        <v>#N/A Connection</v>
        <stp/>
        <stp>##V3_BDPV12</stp>
        <stp>WCARIEI Index</stp>
        <stp>PX385</stp>
        <stp>[BI_AUTMG_1_l22cd4li.xlsx]ReferenceData!R185C56</stp>
        <stp>PX391=20060701</stp>
        <stp>PX392=20060930</stp>
        <stp>DS004=USD</stp>
        <stp>Fill=B</stp>
        <tr r="BD185" s="3"/>
      </tp>
      <tp t="s">
        <v>#N/A Connection</v>
        <stp/>
        <stp>##V3_BDPV12</stp>
        <stp>KNNVREG Index</stp>
        <stp>PX385</stp>
        <stp>[BI_AUTMG_1_l22cd4li.xlsx]ReferenceData!R216C38</stp>
        <stp>PX391=20110101</stp>
        <stp>PX392=20110331</stp>
        <stp>DS004=USD</stp>
        <stp>Fill=B</stp>
        <tr r="AL216" s="3"/>
      </tp>
      <tp t="s">
        <v>#N/A Connection</v>
        <stp/>
        <stp>##V3_BDPV12</stp>
        <stp>TWVSDOM Index</stp>
        <stp>PX385</stp>
        <stp>[BI_AUTMG_1_l22cd4li.xlsx]ReferenceData!R173C10</stp>
        <stp>PX391=20180101</stp>
        <stp>PX392=20180331</stp>
        <stp>DS004=USD</stp>
        <stp>Fill=B</stp>
        <tr r="J173" s="3"/>
      </tp>
      <tp t="s">
        <v>#N/A Connection</v>
        <stp/>
        <stp>##V3_BDPV12</stp>
        <stp>WCARLUI Index</stp>
        <stp>PX385</stp>
        <stp>[BI_AUTMG_1_l22cd4li.xlsx]ReferenceData!R187C33</stp>
        <stp>PX391=20120401</stp>
        <stp>PX392=20120630</stp>
        <stp>DS004=USD</stp>
        <stp>Fill=B</stp>
        <tr r="AG187" s="3"/>
      </tp>
      <tp t="s">
        <v>#N/A Connection</v>
        <stp/>
        <stp>##V3_BDPV12</stp>
        <stp>WCARITI Index</stp>
        <stp>PX385</stp>
        <stp>[BI_AUTMG_1_l22cd4li.xlsx]ReferenceData!R186C57</stp>
        <stp>PX391=20060401</stp>
        <stp>PX392=20060630</stp>
        <stp>DS004=USD</stp>
        <stp>Fill=B</stp>
        <tr r="BE186" s="3"/>
      </tp>
      <tp t="s">
        <v>#N/A Connection</v>
        <stp/>
        <stp>##V3_BDPV12</stp>
        <stp>TWVSDOM Index</stp>
        <stp>PX385</stp>
        <stp>[BI_AUTMG_1_l22cd4li.xlsx]ReferenceData!R173C43</stp>
        <stp>PX391=20091001</stp>
        <stp>PX392=20091231</stp>
        <stp>DS004=USD</stp>
        <stp>Fill=B</stp>
        <tr r="AQ173" s="3"/>
      </tp>
      <tp t="s">
        <v>#N/A Connection</v>
        <stp/>
        <stp>##V3_BDPV12</stp>
        <stp>WCARGRI Index</stp>
        <stp>PX385</stp>
        <stp>[BI_AUTMG_1_l22cd4li.xlsx]ReferenceData!R183C46</stp>
        <stp>PX391=20090101</stp>
        <stp>PX392=20090331</stp>
        <stp>DS004=USD</stp>
        <stp>Fill=B</stp>
        <tr r="AT183" s="3"/>
      </tp>
      <tp t="s">
        <v>#N/A Connection</v>
        <stp/>
        <stp>##V3_BDPV12</stp>
        <stp>THVHSCAR Index</stp>
        <stp>PX385</stp>
        <stp>[BI_AUTMG_1_l22cd4li.xlsx]ReferenceData!R174C38</stp>
        <stp>PX391=20110101</stp>
        <stp>PX392=20110331</stp>
        <stp>DS004=USD</stp>
        <stp>Fill=B</stp>
        <tr r="AL174" s="3"/>
      </tp>
      <tp t="s">
        <v>#N/A Connection</v>
        <stp/>
        <stp>##V3_BDPV12</stp>
        <stp>WCARIEI Index</stp>
        <stp>PX385</stp>
        <stp>[BI_AUTMG_1_l22cd4li.xlsx]ReferenceData!R185C60</stp>
        <stp>PX391=20050701</stp>
        <stp>PX392=20050930</stp>
        <stp>DS004=USD</stp>
        <stp>Fill=B</stp>
        <tr r="BH185" s="3"/>
      </tp>
      <tp t="s">
        <v>#N/A Connection</v>
        <stp/>
        <stp>##V3_BDPV12</stp>
        <stp>WCARDEI Index</stp>
        <stp>PX385</stp>
        <stp>[BI_AUTMG_1_l22cd4li.xlsx]ReferenceData!R182C43</stp>
        <stp>PX391=20091001</stp>
        <stp>PX392=20091231</stp>
        <stp>DS004=USD</stp>
        <stp>Fill=B</stp>
        <tr r="AQ182" s="3"/>
      </tp>
      <tp t="s">
        <v>#N/A Connection</v>
        <stp/>
        <stp>##V3_BDPV12</stp>
        <stp>KNNVREG Index</stp>
        <stp>PX385</stp>
        <stp>[BI_AUTMG_1_l22cd4li.xlsx]ReferenceData!R216C34</stp>
        <stp>PX391=20120101</stp>
        <stp>PX392=20120331</stp>
        <stp>DS004=USD</stp>
        <stp>Fill=B</stp>
        <tr r="AH216" s="3"/>
      </tp>
      <tp t="s">
        <v>#N/A Connection</v>
        <stp/>
        <stp>##V3_BDPV12</stp>
        <stp>WCARDEI Index</stp>
        <stp>PX385</stp>
        <stp>[BI_AUTMG_1_l22cd4li.xlsx]ReferenceData!R182C10</stp>
        <stp>PX391=20180101</stp>
        <stp>PX392=20180331</stp>
        <stp>DS004=USD</stp>
        <stp>Fill=B</stp>
        <tr r="J182" s="3"/>
      </tp>
      <tp t="s">
        <v>#N/A Connection</v>
        <stp/>
        <stp>##V3_BDPV12</stp>
        <stp>WCARITI Index</stp>
        <stp>PX385</stp>
        <stp>[BI_AUTMG_1_l22cd4li.xlsx]ReferenceData!R186C61</stp>
        <stp>PX391=20050401</stp>
        <stp>PX392=20050630</stp>
        <stp>DS004=USD</stp>
        <stp>Fill=B</stp>
        <tr r="BI186" s="3"/>
      </tp>
      <tp t="s">
        <v>#N/A Connection</v>
        <stp/>
        <stp>##V3_BDPV12</stp>
        <stp>WCARLUI Index</stp>
        <stp>PX385</stp>
        <stp>[BI_AUTMG_1_l22cd4li.xlsx]ReferenceData!R187C37</stp>
        <stp>PX391=20110401</stp>
        <stp>PX392=20110630</stp>
        <stp>DS004=USD</stp>
        <stp>Fill=B</stp>
        <tr r="AK187" s="3"/>
      </tp>
      <tp t="s">
        <v>#N/A Connection</v>
        <stp/>
        <stp>##V3_BDPV12</stp>
        <stp>THVHSCAR Index</stp>
        <stp>PX385</stp>
        <stp>[BI_AUTMG_1_l22cd4li.xlsx]ReferenceData!R174C34</stp>
        <stp>PX391=20120101</stp>
        <stp>PX392=20120331</stp>
        <stp>DS004=USD</stp>
        <stp>Fill=B</stp>
        <tr r="AH174" s="3"/>
      </tp>
      <tp t="s">
        <v>#N/A Connection</v>
        <stp/>
        <stp>##V3_BDPV12</stp>
        <stp>WCARIEI Index</stp>
        <stp>PX385</stp>
        <stp>[BI_AUTMG_1_l22cd4li.xlsx]ReferenceData!R185C64</stp>
        <stp>PX391=20040701</stp>
        <stp>PX392=20040930</stp>
        <stp>DS004=USD</stp>
        <stp>Fill=B</stp>
        <tr r="BL185" s="3"/>
      </tp>
      <tp t="s">
        <v>#N/A Connection</v>
        <stp/>
        <stp>##V3_BDPV12</stp>
        <stp>WCARDEI Index</stp>
        <stp>PX385</stp>
        <stp>[BI_AUTMG_1_l22cd4li.xlsx]ReferenceData!R182C47</stp>
        <stp>PX391=20081001</stp>
        <stp>PX392=20081231</stp>
        <stp>DS004=USD</stp>
        <stp>Fill=B</stp>
        <tr r="AU182" s="3"/>
      </tp>
      <tp t="s">
        <v>#N/A Connection</v>
        <stp/>
        <stp>##V3_BDPV12</stp>
        <stp>KNNVREG Index</stp>
        <stp>PX385</stp>
        <stp>[BI_AUTMG_1_l22cd4li.xlsx]ReferenceData!R216C30</stp>
        <stp>PX391=20130101</stp>
        <stp>PX392=20130331</stp>
        <stp>DS004=USD</stp>
        <stp>Fill=B</stp>
        <tr r="AD216" s="3"/>
      </tp>
      <tp t="s">
        <v>#N/A Connection</v>
        <stp/>
        <stp>##V3_BDPV12</stp>
        <stp>WCARLUI Index</stp>
        <stp>PX385</stp>
        <stp>[BI_AUTMG_1_l22cd4li.xlsx]ReferenceData!R187C41</stp>
        <stp>PX391=20100401</stp>
        <stp>PX392=20100630</stp>
        <stp>DS004=USD</stp>
        <stp>Fill=B</stp>
        <tr r="AO187" s="3"/>
      </tp>
      <tp t="s">
        <v>#N/A Connection</v>
        <stp/>
        <stp>##V3_BDPV12</stp>
        <stp>WCARITI Index</stp>
        <stp>PX385</stp>
        <stp>[BI_AUTMG_1_l22cd4li.xlsx]ReferenceData!R186C65</stp>
        <stp>PX391=20040401</stp>
        <stp>PX392=20040630</stp>
        <stp>DS004=USD</stp>
        <stp>Fill=B</stp>
        <tr r="BM186" s="3"/>
      </tp>
      <tp t="s">
        <v>#N/A Connection</v>
        <stp/>
        <stp>##V3_BDPV12</stp>
        <stp>THVHSCAR Index</stp>
        <stp>PX385</stp>
        <stp>[BI_AUTMG_1_l22cd4li.xlsx]ReferenceData!R174C30</stp>
        <stp>PX391=20130101</stp>
        <stp>PX392=20130331</stp>
        <stp>DS004=USD</stp>
        <stp>Fill=B</stp>
        <tr r="AD174" s="3"/>
      </tp>
      <tp t="s">
        <v>#N/A Connection</v>
        <stp/>
        <stp>##V3_BDPV12</stp>
        <stp>WCARDEI Index</stp>
        <stp>PX385</stp>
        <stp>[BI_AUTMG_1_l22cd4li.xlsx]ReferenceData!R182C18</stp>
        <stp>PX391=20160101</stp>
        <stp>PX392=20160331</stp>
        <stp>DS004=USD</stp>
        <stp>Fill=B</stp>
        <tr r="R182" s="3"/>
      </tp>
      <tp t="s">
        <v>#N/A Connection</v>
        <stp/>
        <stp>##V3_BDPV12</stp>
        <stp>WCARDEI Index</stp>
        <stp>PX385</stp>
        <stp>[BI_AUTMG_1_l22cd4li.xlsx]ReferenceData!R182C51</stp>
        <stp>PX391=20071001</stp>
        <stp>PX392=20071231</stp>
        <stp>DS004=USD</stp>
        <stp>Fill=B</stp>
        <tr r="AY182" s="3"/>
      </tp>
      <tp t="s">
        <v>#N/A Connection</v>
        <stp/>
        <stp>##V3_BDPV12</stp>
        <stp>WCARBEI Index</stp>
        <stp>PX385</stp>
        <stp>[BI_AUTMG_1_l22cd4li.xlsx]ReferenceData!R177C37</stp>
        <stp>PX391=20110401</stp>
        <stp>PX392=20110630</stp>
        <stp>DS004=USD</stp>
        <stp>Fill=B</stp>
        <tr r="AK177" s="3"/>
      </tp>
      <tp t="s">
        <v>#N/A Connection</v>
        <stp/>
        <stp>##V3_BDPV12</stp>
        <stp>WCARCHI Index</stp>
        <stp>PX385</stp>
        <stp>[BI_AUTMG_1_l22cd4li.xlsx]ReferenceData!R193C35</stp>
        <stp>PX391=20111001</stp>
        <stp>PX392=20111231</stp>
        <stp>DS004=USD</stp>
        <stp>Fill=B</stp>
        <tr r="AI193" s="3"/>
      </tp>
      <tp t="s">
        <v>#N/A Connection</v>
        <stp/>
        <stp>##V3_BDPV12</stp>
        <stp>WCARGRI Index</stp>
        <stp>PX385</stp>
        <stp>[BI_AUTMG_1_l22cd4li.xlsx]ReferenceData!R183C19</stp>
        <stp>PX391=20151001</stp>
        <stp>PX392=20151231</stp>
        <stp>DS004=USD</stp>
        <stp>Fill=B</stp>
        <tr r="S183" s="3"/>
      </tp>
      <tp t="s">
        <v>#N/A Connection</v>
        <stp/>
        <stp>##V3_BDPV12</stp>
        <stp>TWVSDOM Index</stp>
        <stp>PX385</stp>
        <stp>[BI_AUTMG_1_l22cd4li.xlsx]ReferenceData!R173C63</stp>
        <stp>PX391=20041001</stp>
        <stp>PX392=20041231</stp>
        <stp>DS004=USD</stp>
        <stp>Fill=B</stp>
        <tr r="BK173" s="3"/>
      </tp>
      <tp t="s">
        <v>#N/A Connection</v>
        <stp/>
        <stp>##V3_BDPV12</stp>
        <stp>CNVSTTL Index</stp>
        <stp>PX385</stp>
        <stp>[BI_AUTMG_1_l22cd4li.xlsx]ReferenceData!R162C31</stp>
        <stp>PX391=20121001</stp>
        <stp>PX392=20121231</stp>
        <stp>DS004=USD</stp>
        <stp>Fill=B</stp>
        <tr r="AE162" s="3"/>
      </tp>
      <tp t="s">
        <v>#N/A Connection</v>
        <stp/>
        <stp>##V3_BDPV12</stp>
        <stp>TWVSDOM Index</stp>
        <stp>PX385</stp>
        <stp>[BI_AUTMG_1_l22cd4li.xlsx]ReferenceData!R173C22</stp>
        <stp>PX391=20150101</stp>
        <stp>PX392=20150331</stp>
        <stp>DS004=USD</stp>
        <stp>Fill=B</stp>
        <tr r="V173" s="3"/>
      </tp>
      <tp t="s">
        <v>#N/A Connection</v>
        <stp/>
        <stp>##V3_BDPV12</stp>
        <stp>VNVSTOTL Index</stp>
        <stp>PX385</stp>
        <stp>[BI_AUTMG_1_l22cd4li.xlsx]ReferenceData!R214C13</stp>
        <stp>PX391=20170401</stp>
        <stp>PX392=20170630</stp>
        <stp>DS004=USD</stp>
        <stp>Fill=B</stp>
        <tr r="M214" s="3"/>
      </tp>
      <tp t="s">
        <v>#N/A Connection</v>
        <stp/>
        <stp>##V3_BDPV12</stp>
        <stp>WCARBEI Index</stp>
        <stp>PX385</stp>
        <stp>[BI_AUTMG_1_l22cd4li.xlsx]ReferenceData!R177C41</stp>
        <stp>PX391=20100401</stp>
        <stp>PX392=20100630</stp>
        <stp>DS004=USD</stp>
        <stp>Fill=B</stp>
        <tr r="AO177" s="3"/>
      </tp>
      <tp t="s">
        <v>#N/A Connection</v>
        <stp/>
        <stp>##V3_BDPV12</stp>
        <stp>WCARDEI Index</stp>
        <stp>PX385</stp>
        <stp>[BI_AUTMG_1_l22cd4li.xlsx]ReferenceData!R182C14</stp>
        <stp>PX391=20170101</stp>
        <stp>PX392=20170331</stp>
        <stp>DS004=USD</stp>
        <stp>Fill=B</stp>
        <tr r="N182" s="3"/>
      </tp>
      <tp t="s">
        <v>#N/A Connection</v>
        <stp/>
        <stp>##V3_BDPV12</stp>
        <stp>WCARDEI Index</stp>
        <stp>PX385</stp>
        <stp>[BI_AUTMG_1_l22cd4li.xlsx]ReferenceData!R182C55</stp>
        <stp>PX391=20061001</stp>
        <stp>PX392=20061231</stp>
        <stp>DS004=USD</stp>
        <stp>Fill=B</stp>
        <tr r="BC182" s="3"/>
      </tp>
      <tp t="s">
        <v>#N/A Connection</v>
        <stp/>
        <stp>##V3_BDPV12</stp>
        <stp>WCARCHI Index</stp>
        <stp>PX385</stp>
        <stp>[BI_AUTMG_1_l22cd4li.xlsx]ReferenceData!R193C39</stp>
        <stp>PX391=20101001</stp>
        <stp>PX392=20101231</stp>
        <stp>DS004=USD</stp>
        <stp>Fill=B</stp>
        <tr r="AM193" s="3"/>
      </tp>
      <tp t="s">
        <v>#N/A Connection</v>
        <stp/>
        <stp>##V3_BDPV12</stp>
        <stp>WCARGRI Index</stp>
        <stp>PX385</stp>
        <stp>[BI_AUTMG_1_l22cd4li.xlsx]ReferenceData!R183C62</stp>
        <stp>PX391=20050101</stp>
        <stp>PX392=20050331</stp>
        <stp>DS004=USD</stp>
        <stp>Fill=B</stp>
        <tr r="BJ183" s="3"/>
      </tp>
      <tp t="s">
        <v>#N/A Connection</v>
        <stp/>
        <stp>##V3_BDPV12</stp>
        <stp>WCARGRI Index</stp>
        <stp>PX385</stp>
        <stp>[BI_AUTMG_1_l22cd4li.xlsx]ReferenceData!R183C23</stp>
        <stp>PX391=20141001</stp>
        <stp>PX392=20141231</stp>
        <stp>DS004=USD</stp>
        <stp>Fill=B</stp>
        <tr r="W183" s="3"/>
      </tp>
      <tp t="s">
        <v>#N/A Connection</v>
        <stp/>
        <stp>##V3_BDPV12</stp>
        <stp>CNVSTTL Index</stp>
        <stp>PX385</stp>
        <stp>[BI_AUTMG_1_l22cd4li.xlsx]ReferenceData!R162C27</stp>
        <stp>PX391=20131001</stp>
        <stp>PX392=20131231</stp>
        <stp>DS004=USD</stp>
        <stp>Fill=B</stp>
        <tr r="AA162" s="3"/>
      </tp>
      <tp t="s">
        <v>#N/A Connection</v>
        <stp/>
        <stp>##V3_BDPV12</stp>
        <stp>TWVSDOM Index</stp>
        <stp>PX385</stp>
        <stp>[BI_AUTMG_1_l22cd4li.xlsx]ReferenceData!R173C59</stp>
        <stp>PX391=20051001</stp>
        <stp>PX392=20051231</stp>
        <stp>DS004=USD</stp>
        <stp>Fill=B</stp>
        <tr r="BG173" s="3"/>
      </tp>
      <tp t="s">
        <v>#N/A Connection</v>
        <stp/>
        <stp>##V3_BDPV12</stp>
        <stp>TWVSDOM Index</stp>
        <stp>PX385</stp>
        <stp>[BI_AUTMG_1_l22cd4li.xlsx]ReferenceData!R173C26</stp>
        <stp>PX391=20140101</stp>
        <stp>PX392=20140331</stp>
        <stp>DS004=USD</stp>
        <stp>Fill=B</stp>
        <tr r="Z173" s="3"/>
      </tp>
      <tp t="s">
        <v>#N/A Connection</v>
        <stp/>
        <stp>##V3_BDPV12</stp>
        <stp>VNVSTOTL Index</stp>
        <stp>PX385</stp>
        <stp>[BI_AUTMG_1_l22cd4li.xlsx]ReferenceData!R214C17</stp>
        <stp>PX391=20160401</stp>
        <stp>PX392=20160630</stp>
        <stp>DS004=USD</stp>
        <stp>Fill=B</stp>
        <tr r="Q214" s="3"/>
      </tp>
      <tp t="s">
        <v>#N/A Connection</v>
        <stp/>
        <stp>##V3_BDPV12</stp>
        <stp>WCARDEI Index</stp>
        <stp>PX385</stp>
        <stp>[BI_AUTMG_1_l22cd4li.xlsx]ReferenceData!R182C26</stp>
        <stp>PX391=20140101</stp>
        <stp>PX392=20140331</stp>
        <stp>DS004=USD</stp>
        <stp>Fill=B</stp>
        <tr r="Z182" s="3"/>
      </tp>
      <tp t="s">
        <v>#N/A Connection</v>
        <stp/>
        <stp>##V3_BDPV12</stp>
        <stp>WCARBEI Index</stp>
        <stp>PX385</stp>
        <stp>[BI_AUTMG_1_l22cd4li.xlsx]ReferenceData!R177C29</stp>
        <stp>PX391=20130401</stp>
        <stp>PX392=20130630</stp>
        <stp>DS004=USD</stp>
        <stp>Fill=B</stp>
        <tr r="AC177" s="3"/>
      </tp>
      <tp t="s">
        <v>#N/A Connection</v>
        <stp/>
        <stp>##V3_BDPV12</stp>
        <stp>WCARDEI Index</stp>
        <stp>PX385</stp>
        <stp>[BI_AUTMG_1_l22cd4li.xlsx]ReferenceData!R182C59</stp>
        <stp>PX391=20051001</stp>
        <stp>PX392=20051231</stp>
        <stp>DS004=USD</stp>
        <stp>Fill=B</stp>
        <tr r="BG182" s="3"/>
      </tp>
      <tp t="s">
        <v>#N/A Connection</v>
        <stp/>
        <stp>##V3_BDPV12</stp>
        <stp>WCARCHI Index</stp>
        <stp>PX385</stp>
        <stp>[BI_AUTMG_1_l22cd4li.xlsx]ReferenceData!R193C27</stp>
        <stp>PX391=20131001</stp>
        <stp>PX392=20131231</stp>
        <stp>DS004=USD</stp>
        <stp>Fill=B</stp>
        <tr r="AA193" s="3"/>
      </tp>
      <tp t="s">
        <v>#N/A Connection</v>
        <stp/>
        <stp>##V3_BDPV12</stp>
        <stp>WCARIEI Index</stp>
        <stp>PX385</stp>
        <stp>[BI_AUTMG_1_l22cd4li.xlsx]ReferenceData!R185C44</stp>
        <stp>PX391=20090701</stp>
        <stp>PX392=20090930</stp>
        <stp>DS004=USD</stp>
        <stp>Fill=B</stp>
        <tr r="AR185" s="3"/>
      </tp>
      <tp t="s">
        <v>#N/A Connection</v>
        <stp/>
        <stp>##V3_BDPV12</stp>
        <stp>WCARGRI Index</stp>
        <stp>PX385</stp>
        <stp>[BI_AUTMG_1_l22cd4li.xlsx]ReferenceData!R183C58</stp>
        <stp>PX391=20060101</stp>
        <stp>PX392=20060331</stp>
        <stp>DS004=USD</stp>
        <stp>Fill=B</stp>
        <tr r="BF183" s="3"/>
      </tp>
      <tp t="s">
        <v>#N/A Connection</v>
        <stp/>
        <stp>##V3_BDPV12</stp>
        <stp>WCARGRI Index</stp>
        <stp>PX385</stp>
        <stp>[BI_AUTMG_1_l22cd4li.xlsx]ReferenceData!R183C11</stp>
        <stp>PX391=20171001</stp>
        <stp>PX392=20171231</stp>
        <stp>DS004=USD</stp>
        <stp>Fill=B</stp>
        <tr r="K183" s="3"/>
      </tp>
      <tp t="s">
        <v>#N/A Connection</v>
        <stp/>
        <stp>##V3_BDPV12</stp>
        <stp>WCARITI Index</stp>
        <stp>PX385</stp>
        <stp>[BI_AUTMG_1_l22cd4li.xlsx]ReferenceData!R186C45</stp>
        <stp>PX391=20090401</stp>
        <stp>PX392=20090630</stp>
        <stp>DS004=USD</stp>
        <stp>Fill=B</stp>
        <tr r="AS186" s="3"/>
      </tp>
      <tp t="s">
        <v>#N/A Connection</v>
        <stp/>
        <stp>##V3_BDPV12</stp>
        <stp>TWVSDOM Index</stp>
        <stp>PX385</stp>
        <stp>[BI_AUTMG_1_l22cd4li.xlsx]ReferenceData!R173C55</stp>
        <stp>PX391=20061001</stp>
        <stp>PX392=20061231</stp>
        <stp>DS004=USD</stp>
        <stp>Fill=B</stp>
        <tr r="BC173" s="3"/>
      </tp>
      <tp t="s">
        <v>#N/A Connection</v>
        <stp/>
        <stp>##V3_BDPV12</stp>
        <stp>CNVSTTL Index</stp>
        <stp>PX385</stp>
        <stp>[BI_AUTMG_1_l22cd4li.xlsx]ReferenceData!R162C39</stp>
        <stp>PX391=20101001</stp>
        <stp>PX392=20101231</stp>
        <stp>DS004=USD</stp>
        <stp>Fill=B</stp>
        <tr r="AM162" s="3"/>
      </tp>
      <tp t="s">
        <v>#N/A Connection</v>
        <stp/>
        <stp>##V3_BDPV12</stp>
        <stp>TWVSDOM Index</stp>
        <stp>PX385</stp>
        <stp>[BI_AUTMG_1_l22cd4li.xlsx]ReferenceData!R173C14</stp>
        <stp>PX391=20170101</stp>
        <stp>PX392=20170331</stp>
        <stp>DS004=USD</stp>
        <stp>Fill=B</stp>
        <tr r="N173" s="3"/>
      </tp>
      <tp t="s">
        <v>#N/A Connection</v>
        <stp/>
        <stp>##V3_BDPV12</stp>
        <stp>VNVSTOTL Index</stp>
        <stp>PX385</stp>
        <stp>[BI_AUTMG_1_l22cd4li.xlsx]ReferenceData!R214C21</stp>
        <stp>PX391=20150401</stp>
        <stp>PX392=20150630</stp>
        <stp>DS004=USD</stp>
        <stp>Fill=B</stp>
        <tr r="U214" s="3"/>
      </tp>
      <tp t="s">
        <v>#N/A Connection</v>
        <stp/>
        <stp>##V3_BDPV12</stp>
        <stp>WCARDEI Index</stp>
        <stp>PX385</stp>
        <stp>[BI_AUTMG_1_l22cd4li.xlsx]ReferenceData!R182C22</stp>
        <stp>PX391=20150101</stp>
        <stp>PX392=20150331</stp>
        <stp>DS004=USD</stp>
        <stp>Fill=B</stp>
        <tr r="V182" s="3"/>
      </tp>
      <tp t="s">
        <v>#N/A Connection</v>
        <stp/>
        <stp>##V3_BDPV12</stp>
        <stp>WCARBEI Index</stp>
        <stp>PX385</stp>
        <stp>[BI_AUTMG_1_l22cd4li.xlsx]ReferenceData!R177C33</stp>
        <stp>PX391=20120401</stp>
        <stp>PX392=20120630</stp>
        <stp>DS004=USD</stp>
        <stp>Fill=B</stp>
        <tr r="AG177" s="3"/>
      </tp>
      <tp t="s">
        <v>#N/A Connection</v>
        <stp/>
        <stp>##V3_BDPV12</stp>
        <stp>WCARDEI Index</stp>
        <stp>PX385</stp>
        <stp>[BI_AUTMG_1_l22cd4li.xlsx]ReferenceData!R182C63</stp>
        <stp>PX391=20041001</stp>
        <stp>PX392=20041231</stp>
        <stp>DS004=USD</stp>
        <stp>Fill=B</stp>
        <tr r="BK182" s="3"/>
      </tp>
      <tp t="s">
        <v>#N/A Connection</v>
        <stp/>
        <stp>##V3_BDPV12</stp>
        <stp>WCARCHI Index</stp>
        <stp>PX385</stp>
        <stp>[BI_AUTMG_1_l22cd4li.xlsx]ReferenceData!R193C31</stp>
        <stp>PX391=20121001</stp>
        <stp>PX392=20121231</stp>
        <stp>DS004=USD</stp>
        <stp>Fill=B</stp>
        <tr r="AE193" s="3"/>
      </tp>
      <tp t="s">
        <v>#N/A Connection</v>
        <stp/>
        <stp>##V3_BDPV12</stp>
        <stp>WCARIEI Index</stp>
        <stp>PX385</stp>
        <stp>[BI_AUTMG_1_l22cd4li.xlsx]ReferenceData!R185C48</stp>
        <stp>PX391=20080701</stp>
        <stp>PX392=20080930</stp>
        <stp>DS004=USD</stp>
        <stp>Fill=B</stp>
        <tr r="AV185" s="3"/>
      </tp>
      <tp t="s">
        <v>#N/A Connection</v>
        <stp/>
        <stp>##V3_BDPV12</stp>
        <stp>WCARGRI Index</stp>
        <stp>PX385</stp>
        <stp>[BI_AUTMG_1_l22cd4li.xlsx]ReferenceData!R183C54</stp>
        <stp>PX391=20070101</stp>
        <stp>PX392=20070331</stp>
        <stp>DS004=USD</stp>
        <stp>Fill=B</stp>
        <tr r="BB183" s="3"/>
      </tp>
      <tp t="s">
        <v>#N/A Connection</v>
        <stp/>
        <stp>##V3_BDPV12</stp>
        <stp>WCARGRI Index</stp>
        <stp>PX385</stp>
        <stp>[BI_AUTMG_1_l22cd4li.xlsx]ReferenceData!R183C15</stp>
        <stp>PX391=20161001</stp>
        <stp>PX392=20161231</stp>
        <stp>DS004=USD</stp>
        <stp>Fill=B</stp>
        <tr r="O183" s="3"/>
      </tp>
      <tp t="s">
        <v>#N/A Connection</v>
        <stp/>
        <stp>##V3_BDPV12</stp>
        <stp>WCARITI Index</stp>
        <stp>PX385</stp>
        <stp>[BI_AUTMG_1_l22cd4li.xlsx]ReferenceData!R186C49</stp>
        <stp>PX391=20080401</stp>
        <stp>PX392=20080630</stp>
        <stp>DS004=USD</stp>
        <stp>Fill=B</stp>
        <tr r="AW186" s="3"/>
      </tp>
      <tp t="s">
        <v>#N/A Connection</v>
        <stp/>
        <stp>##V3_BDPV12</stp>
        <stp>TWVSDOM Index</stp>
        <stp>PX385</stp>
        <stp>[BI_AUTMG_1_l22cd4li.xlsx]ReferenceData!R173C51</stp>
        <stp>PX391=20071001</stp>
        <stp>PX392=20071231</stp>
        <stp>DS004=USD</stp>
        <stp>Fill=B</stp>
        <tr r="AY173" s="3"/>
      </tp>
      <tp t="s">
        <v>#N/A Connection</v>
        <stp/>
        <stp>##V3_BDPV12</stp>
        <stp>CNVSTTL Index</stp>
        <stp>PX385</stp>
        <stp>[BI_AUTMG_1_l22cd4li.xlsx]ReferenceData!R162C35</stp>
        <stp>PX391=20111001</stp>
        <stp>PX392=20111231</stp>
        <stp>DS004=USD</stp>
        <stp>Fill=B</stp>
        <tr r="AI162" s="3"/>
      </tp>
      <tp t="s">
        <v>#N/A Connection</v>
        <stp/>
        <stp>##V3_BDPV12</stp>
        <stp>TWVSDOM Index</stp>
        <stp>PX385</stp>
        <stp>[BI_AUTMG_1_l22cd4li.xlsx]ReferenceData!R173C18</stp>
        <stp>PX391=20160101</stp>
        <stp>PX392=20160331</stp>
        <stp>DS004=USD</stp>
        <stp>Fill=B</stp>
        <tr r="R173" s="3"/>
      </tp>
      <tp t="s">
        <v>#N/A Connection</v>
        <stp/>
        <stp>##V3_BDPV12</stp>
        <stp>VNVSTOTL Index</stp>
        <stp>PX385</stp>
        <stp>[BI_AUTMG_1_l22cd4li.xlsx]ReferenceData!R214C25</stp>
        <stp>PX391=20140401</stp>
        <stp>PX392=20140630</stp>
        <stp>DS004=USD</stp>
        <stp>Fill=B</stp>
        <tr r="Y214" s="3"/>
      </tp>
      <tp t="s">
        <v>#N/A Connection</v>
        <stp/>
        <stp>##V3_BDPV12</stp>
        <stp>WCARBEI Index</stp>
        <stp>PX385</stp>
        <stp>[BI_AUTMG_1_l22cd4li.xlsx]ReferenceData!R177C21</stp>
        <stp>PX391=20150401</stp>
        <stp>PX392=20150630</stp>
        <stp>DS004=USD</stp>
        <stp>Fill=B</stp>
        <tr r="U177" s="3"/>
      </tp>
      <tp t="s">
        <v>#N/A Connection</v>
        <stp/>
        <stp>##V3_BDPV12</stp>
        <stp>KNNVREG Index</stp>
        <stp>PX385</stp>
        <stp>[BI_AUTMG_1_l22cd4li.xlsx]ReferenceData!R216C10</stp>
        <stp>PX391=20180101</stp>
        <stp>PX392=20180331</stp>
        <stp>DS004=USD</stp>
        <stp>Fill=B</stp>
        <tr r="J216" s="3"/>
      </tp>
      <tp t="s">
        <v>#N/A Connection</v>
        <stp/>
        <stp>##V3_BDPV12</stp>
        <stp>WCARDEI Index</stp>
        <stp>PX385</stp>
        <stp>[BI_AUTMG_1_l22cd4li.xlsx]ReferenceData!R182C34</stp>
        <stp>PX391=20120101</stp>
        <stp>PX392=20120331</stp>
        <stp>DS004=USD</stp>
        <stp>Fill=B</stp>
        <tr r="AH182" s="3"/>
      </tp>
      <tp t="s">
        <v>#N/A Connection</v>
        <stp/>
        <stp>##V3_BDPV12</stp>
        <stp>KNNVREG Index</stp>
        <stp>PX385</stp>
        <stp>[BI_AUTMG_1_l22cd4li.xlsx]ReferenceData!R216C43</stp>
        <stp>PX391=20091001</stp>
        <stp>PX392=20091231</stp>
        <stp>DS004=USD</stp>
        <stp>Fill=B</stp>
        <tr r="AQ216" s="3"/>
      </tp>
      <tp t="s">
        <v>#N/A Connection</v>
        <stp/>
        <stp>##V3_BDPV12</stp>
        <stp>WCARCHI Index</stp>
        <stp>PX385</stp>
        <stp>[BI_AUTMG_1_l22cd4li.xlsx]ReferenceData!R193C19</stp>
        <stp>PX391=20151001</stp>
        <stp>PX392=20151231</stp>
        <stp>DS004=USD</stp>
        <stp>Fill=B</stp>
        <tr r="S193" s="3"/>
      </tp>
      <tp t="s">
        <v>#N/A Connection</v>
        <stp/>
        <stp>##V3_BDPV12</stp>
        <stp>WCARGRI Index</stp>
        <stp>PX385</stp>
        <stp>[BI_AUTMG_1_l22cd4li.xlsx]ReferenceData!R183C35</stp>
        <stp>PX391=20111001</stp>
        <stp>PX392=20111231</stp>
        <stp>DS004=USD</stp>
        <stp>Fill=B</stp>
        <tr r="AI183" s="3"/>
      </tp>
      <tp t="s">
        <v>#N/A Connection</v>
        <stp/>
        <stp>##V3_BDPV12</stp>
        <stp>WCARATI Index</stp>
        <stp>PX385</stp>
        <stp>[BI_AUTMG_1_l22cd4li.xlsx]ReferenceData!R176C53</stp>
        <stp>PX391=20070401</stp>
        <stp>PX392=20070630</stp>
        <stp>DS004=USD</stp>
        <stp>Fill=B</stp>
        <tr r="BA176" s="3"/>
      </tp>
      <tp t="s">
        <v>#N/A Connection</v>
        <stp/>
        <stp>##V3_BDPV12</stp>
        <stp>TWVSDOM Index</stp>
        <stp>PX385</stp>
        <stp>[BI_AUTMG_1_l22cd4li.xlsx]ReferenceData!R173C38</stp>
        <stp>PX391=20110101</stp>
        <stp>PX392=20110331</stp>
        <stp>DS004=USD</stp>
        <stp>Fill=B</stp>
        <tr r="AL173" s="3"/>
      </tp>
      <tp t="s">
        <v>#N/A Connection</v>
        <stp/>
        <stp>##V3_BDPV12</stp>
        <stp>CNVSTTL Index</stp>
        <stp>PX385</stp>
        <stp>[BI_AUTMG_1_l22cd4li.xlsx]ReferenceData!R162C54</stp>
        <stp>PX391=20070101</stp>
        <stp>PX392=20070331</stp>
        <stp>DS004=USD</stp>
        <stp>Fill=B</stp>
        <tr r="BB162" s="3"/>
      </tp>
      <tp t="s">
        <v>#N/A Connection</v>
        <stp/>
        <stp>##V3_BDPV12</stp>
        <stp>CNVSTTL Index</stp>
        <stp>PX385</stp>
        <stp>[BI_AUTMG_1_l22cd4li.xlsx]ReferenceData!R162C15</stp>
        <stp>PX391=20161001</stp>
        <stp>PX392=20161231</stp>
        <stp>DS004=USD</stp>
        <stp>Fill=B</stp>
        <tr r="O162" s="3"/>
      </tp>
      <tp t="s">
        <v>#N/A Connection</v>
        <stp/>
        <stp>##V3_BDPV12</stp>
        <stp>THVHSCAR Index</stp>
        <stp>PX385</stp>
        <stp>[BI_AUTMG_1_l22cd4li.xlsx]ReferenceData!R174C10</stp>
        <stp>PX391=20180101</stp>
        <stp>PX392=20180331</stp>
        <stp>DS004=USD</stp>
        <stp>Fill=B</stp>
        <tr r="J174" s="3"/>
      </tp>
      <tp t="s">
        <v>#N/A Connection</v>
        <stp/>
        <stp>##V3_BDPV12</stp>
        <stp>THVHSCAR Index</stp>
        <stp>PX385</stp>
        <stp>[BI_AUTMG_1_l22cd4li.xlsx]ReferenceData!R174C43</stp>
        <stp>PX391=20091001</stp>
        <stp>PX392=20091231</stp>
        <stp>DS004=USD</stp>
        <stp>Fill=B</stp>
        <tr r="AQ174" s="3"/>
      </tp>
      <tp t="s">
        <v>#N/A Connection</v>
        <stp/>
        <stp>##V3_BDPV12</stp>
        <stp>PHCSTOTL Index</stp>
        <stp>PX385</stp>
        <stp>[BI_AUTMG_1_l22cd4li.xlsx]ReferenceData!R170C64</stp>
        <stp>PX391=20040701</stp>
        <stp>PX392=20040930</stp>
        <stp>DS004=USD</stp>
        <stp>Fill=B</stp>
        <tr r="BL170" s="3"/>
      </tp>
      <tp t="s">
        <v>#N/A Connection</v>
        <stp/>
        <stp>##V3_BDPV12</stp>
        <stp>VNVSTOTL Index</stp>
        <stp>PX385</stp>
        <stp>[BI_AUTMG_1_l22cd4li.xlsx]ReferenceData!R214C29</stp>
        <stp>PX391=20130401</stp>
        <stp>PX392=20130630</stp>
        <stp>DS004=USD</stp>
        <stp>Fill=B</stp>
        <tr r="AC214" s="3"/>
      </tp>
      <tp t="s">
        <v>#N/A Connection</v>
        <stp/>
        <stp>##V3_BDPV12</stp>
        <stp>WCARBEI Index</stp>
        <stp>PX385</stp>
        <stp>[BI_AUTMG_1_l22cd4li.xlsx]ReferenceData!R177C25</stp>
        <stp>PX391=20140401</stp>
        <stp>PX392=20140630</stp>
        <stp>DS004=USD</stp>
        <stp>Fill=B</stp>
        <tr r="Y177" s="3"/>
      </tp>
      <tp t="s">
        <v>#N/A Connection</v>
        <stp/>
        <stp>##V3_BDPV12</stp>
        <stp>WCARDEI Index</stp>
        <stp>PX385</stp>
        <stp>[BI_AUTMG_1_l22cd4li.xlsx]ReferenceData!R182C30</stp>
        <stp>PX391=20130101</stp>
        <stp>PX392=20130331</stp>
        <stp>DS004=USD</stp>
        <stp>Fill=B</stp>
        <tr r="AD182" s="3"/>
      </tp>
      <tp t="s">
        <v>#N/A Connection</v>
        <stp/>
        <stp>##V3_BDPV12</stp>
        <stp>KNNVREG Index</stp>
        <stp>PX385</stp>
        <stp>[BI_AUTMG_1_l22cd4li.xlsx]ReferenceData!R216C47</stp>
        <stp>PX391=20081001</stp>
        <stp>PX392=20081231</stp>
        <stp>DS004=USD</stp>
        <stp>Fill=B</stp>
        <tr r="AU216" s="3"/>
      </tp>
      <tp t="s">
        <v>#N/A Connection</v>
        <stp/>
        <stp>##V3_BDPV12</stp>
        <stp>WCARCHI Index</stp>
        <stp>PX385</stp>
        <stp>[BI_AUTMG_1_l22cd4li.xlsx]ReferenceData!R193C62</stp>
        <stp>PX391=20050101</stp>
        <stp>PX392=20050331</stp>
        <stp>DS004=USD</stp>
        <stp>Fill=B</stp>
        <tr r="BJ193" s="3"/>
      </tp>
      <tp t="s">
        <v>#N/A Connection</v>
        <stp/>
        <stp>##V3_BDPV12</stp>
        <stp>WCARCHI Index</stp>
        <stp>PX385</stp>
        <stp>[BI_AUTMG_1_l22cd4li.xlsx]ReferenceData!R193C23</stp>
        <stp>PX391=20141001</stp>
        <stp>PX392=20141231</stp>
        <stp>DS004=USD</stp>
        <stp>Fill=B</stp>
        <tr r="W193" s="3"/>
      </tp>
      <tp t="s">
        <v>#N/A Connection</v>
        <stp/>
        <stp>##V3_BDPV12</stp>
        <stp>WCARGRI Index</stp>
        <stp>PX385</stp>
        <stp>[BI_AUTMG_1_l22cd4li.xlsx]ReferenceData!R183C39</stp>
        <stp>PX391=20101001</stp>
        <stp>PX392=20101231</stp>
        <stp>DS004=USD</stp>
        <stp>Fill=B</stp>
        <tr r="AM183" s="3"/>
      </tp>
      <tp t="s">
        <v>#N/A Connection</v>
        <stp/>
        <stp>##V3_BDPV12</stp>
        <stp>WCARATI Index</stp>
        <stp>PX385</stp>
        <stp>[BI_AUTMG_1_l22cd4li.xlsx]ReferenceData!R176C57</stp>
        <stp>PX391=20060401</stp>
        <stp>PX392=20060630</stp>
        <stp>DS004=USD</stp>
        <stp>Fill=B</stp>
        <tr r="BE176" s="3"/>
      </tp>
      <tp t="s">
        <v>#N/A Connection</v>
        <stp/>
        <stp>##V3_BDPV12</stp>
        <stp>CNVSTTL Index</stp>
        <stp>PX385</stp>
        <stp>[BI_AUTMG_1_l22cd4li.xlsx]ReferenceData!R162C58</stp>
        <stp>PX391=20060101</stp>
        <stp>PX392=20060331</stp>
        <stp>DS004=USD</stp>
        <stp>Fill=B</stp>
        <tr r="BF162" s="3"/>
      </tp>
      <tp t="s">
        <v>#N/A Connection</v>
        <stp/>
        <stp>##V3_BDPV12</stp>
        <stp>CNVSTTL Index</stp>
        <stp>PX385</stp>
        <stp>[BI_AUTMG_1_l22cd4li.xlsx]ReferenceData!R162C11</stp>
        <stp>PX391=20171001</stp>
        <stp>PX392=20171231</stp>
        <stp>DS004=USD</stp>
        <stp>Fill=B</stp>
        <tr r="K162" s="3"/>
      </tp>
      <tp t="s">
        <v>#N/A Connection</v>
        <stp/>
        <stp>##V3_BDPV12</stp>
        <stp>TWVSDOM Index</stp>
        <stp>PX385</stp>
        <stp>[BI_AUTMG_1_l22cd4li.xlsx]ReferenceData!R173C42</stp>
        <stp>PX391=20100101</stp>
        <stp>PX392=20100331</stp>
        <stp>DS004=USD</stp>
        <stp>Fill=B</stp>
        <tr r="AP173" s="3"/>
      </tp>
      <tp t="s">
        <v>#N/A Connection</v>
        <stp/>
        <stp>##V3_BDPV12</stp>
        <stp>THVHSCAR Index</stp>
        <stp>PX385</stp>
        <stp>[BI_AUTMG_1_l22cd4li.xlsx]ReferenceData!R174C47</stp>
        <stp>PX391=20081001</stp>
        <stp>PX392=20081231</stp>
        <stp>DS004=USD</stp>
        <stp>Fill=B</stp>
        <tr r="AU174" s="3"/>
      </tp>
      <tp t="s">
        <v>#N/A Connection</v>
        <stp/>
        <stp>##V3_BDPV12</stp>
        <stp>PHCSTOTL Index</stp>
        <stp>PX385</stp>
        <stp>[BI_AUTMG_1_l22cd4li.xlsx]ReferenceData!R170C60</stp>
        <stp>PX391=20050701</stp>
        <stp>PX392=20050930</stp>
        <stp>DS004=USD</stp>
        <stp>Fill=B</stp>
        <tr r="BH170" s="3"/>
      </tp>
      <tp t="s">
        <v>#N/A Connection</v>
        <stp/>
        <stp>##V3_BDPV12</stp>
        <stp>VNVSTOTL Index</stp>
        <stp>PX385</stp>
        <stp>[BI_AUTMG_1_l22cd4li.xlsx]ReferenceData!R214C33</stp>
        <stp>PX391=20120401</stp>
        <stp>PX392=20120630</stp>
        <stp>DS004=USD</stp>
        <stp>Fill=B</stp>
        <tr r="AG214" s="3"/>
      </tp>
      <tp t="s">
        <v>#N/A Connection</v>
        <stp/>
        <stp>##V3_BDPV12</stp>
        <stp>WCARDEI Index</stp>
        <stp>PX385</stp>
        <stp>[BI_AUTMG_1_l22cd4li.xlsx]ReferenceData!R182C42</stp>
        <stp>PX391=20100101</stp>
        <stp>PX392=20100331</stp>
        <stp>DS004=USD</stp>
        <stp>Fill=B</stp>
        <tr r="AP182" s="3"/>
      </tp>
      <tp t="s">
        <v>#N/A Connection</v>
        <stp/>
        <stp>##V3_BDPV12</stp>
        <stp>WCARBEI Index</stp>
        <stp>PX385</stp>
        <stp>[BI_AUTMG_1_l22cd4li.xlsx]ReferenceData!R177C13</stp>
        <stp>PX391=20170401</stp>
        <stp>PX392=20170630</stp>
        <stp>DS004=USD</stp>
        <stp>Fill=B</stp>
        <tr r="M177" s="3"/>
      </tp>
      <tp t="s">
        <v>#N/A Connection</v>
        <stp/>
        <stp>##V3_BDPV12</stp>
        <stp>WCARCHI Index</stp>
        <stp>PX385</stp>
        <stp>[BI_AUTMG_1_l22cd4li.xlsx]ReferenceData!R193C58</stp>
        <stp>PX391=20060101</stp>
        <stp>PX392=20060331</stp>
        <stp>DS004=USD</stp>
        <stp>Fill=B</stp>
        <tr r="BF193" s="3"/>
      </tp>
      <tp t="s">
        <v>#N/A Connection</v>
        <stp/>
        <stp>##V3_BDPV12</stp>
        <stp>WCARCHI Index</stp>
        <stp>PX385</stp>
        <stp>[BI_AUTMG_1_l22cd4li.xlsx]ReferenceData!R193C11</stp>
        <stp>PX391=20171001</stp>
        <stp>PX392=20171231</stp>
        <stp>DS004=USD</stp>
        <stp>Fill=B</stp>
        <tr r="K193" s="3"/>
      </tp>
      <tp t="s">
        <v>#N/A Connection</v>
        <stp/>
        <stp>##V3_BDPV12</stp>
        <stp>WCARGRI Index</stp>
        <stp>PX385</stp>
        <stp>[BI_AUTMG_1_l22cd4li.xlsx]ReferenceData!R183C27</stp>
        <stp>PX391=20131001</stp>
        <stp>PX392=20131231</stp>
        <stp>DS004=USD</stp>
        <stp>Fill=B</stp>
        <tr r="AA183" s="3"/>
      </tp>
      <tp t="s">
        <v>#N/A Connection</v>
        <stp/>
        <stp>##V3_BDPV12</stp>
        <stp>WCARATI Index</stp>
        <stp>PX385</stp>
        <stp>[BI_AUTMG_1_l22cd4li.xlsx]ReferenceData!R176C61</stp>
        <stp>PX391=20050401</stp>
        <stp>PX392=20050630</stp>
        <stp>DS004=USD</stp>
        <stp>Fill=B</stp>
        <tr r="BI176" s="3"/>
      </tp>
      <tp t="s">
        <v>#N/A Connection</v>
        <stp/>
        <stp>##V3_BDPV12</stp>
        <stp>CNVSTTL Index</stp>
        <stp>PX385</stp>
        <stp>[BI_AUTMG_1_l22cd4li.xlsx]ReferenceData!R162C62</stp>
        <stp>PX391=20050101</stp>
        <stp>PX392=20050331</stp>
        <stp>DS004=USD</stp>
        <stp>Fill=B</stp>
        <tr r="BJ162" s="3"/>
      </tp>
      <tp t="s">
        <v>#N/A Connection</v>
        <stp/>
        <stp>##V3_BDPV12</stp>
        <stp>TWVSDOM Index</stp>
        <stp>PX385</stp>
        <stp>[BI_AUTMG_1_l22cd4li.xlsx]ReferenceData!R173C30</stp>
        <stp>PX391=20130101</stp>
        <stp>PX392=20130331</stp>
        <stp>DS004=USD</stp>
        <stp>Fill=B</stp>
        <tr r="AD173" s="3"/>
      </tp>
      <tp t="s">
        <v>#N/A Connection</v>
        <stp/>
        <stp>##V3_BDPV12</stp>
        <stp>CNVSTTL Index</stp>
        <stp>PX385</stp>
        <stp>[BI_AUTMG_1_l22cd4li.xlsx]ReferenceData!R162C23</stp>
        <stp>PX391=20141001</stp>
        <stp>PX392=20141231</stp>
        <stp>DS004=USD</stp>
        <stp>Fill=B</stp>
        <tr r="W162" s="3"/>
      </tp>
      <tp t="s">
        <v>#N/A Connection</v>
        <stp/>
        <stp>##V3_BDPV12</stp>
        <stp>PHCSTOTL Index</stp>
        <stp>PX385</stp>
        <stp>[BI_AUTMG_1_l22cd4li.xlsx]ReferenceData!R170C56</stp>
        <stp>PX391=20060701</stp>
        <stp>PX392=20060930</stp>
        <stp>DS004=USD</stp>
        <stp>Fill=B</stp>
        <tr r="BD170" s="3"/>
      </tp>
      <tp t="s">
        <v>#N/A Connection</v>
        <stp/>
        <stp>##V3_BDPV12</stp>
        <stp>VNVSTOTL Index</stp>
        <stp>PX385</stp>
        <stp>[BI_AUTMG_1_l22cd4li.xlsx]ReferenceData!R214C37</stp>
        <stp>PX391=20110401</stp>
        <stp>PX392=20110630</stp>
        <stp>DS004=USD</stp>
        <stp>Fill=B</stp>
        <tr r="AK214" s="3"/>
      </tp>
      <tp t="s">
        <v>#N/A Connection</v>
        <stp/>
        <stp>##V3_BDPV12</stp>
        <stp>WCARBEI Index</stp>
        <stp>PX385</stp>
        <stp>[BI_AUTMG_1_l22cd4li.xlsx]ReferenceData!R177C17</stp>
        <stp>PX391=20160401</stp>
        <stp>PX392=20160630</stp>
        <stp>DS004=USD</stp>
        <stp>Fill=B</stp>
        <tr r="Q177" s="3"/>
      </tp>
      <tp t="s">
        <v>#N/A Connection</v>
        <stp/>
        <stp>##V3_BDPV12</stp>
        <stp>WCARDEI Index</stp>
        <stp>PX385</stp>
        <stp>[BI_AUTMG_1_l22cd4li.xlsx]ReferenceData!R182C38</stp>
        <stp>PX391=20110101</stp>
        <stp>PX392=20110331</stp>
        <stp>DS004=USD</stp>
        <stp>Fill=B</stp>
        <tr r="AL182" s="3"/>
      </tp>
      <tp t="s">
        <v>#N/A Connection</v>
        <stp/>
        <stp>##V3_BDPV12</stp>
        <stp>WCARCHI Index</stp>
        <stp>PX385</stp>
        <stp>[BI_AUTMG_1_l22cd4li.xlsx]ReferenceData!R193C54</stp>
        <stp>PX391=20070101</stp>
        <stp>PX392=20070331</stp>
        <stp>DS004=USD</stp>
        <stp>Fill=B</stp>
        <tr r="BB193" s="3"/>
      </tp>
      <tp t="s">
        <v>#N/A Connection</v>
        <stp/>
        <stp>##V3_BDPV12</stp>
        <stp>WCARCHI Index</stp>
        <stp>PX385</stp>
        <stp>[BI_AUTMG_1_l22cd4li.xlsx]ReferenceData!R193C15</stp>
        <stp>PX391=20161001</stp>
        <stp>PX392=20161231</stp>
        <stp>DS004=USD</stp>
        <stp>Fill=B</stp>
        <tr r="O193" s="3"/>
      </tp>
      <tp t="s">
        <v>#N/A Connection</v>
        <stp/>
        <stp>##V3_BDPV12</stp>
        <stp>WCARGRI Index</stp>
        <stp>PX385</stp>
        <stp>[BI_AUTMG_1_l22cd4li.xlsx]ReferenceData!R183C31</stp>
        <stp>PX391=20121001</stp>
        <stp>PX392=20121231</stp>
        <stp>DS004=USD</stp>
        <stp>Fill=B</stp>
        <tr r="AE183" s="3"/>
      </tp>
      <tp t="s">
        <v>#N/A Connection</v>
        <stp/>
        <stp>##V3_BDPV12</stp>
        <stp>WCARATI Index</stp>
        <stp>PX385</stp>
        <stp>[BI_AUTMG_1_l22cd4li.xlsx]ReferenceData!R176C65</stp>
        <stp>PX391=20040401</stp>
        <stp>PX392=20040630</stp>
        <stp>DS004=USD</stp>
        <stp>Fill=B</stp>
        <tr r="BM176" s="3"/>
      </tp>
      <tp t="s">
        <v>#N/A Connection</v>
        <stp/>
        <stp>##V3_BDPV12</stp>
        <stp>TWVSDOM Index</stp>
        <stp>PX385</stp>
        <stp>[BI_AUTMG_1_l22cd4li.xlsx]ReferenceData!R173C34</stp>
        <stp>PX391=20120101</stp>
        <stp>PX392=20120331</stp>
        <stp>DS004=USD</stp>
        <stp>Fill=B</stp>
        <tr r="AH173" s="3"/>
      </tp>
      <tp t="s">
        <v>#N/A Connection</v>
        <stp/>
        <stp>##V3_BDPV12</stp>
        <stp>CNVSTTL Index</stp>
        <stp>PX385</stp>
        <stp>[BI_AUTMG_1_l22cd4li.xlsx]ReferenceData!R162C19</stp>
        <stp>PX391=20151001</stp>
        <stp>PX392=20151231</stp>
        <stp>DS004=USD</stp>
        <stp>Fill=B</stp>
        <tr r="S162" s="3"/>
      </tp>
      <tp t="s">
        <v>#N/A Connection</v>
        <stp/>
        <stp>##V3_BDPV12</stp>
        <stp>PHCSTOTL Index</stp>
        <stp>PX385</stp>
        <stp>[BI_AUTMG_1_l22cd4li.xlsx]ReferenceData!R170C52</stp>
        <stp>PX391=20070701</stp>
        <stp>PX392=20070930</stp>
        <stp>DS004=USD</stp>
        <stp>Fill=B</stp>
        <tr r="AZ170" s="3"/>
      </tp>
      <tp t="s">
        <v>#N/A Connection</v>
        <stp/>
        <stp>##V3_BDPV12</stp>
        <stp>VNVSTOTL Index</stp>
        <stp>PX385</stp>
        <stp>[BI_AUTMG_1_l22cd4li.xlsx]ReferenceData!R214C41</stp>
        <stp>PX391=20100401</stp>
        <stp>PX392=20100630</stp>
        <stp>DS004=USD</stp>
        <stp>Fill=B</stp>
        <tr r="AO214" s="3"/>
      </tp>
      <tp t="s">
        <v>#N/A Connection</v>
        <stp/>
        <stp>##V3_BDPV12</stp>
        <stp>SINVHR Index</stp>
        <stp>PX385</stp>
        <stp>[BI_AUTMG_1_l22cd4li.xlsx]ReferenceData!R172C47</stp>
        <stp>PX391=20081001</stp>
        <stp>PX392=20081231</stp>
        <stp>DS004=USD</stp>
        <stp>Fill=B</stp>
        <tr r="AU172" s="3"/>
      </tp>
      <tp t="s">
        <v>#N/A Connection</v>
        <stp/>
        <stp>##V3_BDPV12</stp>
        <stp>WCARSEI Index</stp>
        <stp>PX385</stp>
        <stp>[BI_AUTMG_1_l22cd4li.xlsx]ReferenceData!R192C50</stp>
        <stp>PX391=20080101</stp>
        <stp>PX392=20080331</stp>
        <stp>DS004=USD</stp>
        <stp>Fill=B</stp>
        <tr r="AX192" s="3"/>
      </tp>
      <tp t="s">
        <v>#N/A Connection</v>
        <stp/>
        <stp>##V3_BDPV12</stp>
        <stp>RUAUTOTL Index</stp>
        <stp>PX385</stp>
        <stp>[BI_AUTMG_1_l22cd4li.xlsx]ReferenceData!R204C63</stp>
        <stp>PX391=20041001</stp>
        <stp>PX392=20041231</stp>
        <stp>DS004=USD</stp>
        <stp>Fill=B</stp>
        <tr r="BK204" s="3"/>
      </tp>
      <tp t="s">
        <v>#N/A Connection</v>
        <stp/>
        <stp>##V3_BDPV12</stp>
        <stp>RUAUTOTL Index</stp>
        <stp>PX385</stp>
        <stp>[BI_AUTMG_1_l22cd4li.xlsx]ReferenceData!R204C22</stp>
        <stp>PX391=20150101</stp>
        <stp>PX392=20150331</stp>
        <stp>DS004=USD</stp>
        <stp>Fill=B</stp>
        <tr r="V204" s="3"/>
      </tp>
      <tp t="s">
        <v>#N/A Connection</v>
        <stp/>
        <stp>##V3_BDPV12</stp>
        <stp>SINVHR Index</stp>
        <stp>PX385</stp>
        <stp>[BI_AUTMG_1_l22cd4li.xlsx]ReferenceData!R172C10</stp>
        <stp>PX391=20180101</stp>
        <stp>PX392=20180331</stp>
        <stp>DS004=USD</stp>
        <stp>Fill=B</stp>
        <tr r="J172" s="3"/>
      </tp>
      <tp t="s">
        <v>#N/A Connection</v>
        <stp/>
        <stp>##V3_BDPV12</stp>
        <stp>SINVHR Index</stp>
        <stp>PX385</stp>
        <stp>[BI_AUTMG_1_l22cd4li.xlsx]ReferenceData!R172C43</stp>
        <stp>PX391=20091001</stp>
        <stp>PX392=20091231</stp>
        <stp>DS004=USD</stp>
        <stp>Fill=B</stp>
        <tr r="AQ172" s="3"/>
      </tp>
      <tp t="s">
        <v>#N/A Connection</v>
        <stp/>
        <stp>##V3_BDPV12</stp>
        <stp>WCARSEI Index</stp>
        <stp>PX385</stp>
        <stp>[BI_AUTMG_1_l22cd4li.xlsx]ReferenceData!R192C46</stp>
        <stp>PX391=20090101</stp>
        <stp>PX392=20090331</stp>
        <stp>DS004=USD</stp>
        <stp>Fill=B</stp>
        <tr r="AT192" s="3"/>
      </tp>
      <tp t="s">
        <v>#N/A Connection</v>
        <stp/>
        <stp>##V3_BDPV12</stp>
        <stp>RUAUTOTL Index</stp>
        <stp>PX385</stp>
        <stp>[BI_AUTMG_1_l22cd4li.xlsx]ReferenceData!R204C59</stp>
        <stp>PX391=20051001</stp>
        <stp>PX392=20051231</stp>
        <stp>DS004=USD</stp>
        <stp>Fill=B</stp>
        <tr r="BG204" s="3"/>
      </tp>
      <tp t="s">
        <v>#N/A Connection</v>
        <stp/>
        <stp>##V3_BDPV12</stp>
        <stp>RUAUTOTL Index</stp>
        <stp>PX385</stp>
        <stp>[BI_AUTMG_1_l22cd4li.xlsx]ReferenceData!R204C26</stp>
        <stp>PX391=20140101</stp>
        <stp>PX392=20140331</stp>
        <stp>DS004=USD</stp>
        <stp>Fill=B</stp>
        <tr r="Z204" s="3"/>
      </tp>
      <tp t="s">
        <v>#N/A Connection</v>
        <stp/>
        <stp>##V3_BDPV12</stp>
        <stp>RUAUTOTL Index</stp>
        <stp>PX385</stp>
        <stp>[BI_AUTMG_1_l22cd4li.xlsx]ReferenceData!R204C55</stp>
        <stp>PX391=20061001</stp>
        <stp>PX392=20061231</stp>
        <stp>DS004=USD</stp>
        <stp>Fill=B</stp>
        <tr r="BC204" s="3"/>
      </tp>
      <tp t="s">
        <v>#N/A Connection</v>
        <stp/>
        <stp>##V3_BDPV12</stp>
        <stp>RUAUTOTL Index</stp>
        <stp>PX385</stp>
        <stp>[BI_AUTMG_1_l22cd4li.xlsx]ReferenceData!R204C14</stp>
        <stp>PX391=20170101</stp>
        <stp>PX392=20170331</stp>
        <stp>DS004=USD</stp>
        <stp>Fill=B</stp>
        <tr r="N204" s="3"/>
      </tp>
      <tp t="s">
        <v>#N/A Connection</v>
        <stp/>
        <stp>##V3_BDPV12</stp>
        <stp>RUAUTOTL Index</stp>
        <stp>PX385</stp>
        <stp>[BI_AUTMG_1_l22cd4li.xlsx]ReferenceData!R204C51</stp>
        <stp>PX391=20071001</stp>
        <stp>PX392=20071231</stp>
        <stp>DS004=USD</stp>
        <stp>Fill=B</stp>
        <tr r="AY204" s="3"/>
      </tp>
      <tp t="s">
        <v>#N/A Connection</v>
        <stp/>
        <stp>##V3_BDPV12</stp>
        <stp>RUAUTOTL Index</stp>
        <stp>PX385</stp>
        <stp>[BI_AUTMG_1_l22cd4li.xlsx]ReferenceData!R204C18</stp>
        <stp>PX391=20160101</stp>
        <stp>PX392=20160331</stp>
        <stp>DS004=USD</stp>
        <stp>Fill=B</stp>
        <tr r="R204" s="3"/>
      </tp>
      <tp t="s">
        <v>#N/A Connection</v>
        <stp/>
        <stp>##V3_BDPV12</stp>
        <stp>WCARHU Index</stp>
        <stp>PX385</stp>
        <stp>[BI_AUTMG_1_l22cd4li.xlsx]ReferenceData!R199C45</stp>
        <stp>PX391=20090401</stp>
        <stp>PX392=20090630</stp>
        <stp>DS004=USD</stp>
        <stp>Fill=B</stp>
        <tr r="AS199" s="3"/>
      </tp>
      <tp t="s">
        <v>#N/A Connection</v>
        <stp/>
        <stp>##V3_BDPV12</stp>
        <stp>RUAUTOTL Index</stp>
        <stp>PX385</stp>
        <stp>[BI_AUTMG_1_l22cd4li.xlsx]ReferenceData!R204C38</stp>
        <stp>PX391=20110101</stp>
        <stp>PX392=20110331</stp>
        <stp>DS004=USD</stp>
        <stp>Fill=B</stp>
        <tr r="AL204" s="3"/>
      </tp>
      <tp t="s">
        <v>#N/A Connection</v>
        <stp/>
        <stp>##V3_BDPV12</stp>
        <stp>WCARHU Index</stp>
        <stp>PX385</stp>
        <stp>[BI_AUTMG_1_l22cd4li.xlsx]ReferenceData!R199C49</stp>
        <stp>PX391=20080401</stp>
        <stp>PX392=20080630</stp>
        <stp>DS004=USD</stp>
        <stp>Fill=B</stp>
        <tr r="AW199" s="3"/>
      </tp>
      <tp t="s">
        <v>#N/A Connection</v>
        <stp/>
        <stp>##V3_BDPV12</stp>
        <stp>RUAUTOTL Index</stp>
        <stp>PX385</stp>
        <stp>[BI_AUTMG_1_l22cd4li.xlsx]ReferenceData!R204C42</stp>
        <stp>PX391=20100101</stp>
        <stp>PX392=20100331</stp>
        <stp>DS004=USD</stp>
        <stp>Fill=B</stp>
        <tr r="AP204" s="3"/>
      </tp>
      <tp t="s">
        <v>#N/A Connection</v>
        <stp/>
        <stp>##V3_BDPV12</stp>
        <stp>RUAUTOTL Index</stp>
        <stp>PX385</stp>
        <stp>[BI_AUTMG_1_l22cd4li.xlsx]ReferenceData!R204C30</stp>
        <stp>PX391=20130101</stp>
        <stp>PX392=20130331</stp>
        <stp>DS004=USD</stp>
        <stp>Fill=B</stp>
        <tr r="AD204" s="3"/>
      </tp>
      <tp t="s">
        <v>#N/A Connection</v>
        <stp/>
        <stp>##V3_BDPV12</stp>
        <stp>RUAUTOTL Index</stp>
        <stp>PX385</stp>
        <stp>[BI_AUTMG_1_l22cd4li.xlsx]ReferenceData!R204C34</stp>
        <stp>PX391=20120101</stp>
        <stp>PX392=20120331</stp>
        <stp>DS004=USD</stp>
        <stp>Fill=B</stp>
        <tr r="AH204" s="3"/>
      </tp>
      <tp t="s">
        <v>#N/A Connection</v>
        <stp/>
        <stp>##V3_BDPV12</stp>
        <stp>WCAREE Index</stp>
        <stp>PX385</stp>
        <stp>[BI_AUTMG_1_l22cd4li.xlsx]ReferenceData!R198C25</stp>
        <stp>PX391=20140401</stp>
        <stp>PX392=20140630</stp>
        <stp>DS004=USD</stp>
        <stp>Fill=B</stp>
        <tr r="Y198" s="3"/>
      </tp>
      <tp t="s">
        <v>#N/A Connection</v>
        <stp/>
        <stp>##V3_BDPV12</stp>
        <stp>WCARSEI Index</stp>
        <stp>PX385</stp>
        <stp>[BI_AUTMG_1_l22cd4li.xlsx]ReferenceData!R192C35</stp>
        <stp>PX391=20111001</stp>
        <stp>PX392=20111231</stp>
        <stp>DS004=USD</stp>
        <stp>Fill=B</stp>
        <tr r="AI192" s="3"/>
      </tp>
      <tp t="s">
        <v>#N/A Connection</v>
        <stp/>
        <stp>##V3_BDPV12</stp>
        <stp>SINVHR Index</stp>
        <stp>PX385</stp>
        <stp>[BI_AUTMG_1_l22cd4li.xlsx]ReferenceData!R172C38</stp>
        <stp>PX391=20110101</stp>
        <stp>PX392=20110331</stp>
        <stp>DS004=USD</stp>
        <stp>Fill=B</stp>
        <tr r="AL172" s="3"/>
      </tp>
      <tp t="s">
        <v>#N/A Connection</v>
        <stp/>
        <stp>##V3_BDPV12</stp>
        <stp>WCARUKI Index</stp>
        <stp>PX385</stp>
        <stp>[BI_AUTMG_1_l22cd4li.xlsx]ReferenceData!R195C16</stp>
        <stp>PX391=20160701</stp>
        <stp>PX392=20160930</stp>
        <stp>DS004=USD</stp>
        <stp>Fill=B</stp>
        <tr r="P195" s="3"/>
      </tp>
      <tp t="s">
        <v>#N/A Connection</v>
        <stp/>
        <stp>##V3_BDPV12</stp>
        <stp>WCARHU Index</stp>
        <stp>PX385</stp>
        <stp>[BI_AUTMG_1_l22cd4li.xlsx]ReferenceData!R199C61</stp>
        <stp>PX391=20050401</stp>
        <stp>PX392=20050630</stp>
        <stp>DS004=USD</stp>
        <stp>Fill=B</stp>
        <tr r="BI199" s="3"/>
      </tp>
      <tp t="s">
        <v>#N/A Connection</v>
        <stp/>
        <stp>##V3_BDPV12</stp>
        <stp>WCAREE Index</stp>
        <stp>PX385</stp>
        <stp>[BI_AUTMG_1_l22cd4li.xlsx]ReferenceData!R198C21</stp>
        <stp>PX391=20150401</stp>
        <stp>PX392=20150630</stp>
        <stp>DS004=USD</stp>
        <stp>Fill=B</stp>
        <tr r="U198" s="3"/>
      </tp>
      <tp t="s">
        <v>#N/A Connection</v>
        <stp/>
        <stp>##V3_BDPV12</stp>
        <stp>WCARSEI Index</stp>
        <stp>PX385</stp>
        <stp>[BI_AUTMG_1_l22cd4li.xlsx]ReferenceData!R192C39</stp>
        <stp>PX391=20101001</stp>
        <stp>PX392=20101231</stp>
        <stp>DS004=USD</stp>
        <stp>Fill=B</stp>
        <tr r="AM192" s="3"/>
      </tp>
      <tp t="s">
        <v>#N/A Connection</v>
        <stp/>
        <stp>##V3_BDPV12</stp>
        <stp>WCARHU Index</stp>
        <stp>PX385</stp>
        <stp>[BI_AUTMG_1_l22cd4li.xlsx]ReferenceData!R199C65</stp>
        <stp>PX391=20040401</stp>
        <stp>PX392=20040630</stp>
        <stp>DS004=USD</stp>
        <stp>Fill=B</stp>
        <tr r="BM199" s="3"/>
      </tp>
      <tp t="s">
        <v>#N/A Connection</v>
        <stp/>
        <stp>##V3_BDPV12</stp>
        <stp>WCARUKI Index</stp>
        <stp>PX385</stp>
        <stp>[BI_AUTMG_1_l22cd4li.xlsx]ReferenceData!R195C12</stp>
        <stp>PX391=20170701</stp>
        <stp>PX392=20170930</stp>
        <stp>DS004=USD</stp>
        <stp>Fill=B</stp>
        <tr r="L195" s="3"/>
      </tp>
      <tp t="s">
        <v>#N/A Connection</v>
        <stp/>
        <stp>##V3_BDPV12</stp>
        <stp>SINVHR Index</stp>
        <stp>PX385</stp>
        <stp>[BI_AUTMG_1_l22cd4li.xlsx]ReferenceData!R172C42</stp>
        <stp>PX391=20100101</stp>
        <stp>PX392=20100331</stp>
        <stp>DS004=USD</stp>
        <stp>Fill=B</stp>
        <tr r="AP172" s="3"/>
      </tp>
      <tp t="s">
        <v>#N/A Connection</v>
        <stp/>
        <stp>##V3_BDPV12</stp>
        <stp>WCAREE Index</stp>
        <stp>PX385</stp>
        <stp>[BI_AUTMG_1_l22cd4li.xlsx]ReferenceData!R198C17</stp>
        <stp>PX391=20160401</stp>
        <stp>PX392=20160630</stp>
        <stp>DS004=USD</stp>
        <stp>Fill=B</stp>
        <tr r="Q198" s="3"/>
      </tp>
      <tp t="s">
        <v>#N/A Connection</v>
        <stp/>
        <stp>##V3_BDPV12</stp>
        <stp>WCARSEI Index</stp>
        <stp>PX385</stp>
        <stp>[BI_AUTMG_1_l22cd4li.xlsx]ReferenceData!R192C27</stp>
        <stp>PX391=20131001</stp>
        <stp>PX392=20131231</stp>
        <stp>DS004=USD</stp>
        <stp>Fill=B</stp>
        <tr r="AA192" s="3"/>
      </tp>
      <tp t="s">
        <v>#N/A Connection</v>
        <stp/>
        <stp>##V3_BDPV12</stp>
        <stp>SINVHR Index</stp>
        <stp>PX385</stp>
        <stp>[BI_AUTMG_1_l22cd4li.xlsx]ReferenceData!R172C30</stp>
        <stp>PX391=20130101</stp>
        <stp>PX392=20130331</stp>
        <stp>DS004=USD</stp>
        <stp>Fill=B</stp>
        <tr r="AD172" s="3"/>
      </tp>
      <tp t="s">
        <v>#N/A Connection</v>
        <stp/>
        <stp>##V3_BDPV12</stp>
        <stp>WCARHU Index</stp>
        <stp>PX385</stp>
        <stp>[BI_AUTMG_1_l22cd4li.xlsx]ReferenceData!R199C53</stp>
        <stp>PX391=20070401</stp>
        <stp>PX392=20070630</stp>
        <stp>DS004=USD</stp>
        <stp>Fill=B</stp>
        <tr r="BA199" s="3"/>
      </tp>
      <tp t="s">
        <v>#N/A Connection</v>
        <stp/>
        <stp>##V3_BDPV12</stp>
        <stp>WCARUKI Index</stp>
        <stp>PX385</stp>
        <stp>[BI_AUTMG_1_l22cd4li.xlsx]ReferenceData!R195C24</stp>
        <stp>PX391=20140701</stp>
        <stp>PX392=20140930</stp>
        <stp>DS004=USD</stp>
        <stp>Fill=B</stp>
        <tr r="X195" s="3"/>
      </tp>
      <tp t="s">
        <v>#N/A Connection</v>
        <stp/>
        <stp>##V3_BDPV12</stp>
        <stp>WCAREE Index</stp>
        <stp>PX385</stp>
        <stp>[BI_AUTMG_1_l22cd4li.xlsx]ReferenceData!R198C13</stp>
        <stp>PX391=20170401</stp>
        <stp>PX392=20170630</stp>
        <stp>DS004=USD</stp>
        <stp>Fill=B</stp>
        <tr r="M198" s="3"/>
      </tp>
      <tp t="s">
        <v>#N/A Connection</v>
        <stp/>
        <stp>##V3_BDPV12</stp>
        <stp>WCARSEI Index</stp>
        <stp>PX385</stp>
        <stp>[BI_AUTMG_1_l22cd4li.xlsx]ReferenceData!R192C31</stp>
        <stp>PX391=20121001</stp>
        <stp>PX392=20121231</stp>
        <stp>DS004=USD</stp>
        <stp>Fill=B</stp>
        <tr r="AE192" s="3"/>
      </tp>
      <tp t="s">
        <v>#N/A Connection</v>
        <stp/>
        <stp>##V3_BDPV12</stp>
        <stp>SINVHR Index</stp>
        <stp>PX385</stp>
        <stp>[BI_AUTMG_1_l22cd4li.xlsx]ReferenceData!R172C34</stp>
        <stp>PX391=20120101</stp>
        <stp>PX392=20120331</stp>
        <stp>DS004=USD</stp>
        <stp>Fill=B</stp>
        <tr r="AH172" s="3"/>
      </tp>
      <tp t="s">
        <v>#N/A Connection</v>
        <stp/>
        <stp>##V3_BDPV12</stp>
        <stp>WCARUKI Index</stp>
        <stp>PX385</stp>
        <stp>[BI_AUTMG_1_l22cd4li.xlsx]ReferenceData!R195C20</stp>
        <stp>PX391=20150701</stp>
        <stp>PX392=20150930</stp>
        <stp>DS004=USD</stp>
        <stp>Fill=B</stp>
        <tr r="T195" s="3"/>
      </tp>
      <tp t="s">
        <v>#N/A Connection</v>
        <stp/>
        <stp>##V3_BDPV12</stp>
        <stp>WCARHU Index</stp>
        <stp>PX385</stp>
        <stp>[BI_AUTMG_1_l22cd4li.xlsx]ReferenceData!R199C57</stp>
        <stp>PX391=20060401</stp>
        <stp>PX392=20060630</stp>
        <stp>DS004=USD</stp>
        <stp>Fill=B</stp>
        <tr r="BE199" s="3"/>
      </tp>
      <tp t="s">
        <v>#N/A Connection</v>
        <stp/>
        <stp>##V3_BDPV12</stp>
        <stp>WCARSEI Index</stp>
        <stp>PX385</stp>
        <stp>[BI_AUTMG_1_l22cd4li.xlsx]ReferenceData!R192C19</stp>
        <stp>PX391=20151001</stp>
        <stp>PX392=20151231</stp>
        <stp>DS004=USD</stp>
        <stp>Fill=B</stp>
        <tr r="S192" s="3"/>
      </tp>
      <tp t="s">
        <v>#N/A Connection</v>
        <stp/>
        <stp>##V3_BDPV12</stp>
        <stp>WCAREE Index</stp>
        <stp>PX385</stp>
        <stp>[BI_AUTMG_1_l22cd4li.xlsx]ReferenceData!R198C41</stp>
        <stp>PX391=20100401</stp>
        <stp>PX392=20100630</stp>
        <stp>DS004=USD</stp>
        <stp>Fill=B</stp>
        <tr r="AO198" s="3"/>
      </tp>
      <tp t="s">
        <v>#N/A Connection</v>
        <stp/>
        <stp>##V3_BDPV12</stp>
        <stp>SINVHR Index</stp>
        <stp>PX385</stp>
        <stp>[BI_AUTMG_1_l22cd4li.xlsx]ReferenceData!R172C63</stp>
        <stp>PX391=20041001</stp>
        <stp>PX392=20041231</stp>
        <stp>DS004=USD</stp>
        <stp>Fill=B</stp>
        <tr r="BK172" s="3"/>
      </tp>
      <tp t="s">
        <v>#N/A Connection</v>
        <stp/>
        <stp>##V3_BDPV12</stp>
        <stp>WCARUKI Index</stp>
        <stp>PX385</stp>
        <stp>[BI_AUTMG_1_l22cd4li.xlsx]ReferenceData!R195C32</stp>
        <stp>PX391=20120701</stp>
        <stp>PX392=20120930</stp>
        <stp>DS004=USD</stp>
        <stp>Fill=B</stp>
        <tr r="AF195" s="3"/>
      </tp>
      <tp t="s">
        <v>#N/A Connection</v>
        <stp/>
        <stp>##V3_BDPV12</stp>
        <stp>SINVHR Index</stp>
        <stp>PX385</stp>
        <stp>[BI_AUTMG_1_l22cd4li.xlsx]ReferenceData!R172C22</stp>
        <stp>PX391=20150101</stp>
        <stp>PX392=20150331</stp>
        <stp>DS004=USD</stp>
        <stp>Fill=B</stp>
        <tr r="V172" s="3"/>
      </tp>
      <tp t="s">
        <v>#N/A Connection</v>
        <stp/>
        <stp>##V3_BDPV12</stp>
        <stp>RUAUTOTL Index</stp>
        <stp>PX385</stp>
        <stp>[BI_AUTMG_1_l22cd4li.xlsx]ReferenceData!R204C47</stp>
        <stp>PX391=20081001</stp>
        <stp>PX392=20081231</stp>
        <stp>DS004=USD</stp>
        <stp>Fill=B</stp>
        <tr r="AU204" s="3"/>
      </tp>
      <tp t="s">
        <v>#N/A Connection</v>
        <stp/>
        <stp>##V3_BDPV12</stp>
        <stp>WCAREE Index</stp>
        <stp>PX385</stp>
        <stp>[BI_AUTMG_1_l22cd4li.xlsx]ReferenceData!R198C37</stp>
        <stp>PX391=20110401</stp>
        <stp>PX392=20110630</stp>
        <stp>DS004=USD</stp>
        <stp>Fill=B</stp>
        <tr r="AK198" s="3"/>
      </tp>
      <tp t="s">
        <v>#N/A Connection</v>
        <stp/>
        <stp>##V3_BDPV12</stp>
        <stp>WCARSEI Index</stp>
        <stp>PX385</stp>
        <stp>[BI_AUTMG_1_l22cd4li.xlsx]ReferenceData!R192C23</stp>
        <stp>PX391=20141001</stp>
        <stp>PX392=20141231</stp>
        <stp>DS004=USD</stp>
        <stp>Fill=B</stp>
        <tr r="W192" s="3"/>
      </tp>
      <tp t="s">
        <v>#N/A Connection</v>
        <stp/>
        <stp>##V3_BDPV12</stp>
        <stp>WCARSEI Index</stp>
        <stp>PX385</stp>
        <stp>[BI_AUTMG_1_l22cd4li.xlsx]ReferenceData!R192C62</stp>
        <stp>PX391=20050101</stp>
        <stp>PX392=20050331</stp>
        <stp>DS004=USD</stp>
        <stp>Fill=B</stp>
        <tr r="BJ192" s="3"/>
      </tp>
      <tp t="s">
        <v>#N/A Connection</v>
        <stp/>
        <stp>##V3_BDPV12</stp>
        <stp>WCARUKI Index</stp>
        <stp>PX385</stp>
        <stp>[BI_AUTMG_1_l22cd4li.xlsx]ReferenceData!R195C28</stp>
        <stp>PX391=20130701</stp>
        <stp>PX392=20130930</stp>
        <stp>DS004=USD</stp>
        <stp>Fill=B</stp>
        <tr r="AB195" s="3"/>
      </tp>
      <tp t="s">
        <v>#N/A Connection</v>
        <stp/>
        <stp>##V3_BDPV12</stp>
        <stp>SINVHR Index</stp>
        <stp>PX385</stp>
        <stp>[BI_AUTMG_1_l22cd4li.xlsx]ReferenceData!R172C59</stp>
        <stp>PX391=20051001</stp>
        <stp>PX392=20051231</stp>
        <stp>DS004=USD</stp>
        <stp>Fill=B</stp>
        <tr r="BG172" s="3"/>
      </tp>
      <tp t="s">
        <v>#N/A Connection</v>
        <stp/>
        <stp>##V3_BDPV12</stp>
        <stp>SINVHR Index</stp>
        <stp>PX385</stp>
        <stp>[BI_AUTMG_1_l22cd4li.xlsx]ReferenceData!R172C26</stp>
        <stp>PX391=20140101</stp>
        <stp>PX392=20140331</stp>
        <stp>DS004=USD</stp>
        <stp>Fill=B</stp>
        <tr r="Z172" s="3"/>
      </tp>
      <tp t="s">
        <v>#N/A Connection</v>
        <stp/>
        <stp>##V3_BDPV12</stp>
        <stp>RUAUTOTL Index</stp>
        <stp>PX385</stp>
        <stp>[BI_AUTMG_1_l22cd4li.xlsx]ReferenceData!R204C10</stp>
        <stp>PX391=20180101</stp>
        <stp>PX392=20180331</stp>
        <stp>DS004=USD</stp>
        <stp>Fill=B</stp>
        <tr r="J204" s="3"/>
      </tp>
      <tp t="s">
        <v>#N/A Connection</v>
        <stp/>
        <stp>##V3_BDPV12</stp>
        <stp>RUAUTOTL Index</stp>
        <stp>PX385</stp>
        <stp>[BI_AUTMG_1_l22cd4li.xlsx]ReferenceData!R204C43</stp>
        <stp>PX391=20091001</stp>
        <stp>PX392=20091231</stp>
        <stp>DS004=USD</stp>
        <stp>Fill=B</stp>
        <tr r="AQ204" s="3"/>
      </tp>
      <tp t="s">
        <v>#N/A Connection</v>
        <stp/>
        <stp>##V3_BDPV12</stp>
        <stp>WCAREE Index</stp>
        <stp>PX385</stp>
        <stp>[BI_AUTMG_1_l22cd4li.xlsx]ReferenceData!R198C33</stp>
        <stp>PX391=20120401</stp>
        <stp>PX392=20120630</stp>
        <stp>DS004=USD</stp>
        <stp>Fill=B</stp>
        <tr r="AG198" s="3"/>
      </tp>
      <tp t="s">
        <v>#N/A Connection</v>
        <stp/>
        <stp>##V3_BDPV12</stp>
        <stp>WCARSEI Index</stp>
        <stp>PX385</stp>
        <stp>[BI_AUTMG_1_l22cd4li.xlsx]ReferenceData!R192C11</stp>
        <stp>PX391=20171001</stp>
        <stp>PX392=20171231</stp>
        <stp>DS004=USD</stp>
        <stp>Fill=B</stp>
        <tr r="K192" s="3"/>
      </tp>
      <tp t="s">
        <v>#N/A Connection</v>
        <stp/>
        <stp>##V3_BDPV12</stp>
        <stp>WCARSEI Index</stp>
        <stp>PX385</stp>
        <stp>[BI_AUTMG_1_l22cd4li.xlsx]ReferenceData!R192C58</stp>
        <stp>PX391=20060101</stp>
        <stp>PX392=20060331</stp>
        <stp>DS004=USD</stp>
        <stp>Fill=B</stp>
        <tr r="BF192" s="3"/>
      </tp>
      <tp t="s">
        <v>#N/A Connection</v>
        <stp/>
        <stp>##V3_BDPV12</stp>
        <stp>SINVHR Index</stp>
        <stp>PX385</stp>
        <stp>[BI_AUTMG_1_l22cd4li.xlsx]ReferenceData!R172C55</stp>
        <stp>PX391=20061001</stp>
        <stp>PX392=20061231</stp>
        <stp>DS004=USD</stp>
        <stp>Fill=B</stp>
        <tr r="BC172" s="3"/>
      </tp>
      <tp t="s">
        <v>#N/A Connection</v>
        <stp/>
        <stp>##V3_BDPV12</stp>
        <stp>SINVHR Index</stp>
        <stp>PX385</stp>
        <stp>[BI_AUTMG_1_l22cd4li.xlsx]ReferenceData!R172C14</stp>
        <stp>PX391=20170101</stp>
        <stp>PX392=20170331</stp>
        <stp>DS004=USD</stp>
        <stp>Fill=B</stp>
        <tr r="N172" s="3"/>
      </tp>
      <tp t="s">
        <v>#N/A Connection</v>
        <stp/>
        <stp>##V3_BDPV12</stp>
        <stp>WCARUKI Index</stp>
        <stp>PX385</stp>
        <stp>[BI_AUTMG_1_l22cd4li.xlsx]ReferenceData!R195C40</stp>
        <stp>PX391=20100701</stp>
        <stp>PX392=20100930</stp>
        <stp>DS004=USD</stp>
        <stp>Fill=B</stp>
        <tr r="AN195" s="3"/>
      </tp>
      <tp t="s">
        <v>#N/A Connection</v>
        <stp/>
        <stp>##V3_BDPV12</stp>
        <stp>WCAREE Index</stp>
        <stp>PX385</stp>
        <stp>[BI_AUTMG_1_l22cd4li.xlsx]ReferenceData!R198C29</stp>
        <stp>PX391=20130401</stp>
        <stp>PX392=20130630</stp>
        <stp>DS004=USD</stp>
        <stp>Fill=B</stp>
        <tr r="AC198" s="3"/>
      </tp>
      <tp t="s">
        <v>#N/A Connection</v>
        <stp/>
        <stp>##V3_BDPV12</stp>
        <stp>WCARSEI Index</stp>
        <stp>PX385</stp>
        <stp>[BI_AUTMG_1_l22cd4li.xlsx]ReferenceData!R192C15</stp>
        <stp>PX391=20161001</stp>
        <stp>PX392=20161231</stp>
        <stp>DS004=USD</stp>
        <stp>Fill=B</stp>
        <tr r="O192" s="3"/>
      </tp>
      <tp t="s">
        <v>#N/A Connection</v>
        <stp/>
        <stp>##V3_BDPV12</stp>
        <stp>WCARSEI Index</stp>
        <stp>PX385</stp>
        <stp>[BI_AUTMG_1_l22cd4li.xlsx]ReferenceData!R192C54</stp>
        <stp>PX391=20070101</stp>
        <stp>PX392=20070331</stp>
        <stp>DS004=USD</stp>
        <stp>Fill=B</stp>
        <tr r="BB192" s="3"/>
      </tp>
      <tp t="s">
        <v>#N/A Connection</v>
        <stp/>
        <stp>##V3_BDPV12</stp>
        <stp>SINVHR Index</stp>
        <stp>PX385</stp>
        <stp>[BI_AUTMG_1_l22cd4li.xlsx]ReferenceData!R172C51</stp>
        <stp>PX391=20071001</stp>
        <stp>PX392=20071231</stp>
        <stp>DS004=USD</stp>
        <stp>Fill=B</stp>
        <tr r="AY172" s="3"/>
      </tp>
      <tp t="s">
        <v>#N/A Connection</v>
        <stp/>
        <stp>##V3_BDPV12</stp>
        <stp>WCARUKI Index</stp>
        <stp>PX385</stp>
        <stp>[BI_AUTMG_1_l22cd4li.xlsx]ReferenceData!R195C36</stp>
        <stp>PX391=20110701</stp>
        <stp>PX392=20110930</stp>
        <stp>DS004=USD</stp>
        <stp>Fill=B</stp>
        <tr r="AJ195" s="3"/>
      </tp>
      <tp t="s">
        <v>#N/A Connection</v>
        <stp/>
        <stp>##V3_BDPV12</stp>
        <stp>SINVHR Index</stp>
        <stp>PX385</stp>
        <stp>[BI_AUTMG_1_l22cd4li.xlsx]ReferenceData!R172C18</stp>
        <stp>PX391=20160101</stp>
        <stp>PX392=20160331</stp>
        <stp>DS004=USD</stp>
        <stp>Fill=B</stp>
        <tr r="R172" s="3"/>
      </tp>
      <tp t="s">
        <v>#N/A Connection</v>
        <stp/>
        <stp>##V3_BDPV12</stp>
        <stp>WCARIEI Index</stp>
        <stp>PX385</stp>
        <stp>[BI_AUTMG_1_l22cd4li.xlsx]ReferenceData!R185C32</stp>
        <stp>PX391=20120701</stp>
        <stp>PX392=20120930</stp>
        <stp>DS004=USD</stp>
        <stp>Fill=B</stp>
        <tr r="AF185" s="3"/>
      </tp>
      <tp t="s">
        <v>#N/A Connection</v>
        <stp/>
        <stp>##V3_BDPV12</stp>
        <stp>WCARCHI Index</stp>
        <stp>PX385</stp>
        <stp>[BI_AUTMG_1_l22cd4li.xlsx]ReferenceData!R193C47</stp>
        <stp>PX391=20081001</stp>
        <stp>PX392=20081231</stp>
        <stp>DS004=USD</stp>
        <stp>Fill=B</stp>
        <tr r="AU193" s="3"/>
      </tp>
      <tp t="s">
        <v>#N/A Connection</v>
        <stp/>
        <stp>##V3_BDPV12</stp>
        <stp>KNNVREG Index</stp>
        <stp>PX385</stp>
        <stp>[BI_AUTMG_1_l22cd4li.xlsx]ReferenceData!R216C62</stp>
        <stp>PX391=20050101</stp>
        <stp>PX392=20050331</stp>
        <stp>DS004=USD</stp>
        <stp>Fill=B</stp>
        <tr r="BJ216" s="3"/>
      </tp>
      <tp t="s">
        <v>#N/A Connection</v>
        <stp/>
        <stp>##V3_BDPV12</stp>
        <stp>WCARBEI Index</stp>
        <stp>PX385</stp>
        <stp>[BI_AUTMG_1_l22cd4li.xlsx]ReferenceData!R177C49</stp>
        <stp>PX391=20080401</stp>
        <stp>PX392=20080630</stp>
        <stp>DS004=USD</stp>
        <stp>Fill=B</stp>
        <tr r="AW177" s="3"/>
      </tp>
      <tp t="s">
        <v>#N/A Connection</v>
        <stp/>
        <stp>##V3_BDPV12</stp>
        <stp>KNNVREG Index</stp>
        <stp>PX385</stp>
        <stp>[BI_AUTMG_1_l22cd4li.xlsx]ReferenceData!R216C23</stp>
        <stp>PX391=20141001</stp>
        <stp>PX392=20141231</stp>
        <stp>DS004=USD</stp>
        <stp>Fill=B</stp>
        <tr r="W216" s="3"/>
      </tp>
      <tp t="s">
        <v>#N/A Connection</v>
        <stp/>
        <stp>##V3_BDPV12</stp>
        <stp>WCARITI Index</stp>
        <stp>PX385</stp>
        <stp>[BI_AUTMG_1_l22cd4li.xlsx]ReferenceData!R186C33</stp>
        <stp>PX391=20120401</stp>
        <stp>PX392=20120630</stp>
        <stp>DS004=USD</stp>
        <stp>Fill=B</stp>
        <tr r="AG186" s="3"/>
      </tp>
      <tp t="s">
        <v>#N/A Connection</v>
        <stp/>
        <stp>##V3_BDPV12</stp>
        <stp>WCARLUI Index</stp>
        <stp>PX385</stp>
        <stp>[BI_AUTMG_1_l22cd4li.xlsx]ReferenceData!R187C57</stp>
        <stp>PX391=20060401</stp>
        <stp>PX392=20060630</stp>
        <stp>DS004=USD</stp>
        <stp>Fill=B</stp>
        <tr r="BE187" s="3"/>
      </tp>
      <tp t="s">
        <v>#N/A Connection</v>
        <stp/>
        <stp>##V3_BDPV12</stp>
        <stp>THVHSCAR Index</stp>
        <stp>PX385</stp>
        <stp>[BI_AUTMG_1_l22cd4li.xlsx]ReferenceData!R174C62</stp>
        <stp>PX391=20050101</stp>
        <stp>PX392=20050331</stp>
        <stp>DS004=USD</stp>
        <stp>Fill=B</stp>
        <tr r="BJ174" s="3"/>
      </tp>
      <tp t="s">
        <v>#N/A Connection</v>
        <stp/>
        <stp>##V3_BDPV12</stp>
        <stp>THVHSCAR Index</stp>
        <stp>PX385</stp>
        <stp>[BI_AUTMG_1_l22cd4li.xlsx]ReferenceData!R174C23</stp>
        <stp>PX391=20141001</stp>
        <stp>PX392=20141231</stp>
        <stp>DS004=USD</stp>
        <stp>Fill=B</stp>
        <tr r="W174" s="3"/>
      </tp>
      <tp t="s">
        <v>#N/A Connection</v>
        <stp/>
        <stp>##V3_BDPV12</stp>
        <stp>WCARCHI Index</stp>
        <stp>PX385</stp>
        <stp>[BI_AUTMG_1_l22cd4li.xlsx]ReferenceData!R193C10</stp>
        <stp>PX391=20180101</stp>
        <stp>PX392=20180331</stp>
        <stp>DS004=USD</stp>
        <stp>Fill=B</stp>
        <tr r="J193" s="3"/>
      </tp>
      <tp t="s">
        <v>#N/A Connection</v>
        <stp/>
        <stp>##V3_BDPV12</stp>
        <stp>WCARCHI Index</stp>
        <stp>PX385</stp>
        <stp>[BI_AUTMG_1_l22cd4li.xlsx]ReferenceData!R193C43</stp>
        <stp>PX391=20091001</stp>
        <stp>PX392=20091231</stp>
        <stp>DS004=USD</stp>
        <stp>Fill=B</stp>
        <tr r="AQ193" s="3"/>
      </tp>
      <tp t="s">
        <v>#N/A Connection</v>
        <stp/>
        <stp>##V3_BDPV12</stp>
        <stp>WCARIEI Index</stp>
        <stp>PX385</stp>
        <stp>[BI_AUTMG_1_l22cd4li.xlsx]ReferenceData!R185C28</stp>
        <stp>PX391=20130701</stp>
        <stp>PX392=20130930</stp>
        <stp>DS004=USD</stp>
        <stp>Fill=B</stp>
        <tr r="AB185" s="3"/>
      </tp>
      <tp t="s">
        <v>#N/A Connection</v>
        <stp/>
        <stp>##V3_BDPV12</stp>
        <stp>WCARBEI Index</stp>
        <stp>PX385</stp>
        <stp>[BI_AUTMG_1_l22cd4li.xlsx]ReferenceData!R177C45</stp>
        <stp>PX391=20090401</stp>
        <stp>PX392=20090630</stp>
        <stp>DS004=USD</stp>
        <stp>Fill=B</stp>
        <tr r="AS177" s="3"/>
      </tp>
      <tp t="s">
        <v>#N/A Connection</v>
        <stp/>
        <stp>##V3_BDPV12</stp>
        <stp>KNNVREG Index</stp>
        <stp>PX385</stp>
        <stp>[BI_AUTMG_1_l22cd4li.xlsx]ReferenceData!R216C19</stp>
        <stp>PX391=20151001</stp>
        <stp>PX392=20151231</stp>
        <stp>DS004=USD</stp>
        <stp>Fill=B</stp>
        <tr r="S216" s="3"/>
      </tp>
      <tp t="s">
        <v>#N/A Connection</v>
        <stp/>
        <stp>##V3_BDPV12</stp>
        <stp>WCARITI Index</stp>
        <stp>PX385</stp>
        <stp>[BI_AUTMG_1_l22cd4li.xlsx]ReferenceData!R186C29</stp>
        <stp>PX391=20130401</stp>
        <stp>PX392=20130630</stp>
        <stp>DS004=USD</stp>
        <stp>Fill=B</stp>
        <tr r="AC186" s="3"/>
      </tp>
      <tp t="s">
        <v>#N/A Connection</v>
        <stp/>
        <stp>##V3_BDPV12</stp>
        <stp>WCARLUI Index</stp>
        <stp>PX385</stp>
        <stp>[BI_AUTMG_1_l22cd4li.xlsx]ReferenceData!R187C53</stp>
        <stp>PX391=20070401</stp>
        <stp>PX392=20070630</stp>
        <stp>DS004=USD</stp>
        <stp>Fill=B</stp>
        <tr r="BA187" s="3"/>
      </tp>
      <tp t="s">
        <v>#N/A Connection</v>
        <stp/>
        <stp>##V3_BDPV12</stp>
        <stp>THVHSCAR Index</stp>
        <stp>PX385</stp>
        <stp>[BI_AUTMG_1_l22cd4li.xlsx]ReferenceData!R174C19</stp>
        <stp>PX391=20151001</stp>
        <stp>PX392=20151231</stp>
        <stp>DS004=USD</stp>
        <stp>Fill=B</stp>
        <tr r="S174" s="3"/>
      </tp>
      <tp t="s">
        <v>#N/A Connection</v>
        <stp/>
        <stp>##V3_BDPV12</stp>
        <stp>WCARIEI Index</stp>
        <stp>PX385</stp>
        <stp>[BI_AUTMG_1_l22cd4li.xlsx]ReferenceData!R185C40</stp>
        <stp>PX391=20100701</stp>
        <stp>PX392=20100930</stp>
        <stp>DS004=USD</stp>
        <stp>Fill=B</stp>
        <tr r="AN185" s="3"/>
      </tp>
      <tp t="s">
        <v>#N/A Connection</v>
        <stp/>
        <stp>##V3_BDPV12</stp>
        <stp>KNNVREG Index</stp>
        <stp>PX385</stp>
        <stp>[BI_AUTMG_1_l22cd4li.xlsx]ReferenceData!R216C54</stp>
        <stp>PX391=20070101</stp>
        <stp>PX392=20070331</stp>
        <stp>DS004=USD</stp>
        <stp>Fill=B</stp>
        <tr r="BB216" s="3"/>
      </tp>
      <tp t="s">
        <v>#N/A Connection</v>
        <stp/>
        <stp>##V3_BDPV12</stp>
        <stp>KNNVREG Index</stp>
        <stp>PX385</stp>
        <stp>[BI_AUTMG_1_l22cd4li.xlsx]ReferenceData!R216C15</stp>
        <stp>PX391=20161001</stp>
        <stp>PX392=20161231</stp>
        <stp>DS004=USD</stp>
        <stp>Fill=B</stp>
        <tr r="O216" s="3"/>
      </tp>
      <tp t="s">
        <v>#N/A Connection</v>
        <stp/>
        <stp>##V3_BDPV12</stp>
        <stp>WCARITI Index</stp>
        <stp>PX385</stp>
        <stp>[BI_AUTMG_1_l22cd4li.xlsx]ReferenceData!R186C41</stp>
        <stp>PX391=20100401</stp>
        <stp>PX392=20100630</stp>
        <stp>DS004=USD</stp>
        <stp>Fill=B</stp>
        <tr r="AO186" s="3"/>
      </tp>
      <tp t="s">
        <v>#N/A Connection</v>
        <stp/>
        <stp>##V3_BDPV12</stp>
        <stp>CNVSTTL Index</stp>
        <stp>PX385</stp>
        <stp>[BI_AUTMG_1_l22cd4li.xlsx]ReferenceData!R162C10</stp>
        <stp>PX391=20180101</stp>
        <stp>PX392=20180331</stp>
        <stp>DS004=USD</stp>
        <stp>Fill=B</stp>
        <tr r="J162" s="3"/>
      </tp>
      <tp t="s">
        <v>#N/A Connection</v>
        <stp/>
        <stp>##V3_BDPV12</stp>
        <stp>CNVSTTL Index</stp>
        <stp>PX385</stp>
        <stp>[BI_AUTMG_1_l22cd4li.xlsx]ReferenceData!R162C43</stp>
        <stp>PX391=20091001</stp>
        <stp>PX392=20091231</stp>
        <stp>DS004=USD</stp>
        <stp>Fill=B</stp>
        <tr r="AQ162" s="3"/>
      </tp>
      <tp t="s">
        <v>#N/A Connection</v>
        <stp/>
        <stp>##V3_BDPV12</stp>
        <stp>WCARLUI Index</stp>
        <stp>PX385</stp>
        <stp>[BI_AUTMG_1_l22cd4li.xlsx]ReferenceData!R187C65</stp>
        <stp>PX391=20040401</stp>
        <stp>PX392=20040630</stp>
        <stp>DS004=USD</stp>
        <stp>Fill=B</stp>
        <tr r="BM187" s="3"/>
      </tp>
      <tp t="s">
        <v>#N/A Connection</v>
        <stp/>
        <stp>##V3_BDPV12</stp>
        <stp>THVHSCAR Index</stp>
        <stp>PX385</stp>
        <stp>[BI_AUTMG_1_l22cd4li.xlsx]ReferenceData!R174C54</stp>
        <stp>PX391=20070101</stp>
        <stp>PX392=20070331</stp>
        <stp>DS004=USD</stp>
        <stp>Fill=B</stp>
        <tr r="BB174" s="3"/>
      </tp>
      <tp t="s">
        <v>#N/A Connection</v>
        <stp/>
        <stp>##V3_BDPV12</stp>
        <stp>THVHSCAR Index</stp>
        <stp>PX385</stp>
        <stp>[BI_AUTMG_1_l22cd4li.xlsx]ReferenceData!R174C15</stp>
        <stp>PX391=20161001</stp>
        <stp>PX392=20161231</stp>
        <stp>DS004=USD</stp>
        <stp>Fill=B</stp>
        <tr r="O174" s="3"/>
      </tp>
      <tp t="s">
        <v>#N/A Connection</v>
        <stp/>
        <stp>##V3_BDPV12</stp>
        <stp>WCARIEI Index</stp>
        <stp>PX385</stp>
        <stp>[BI_AUTMG_1_l22cd4li.xlsx]ReferenceData!R185C36</stp>
        <stp>PX391=20110701</stp>
        <stp>PX392=20110930</stp>
        <stp>DS004=USD</stp>
        <stp>Fill=B</stp>
        <tr r="AJ185" s="3"/>
      </tp>
      <tp t="s">
        <v>#N/A Connection</v>
        <stp/>
        <stp>##V3_BDPV12</stp>
        <stp>KNNVREG Index</stp>
        <stp>PX385</stp>
        <stp>[BI_AUTMG_1_l22cd4li.xlsx]ReferenceData!R216C58</stp>
        <stp>PX391=20060101</stp>
        <stp>PX392=20060331</stp>
        <stp>DS004=USD</stp>
        <stp>Fill=B</stp>
        <tr r="BF216" s="3"/>
      </tp>
      <tp t="s">
        <v>#N/A Connection</v>
        <stp/>
        <stp>##V3_BDPV12</stp>
        <stp>KNNVREG Index</stp>
        <stp>PX385</stp>
        <stp>[BI_AUTMG_1_l22cd4li.xlsx]ReferenceData!R216C11</stp>
        <stp>PX391=20171001</stp>
        <stp>PX392=20171231</stp>
        <stp>DS004=USD</stp>
        <stp>Fill=B</stp>
        <tr r="K216" s="3"/>
      </tp>
      <tp t="s">
        <v>#N/A Connection</v>
        <stp/>
        <stp>##V3_BDPV12</stp>
        <stp>CNVSTTL Index</stp>
        <stp>PX385</stp>
        <stp>[BI_AUTMG_1_l22cd4li.xlsx]ReferenceData!R162C47</stp>
        <stp>PX391=20081001</stp>
        <stp>PX392=20081231</stp>
        <stp>DS004=USD</stp>
        <stp>Fill=B</stp>
        <tr r="AU162" s="3"/>
      </tp>
      <tp t="s">
        <v>#N/A Connection</v>
        <stp/>
        <stp>##V3_BDPV12</stp>
        <stp>WCARLUI Index</stp>
        <stp>PX385</stp>
        <stp>[BI_AUTMG_1_l22cd4li.xlsx]ReferenceData!R187C61</stp>
        <stp>PX391=20050401</stp>
        <stp>PX392=20050630</stp>
        <stp>DS004=USD</stp>
        <stp>Fill=B</stp>
        <tr r="BI187" s="3"/>
      </tp>
      <tp t="s">
        <v>#N/A Connection</v>
        <stp/>
        <stp>##V3_BDPV12</stp>
        <stp>WCARITI Index</stp>
        <stp>PX385</stp>
        <stp>[BI_AUTMG_1_l22cd4li.xlsx]ReferenceData!R186C37</stp>
        <stp>PX391=20110401</stp>
        <stp>PX392=20110630</stp>
        <stp>DS004=USD</stp>
        <stp>Fill=B</stp>
        <tr r="AK186" s="3"/>
      </tp>
      <tp t="s">
        <v>#N/A Connection</v>
        <stp/>
        <stp>##V3_BDPV12</stp>
        <stp>THVHSCAR Index</stp>
        <stp>PX385</stp>
        <stp>[BI_AUTMG_1_l22cd4li.xlsx]ReferenceData!R174C58</stp>
        <stp>PX391=20060101</stp>
        <stp>PX392=20060331</stp>
        <stp>DS004=USD</stp>
        <stp>Fill=B</stp>
        <tr r="BF174" s="3"/>
      </tp>
      <tp t="s">
        <v>#N/A Connection</v>
        <stp/>
        <stp>##V3_BDPV12</stp>
        <stp>THVHSCAR Index</stp>
        <stp>PX385</stp>
        <stp>[BI_AUTMG_1_l22cd4li.xlsx]ReferenceData!R174C11</stp>
        <stp>PX391=20171001</stp>
        <stp>PX392=20171231</stp>
        <stp>DS004=USD</stp>
        <stp>Fill=B</stp>
        <tr r="K174" s="3"/>
      </tp>
      <tp t="s">
        <v>#N/A Connection</v>
        <stp/>
        <stp>##V3_BDPV12</stp>
        <stp>WCARIEI Index</stp>
        <stp>PX385</stp>
        <stp>[BI_AUTMG_1_l22cd4li.xlsx]ReferenceData!R185C16</stp>
        <stp>PX391=20160701</stp>
        <stp>PX392=20160930</stp>
        <stp>DS004=USD</stp>
        <stp>Fill=B</stp>
        <tr r="P185" s="3"/>
      </tp>
      <tp t="s">
        <v>#N/A Connection</v>
        <stp/>
        <stp>##V3_BDPV12</stp>
        <stp>KNNVREG Index</stp>
        <stp>PX385</stp>
        <stp>[BI_AUTMG_1_l22cd4li.xlsx]ReferenceData!R216C39</stp>
        <stp>PX391=20101001</stp>
        <stp>PX392=20101231</stp>
        <stp>DS004=USD</stp>
        <stp>Fill=B</stp>
        <tr r="AM216" s="3"/>
      </tp>
      <tp t="s">
        <v>#N/A Connection</v>
        <stp/>
        <stp>##V3_BDPV12</stp>
        <stp>WCARITI Index</stp>
        <stp>PX385</stp>
        <stp>[BI_AUTMG_1_l22cd4li.xlsx]ReferenceData!R186C17</stp>
        <stp>PX391=20160401</stp>
        <stp>PX392=20160630</stp>
        <stp>DS004=USD</stp>
        <stp>Fill=B</stp>
        <tr r="Q186" s="3"/>
      </tp>
      <tp t="s">
        <v>#N/A Connection</v>
        <stp/>
        <stp>##V3_BDPV12</stp>
        <stp>TWVSDOM Index</stp>
        <stp>PX385</stp>
        <stp>[BI_AUTMG_1_l22cd4li.xlsx]ReferenceData!R173C50</stp>
        <stp>PX391=20080101</stp>
        <stp>PX392=20080331</stp>
        <stp>DS004=USD</stp>
        <stp>Fill=B</stp>
        <tr r="AX173" s="3"/>
      </tp>
      <tp t="s">
        <v>#N/A Connection</v>
        <stp/>
        <stp>##V3_BDPV12</stp>
        <stp>WCARGRI Index</stp>
        <stp>PX385</stp>
        <stp>[BI_AUTMG_1_l22cd4li.xlsx]ReferenceData!R183C47</stp>
        <stp>PX391=20081001</stp>
        <stp>PX392=20081231</stp>
        <stp>DS004=USD</stp>
        <stp>Fill=B</stp>
        <tr r="AU183" s="3"/>
      </tp>
      <tp t="s">
        <v>#N/A Connection</v>
        <stp/>
        <stp>##V3_BDPV12</stp>
        <stp>THVHSCAR Index</stp>
        <stp>PX385</stp>
        <stp>[BI_AUTMG_1_l22cd4li.xlsx]ReferenceData!R174C39</stp>
        <stp>PX391=20101001</stp>
        <stp>PX392=20101231</stp>
        <stp>DS004=USD</stp>
        <stp>Fill=B</stp>
        <tr r="AM174" s="3"/>
      </tp>
      <tp t="s">
        <v>#N/A Connection</v>
        <stp/>
        <stp>##V3_BDPV12</stp>
        <stp>WCARIEI Index</stp>
        <stp>PX385</stp>
        <stp>[BI_AUTMG_1_l22cd4li.xlsx]ReferenceData!R185C12</stp>
        <stp>PX391=20170701</stp>
        <stp>PX392=20170930</stp>
        <stp>DS004=USD</stp>
        <stp>Fill=B</stp>
        <tr r="L185" s="3"/>
      </tp>
      <tp t="s">
        <v>#N/A Connection</v>
        <stp/>
        <stp>##V3_BDPV12</stp>
        <stp>KNNVREG Index</stp>
        <stp>PX385</stp>
        <stp>[BI_AUTMG_1_l22cd4li.xlsx]ReferenceData!R216C35</stp>
        <stp>PX391=20111001</stp>
        <stp>PX392=20111231</stp>
        <stp>DS004=USD</stp>
        <stp>Fill=B</stp>
        <tr r="AI216" s="3"/>
      </tp>
      <tp t="s">
        <v>#N/A Connection</v>
        <stp/>
        <stp>##V3_BDPV12</stp>
        <stp>WCARITI Index</stp>
        <stp>PX385</stp>
        <stp>[BI_AUTMG_1_l22cd4li.xlsx]ReferenceData!R186C13</stp>
        <stp>PX391=20170401</stp>
        <stp>PX392=20170630</stp>
        <stp>DS004=USD</stp>
        <stp>Fill=B</stp>
        <tr r="M186" s="3"/>
      </tp>
      <tp t="s">
        <v>#N/A Connection</v>
        <stp/>
        <stp>##V3_BDPV12</stp>
        <stp>TWVSDOM Index</stp>
        <stp>PX385</stp>
        <stp>[BI_AUTMG_1_l22cd4li.xlsx]ReferenceData!R173C46</stp>
        <stp>PX391=20090101</stp>
        <stp>PX392=20090331</stp>
        <stp>DS004=USD</stp>
        <stp>Fill=B</stp>
        <tr r="AT173" s="3"/>
      </tp>
      <tp t="s">
        <v>#N/A Connection</v>
        <stp/>
        <stp>##V3_BDPV12</stp>
        <stp>WCARGRI Index</stp>
        <stp>PX385</stp>
        <stp>[BI_AUTMG_1_l22cd4li.xlsx]ReferenceData!R183C10</stp>
        <stp>PX391=20180101</stp>
        <stp>PX392=20180331</stp>
        <stp>DS004=USD</stp>
        <stp>Fill=B</stp>
        <tr r="J183" s="3"/>
      </tp>
      <tp t="s">
        <v>#N/A Connection</v>
        <stp/>
        <stp>##V3_BDPV12</stp>
        <stp>WCARGRI Index</stp>
        <stp>PX385</stp>
        <stp>[BI_AUTMG_1_l22cd4li.xlsx]ReferenceData!R183C43</stp>
        <stp>PX391=20091001</stp>
        <stp>PX392=20091231</stp>
        <stp>DS004=USD</stp>
        <stp>Fill=B</stp>
        <tr r="AQ183" s="3"/>
      </tp>
      <tp t="s">
        <v>#N/A Connection</v>
        <stp/>
        <stp>##V3_BDPV12</stp>
        <stp>THVHSCAR Index</stp>
        <stp>PX385</stp>
        <stp>[BI_AUTMG_1_l22cd4li.xlsx]ReferenceData!R174C35</stp>
        <stp>PX391=20111001</stp>
        <stp>PX392=20111231</stp>
        <stp>DS004=USD</stp>
        <stp>Fill=B</stp>
        <tr r="AI174" s="3"/>
      </tp>
      <tp t="s">
        <v>#N/A Connection</v>
        <stp/>
        <stp>##V3_BDPV12</stp>
        <stp>WCARIEI Index</stp>
        <stp>PX385</stp>
        <stp>[BI_AUTMG_1_l22cd4li.xlsx]ReferenceData!R185C24</stp>
        <stp>PX391=20140701</stp>
        <stp>PX392=20140930</stp>
        <stp>DS004=USD</stp>
        <stp>Fill=B</stp>
        <tr r="X185" s="3"/>
      </tp>
      <tp t="s">
        <v>#N/A Connection</v>
        <stp/>
        <stp>##V3_BDPV12</stp>
        <stp>WCARDEI Index</stp>
        <stp>PX385</stp>
        <stp>[BI_AUTMG_1_l22cd4li.xlsx]ReferenceData!R182C46</stp>
        <stp>PX391=20090101</stp>
        <stp>PX392=20090331</stp>
        <stp>DS004=USD</stp>
        <stp>Fill=B</stp>
        <tr r="AT182" s="3"/>
      </tp>
      <tp t="s">
        <v>#N/A Connection</v>
        <stp/>
        <stp>##V3_BDPV12</stp>
        <stp>KNNVREG Index</stp>
        <stp>PX385</stp>
        <stp>[BI_AUTMG_1_l22cd4li.xlsx]ReferenceData!R216C31</stp>
        <stp>PX391=20121001</stp>
        <stp>PX392=20121231</stp>
        <stp>DS004=USD</stp>
        <stp>Fill=B</stp>
        <tr r="AE216" s="3"/>
      </tp>
      <tp t="s">
        <v>#N/A Connection</v>
        <stp/>
        <stp>##V3_BDPV12</stp>
        <stp>WCARITI Index</stp>
        <stp>PX385</stp>
        <stp>[BI_AUTMG_1_l22cd4li.xlsx]ReferenceData!R186C25</stp>
        <stp>PX391=20140401</stp>
        <stp>PX392=20140630</stp>
        <stp>DS004=USD</stp>
        <stp>Fill=B</stp>
        <tr r="Y186" s="3"/>
      </tp>
      <tp t="s">
        <v>#N/A Connection</v>
        <stp/>
        <stp>##V3_BDPV12</stp>
        <stp>THVHSCAR Index</stp>
        <stp>PX385</stp>
        <stp>[BI_AUTMG_1_l22cd4li.xlsx]ReferenceData!R174C31</stp>
        <stp>PX391=20121001</stp>
        <stp>PX392=20121231</stp>
        <stp>DS004=USD</stp>
        <stp>Fill=B</stp>
        <tr r="AE174" s="3"/>
      </tp>
      <tp t="s">
        <v>#N/A Connection</v>
        <stp/>
        <stp>##V3_BDPV12</stp>
        <stp>VNVSTOTL Index</stp>
        <stp>PX385</stp>
        <stp>[BI_AUTMG_1_l22cd4li.xlsx]ReferenceData!R214C49</stp>
        <stp>PX391=20080401</stp>
        <stp>PX392=20080630</stp>
        <stp>DS004=USD</stp>
        <stp>Fill=B</stp>
        <tr r="AW214" s="3"/>
      </tp>
      <tp t="s">
        <v>#N/A Connection</v>
        <stp/>
        <stp>##V3_BDPV12</stp>
        <stp>WCARIEI Index</stp>
        <stp>PX385</stp>
        <stp>[BI_AUTMG_1_l22cd4li.xlsx]ReferenceData!R185C20</stp>
        <stp>PX391=20150701</stp>
        <stp>PX392=20150930</stp>
        <stp>DS004=USD</stp>
        <stp>Fill=B</stp>
        <tr r="T185" s="3"/>
      </tp>
      <tp t="s">
        <v>#N/A Connection</v>
        <stp/>
        <stp>##V3_BDPV12</stp>
        <stp>WCARDEI Index</stp>
        <stp>PX385</stp>
        <stp>[BI_AUTMG_1_l22cd4li.xlsx]ReferenceData!R182C50</stp>
        <stp>PX391=20080101</stp>
        <stp>PX392=20080331</stp>
        <stp>DS004=USD</stp>
        <stp>Fill=B</stp>
        <tr r="AX182" s="3"/>
      </tp>
      <tp t="s">
        <v>#N/A Connection</v>
        <stp/>
        <stp>##V3_BDPV12</stp>
        <stp>KNNVREG Index</stp>
        <stp>PX385</stp>
        <stp>[BI_AUTMG_1_l22cd4li.xlsx]ReferenceData!R216C27</stp>
        <stp>PX391=20131001</stp>
        <stp>PX392=20131231</stp>
        <stp>DS004=USD</stp>
        <stp>Fill=B</stp>
        <tr r="AA216" s="3"/>
      </tp>
      <tp t="s">
        <v>#N/A Connection</v>
        <stp/>
        <stp>##V3_BDPV12</stp>
        <stp>WCARITI Index</stp>
        <stp>PX385</stp>
        <stp>[BI_AUTMG_1_l22cd4li.xlsx]ReferenceData!R186C21</stp>
        <stp>PX391=20150401</stp>
        <stp>PX392=20150630</stp>
        <stp>DS004=USD</stp>
        <stp>Fill=B</stp>
        <tr r="U186" s="3"/>
      </tp>
      <tp t="s">
        <v>#N/A Connection</v>
        <stp/>
        <stp>##V3_BDPV12</stp>
        <stp>THVHSCAR Index</stp>
        <stp>PX385</stp>
        <stp>[BI_AUTMG_1_l22cd4li.xlsx]ReferenceData!R174C27</stp>
        <stp>PX391=20131001</stp>
        <stp>PX392=20131231</stp>
        <stp>DS004=USD</stp>
        <stp>Fill=B</stp>
        <tr r="AA174" s="3"/>
      </tp>
      <tp t="s">
        <v>#N/A Connection</v>
        <stp/>
        <stp>##V3_BDPV12</stp>
        <stp>VNVSTOTL Index</stp>
        <stp>PX385</stp>
        <stp>[BI_AUTMG_1_l22cd4li.xlsx]ReferenceData!R214C45</stp>
        <stp>PX391=20090401</stp>
        <stp>PX392=20090630</stp>
        <stp>DS004=USD</stp>
        <stp>Fill=B</stp>
        <tr r="AS214" s="3"/>
      </tp>
      <tp t="s">
        <v>#N/A Connection</v>
        <stp/>
        <stp>##V3_BDPV12</stp>
        <stp>WCARDEI Index</stp>
        <stp>PX385</stp>
        <stp>[BI_AUTMG_1_l22cd4li.xlsx]ReferenceData!R182C15</stp>
        <stp>PX391=20161001</stp>
        <stp>PX392=20161231</stp>
        <stp>DS004=USD</stp>
        <stp>Fill=B</stp>
        <tr r="O182" s="3"/>
      </tp>
      <tp t="s">
        <v>#N/A Connection</v>
        <stp/>
        <stp>##V3_BDPV12</stp>
        <stp>WCARDEI Index</stp>
        <stp>PX385</stp>
        <stp>[BI_AUTMG_1_l22cd4li.xlsx]ReferenceData!R182C54</stp>
        <stp>PX391=20070101</stp>
        <stp>PX392=20070331</stp>
        <stp>DS004=USD</stp>
        <stp>Fill=B</stp>
        <tr r="BB182" s="3"/>
      </tp>
      <tp t="s">
        <v>#N/A Connection</v>
        <stp/>
        <stp>##V3_BDPV12</stp>
        <stp>WCARCHI Index</stp>
        <stp>PX385</stp>
        <stp>[BI_AUTMG_1_l22cd4li.xlsx]ReferenceData!R193C38</stp>
        <stp>PX391=20110101</stp>
        <stp>PX392=20110331</stp>
        <stp>DS004=USD</stp>
        <stp>Fill=B</stp>
        <tr r="AL193" s="3"/>
      </tp>
      <tp t="s">
        <v>#N/A Connection</v>
        <stp/>
        <stp>##V3_BDPV12</stp>
        <stp>WCARGRI Index</stp>
        <stp>PX385</stp>
        <stp>[BI_AUTMG_1_l22cd4li.xlsx]ReferenceData!R183C63</stp>
        <stp>PX391=20041001</stp>
        <stp>PX392=20041231</stp>
        <stp>DS004=USD</stp>
        <stp>Fill=B</stp>
        <tr r="BK183" s="3"/>
      </tp>
      <tp t="s">
        <v>#N/A Connection</v>
        <stp/>
        <stp>##V3_BDPV12</stp>
        <stp>WCARGRI Index</stp>
        <stp>PX385</stp>
        <stp>[BI_AUTMG_1_l22cd4li.xlsx]ReferenceData!R183C22</stp>
        <stp>PX391=20150101</stp>
        <stp>PX392=20150331</stp>
        <stp>DS004=USD</stp>
        <stp>Fill=B</stp>
        <tr r="V183" s="3"/>
      </tp>
      <tp t="s">
        <v>#N/A Connection</v>
        <stp/>
        <stp>##V3_BDPV12</stp>
        <stp>WCARATI Index</stp>
        <stp>PX385</stp>
        <stp>[BI_AUTMG_1_l22cd4li.xlsx]ReferenceData!R176C33</stp>
        <stp>PX391=20120401</stp>
        <stp>PX392=20120630</stp>
        <stp>DS004=USD</stp>
        <stp>Fill=B</stp>
        <tr r="AG176" s="3"/>
      </tp>
      <tp t="s">
        <v>#N/A Connection</v>
        <stp/>
        <stp>##V3_BDPV12</stp>
        <stp>CNVSTTL Index</stp>
        <stp>PX385</stp>
        <stp>[BI_AUTMG_1_l22cd4li.xlsx]ReferenceData!R162C34</stp>
        <stp>PX391=20120101</stp>
        <stp>PX392=20120331</stp>
        <stp>DS004=USD</stp>
        <stp>Fill=B</stp>
        <tr r="AH162" s="3"/>
      </tp>
      <tp t="s">
        <v>#N/A Connection</v>
        <stp/>
        <stp>##V3_BDPV12</stp>
        <stp>TWVSDOM Index</stp>
        <stp>PX385</stp>
        <stp>[BI_AUTMG_1_l22cd4li.xlsx]ReferenceData!R173C19</stp>
        <stp>PX391=20151001</stp>
        <stp>PX392=20151231</stp>
        <stp>DS004=USD</stp>
        <stp>Fill=B</stp>
        <tr r="S173" s="3"/>
      </tp>
      <tp t="s">
        <v>#N/A Connection</v>
        <stp/>
        <stp>##V3_BDPV12</stp>
        <stp>PHCSTOTL Index</stp>
        <stp>PX385</stp>
        <stp>[BI_AUTMG_1_l22cd4li.xlsx]ReferenceData!R170C36</stp>
        <stp>PX391=20110701</stp>
        <stp>PX392=20110930</stp>
        <stp>DS004=USD</stp>
        <stp>Fill=B</stp>
        <tr r="AJ170" s="3"/>
      </tp>
      <tp t="s">
        <v>#N/A Connection</v>
        <stp/>
        <stp>##V3_BDPV12</stp>
        <stp>VNVSTOTL Index</stp>
        <stp>PX385</stp>
        <stp>[BI_AUTMG_1_l22cd4li.xlsx]ReferenceData!R214C57</stp>
        <stp>PX391=20060401</stp>
        <stp>PX392=20060630</stp>
        <stp>DS004=USD</stp>
        <stp>Fill=B</stp>
        <tr r="BE214" s="3"/>
      </tp>
      <tp t="s">
        <v>#N/A Connection</v>
        <stp/>
        <stp>##V3_BDPV12</stp>
        <stp>WCARDEI Index</stp>
        <stp>PX385</stp>
        <stp>[BI_AUTMG_1_l22cd4li.xlsx]ReferenceData!R182C11</stp>
        <stp>PX391=20171001</stp>
        <stp>PX392=20171231</stp>
        <stp>DS004=USD</stp>
        <stp>Fill=B</stp>
        <tr r="K182" s="3"/>
      </tp>
      <tp t="s">
        <v>#N/A Connection</v>
        <stp/>
        <stp>##V3_BDPV12</stp>
        <stp>WCARDEI Index</stp>
        <stp>PX385</stp>
        <stp>[BI_AUTMG_1_l22cd4li.xlsx]ReferenceData!R182C58</stp>
        <stp>PX391=20060101</stp>
        <stp>PX392=20060331</stp>
        <stp>DS004=USD</stp>
        <stp>Fill=B</stp>
        <tr r="BF182" s="3"/>
      </tp>
      <tp t="s">
        <v>#N/A Connection</v>
        <stp/>
        <stp>##V3_BDPV12</stp>
        <stp>WCARCHI Index</stp>
        <stp>PX385</stp>
        <stp>[BI_AUTMG_1_l22cd4li.xlsx]ReferenceData!R193C42</stp>
        <stp>PX391=20100101</stp>
        <stp>PX392=20100331</stp>
        <stp>DS004=USD</stp>
        <stp>Fill=B</stp>
        <tr r="AP193" s="3"/>
      </tp>
      <tp t="s">
        <v>#N/A Connection</v>
        <stp/>
        <stp>##V3_BDPV12</stp>
        <stp>WCARGRI Index</stp>
        <stp>PX385</stp>
        <stp>[BI_AUTMG_1_l22cd4li.xlsx]ReferenceData!R183C59</stp>
        <stp>PX391=20051001</stp>
        <stp>PX392=20051231</stp>
        <stp>DS004=USD</stp>
        <stp>Fill=B</stp>
        <tr r="BG183" s="3"/>
      </tp>
      <tp t="s">
        <v>#N/A Connection</v>
        <stp/>
        <stp>##V3_BDPV12</stp>
        <stp>WCARGRI Index</stp>
        <stp>PX385</stp>
        <stp>[BI_AUTMG_1_l22cd4li.xlsx]ReferenceData!R183C26</stp>
        <stp>PX391=20140101</stp>
        <stp>PX392=20140331</stp>
        <stp>DS004=USD</stp>
        <stp>Fill=B</stp>
        <tr r="Z183" s="3"/>
      </tp>
      <tp t="s">
        <v>#N/A Connection</v>
        <stp/>
        <stp>##V3_BDPV12</stp>
        <stp>WCARATI Index</stp>
        <stp>PX385</stp>
        <stp>[BI_AUTMG_1_l22cd4li.xlsx]ReferenceData!R176C29</stp>
        <stp>PX391=20130401</stp>
        <stp>PX392=20130630</stp>
        <stp>DS004=USD</stp>
        <stp>Fill=B</stp>
        <tr r="AC176" s="3"/>
      </tp>
      <tp t="s">
        <v>#N/A Connection</v>
        <stp/>
        <stp>##V3_BDPV12</stp>
        <stp>TWVSDOM Index</stp>
        <stp>PX385</stp>
        <stp>[BI_AUTMG_1_l22cd4li.xlsx]ReferenceData!R173C62</stp>
        <stp>PX391=20050101</stp>
        <stp>PX392=20050331</stp>
        <stp>DS004=USD</stp>
        <stp>Fill=B</stp>
        <tr r="BJ173" s="3"/>
      </tp>
      <tp t="s">
        <v>#N/A Connection</v>
        <stp/>
        <stp>##V3_BDPV12</stp>
        <stp>CNVSTTL Index</stp>
        <stp>PX385</stp>
        <stp>[BI_AUTMG_1_l22cd4li.xlsx]ReferenceData!R162C30</stp>
        <stp>PX391=20130101</stp>
        <stp>PX392=20130331</stp>
        <stp>DS004=USD</stp>
        <stp>Fill=B</stp>
        <tr r="AD162" s="3"/>
      </tp>
      <tp t="s">
        <v>#N/A Connection</v>
        <stp/>
        <stp>##V3_BDPV12</stp>
        <stp>TWVSDOM Index</stp>
        <stp>PX385</stp>
        <stp>[BI_AUTMG_1_l22cd4li.xlsx]ReferenceData!R173C23</stp>
        <stp>PX391=20141001</stp>
        <stp>PX392=20141231</stp>
        <stp>DS004=USD</stp>
        <stp>Fill=B</stp>
        <tr r="W173" s="3"/>
      </tp>
      <tp t="s">
        <v>#N/A Connection</v>
        <stp/>
        <stp>##V3_BDPV12</stp>
        <stp>PHCSTOTL Index</stp>
        <stp>PX385</stp>
        <stp>[BI_AUTMG_1_l22cd4li.xlsx]ReferenceData!R170C40</stp>
        <stp>PX391=20100701</stp>
        <stp>PX392=20100930</stp>
        <stp>DS004=USD</stp>
        <stp>Fill=B</stp>
        <tr r="AN170" s="3"/>
      </tp>
      <tp t="s">
        <v>#N/A Connection</v>
        <stp/>
        <stp>##V3_BDPV12</stp>
        <stp>VNVSTOTL Index</stp>
        <stp>PX385</stp>
        <stp>[BI_AUTMG_1_l22cd4li.xlsx]ReferenceData!R214C53</stp>
        <stp>PX391=20070401</stp>
        <stp>PX392=20070630</stp>
        <stp>DS004=USD</stp>
        <stp>Fill=B</stp>
        <tr r="BA214" s="3"/>
      </tp>
      <tp t="s">
        <v>#N/A Connection</v>
        <stp/>
        <stp>##V3_BDPV12</stp>
        <stp>WCARDEI Index</stp>
        <stp>PX385</stp>
        <stp>[BI_AUTMG_1_l22cd4li.xlsx]ReferenceData!R182C23</stp>
        <stp>PX391=20141001</stp>
        <stp>PX392=20141231</stp>
        <stp>DS004=USD</stp>
        <stp>Fill=B</stp>
        <tr r="W182" s="3"/>
      </tp>
      <tp t="s">
        <v>#N/A Connection</v>
        <stp/>
        <stp>##V3_BDPV12</stp>
        <stp>WCARDEI Index</stp>
        <stp>PX385</stp>
        <stp>[BI_AUTMG_1_l22cd4li.xlsx]ReferenceData!R182C62</stp>
        <stp>PX391=20050101</stp>
        <stp>PX392=20050331</stp>
        <stp>DS004=USD</stp>
        <stp>Fill=B</stp>
        <tr r="BJ182" s="3"/>
      </tp>
      <tp t="s">
        <v>#N/A Connection</v>
        <stp/>
        <stp>##V3_BDPV12</stp>
        <stp>WCARCHI Index</stp>
        <stp>PX385</stp>
        <stp>[BI_AUTMG_1_l22cd4li.xlsx]ReferenceData!R193C30</stp>
        <stp>PX391=20130101</stp>
        <stp>PX392=20130331</stp>
        <stp>DS004=USD</stp>
        <stp>Fill=B</stp>
        <tr r="AD193" s="3"/>
      </tp>
      <tp t="s">
        <v>#N/A Connection</v>
        <stp/>
        <stp>##V3_BDPV12</stp>
        <stp>WCARGRI Index</stp>
        <stp>PX385</stp>
        <stp>[BI_AUTMG_1_l22cd4li.xlsx]ReferenceData!R183C55</stp>
        <stp>PX391=20061001</stp>
        <stp>PX392=20061231</stp>
        <stp>DS004=USD</stp>
        <stp>Fill=B</stp>
        <tr r="BC183" s="3"/>
      </tp>
      <tp t="s">
        <v>#N/A Connection</v>
        <stp/>
        <stp>##V3_BDPV12</stp>
        <stp>WCARATI Index</stp>
        <stp>PX385</stp>
        <stp>[BI_AUTMG_1_l22cd4li.xlsx]ReferenceData!R176C41</stp>
        <stp>PX391=20100401</stp>
        <stp>PX392=20100630</stp>
        <stp>DS004=USD</stp>
        <stp>Fill=B</stp>
        <tr r="AO176" s="3"/>
      </tp>
      <tp t="s">
        <v>#N/A Connection</v>
        <stp/>
        <stp>##V3_BDPV12</stp>
        <stp>WCARGRI Index</stp>
        <stp>PX385</stp>
        <stp>[BI_AUTMG_1_l22cd4li.xlsx]ReferenceData!R183C14</stp>
        <stp>PX391=20170101</stp>
        <stp>PX392=20170331</stp>
        <stp>DS004=USD</stp>
        <stp>Fill=B</stp>
        <tr r="N183" s="3"/>
      </tp>
      <tp t="s">
        <v>#N/A Connection</v>
        <stp/>
        <stp>##V3_BDPV12</stp>
        <stp>TWVSDOM Index</stp>
        <stp>PX385</stp>
        <stp>[BI_AUTMG_1_l22cd4li.xlsx]ReferenceData!R173C58</stp>
        <stp>PX391=20060101</stp>
        <stp>PX392=20060331</stp>
        <stp>DS004=USD</stp>
        <stp>Fill=B</stp>
        <tr r="BF173" s="3"/>
      </tp>
      <tp t="s">
        <v>#N/A Connection</v>
        <stp/>
        <stp>##V3_BDPV12</stp>
        <stp>TWVSDOM Index</stp>
        <stp>PX385</stp>
        <stp>[BI_AUTMG_1_l22cd4li.xlsx]ReferenceData!R173C11</stp>
        <stp>PX391=20171001</stp>
        <stp>PX392=20171231</stp>
        <stp>DS004=USD</stp>
        <stp>Fill=B</stp>
        <tr r="K173" s="3"/>
      </tp>
      <tp t="s">
        <v>#N/A Connection</v>
        <stp/>
        <stp>##V3_BDPV12</stp>
        <stp>CNVSTTL Index</stp>
        <stp>PX385</stp>
        <stp>[BI_AUTMG_1_l22cd4li.xlsx]ReferenceData!R162C42</stp>
        <stp>PX391=20100101</stp>
        <stp>PX392=20100331</stp>
        <stp>DS004=USD</stp>
        <stp>Fill=B</stp>
        <tr r="AP162" s="3"/>
      </tp>
      <tp t="s">
        <v>#N/A Connection</v>
        <stp/>
        <stp>##V3_BDPV12</stp>
        <stp>PHCSTOTL Index</stp>
        <stp>PX385</stp>
        <stp>[BI_AUTMG_1_l22cd4li.xlsx]ReferenceData!R170C28</stp>
        <stp>PX391=20130701</stp>
        <stp>PX392=20130930</stp>
        <stp>DS004=USD</stp>
        <stp>Fill=B</stp>
        <tr r="AB170" s="3"/>
      </tp>
      <tp t="s">
        <v>#N/A Connection</v>
        <stp/>
        <stp>##V3_BDPV12</stp>
        <stp>VNVSTOTL Index</stp>
        <stp>PX385</stp>
        <stp>[BI_AUTMG_1_l22cd4li.xlsx]ReferenceData!R214C65</stp>
        <stp>PX391=20040401</stp>
        <stp>PX392=20040630</stp>
        <stp>DS004=USD</stp>
        <stp>Fill=B</stp>
        <tr r="BM214" s="3"/>
      </tp>
      <tp t="s">
        <v>#N/A Connection</v>
        <stp/>
        <stp>##V3_BDPV12</stp>
        <stp>WCARDEI Index</stp>
        <stp>PX385</stp>
        <stp>[BI_AUTMG_1_l22cd4li.xlsx]ReferenceData!R182C19</stp>
        <stp>PX391=20151001</stp>
        <stp>PX392=20151231</stp>
        <stp>DS004=USD</stp>
        <stp>Fill=B</stp>
        <tr r="S182" s="3"/>
      </tp>
      <tp t="s">
        <v>#N/A Connection</v>
        <stp/>
        <stp>##V3_BDPV12</stp>
        <stp>WCARCHI Index</stp>
        <stp>PX385</stp>
        <stp>[BI_AUTMG_1_l22cd4li.xlsx]ReferenceData!R193C34</stp>
        <stp>PX391=20120101</stp>
        <stp>PX392=20120331</stp>
        <stp>DS004=USD</stp>
        <stp>Fill=B</stp>
        <tr r="AH193" s="3"/>
      </tp>
      <tp t="s">
        <v>#N/A Connection</v>
        <stp/>
        <stp>##V3_BDPV12</stp>
        <stp>WCARGRI Index</stp>
        <stp>PX385</stp>
        <stp>[BI_AUTMG_1_l22cd4li.xlsx]ReferenceData!R183C51</stp>
        <stp>PX391=20071001</stp>
        <stp>PX392=20071231</stp>
        <stp>DS004=USD</stp>
        <stp>Fill=B</stp>
        <tr r="AY183" s="3"/>
      </tp>
      <tp t="s">
        <v>#N/A Connection</v>
        <stp/>
        <stp>##V3_BDPV12</stp>
        <stp>WCARGRI Index</stp>
        <stp>PX385</stp>
        <stp>[BI_AUTMG_1_l22cd4li.xlsx]ReferenceData!R183C18</stp>
        <stp>PX391=20160101</stp>
        <stp>PX392=20160331</stp>
        <stp>DS004=USD</stp>
        <stp>Fill=B</stp>
        <tr r="R183" s="3"/>
      </tp>
      <tp t="s">
        <v>#N/A Connection</v>
        <stp/>
        <stp>##V3_BDPV12</stp>
        <stp>WCARATI Index</stp>
        <stp>PX385</stp>
        <stp>[BI_AUTMG_1_l22cd4li.xlsx]ReferenceData!R176C37</stp>
        <stp>PX391=20110401</stp>
        <stp>PX392=20110630</stp>
        <stp>DS004=USD</stp>
        <stp>Fill=B</stp>
        <tr r="AK176" s="3"/>
      </tp>
      <tp t="s">
        <v>#N/A Connection</v>
        <stp/>
        <stp>##V3_BDPV12</stp>
        <stp>TWVSDOM Index</stp>
        <stp>PX385</stp>
        <stp>[BI_AUTMG_1_l22cd4li.xlsx]ReferenceData!R173C54</stp>
        <stp>PX391=20070101</stp>
        <stp>PX392=20070331</stp>
        <stp>DS004=USD</stp>
        <stp>Fill=B</stp>
        <tr r="BB173" s="3"/>
      </tp>
      <tp t="s">
        <v>#N/A Connection</v>
        <stp/>
        <stp>##V3_BDPV12</stp>
        <stp>CNVSTTL Index</stp>
        <stp>PX385</stp>
        <stp>[BI_AUTMG_1_l22cd4li.xlsx]ReferenceData!R162C38</stp>
        <stp>PX391=20110101</stp>
        <stp>PX392=20110331</stp>
        <stp>DS004=USD</stp>
        <stp>Fill=B</stp>
        <tr r="AL162" s="3"/>
      </tp>
      <tp t="s">
        <v>#N/A Connection</v>
        <stp/>
        <stp>##V3_BDPV12</stp>
        <stp>TWVSDOM Index</stp>
        <stp>PX385</stp>
        <stp>[BI_AUTMG_1_l22cd4li.xlsx]ReferenceData!R173C15</stp>
        <stp>PX391=20161001</stp>
        <stp>PX392=20161231</stp>
        <stp>DS004=USD</stp>
        <stp>Fill=B</stp>
        <tr r="O173" s="3"/>
      </tp>
      <tp t="s">
        <v>#N/A Connection</v>
        <stp/>
        <stp>##V3_BDPV12</stp>
        <stp>PHCSTOTL Index</stp>
        <stp>PX385</stp>
        <stp>[BI_AUTMG_1_l22cd4li.xlsx]ReferenceData!R170C32</stp>
        <stp>PX391=20120701</stp>
        <stp>PX392=20120930</stp>
        <stp>DS004=USD</stp>
        <stp>Fill=B</stp>
        <tr r="AF170" s="3"/>
      </tp>
      <tp t="s">
        <v>#N/A Connection</v>
        <stp/>
        <stp>##V3_BDPV12</stp>
        <stp>VNVSTOTL Index</stp>
        <stp>PX385</stp>
        <stp>[BI_AUTMG_1_l22cd4li.xlsx]ReferenceData!R214C61</stp>
        <stp>PX391=20050401</stp>
        <stp>PX392=20050630</stp>
        <stp>DS004=USD</stp>
        <stp>Fill=B</stp>
        <tr r="BI214" s="3"/>
      </tp>
      <tp t="s">
        <v>#N/A Connection</v>
        <stp/>
        <stp>##V3_BDPV12</stp>
        <stp>WCARDEI Index</stp>
        <stp>PX385</stp>
        <stp>[BI_AUTMG_1_l22cd4li.xlsx]ReferenceData!R182C31</stp>
        <stp>PX391=20121001</stp>
        <stp>PX392=20121231</stp>
        <stp>DS004=USD</stp>
        <stp>Fill=B</stp>
        <tr r="AE182" s="3"/>
      </tp>
      <tp t="s">
        <v>#N/A Connection</v>
        <stp/>
        <stp>##V3_BDPV12</stp>
        <stp>KNNVREG Index</stp>
        <stp>PX385</stp>
        <stp>[BI_AUTMG_1_l22cd4li.xlsx]ReferenceData!R216C46</stp>
        <stp>PX391=20090101</stp>
        <stp>PX392=20090331</stp>
        <stp>DS004=USD</stp>
        <stp>Fill=B</stp>
        <tr r="AT216" s="3"/>
      </tp>
      <tp t="s">
        <v>#N/A Connection</v>
        <stp/>
        <stp>##V3_BDPV12</stp>
        <stp>WCARBEI Index</stp>
        <stp>PX385</stp>
        <stp>[BI_AUTMG_1_l22cd4li.xlsx]ReferenceData!R177C65</stp>
        <stp>PX391=20040401</stp>
        <stp>PX392=20040630</stp>
        <stp>DS004=USD</stp>
        <stp>Fill=B</stp>
        <tr r="BM177" s="3"/>
      </tp>
      <tp t="s">
        <v>#N/A Connection</v>
        <stp/>
        <stp>##V3_BDPV12</stp>
        <stp>WCARCHI Index</stp>
        <stp>PX385</stp>
        <stp>[BI_AUTMG_1_l22cd4li.xlsx]ReferenceData!R193C63</stp>
        <stp>PX391=20041001</stp>
        <stp>PX392=20041231</stp>
        <stp>DS004=USD</stp>
        <stp>Fill=B</stp>
        <tr r="BK193" s="3"/>
      </tp>
      <tp t="s">
        <v>#N/A Connection</v>
        <stp/>
        <stp>##V3_BDPV12</stp>
        <stp>WCARCHI Index</stp>
        <stp>PX385</stp>
        <stp>[BI_AUTMG_1_l22cd4li.xlsx]ReferenceData!R193C22</stp>
        <stp>PX391=20150101</stp>
        <stp>PX392=20150331</stp>
        <stp>DS004=USD</stp>
        <stp>Fill=B</stp>
        <tr r="V193" s="3"/>
      </tp>
      <tp t="s">
        <v>#N/A Connection</v>
        <stp/>
        <stp>##V3_BDPV12</stp>
        <stp>WCARGRI Index</stp>
        <stp>PX385</stp>
        <stp>[BI_AUTMG_1_l22cd4li.xlsx]ReferenceData!R183C38</stp>
        <stp>PX391=20110101</stp>
        <stp>PX392=20110331</stp>
        <stp>DS004=USD</stp>
        <stp>Fill=B</stp>
        <tr r="AL183" s="3"/>
      </tp>
      <tp t="s">
        <v>#N/A Connection</v>
        <stp/>
        <stp>##V3_BDPV12</stp>
        <stp>WCARATI Index</stp>
        <stp>PX385</stp>
        <stp>[BI_AUTMG_1_l22cd4li.xlsx]ReferenceData!R176C17</stp>
        <stp>PX391=20160401</stp>
        <stp>PX392=20160630</stp>
        <stp>DS004=USD</stp>
        <stp>Fill=B</stp>
        <tr r="Q176" s="3"/>
      </tp>
      <tp t="s">
        <v>#N/A Connection</v>
        <stp/>
        <stp>##V3_BDPV12</stp>
        <stp>TWVSDOM Index</stp>
        <stp>PX385</stp>
        <stp>[BI_AUTMG_1_l22cd4li.xlsx]ReferenceData!R173C35</stp>
        <stp>PX391=20111001</stp>
        <stp>PX392=20111231</stp>
        <stp>DS004=USD</stp>
        <stp>Fill=B</stp>
        <tr r="AI173" s="3"/>
      </tp>
      <tp t="s">
        <v>#N/A Connection</v>
        <stp/>
        <stp>##V3_BDPV12</stp>
        <stp>CNVSTTL Index</stp>
        <stp>PX385</stp>
        <stp>[BI_AUTMG_1_l22cd4li.xlsx]ReferenceData!R162C51</stp>
        <stp>PX391=20071001</stp>
        <stp>PX392=20071231</stp>
        <stp>DS004=USD</stp>
        <stp>Fill=B</stp>
        <tr r="AY162" s="3"/>
      </tp>
      <tp t="s">
        <v>#N/A Connection</v>
        <stp/>
        <stp>##V3_BDPV12</stp>
        <stp>CNVSTTL Index</stp>
        <stp>PX385</stp>
        <stp>[BI_AUTMG_1_l22cd4li.xlsx]ReferenceData!R162C18</stp>
        <stp>PX391=20160101</stp>
        <stp>PX392=20160331</stp>
        <stp>DS004=USD</stp>
        <stp>Fill=B</stp>
        <tr r="R162" s="3"/>
      </tp>
      <tp t="s">
        <v>#N/A Connection</v>
        <stp/>
        <stp>##V3_BDPV12</stp>
        <stp>THVHSCAR Index</stp>
        <stp>PX385</stp>
        <stp>[BI_AUTMG_1_l22cd4li.xlsx]ReferenceData!R174C46</stp>
        <stp>PX391=20090101</stp>
        <stp>PX392=20090331</stp>
        <stp>DS004=USD</stp>
        <stp>Fill=B</stp>
        <tr r="AT174" s="3"/>
      </tp>
      <tp t="s">
        <v>#N/A Connection</v>
        <stp/>
        <stp>##V3_BDPV12</stp>
        <stp>PHCSTOTL Index</stp>
        <stp>PX385</stp>
        <stp>[BI_AUTMG_1_l22cd4li.xlsx]ReferenceData!R170C20</stp>
        <stp>PX391=20150701</stp>
        <stp>PX392=20150930</stp>
        <stp>DS004=USD</stp>
        <stp>Fill=B</stp>
        <tr r="T170" s="3"/>
      </tp>
      <tp t="s">
        <v>#N/A Connection</v>
        <stp/>
        <stp>##V3_BDPV12</stp>
        <stp>WCARDEI Index</stp>
        <stp>PX385</stp>
        <stp>[BI_AUTMG_1_l22cd4li.xlsx]ReferenceData!R182C27</stp>
        <stp>PX391=20131001</stp>
        <stp>PX392=20131231</stp>
        <stp>DS004=USD</stp>
        <stp>Fill=B</stp>
        <tr r="AA182" s="3"/>
      </tp>
      <tp t="s">
        <v>#N/A Connection</v>
        <stp/>
        <stp>##V3_BDPV12</stp>
        <stp>WCARBEI Index</stp>
        <stp>PX385</stp>
        <stp>[BI_AUTMG_1_l22cd4li.xlsx]ReferenceData!R177C61</stp>
        <stp>PX391=20050401</stp>
        <stp>PX392=20050630</stp>
        <stp>DS004=USD</stp>
        <stp>Fill=B</stp>
        <tr r="BI177" s="3"/>
      </tp>
      <tp t="s">
        <v>#N/A Connection</v>
        <stp/>
        <stp>##V3_BDPV12</stp>
        <stp>KNNVREG Index</stp>
        <stp>PX385</stp>
        <stp>[BI_AUTMG_1_l22cd4li.xlsx]ReferenceData!R216C50</stp>
        <stp>PX391=20080101</stp>
        <stp>PX392=20080331</stp>
        <stp>DS004=USD</stp>
        <stp>Fill=B</stp>
        <tr r="AX216" s="3"/>
      </tp>
      <tp t="s">
        <v>#N/A Connection</v>
        <stp/>
        <stp>##V3_BDPV12</stp>
        <stp>WCARCHI Index</stp>
        <stp>PX385</stp>
        <stp>[BI_AUTMG_1_l22cd4li.xlsx]ReferenceData!R193C59</stp>
        <stp>PX391=20051001</stp>
        <stp>PX392=20051231</stp>
        <stp>DS004=USD</stp>
        <stp>Fill=B</stp>
        <tr r="BG193" s="3"/>
      </tp>
      <tp t="s">
        <v>#N/A Connection</v>
        <stp/>
        <stp>##V3_BDPV12</stp>
        <stp>WCARCHI Index</stp>
        <stp>PX385</stp>
        <stp>[BI_AUTMG_1_l22cd4li.xlsx]ReferenceData!R193C26</stp>
        <stp>PX391=20140101</stp>
        <stp>PX392=20140331</stp>
        <stp>DS004=USD</stp>
        <stp>Fill=B</stp>
        <tr r="Z193" s="3"/>
      </tp>
      <tp t="s">
        <v>#N/A Connection</v>
        <stp/>
        <stp>##V3_BDPV12</stp>
        <stp>WCARATI Index</stp>
        <stp>PX385</stp>
        <stp>[BI_AUTMG_1_l22cd4li.xlsx]ReferenceData!R176C13</stp>
        <stp>PX391=20170401</stp>
        <stp>PX392=20170630</stp>
        <stp>DS004=USD</stp>
        <stp>Fill=B</stp>
        <tr r="M176" s="3"/>
      </tp>
      <tp t="s">
        <v>#N/A Connection</v>
        <stp/>
        <stp>##V3_BDPV12</stp>
        <stp>WCARGRI Index</stp>
        <stp>PX385</stp>
        <stp>[BI_AUTMG_1_l22cd4li.xlsx]ReferenceData!R183C42</stp>
        <stp>PX391=20100101</stp>
        <stp>PX392=20100331</stp>
        <stp>DS004=USD</stp>
        <stp>Fill=B</stp>
        <tr r="AP183" s="3"/>
      </tp>
      <tp t="s">
        <v>#N/A Connection</v>
        <stp/>
        <stp>##V3_BDPV12</stp>
        <stp>TWVSDOM Index</stp>
        <stp>PX385</stp>
        <stp>[BI_AUTMG_1_l22cd4li.xlsx]ReferenceData!R173C39</stp>
        <stp>PX391=20101001</stp>
        <stp>PX392=20101231</stp>
        <stp>DS004=USD</stp>
        <stp>Fill=B</stp>
        <tr r="AM173" s="3"/>
      </tp>
      <tp t="s">
        <v>#N/A Connection</v>
        <stp/>
        <stp>##V3_BDPV12</stp>
        <stp>CNVSTTL Index</stp>
        <stp>PX385</stp>
        <stp>[BI_AUTMG_1_l22cd4li.xlsx]ReferenceData!R162C55</stp>
        <stp>PX391=20061001</stp>
        <stp>PX392=20061231</stp>
        <stp>DS004=USD</stp>
        <stp>Fill=B</stp>
        <tr r="BC162" s="3"/>
      </tp>
      <tp t="s">
        <v>#N/A Connection</v>
        <stp/>
        <stp>##V3_BDPV12</stp>
        <stp>CNVSTTL Index</stp>
        <stp>PX385</stp>
        <stp>[BI_AUTMG_1_l22cd4li.xlsx]ReferenceData!R162C14</stp>
        <stp>PX391=20170101</stp>
        <stp>PX392=20170331</stp>
        <stp>DS004=USD</stp>
        <stp>Fill=B</stp>
        <tr r="N162" s="3"/>
      </tp>
      <tp t="s">
        <v>#N/A Connection</v>
        <stp/>
        <stp>##V3_BDPV12</stp>
        <stp>THVHSCAR Index</stp>
        <stp>PX385</stp>
        <stp>[BI_AUTMG_1_l22cd4li.xlsx]ReferenceData!R174C50</stp>
        <stp>PX391=20080101</stp>
        <stp>PX392=20080331</stp>
        <stp>DS004=USD</stp>
        <stp>Fill=B</stp>
        <tr r="AX174" s="3"/>
      </tp>
      <tp t="s">
        <v>#N/A Connection</v>
        <stp/>
        <stp>##V3_BDPV12</stp>
        <stp>PHCSTOTL Index</stp>
        <stp>PX385</stp>
        <stp>[BI_AUTMG_1_l22cd4li.xlsx]ReferenceData!R170C24</stp>
        <stp>PX391=20140701</stp>
        <stp>PX392=20140930</stp>
        <stp>DS004=USD</stp>
        <stp>Fill=B</stp>
        <tr r="X170" s="3"/>
      </tp>
      <tp t="s">
        <v>#N/A Connection</v>
        <stp/>
        <stp>##V3_BDPV12</stp>
        <stp>WCARBEI Index</stp>
        <stp>PX385</stp>
        <stp>[BI_AUTMG_1_l22cd4li.xlsx]ReferenceData!R177C57</stp>
        <stp>PX391=20060401</stp>
        <stp>PX392=20060630</stp>
        <stp>DS004=USD</stp>
        <stp>Fill=B</stp>
        <tr r="BE177" s="3"/>
      </tp>
      <tp t="s">
        <v>#N/A Connection</v>
        <stp/>
        <stp>##V3_BDPV12</stp>
        <stp>WCARDEI Index</stp>
        <stp>PX385</stp>
        <stp>[BI_AUTMG_1_l22cd4li.xlsx]ReferenceData!R182C39</stp>
        <stp>PX391=20101001</stp>
        <stp>PX392=20101231</stp>
        <stp>DS004=USD</stp>
        <stp>Fill=B</stp>
        <tr r="AM182" s="3"/>
      </tp>
      <tp t="s">
        <v>#N/A Connection</v>
        <stp/>
        <stp>##V3_BDPV12</stp>
        <stp>WCARCHI Index</stp>
        <stp>PX385</stp>
        <stp>[BI_AUTMG_1_l22cd4li.xlsx]ReferenceData!R193C55</stp>
        <stp>PX391=20061001</stp>
        <stp>PX392=20061231</stp>
        <stp>DS004=USD</stp>
        <stp>Fill=B</stp>
        <tr r="BC193" s="3"/>
      </tp>
      <tp t="s">
        <v>#N/A Connection</v>
        <stp/>
        <stp>##V3_BDPV12</stp>
        <stp>WCARCHI Index</stp>
        <stp>PX385</stp>
        <stp>[BI_AUTMG_1_l22cd4li.xlsx]ReferenceData!R193C14</stp>
        <stp>PX391=20170101</stp>
        <stp>PX392=20170331</stp>
        <stp>DS004=USD</stp>
        <stp>Fill=B</stp>
        <tr r="N193" s="3"/>
      </tp>
      <tp t="s">
        <v>#N/A Connection</v>
        <stp/>
        <stp>##V3_BDPV12</stp>
        <stp>WCARGRI Index</stp>
        <stp>PX385</stp>
        <stp>[BI_AUTMG_1_l22cd4li.xlsx]ReferenceData!R183C30</stp>
        <stp>PX391=20130101</stp>
        <stp>PX392=20130331</stp>
        <stp>DS004=USD</stp>
        <stp>Fill=B</stp>
        <tr r="AD183" s="3"/>
      </tp>
      <tp t="s">
        <v>#N/A Connection</v>
        <stp/>
        <stp>##V3_BDPV12</stp>
        <stp>WCARATI Index</stp>
        <stp>PX385</stp>
        <stp>[BI_AUTMG_1_l22cd4li.xlsx]ReferenceData!R176C25</stp>
        <stp>PX391=20140401</stp>
        <stp>PX392=20140630</stp>
        <stp>DS004=USD</stp>
        <stp>Fill=B</stp>
        <tr r="Y176" s="3"/>
      </tp>
      <tp t="s">
        <v>#N/A Connection</v>
        <stp/>
        <stp>##V3_BDPV12</stp>
        <stp>CNVSTTL Index</stp>
        <stp>PX385</stp>
        <stp>[BI_AUTMG_1_l22cd4li.xlsx]ReferenceData!R162C59</stp>
        <stp>PX391=20051001</stp>
        <stp>PX392=20051231</stp>
        <stp>DS004=USD</stp>
        <stp>Fill=B</stp>
        <tr r="BG162" s="3"/>
      </tp>
      <tp t="s">
        <v>#N/A Connection</v>
        <stp/>
        <stp>##V3_BDPV12</stp>
        <stp>WCARLUI Index</stp>
        <stp>PX385</stp>
        <stp>[BI_AUTMG_1_l22cd4li.xlsx]ReferenceData!R187C49</stp>
        <stp>PX391=20080401</stp>
        <stp>PX392=20080630</stp>
        <stp>DS004=USD</stp>
        <stp>Fill=B</stp>
        <tr r="AW187" s="3"/>
      </tp>
      <tp t="s">
        <v>#N/A Connection</v>
        <stp/>
        <stp>##V3_BDPV12</stp>
        <stp>TWVSDOM Index</stp>
        <stp>PX385</stp>
        <stp>[BI_AUTMG_1_l22cd4li.xlsx]ReferenceData!R173C27</stp>
        <stp>PX391=20131001</stp>
        <stp>PX392=20131231</stp>
        <stp>DS004=USD</stp>
        <stp>Fill=B</stp>
        <tr r="AA173" s="3"/>
      </tp>
      <tp t="s">
        <v>#N/A Connection</v>
        <stp/>
        <stp>##V3_BDPV12</stp>
        <stp>CNVSTTL Index</stp>
        <stp>PX385</stp>
        <stp>[BI_AUTMG_1_l22cd4li.xlsx]ReferenceData!R162C26</stp>
        <stp>PX391=20140101</stp>
        <stp>PX392=20140331</stp>
        <stp>DS004=USD</stp>
        <stp>Fill=B</stp>
        <tr r="Z162" s="3"/>
      </tp>
      <tp t="s">
        <v>#N/A Connection</v>
        <stp/>
        <stp>##V3_BDPV12</stp>
        <stp>PHCSTOTL Index</stp>
        <stp>PX385</stp>
        <stp>[BI_AUTMG_1_l22cd4li.xlsx]ReferenceData!R170C12</stp>
        <stp>PX391=20170701</stp>
        <stp>PX392=20170930</stp>
        <stp>DS004=USD</stp>
        <stp>Fill=B</stp>
        <tr r="L170" s="3"/>
      </tp>
      <tp t="s">
        <v>#N/A Connection</v>
        <stp/>
        <stp>##V3_BDPV12</stp>
        <stp>WCARDEI Index</stp>
        <stp>PX385</stp>
        <stp>[BI_AUTMG_1_l22cd4li.xlsx]ReferenceData!R182C35</stp>
        <stp>PX391=20111001</stp>
        <stp>PX392=20111231</stp>
        <stp>DS004=USD</stp>
        <stp>Fill=B</stp>
        <tr r="AI182" s="3"/>
      </tp>
      <tp t="s">
        <v>#N/A Connection</v>
        <stp/>
        <stp>##V3_BDPV12</stp>
        <stp>WCARBEI Index</stp>
        <stp>PX385</stp>
        <stp>[BI_AUTMG_1_l22cd4li.xlsx]ReferenceData!R177C53</stp>
        <stp>PX391=20070401</stp>
        <stp>PX392=20070630</stp>
        <stp>DS004=USD</stp>
        <stp>Fill=B</stp>
        <tr r="BA177" s="3"/>
      </tp>
      <tp t="s">
        <v>#N/A Connection</v>
        <stp/>
        <stp>##V3_BDPV12</stp>
        <stp>WCARCHI Index</stp>
        <stp>PX385</stp>
        <stp>[BI_AUTMG_1_l22cd4li.xlsx]ReferenceData!R193C51</stp>
        <stp>PX391=20071001</stp>
        <stp>PX392=20071231</stp>
        <stp>DS004=USD</stp>
        <stp>Fill=B</stp>
        <tr r="AY193" s="3"/>
      </tp>
      <tp t="s">
        <v>#N/A Connection</v>
        <stp/>
        <stp>##V3_BDPV12</stp>
        <stp>WCARCHI Index</stp>
        <stp>PX385</stp>
        <stp>[BI_AUTMG_1_l22cd4li.xlsx]ReferenceData!R193C18</stp>
        <stp>PX391=20160101</stp>
        <stp>PX392=20160331</stp>
        <stp>DS004=USD</stp>
        <stp>Fill=B</stp>
        <tr r="R193" s="3"/>
      </tp>
      <tp t="s">
        <v>#N/A Connection</v>
        <stp/>
        <stp>##V3_BDPV12</stp>
        <stp>WCARGRI Index</stp>
        <stp>PX385</stp>
        <stp>[BI_AUTMG_1_l22cd4li.xlsx]ReferenceData!R183C34</stp>
        <stp>PX391=20120101</stp>
        <stp>PX392=20120331</stp>
        <stp>DS004=USD</stp>
        <stp>Fill=B</stp>
        <tr r="AH183" s="3"/>
      </tp>
      <tp t="s">
        <v>#N/A Connection</v>
        <stp/>
        <stp>##V3_BDPV12</stp>
        <stp>WCARATI Index</stp>
        <stp>PX385</stp>
        <stp>[BI_AUTMG_1_l22cd4li.xlsx]ReferenceData!R176C21</stp>
        <stp>PX391=20150401</stp>
        <stp>PX392=20150630</stp>
        <stp>DS004=USD</stp>
        <stp>Fill=B</stp>
        <tr r="U176" s="3"/>
      </tp>
      <tp t="s">
        <v>#N/A Connection</v>
        <stp/>
        <stp>##V3_BDPV12</stp>
        <stp>WCARLUI Index</stp>
        <stp>PX385</stp>
        <stp>[BI_AUTMG_1_l22cd4li.xlsx]ReferenceData!R187C45</stp>
        <stp>PX391=20090401</stp>
        <stp>PX392=20090630</stp>
        <stp>DS004=USD</stp>
        <stp>Fill=B</stp>
        <tr r="AS187" s="3"/>
      </tp>
      <tp t="s">
        <v>#N/A Connection</v>
        <stp/>
        <stp>##V3_BDPV12</stp>
        <stp>CNVSTTL Index</stp>
        <stp>PX385</stp>
        <stp>[BI_AUTMG_1_l22cd4li.xlsx]ReferenceData!R162C63</stp>
        <stp>PX391=20041001</stp>
        <stp>PX392=20041231</stp>
        <stp>DS004=USD</stp>
        <stp>Fill=B</stp>
        <tr r="BK162" s="3"/>
      </tp>
      <tp t="s">
        <v>#N/A Connection</v>
        <stp/>
        <stp>##V3_BDPV12</stp>
        <stp>TWVSDOM Index</stp>
        <stp>PX385</stp>
        <stp>[BI_AUTMG_1_l22cd4li.xlsx]ReferenceData!R173C31</stp>
        <stp>PX391=20121001</stp>
        <stp>PX392=20121231</stp>
        <stp>DS004=USD</stp>
        <stp>Fill=B</stp>
        <tr r="AE173" s="3"/>
      </tp>
      <tp t="s">
        <v>#N/A Connection</v>
        <stp/>
        <stp>##V3_BDPV12</stp>
        <stp>CNVSTTL Index</stp>
        <stp>PX385</stp>
        <stp>[BI_AUTMG_1_l22cd4li.xlsx]ReferenceData!R162C22</stp>
        <stp>PX391=20150101</stp>
        <stp>PX392=20150331</stp>
        <stp>DS004=USD</stp>
        <stp>Fill=B</stp>
        <tr r="V162" s="3"/>
      </tp>
      <tp t="s">
        <v>#N/A Connection</v>
        <stp/>
        <stp>##V3_BDPV12</stp>
        <stp>PHCSTOTL Index</stp>
        <stp>PX385</stp>
        <stp>[BI_AUTMG_1_l22cd4li.xlsx]ReferenceData!R170C16</stp>
        <stp>PX391=20160701</stp>
        <stp>PX392=20160930</stp>
        <stp>DS004=USD</stp>
        <stp>Fill=B</stp>
        <tr r="P170" s="3"/>
      </tp>
      <tp t="s">
        <v>#N/A Connection</v>
        <stp/>
        <stp>##V3_BDPV12</stp>
        <stp>CHVSAUTO Index</stp>
        <stp>PX385</stp>
        <stp>[BI_AUTMG_1_l22cd4li.xlsx]ReferenceData!R212C31</stp>
        <stp>PX391=20121001</stp>
        <stp>PX392=20121231</stp>
        <stp>DS004=USD</stp>
        <stp>Fill=B</stp>
        <tr r="AE212" s="3"/>
      </tp>
      <tp t="s">
        <v>#N/A Connection</v>
        <stp/>
        <stp>##V3_BDPV12</stp>
        <stp>CHVSAUTO Index</stp>
        <stp>PX385</stp>
        <stp>[BI_AUTMG_1_l22cd4li.xlsx]ReferenceData!R212C27</stp>
        <stp>PX391=20131001</stp>
        <stp>PX392=20131231</stp>
        <stp>DS004=USD</stp>
        <stp>Fill=B</stp>
        <tr r="AA212" s="3"/>
      </tp>
      <tp t="s">
        <v>#N/A Connection</v>
        <stp/>
        <stp>##V3_BDPV12</stp>
        <stp>WCARPTI Index</stp>
        <stp>PX385</stp>
        <stp>[BI_AUTMG_1_l22cd4li.xlsx]ReferenceData!R190C43</stp>
        <stp>PX391=20091001</stp>
        <stp>PX392=20091231</stp>
        <stp>DS004=USD</stp>
        <stp>Fill=B</stp>
        <tr r="AQ190" s="3"/>
      </tp>
      <tp t="s">
        <v>#N/A Connection</v>
        <stp/>
        <stp>##V3_BDPV12</stp>
        <stp>WCARPTI Index</stp>
        <stp>PX385</stp>
        <stp>[BI_AUTMG_1_l22cd4li.xlsx]ReferenceData!R190C10</stp>
        <stp>PX391=20180101</stp>
        <stp>PX392=20180331</stp>
        <stp>DS004=USD</stp>
        <stp>Fill=B</stp>
        <tr r="J190" s="3"/>
      </tp>
      <tp t="s">
        <v>#N/A Connection</v>
        <stp/>
        <stp>##V3_BDPV12</stp>
        <stp>CHVSAUTO Index</stp>
        <stp>PX385</stp>
        <stp>[BI_AUTMG_1_l22cd4li.xlsx]ReferenceData!R212C39</stp>
        <stp>PX391=20101001</stp>
        <stp>PX392=20101231</stp>
        <stp>DS004=USD</stp>
        <stp>Fill=B</stp>
        <tr r="AM212" s="3"/>
      </tp>
      <tp t="s">
        <v>#N/A Connection</v>
        <stp/>
        <stp>##V3_BDPV12</stp>
        <stp>WCARPTI Index</stp>
        <stp>PX385</stp>
        <stp>[BI_AUTMG_1_l22cd4li.xlsx]ReferenceData!R190C47</stp>
        <stp>PX391=20081001</stp>
        <stp>PX392=20081231</stp>
        <stp>DS004=USD</stp>
        <stp>Fill=B</stp>
        <tr r="AU190" s="3"/>
      </tp>
      <tp t="s">
        <v>#N/A Connection</v>
        <stp/>
        <stp>##V3_BDPV12</stp>
        <stp>CHVSAUTO Index</stp>
        <stp>PX385</stp>
        <stp>[BI_AUTMG_1_l22cd4li.xlsx]ReferenceData!R212C35</stp>
        <stp>PX391=20111001</stp>
        <stp>PX392=20111231</stp>
        <stp>DS004=USD</stp>
        <stp>Fill=B</stp>
        <tr r="AI212" s="3"/>
      </tp>
      <tp t="s">
        <v>#N/A Connection</v>
        <stp/>
        <stp>##V3_BDPV12</stp>
        <stp>WCARHU Index</stp>
        <stp>PX385</stp>
        <stp>[BI_AUTMG_1_l22cd4li.xlsx]ReferenceData!R199C44</stp>
        <stp>PX391=20090701</stp>
        <stp>PX392=20090930</stp>
        <stp>DS004=USD</stp>
        <stp>Fill=B</stp>
        <tr r="AR199" s="3"/>
      </tp>
      <tp t="s">
        <v>#N/A Connection</v>
        <stp/>
        <stp>##V3_BDPV12</stp>
        <stp>CHVSAUTO Index</stp>
        <stp>PX385</stp>
        <stp>[BI_AUTMG_1_l22cd4li.xlsx]ReferenceData!R212C15</stp>
        <stp>PX391=20161001</stp>
        <stp>PX392=20161231</stp>
        <stp>DS004=USD</stp>
        <stp>Fill=B</stp>
        <tr r="O212" s="3"/>
      </tp>
      <tp t="s">
        <v>#N/A Connection</v>
        <stp/>
        <stp>##V3_BDPV12</stp>
        <stp>CHVSAUTO Index</stp>
        <stp>PX385</stp>
        <stp>[BI_AUTMG_1_l22cd4li.xlsx]ReferenceData!R212C54</stp>
        <stp>PX391=20070101</stp>
        <stp>PX392=20070331</stp>
        <stp>DS004=USD</stp>
        <stp>Fill=B</stp>
        <tr r="BB212" s="3"/>
      </tp>
      <tp t="s">
        <v>#N/A Connection</v>
        <stp/>
        <stp>##V3_BDPV12</stp>
        <stp>WCARHU Index</stp>
        <stp>PX385</stp>
        <stp>[BI_AUTMG_1_l22cd4li.xlsx]ReferenceData!R199C48</stp>
        <stp>PX391=20080701</stp>
        <stp>PX392=20080930</stp>
        <stp>DS004=USD</stp>
        <stp>Fill=B</stp>
        <tr r="AV199" s="3"/>
      </tp>
      <tp t="s">
        <v>#N/A Connection</v>
        <stp/>
        <stp>##V3_BDPV12</stp>
        <stp>CHVSAUTO Index</stp>
        <stp>PX385</stp>
        <stp>[BI_AUTMG_1_l22cd4li.xlsx]ReferenceData!R212C11</stp>
        <stp>PX391=20171001</stp>
        <stp>PX392=20171231</stp>
        <stp>DS004=USD</stp>
        <stp>Fill=B</stp>
        <tr r="K212" s="3"/>
      </tp>
      <tp t="s">
        <v>#N/A Connection</v>
        <stp/>
        <stp>##V3_BDPV12</stp>
        <stp>CHVSAUTO Index</stp>
        <stp>PX385</stp>
        <stp>[BI_AUTMG_1_l22cd4li.xlsx]ReferenceData!R212C58</stp>
        <stp>PX391=20060101</stp>
        <stp>PX392=20060331</stp>
        <stp>DS004=USD</stp>
        <stp>Fill=B</stp>
        <tr r="BF212" s="3"/>
      </tp>
      <tp t="s">
        <v>#N/A Connection</v>
        <stp/>
        <stp>##V3_BDPV12</stp>
        <stp>CHVSAUTO Index</stp>
        <stp>PX385</stp>
        <stp>[BI_AUTMG_1_l22cd4li.xlsx]ReferenceData!R212C23</stp>
        <stp>PX391=20141001</stp>
        <stp>PX392=20141231</stp>
        <stp>DS004=USD</stp>
        <stp>Fill=B</stp>
        <tr r="W212" s="3"/>
      </tp>
      <tp t="s">
        <v>#N/A Connection</v>
        <stp/>
        <stp>##V3_BDPV12</stp>
        <stp>CHVSAUTO Index</stp>
        <stp>PX385</stp>
        <stp>[BI_AUTMG_1_l22cd4li.xlsx]ReferenceData!R212C62</stp>
        <stp>PX391=20050101</stp>
        <stp>PX392=20050331</stp>
        <stp>DS004=USD</stp>
        <stp>Fill=B</stp>
        <tr r="BJ212" s="3"/>
      </tp>
      <tp t="s">
        <v>#N/A Connection</v>
        <stp/>
        <stp>##V3_BDPV12</stp>
        <stp>CHVSAUTO Index</stp>
        <stp>PX385</stp>
        <stp>[BI_AUTMG_1_l22cd4li.xlsx]ReferenceData!R212C19</stp>
        <stp>PX391=20151001</stp>
        <stp>PX392=20151231</stp>
        <stp>DS004=USD</stp>
        <stp>Fill=B</stp>
        <tr r="S212" s="3"/>
      </tp>
      <tp t="s">
        <v>#N/A Connection</v>
        <stp/>
        <stp>##V3_BDPV12</stp>
        <stp>WCAREE Index</stp>
        <stp>PX385</stp>
        <stp>[BI_AUTMG_1_l22cd4li.xlsx]ReferenceData!R198C24</stp>
        <stp>PX391=20140701</stp>
        <stp>PX392=20140930</stp>
        <stp>DS004=USD</stp>
        <stp>Fill=B</stp>
        <tr r="X198" s="3"/>
      </tp>
      <tp t="s">
        <v>#N/A Connection</v>
        <stp/>
        <stp>##V3_BDPV12</stp>
        <stp>WCARUKI Index</stp>
        <stp>PX385</stp>
        <stp>[BI_AUTMG_1_l22cd4li.xlsx]ReferenceData!R195C17</stp>
        <stp>PX391=20160401</stp>
        <stp>PX392=20160630</stp>
        <stp>DS004=USD</stp>
        <stp>Fill=B</stp>
        <tr r="Q195" s="3"/>
      </tp>
      <tp t="s">
        <v>#N/A Connection</v>
        <stp/>
        <stp>##V3_BDPV12</stp>
        <stp>WCARHU Index</stp>
        <stp>PX385</stp>
        <stp>[BI_AUTMG_1_l22cd4li.xlsx]ReferenceData!R199C60</stp>
        <stp>PX391=20050701</stp>
        <stp>PX392=20050930</stp>
        <stp>DS004=USD</stp>
        <stp>Fill=B</stp>
        <tr r="BH199" s="3"/>
      </tp>
      <tp t="s">
        <v>#N/A Connection</v>
        <stp/>
        <stp>##V3_BDPV12</stp>
        <stp>WCARPTI Index</stp>
        <stp>PX385</stp>
        <stp>[BI_AUTMG_1_l22cd4li.xlsx]ReferenceData!R190C34</stp>
        <stp>PX391=20120101</stp>
        <stp>PX392=20120331</stp>
        <stp>DS004=USD</stp>
        <stp>Fill=B</stp>
        <tr r="AH190" s="3"/>
      </tp>
      <tp t="s">
        <v>#N/A Connection</v>
        <stp/>
        <stp>##V3_BDPV12</stp>
        <stp>WCAREE Index</stp>
        <stp>PX385</stp>
        <stp>[BI_AUTMG_1_l22cd4li.xlsx]ReferenceData!R198C20</stp>
        <stp>PX391=20150701</stp>
        <stp>PX392=20150930</stp>
        <stp>DS004=USD</stp>
        <stp>Fill=B</stp>
        <tr r="T198" s="3"/>
      </tp>
      <tp t="s">
        <v>#N/A Connection</v>
        <stp/>
        <stp>##V3_BDPV12</stp>
        <stp>WCARHU Index</stp>
        <stp>PX385</stp>
        <stp>[BI_AUTMG_1_l22cd4li.xlsx]ReferenceData!R199C64</stp>
        <stp>PX391=20040701</stp>
        <stp>PX392=20040930</stp>
        <stp>DS004=USD</stp>
        <stp>Fill=B</stp>
        <tr r="BL199" s="3"/>
      </tp>
      <tp t="s">
        <v>#N/A Connection</v>
        <stp/>
        <stp>##V3_BDPV12</stp>
        <stp>WCARUKI Index</stp>
        <stp>PX385</stp>
        <stp>[BI_AUTMG_1_l22cd4li.xlsx]ReferenceData!R195C13</stp>
        <stp>PX391=20170401</stp>
        <stp>PX392=20170630</stp>
        <stp>DS004=USD</stp>
        <stp>Fill=B</stp>
        <tr r="M195" s="3"/>
      </tp>
      <tp t="s">
        <v>#N/A Connection</v>
        <stp/>
        <stp>##V3_BDPV12</stp>
        <stp>WCARPTI Index</stp>
        <stp>PX385</stp>
        <stp>[BI_AUTMG_1_l22cd4li.xlsx]ReferenceData!R190C30</stp>
        <stp>PX391=20130101</stp>
        <stp>PX392=20130331</stp>
        <stp>DS004=USD</stp>
        <stp>Fill=B</stp>
        <tr r="AD190" s="3"/>
      </tp>
      <tp t="s">
        <v>#N/A Connection</v>
        <stp/>
        <stp>##V3_BDPV12</stp>
        <stp>WCAREE Index</stp>
        <stp>PX385</stp>
        <stp>[BI_AUTMG_1_l22cd4li.xlsx]ReferenceData!R198C16</stp>
        <stp>PX391=20160701</stp>
        <stp>PX392=20160930</stp>
        <stp>DS004=USD</stp>
        <stp>Fill=B</stp>
        <tr r="P198" s="3"/>
      </tp>
      <tp t="s">
        <v>#N/A Connection</v>
        <stp/>
        <stp>##V3_BDPV12</stp>
        <stp>WCARHU Index</stp>
        <stp>PX385</stp>
        <stp>[BI_AUTMG_1_l22cd4li.xlsx]ReferenceData!R199C52</stp>
        <stp>PX391=20070701</stp>
        <stp>PX392=20070930</stp>
        <stp>DS004=USD</stp>
        <stp>Fill=B</stp>
        <tr r="AZ199" s="3"/>
      </tp>
      <tp t="s">
        <v>#N/A Connection</v>
        <stp/>
        <stp>##V3_BDPV12</stp>
        <stp>WCARUKI Index</stp>
        <stp>PX385</stp>
        <stp>[BI_AUTMG_1_l22cd4li.xlsx]ReferenceData!R195C25</stp>
        <stp>PX391=20140401</stp>
        <stp>PX392=20140630</stp>
        <stp>DS004=USD</stp>
        <stp>Fill=B</stp>
        <tr r="Y195" s="3"/>
      </tp>
      <tp t="s">
        <v>#N/A Connection</v>
        <stp/>
        <stp>##V3_BDPV12</stp>
        <stp>WCARPTI Index</stp>
        <stp>PX385</stp>
        <stp>[BI_AUTMG_1_l22cd4li.xlsx]ReferenceData!R190C42</stp>
        <stp>PX391=20100101</stp>
        <stp>PX392=20100331</stp>
        <stp>DS004=USD</stp>
        <stp>Fill=B</stp>
        <tr r="AP190" s="3"/>
      </tp>
      <tp t="s">
        <v>#N/A Connection</v>
        <stp/>
        <stp>##V3_BDPV12</stp>
        <stp>CHVSAUTO Index</stp>
        <stp>PX385</stp>
        <stp>[BI_AUTMG_1_l22cd4li.xlsx]ReferenceData!R212C46</stp>
        <stp>PX391=20090101</stp>
        <stp>PX392=20090331</stp>
        <stp>DS004=USD</stp>
        <stp>Fill=B</stp>
        <tr r="AT212" s="3"/>
      </tp>
      <tp t="s">
        <v>#N/A Connection</v>
        <stp/>
        <stp>##V3_BDPV12</stp>
        <stp>WCAREE Index</stp>
        <stp>PX385</stp>
        <stp>[BI_AUTMG_1_l22cd4li.xlsx]ReferenceData!R198C12</stp>
        <stp>PX391=20170701</stp>
        <stp>PX392=20170930</stp>
        <stp>DS004=USD</stp>
        <stp>Fill=B</stp>
        <tr r="L198" s="3"/>
      </tp>
      <tp t="s">
        <v>#N/A Connection</v>
        <stp/>
        <stp>##V3_BDPV12</stp>
        <stp>WCARUKI Index</stp>
        <stp>PX385</stp>
        <stp>[BI_AUTMG_1_l22cd4li.xlsx]ReferenceData!R195C21</stp>
        <stp>PX391=20150401</stp>
        <stp>PX392=20150630</stp>
        <stp>DS004=USD</stp>
        <stp>Fill=B</stp>
        <tr r="U195" s="3"/>
      </tp>
      <tp t="s">
        <v>#N/A Connection</v>
        <stp/>
        <stp>##V3_BDPV12</stp>
        <stp>WCARHU Index</stp>
        <stp>PX385</stp>
        <stp>[BI_AUTMG_1_l22cd4li.xlsx]ReferenceData!R199C56</stp>
        <stp>PX391=20060701</stp>
        <stp>PX392=20060930</stp>
        <stp>DS004=USD</stp>
        <stp>Fill=B</stp>
        <tr r="BD199" s="3"/>
      </tp>
      <tp t="s">
        <v>#N/A Connection</v>
        <stp/>
        <stp>##V3_BDPV12</stp>
        <stp>WCARPTI Index</stp>
        <stp>PX385</stp>
        <stp>[BI_AUTMG_1_l22cd4li.xlsx]ReferenceData!R190C38</stp>
        <stp>PX391=20110101</stp>
        <stp>PX392=20110331</stp>
        <stp>DS004=USD</stp>
        <stp>Fill=B</stp>
        <tr r="AL190" s="3"/>
      </tp>
      <tp t="s">
        <v>#N/A Connection</v>
        <stp/>
        <stp>##V3_BDPV12</stp>
        <stp>CHVSAUTO Index</stp>
        <stp>PX385</stp>
        <stp>[BI_AUTMG_1_l22cd4li.xlsx]ReferenceData!R212C50</stp>
        <stp>PX391=20080101</stp>
        <stp>PX392=20080331</stp>
        <stp>DS004=USD</stp>
        <stp>Fill=B</stp>
        <tr r="AX212" s="3"/>
      </tp>
      <tp t="s">
        <v>#N/A Connection</v>
        <stp/>
        <stp>##V3_BDPV12</stp>
        <stp>WCAREE Index</stp>
        <stp>PX385</stp>
        <stp>[BI_AUTMG_1_l22cd4li.xlsx]ReferenceData!R198C40</stp>
        <stp>PX391=20100701</stp>
        <stp>PX392=20100930</stp>
        <stp>DS004=USD</stp>
        <stp>Fill=B</stp>
        <tr r="AN198" s="3"/>
      </tp>
      <tp t="s">
        <v>#N/A Connection</v>
        <stp/>
        <stp>##V3_BDPV12</stp>
        <stp>WCARUKI Index</stp>
        <stp>PX385</stp>
        <stp>[BI_AUTMG_1_l22cd4li.xlsx]ReferenceData!R195C33</stp>
        <stp>PX391=20120401</stp>
        <stp>PX392=20120630</stp>
        <stp>DS004=USD</stp>
        <stp>Fill=B</stp>
        <tr r="AG195" s="3"/>
      </tp>
      <tp t="s">
        <v>#N/A Connection</v>
        <stp/>
        <stp>##V3_BDPV12</stp>
        <stp>WCARPTI Index</stp>
        <stp>PX385</stp>
        <stp>[BI_AUTMG_1_l22cd4li.xlsx]ReferenceData!R190C18</stp>
        <stp>PX391=20160101</stp>
        <stp>PX392=20160331</stp>
        <stp>DS004=USD</stp>
        <stp>Fill=B</stp>
        <tr r="R190" s="3"/>
      </tp>
      <tp t="s">
        <v>#N/A Connection</v>
        <stp/>
        <stp>##V3_BDPV12</stp>
        <stp>WCARPTI Index</stp>
        <stp>PX385</stp>
        <stp>[BI_AUTMG_1_l22cd4li.xlsx]ReferenceData!R190C51</stp>
        <stp>PX391=20071001</stp>
        <stp>PX392=20071231</stp>
        <stp>DS004=USD</stp>
        <stp>Fill=B</stp>
        <tr r="AY190" s="3"/>
      </tp>
      <tp t="s">
        <v>#N/A Connection</v>
        <stp/>
        <stp>##V3_BDPV12</stp>
        <stp>WCAREE Index</stp>
        <stp>PX385</stp>
        <stp>[BI_AUTMG_1_l22cd4li.xlsx]ReferenceData!R198C36</stp>
        <stp>PX391=20110701</stp>
        <stp>PX392=20110930</stp>
        <stp>DS004=USD</stp>
        <stp>Fill=B</stp>
        <tr r="AJ198" s="3"/>
      </tp>
      <tp t="s">
        <v>#N/A Connection</v>
        <stp/>
        <stp>##V3_BDPV12</stp>
        <stp>WCARUKI Index</stp>
        <stp>PX385</stp>
        <stp>[BI_AUTMG_1_l22cd4li.xlsx]ReferenceData!R195C29</stp>
        <stp>PX391=20130401</stp>
        <stp>PX392=20130630</stp>
        <stp>DS004=USD</stp>
        <stp>Fill=B</stp>
        <tr r="AC195" s="3"/>
      </tp>
      <tp t="s">
        <v>#N/A Connection</v>
        <stp/>
        <stp>##V3_BDPV12</stp>
        <stp>WCARPTI Index</stp>
        <stp>PX385</stp>
        <stp>[BI_AUTMG_1_l22cd4li.xlsx]ReferenceData!R190C14</stp>
        <stp>PX391=20170101</stp>
        <stp>PX392=20170331</stp>
        <stp>DS004=USD</stp>
        <stp>Fill=B</stp>
        <tr r="N190" s="3"/>
      </tp>
      <tp t="s">
        <v>#N/A Connection</v>
        <stp/>
        <stp>##V3_BDPV12</stp>
        <stp>WCARPTI Index</stp>
        <stp>PX385</stp>
        <stp>[BI_AUTMG_1_l22cd4li.xlsx]ReferenceData!R190C55</stp>
        <stp>PX391=20061001</stp>
        <stp>PX392=20061231</stp>
        <stp>DS004=USD</stp>
        <stp>Fill=B</stp>
        <tr r="BC190" s="3"/>
      </tp>
      <tp t="s">
        <v>#N/A Connection</v>
        <stp/>
        <stp>##V3_BDPV12</stp>
        <stp>WCAREE Index</stp>
        <stp>PX385</stp>
        <stp>[BI_AUTMG_1_l22cd4li.xlsx]ReferenceData!R198C32</stp>
        <stp>PX391=20120701</stp>
        <stp>PX392=20120930</stp>
        <stp>DS004=USD</stp>
        <stp>Fill=B</stp>
        <tr r="AF198" s="3"/>
      </tp>
      <tp t="s">
        <v>#N/A Connection</v>
        <stp/>
        <stp>##V3_BDPV12</stp>
        <stp>WCARUKI Index</stp>
        <stp>PX385</stp>
        <stp>[BI_AUTMG_1_l22cd4li.xlsx]ReferenceData!R195C41</stp>
        <stp>PX391=20100401</stp>
        <stp>PX392=20100630</stp>
        <stp>DS004=USD</stp>
        <stp>Fill=B</stp>
        <tr r="AO195" s="3"/>
      </tp>
      <tp t="s">
        <v>#N/A Connection</v>
        <stp/>
        <stp>##V3_BDPV12</stp>
        <stp>WCARPTI Index</stp>
        <stp>PX385</stp>
        <stp>[BI_AUTMG_1_l22cd4li.xlsx]ReferenceData!R190C26</stp>
        <stp>PX391=20140101</stp>
        <stp>PX392=20140331</stp>
        <stp>DS004=USD</stp>
        <stp>Fill=B</stp>
        <tr r="Z190" s="3"/>
      </tp>
      <tp t="s">
        <v>#N/A Connection</v>
        <stp/>
        <stp>##V3_BDPV12</stp>
        <stp>WCARPTI Index</stp>
        <stp>PX385</stp>
        <stp>[BI_AUTMG_1_l22cd4li.xlsx]ReferenceData!R190C59</stp>
        <stp>PX391=20051001</stp>
        <stp>PX392=20051231</stp>
        <stp>DS004=USD</stp>
        <stp>Fill=B</stp>
        <tr r="BG190" s="3"/>
      </tp>
      <tp t="s">
        <v>#N/A Connection</v>
        <stp/>
        <stp>##V3_BDPV12</stp>
        <stp>WCAREE Index</stp>
        <stp>PX385</stp>
        <stp>[BI_AUTMG_1_l22cd4li.xlsx]ReferenceData!R198C28</stp>
        <stp>PX391=20130701</stp>
        <stp>PX392=20130930</stp>
        <stp>DS004=USD</stp>
        <stp>Fill=B</stp>
        <tr r="AB198" s="3"/>
      </tp>
      <tp t="s">
        <v>#N/A Connection</v>
        <stp/>
        <stp>##V3_BDPV12</stp>
        <stp>WCARUKI Index</stp>
        <stp>PX385</stp>
        <stp>[BI_AUTMG_1_l22cd4li.xlsx]ReferenceData!R195C37</stp>
        <stp>PX391=20110401</stp>
        <stp>PX392=20110630</stp>
        <stp>DS004=USD</stp>
        <stp>Fill=B</stp>
        <tr r="AK195" s="3"/>
      </tp>
      <tp t="s">
        <v>#N/A Connection</v>
        <stp/>
        <stp>##V3_BDPV12</stp>
        <stp>WCARPTI Index</stp>
        <stp>PX385</stp>
        <stp>[BI_AUTMG_1_l22cd4li.xlsx]ReferenceData!R190C22</stp>
        <stp>PX391=20150101</stp>
        <stp>PX392=20150331</stp>
        <stp>DS004=USD</stp>
        <stp>Fill=B</stp>
        <tr r="V190" s="3"/>
      </tp>
      <tp t="s">
        <v>#N/A Connection</v>
        <stp/>
        <stp>##V3_BDPV12</stp>
        <stp>WCARPTI Index</stp>
        <stp>PX385</stp>
        <stp>[BI_AUTMG_1_l22cd4li.xlsx]ReferenceData!R190C63</stp>
        <stp>PX391=20041001</stp>
        <stp>PX392=20041231</stp>
        <stp>DS004=USD</stp>
        <stp>Fill=B</stp>
        <tr r="BK190" s="3"/>
      </tp>
      <tp t="s">
        <v>#N/A Connection</v>
        <stp/>
        <stp>##V3_BDPV12</stp>
        <stp>WCARIEI Index</stp>
        <stp>PX385</stp>
        <stp>[BI_AUTMG_1_l22cd4li.xlsx]ReferenceData!R185C33</stp>
        <stp>PX391=20120401</stp>
        <stp>PX392=20120630</stp>
        <stp>DS004=USD</stp>
        <stp>Fill=B</stp>
        <tr r="AG185" s="3"/>
      </tp>
      <tp t="s">
        <v>#N/A Connection</v>
        <stp/>
        <stp>##V3_BDPV12</stp>
        <stp>WCARBEI Index</stp>
        <stp>PX385</stp>
        <stp>[BI_AUTMG_1_l22cd4li.xlsx]ReferenceData!R177C48</stp>
        <stp>PX391=20080701</stp>
        <stp>PX392=20080930</stp>
        <stp>DS004=USD</stp>
        <stp>Fill=B</stp>
        <tr r="AV177" s="3"/>
      </tp>
      <tp t="s">
        <v>#N/A Connection</v>
        <stp/>
        <stp>##V3_BDPV12</stp>
        <stp>WCARITI Index</stp>
        <stp>PX385</stp>
        <stp>[BI_AUTMG_1_l22cd4li.xlsx]ReferenceData!R186C32</stp>
        <stp>PX391=20120701</stp>
        <stp>PX392=20120930</stp>
        <stp>DS004=USD</stp>
        <stp>Fill=B</stp>
        <tr r="AF186" s="3"/>
      </tp>
      <tp t="s">
        <v>#N/A Connection</v>
        <stp/>
        <stp>##V3_BDPV12</stp>
        <stp>WCARLUI Index</stp>
        <stp>PX385</stp>
        <stp>[BI_AUTMG_1_l22cd4li.xlsx]ReferenceData!R187C56</stp>
        <stp>PX391=20060701</stp>
        <stp>PX392=20060930</stp>
        <stp>DS004=USD</stp>
        <stp>Fill=B</stp>
        <tr r="BD187" s="3"/>
      </tp>
      <tp t="s">
        <v>#N/A Connection</v>
        <stp/>
        <stp>##V3_BDPV12</stp>
        <stp>WCARIEI Index</stp>
        <stp>PX385</stp>
        <stp>[BI_AUTMG_1_l22cd4li.xlsx]ReferenceData!R185C29</stp>
        <stp>PX391=20130401</stp>
        <stp>PX392=20130630</stp>
        <stp>DS004=USD</stp>
        <stp>Fill=B</stp>
        <tr r="AC185" s="3"/>
      </tp>
      <tp t="s">
        <v>#N/A Connection</v>
        <stp/>
        <stp>##V3_BDPV12</stp>
        <stp>WCARBEI Index</stp>
        <stp>PX385</stp>
        <stp>[BI_AUTMG_1_l22cd4li.xlsx]ReferenceData!R177C44</stp>
        <stp>PX391=20090701</stp>
        <stp>PX392=20090930</stp>
        <stp>DS004=USD</stp>
        <stp>Fill=B</stp>
        <tr r="AR177" s="3"/>
      </tp>
      <tp t="s">
        <v>#N/A Connection</v>
        <stp/>
        <stp>##V3_BDPV12</stp>
        <stp>WCARITI Index</stp>
        <stp>PX385</stp>
        <stp>[BI_AUTMG_1_l22cd4li.xlsx]ReferenceData!R186C28</stp>
        <stp>PX391=20130701</stp>
        <stp>PX392=20130930</stp>
        <stp>DS004=USD</stp>
        <stp>Fill=B</stp>
        <tr r="AB186" s="3"/>
      </tp>
      <tp t="s">
        <v>#N/A Connection</v>
        <stp/>
        <stp>##V3_BDPV12</stp>
        <stp>WCARLUI Index</stp>
        <stp>PX385</stp>
        <stp>[BI_AUTMG_1_l22cd4li.xlsx]ReferenceData!R187C52</stp>
        <stp>PX391=20070701</stp>
        <stp>PX392=20070930</stp>
        <stp>DS004=USD</stp>
        <stp>Fill=B</stp>
        <tr r="AZ187" s="3"/>
      </tp>
      <tp t="s">
        <v>#N/A Connection</v>
        <stp/>
        <stp>##V3_BDPV12</stp>
        <stp>WCARIEI Index</stp>
        <stp>PX385</stp>
        <stp>[BI_AUTMG_1_l22cd4li.xlsx]ReferenceData!R185C41</stp>
        <stp>PX391=20100401</stp>
        <stp>PX392=20100630</stp>
        <stp>DS004=USD</stp>
        <stp>Fill=B</stp>
        <tr r="AO185" s="3"/>
      </tp>
      <tp t="s">
        <v>#N/A Connection</v>
        <stp/>
        <stp>##V3_BDPV12</stp>
        <stp>WCARITI Index</stp>
        <stp>PX385</stp>
        <stp>[BI_AUTMG_1_l22cd4li.xlsx]ReferenceData!R186C40</stp>
        <stp>PX391=20100701</stp>
        <stp>PX392=20100930</stp>
        <stp>DS004=USD</stp>
        <stp>Fill=B</stp>
        <tr r="AN186" s="3"/>
      </tp>
      <tp t="s">
        <v>#N/A Connection</v>
        <stp/>
        <stp>##V3_BDPV12</stp>
        <stp>WCARLUI Index</stp>
        <stp>PX385</stp>
        <stp>[BI_AUTMG_1_l22cd4li.xlsx]ReferenceData!R187C64</stp>
        <stp>PX391=20040701</stp>
        <stp>PX392=20040930</stp>
        <stp>DS004=USD</stp>
        <stp>Fill=B</stp>
        <tr r="BL187" s="3"/>
      </tp>
      <tp t="s">
        <v>#N/A Connection</v>
        <stp/>
        <stp>##V3_BDPV12</stp>
        <stp>WCARIEI Index</stp>
        <stp>PX385</stp>
        <stp>[BI_AUTMG_1_l22cd4li.xlsx]ReferenceData!R185C37</stp>
        <stp>PX391=20110401</stp>
        <stp>PX392=20110630</stp>
        <stp>DS004=USD</stp>
        <stp>Fill=B</stp>
        <tr r="AK185" s="3"/>
      </tp>
      <tp t="s">
        <v>#N/A Connection</v>
        <stp/>
        <stp>##V3_BDPV12</stp>
        <stp>WCARITI Index</stp>
        <stp>PX385</stp>
        <stp>[BI_AUTMG_1_l22cd4li.xlsx]ReferenceData!R186C36</stp>
        <stp>PX391=20110701</stp>
        <stp>PX392=20110930</stp>
        <stp>DS004=USD</stp>
        <stp>Fill=B</stp>
        <tr r="AJ186" s="3"/>
      </tp>
      <tp t="s">
        <v>#N/A Connection</v>
        <stp/>
        <stp>##V3_BDPV12</stp>
        <stp>WCARLUI Index</stp>
        <stp>PX385</stp>
        <stp>[BI_AUTMG_1_l22cd4li.xlsx]ReferenceData!R187C60</stp>
        <stp>PX391=20050701</stp>
        <stp>PX392=20050930</stp>
        <stp>DS004=USD</stp>
        <stp>Fill=B</stp>
        <tr r="BH187" s="3"/>
      </tp>
      <tp t="s">
        <v>#N/A Connection</v>
        <stp/>
        <stp>##V3_BDPV12</stp>
        <stp>WCARFII Index</stp>
        <stp>PX385</stp>
        <stp>[BI_AUTMG_1_l22cd4li.xlsx]ReferenceData!R180C10</stp>
        <stp>PX391=20180101</stp>
        <stp>PX392=20180331</stp>
        <stp>DS004=USD</stp>
        <stp>Fill=B</stp>
        <tr r="J180" s="3"/>
      </tp>
      <tp t="s">
        <v>#N/A Connection</v>
        <stp/>
        <stp>##V3_BDPV12</stp>
        <stp>WCARIEI Index</stp>
        <stp>PX385</stp>
        <stp>[BI_AUTMG_1_l22cd4li.xlsx]ReferenceData!R185C17</stp>
        <stp>PX391=20160401</stp>
        <stp>PX392=20160630</stp>
        <stp>DS004=USD</stp>
        <stp>Fill=B</stp>
        <tr r="Q185" s="3"/>
      </tp>
      <tp t="s">
        <v>#N/A Connection</v>
        <stp/>
        <stp>##V3_BDPV12</stp>
        <stp>WCARFII Index</stp>
        <stp>PX385</stp>
        <stp>[BI_AUTMG_1_l22cd4li.xlsx]ReferenceData!R180C43</stp>
        <stp>PX391=20091001</stp>
        <stp>PX392=20091231</stp>
        <stp>DS004=USD</stp>
        <stp>Fill=B</stp>
        <tr r="AQ180" s="3"/>
      </tp>
      <tp t="s">
        <v>#N/A Connection</v>
        <stp/>
        <stp>##V3_BDPV12</stp>
        <stp>WCARITI Index</stp>
        <stp>PX385</stp>
        <stp>[BI_AUTMG_1_l22cd4li.xlsx]ReferenceData!R186C16</stp>
        <stp>PX391=20160701</stp>
        <stp>PX392=20160930</stp>
        <stp>DS004=USD</stp>
        <stp>Fill=B</stp>
        <tr r="P186" s="3"/>
      </tp>
      <tp t="s">
        <v>#N/A Connection</v>
        <stp/>
        <stp>##V3_BDPV12</stp>
        <stp>WCARFRI Index</stp>
        <stp>PX385</stp>
        <stp>[BI_AUTMG_1_l22cd4li.xlsx]ReferenceData!R181C46</stp>
        <stp>PX391=20090101</stp>
        <stp>PX392=20090331</stp>
        <stp>DS004=USD</stp>
        <stp>Fill=B</stp>
        <tr r="AT181" s="3"/>
      </tp>
      <tp t="s">
        <v>#N/A Connection</v>
        <stp/>
        <stp>##V3_BDPV12</stp>
        <stp>WCARIEI Index</stp>
        <stp>PX385</stp>
        <stp>[BI_AUTMG_1_l22cd4li.xlsx]ReferenceData!R185C13</stp>
        <stp>PX391=20170401</stp>
        <stp>PX392=20170630</stp>
        <stp>DS004=USD</stp>
        <stp>Fill=B</stp>
        <tr r="M185" s="3"/>
      </tp>
      <tp t="s">
        <v>#N/A Connection</v>
        <stp/>
        <stp>##V3_BDPV12</stp>
        <stp>WCARFII Index</stp>
        <stp>PX385</stp>
        <stp>[BI_AUTMG_1_l22cd4li.xlsx]ReferenceData!R180C47</stp>
        <stp>PX391=20081001</stp>
        <stp>PX392=20081231</stp>
        <stp>DS004=USD</stp>
        <stp>Fill=B</stp>
        <tr r="AU180" s="3"/>
      </tp>
      <tp t="s">
        <v>#N/A Connection</v>
        <stp/>
        <stp>##V3_BDPV12</stp>
        <stp>WCARITI Index</stp>
        <stp>PX385</stp>
        <stp>[BI_AUTMG_1_l22cd4li.xlsx]ReferenceData!R186C12</stp>
        <stp>PX391=20170701</stp>
        <stp>PX392=20170930</stp>
        <stp>DS004=USD</stp>
        <stp>Fill=B</stp>
        <tr r="L186" s="3"/>
      </tp>
      <tp t="s">
        <v>#N/A Connection</v>
        <stp/>
        <stp>##V3_BDPV12</stp>
        <stp>WCARFRI Index</stp>
        <stp>PX385</stp>
        <stp>[BI_AUTMG_1_l22cd4li.xlsx]ReferenceData!R181C50</stp>
        <stp>PX391=20080101</stp>
        <stp>PX392=20080331</stp>
        <stp>DS004=USD</stp>
        <stp>Fill=B</stp>
        <tr r="AX181" s="3"/>
      </tp>
      <tp t="s">
        <v>#N/A Connection</v>
        <stp/>
        <stp>##V3_BDPV12</stp>
        <stp>WCARIEI Index</stp>
        <stp>PX385</stp>
        <stp>[BI_AUTMG_1_l22cd4li.xlsx]ReferenceData!R185C25</stp>
        <stp>PX391=20140401</stp>
        <stp>PX392=20140630</stp>
        <stp>DS004=USD</stp>
        <stp>Fill=B</stp>
        <tr r="Y185" s="3"/>
      </tp>
      <tp t="s">
        <v>#N/A Connection</v>
        <stp/>
        <stp>##V3_BDPV12</stp>
        <stp>WCARITI Index</stp>
        <stp>PX385</stp>
        <stp>[BI_AUTMG_1_l22cd4li.xlsx]ReferenceData!R186C24</stp>
        <stp>PX391=20140701</stp>
        <stp>PX392=20140930</stp>
        <stp>DS004=USD</stp>
        <stp>Fill=B</stp>
        <tr r="X186" s="3"/>
      </tp>
      <tp t="s">
        <v>#N/A Connection</v>
        <stp/>
        <stp>##V3_BDPV12</stp>
        <stp>WCARESI Index</stp>
        <stp>PX385</stp>
        <stp>[BI_AUTMG_1_l22cd4li.xlsx]ReferenceData!R191C50</stp>
        <stp>PX391=20080101</stp>
        <stp>PX392=20080331</stp>
        <stp>DS004=USD</stp>
        <stp>Fill=B</stp>
        <tr r="AX191" s="3"/>
      </tp>
      <tp t="s">
        <v>#N/A Connection</v>
        <stp/>
        <stp>##V3_BDPV12</stp>
        <stp>AUTMAUVS Index</stp>
        <stp>PX385</stp>
        <stp>[BI_AUTMG_1_l22cd4li.xlsx]ReferenceData!R161C47</stp>
        <stp>PX391=20081001</stp>
        <stp>PX392=20081231</stp>
        <stp>DS004=USD</stp>
        <stp>Fill=B</stp>
        <tr r="AU161" s="3"/>
      </tp>
      <tp t="s">
        <v>#N/A Connection</v>
        <stp/>
        <stp>##V3_BDPV12</stp>
        <stp>VNVSTOTL Index</stp>
        <stp>PX385</stp>
        <stp>[BI_AUTMG_1_l22cd4li.xlsx]ReferenceData!R214C48</stp>
        <stp>PX391=20080701</stp>
        <stp>PX392=20080930</stp>
        <stp>DS004=USD</stp>
        <stp>Fill=B</stp>
        <tr r="AV214" s="3"/>
      </tp>
      <tp t="s">
        <v>#N/A Connection</v>
        <stp/>
        <stp>##V3_BDPV12</stp>
        <stp>ARVSARTL Index</stp>
        <stp>PX385</stp>
        <stp>[BI_AUTMG_1_l22cd4li.xlsx]ReferenceData!R210C50</stp>
        <stp>PX391=20080101</stp>
        <stp>PX392=20080331</stp>
        <stp>DS004=USD</stp>
        <stp>Fill=B</stp>
        <tr r="AX210" s="3"/>
      </tp>
      <tp t="s">
        <v>#N/A Connection</v>
        <stp/>
        <stp>##V3_BDPV12</stp>
        <stp>WCARIEI Index</stp>
        <stp>PX385</stp>
        <stp>[BI_AUTMG_1_l22cd4li.xlsx]ReferenceData!R185C21</stp>
        <stp>PX391=20150401</stp>
        <stp>PX392=20150630</stp>
        <stp>DS004=USD</stp>
        <stp>Fill=B</stp>
        <tr r="U185" s="3"/>
      </tp>
      <tp t="s">
        <v>#N/A Connection</v>
        <stp/>
        <stp>##V3_BDPV12</stp>
        <stp>WCARITI Index</stp>
        <stp>PX385</stp>
        <stp>[BI_AUTMG_1_l22cd4li.xlsx]ReferenceData!R186C20</stp>
        <stp>PX391=20150701</stp>
        <stp>PX392=20150930</stp>
        <stp>DS004=USD</stp>
        <stp>Fill=B</stp>
        <tr r="T186" s="3"/>
      </tp>
      <tp t="s">
        <v>#N/A Connection</v>
        <stp/>
        <stp>##V3_BDPV12</stp>
        <stp>WCARESI Index</stp>
        <stp>PX385</stp>
        <stp>[BI_AUTMG_1_l22cd4li.xlsx]ReferenceData!R191C46</stp>
        <stp>PX391=20090101</stp>
        <stp>PX392=20090331</stp>
        <stp>DS004=USD</stp>
        <stp>Fill=B</stp>
        <tr r="AT191" s="3"/>
      </tp>
      <tp t="s">
        <v>#N/A Connection</v>
        <stp/>
        <stp>##V3_BDPV12</stp>
        <stp>AUTMAUVS Index</stp>
        <stp>PX385</stp>
        <stp>[BI_AUTMG_1_l22cd4li.xlsx]ReferenceData!R161C43</stp>
        <stp>PX391=20091001</stp>
        <stp>PX392=20091231</stp>
        <stp>DS004=USD</stp>
        <stp>Fill=B</stp>
        <tr r="AQ161" s="3"/>
      </tp>
      <tp t="s">
        <v>#N/A Connection</v>
        <stp/>
        <stp>##V3_BDPV12</stp>
        <stp>ARVSARTL Index</stp>
        <stp>PX385</stp>
        <stp>[BI_AUTMG_1_l22cd4li.xlsx]ReferenceData!R210C46</stp>
        <stp>PX391=20090101</stp>
        <stp>PX392=20090331</stp>
        <stp>DS004=USD</stp>
        <stp>Fill=B</stp>
        <tr r="AT210" s="3"/>
      </tp>
      <tp t="s">
        <v>#N/A Connection</v>
        <stp/>
        <stp>##V3_BDPV12</stp>
        <stp>VNVSTOTL Index</stp>
        <stp>PX385</stp>
        <stp>[BI_AUTMG_1_l22cd4li.xlsx]ReferenceData!R214C44</stp>
        <stp>PX391=20090701</stp>
        <stp>PX392=20090930</stp>
        <stp>DS004=USD</stp>
        <stp>Fill=B</stp>
        <tr r="AR214" s="3"/>
      </tp>
      <tp t="s">
        <v>#N/A Connection</v>
        <stp/>
        <stp>##V3_BDPV12</stp>
        <stp>AUTMAUVS Index</stp>
        <stp>PX385</stp>
        <stp>[BI_AUTMG_1_l22cd4li.xlsx]ReferenceData!R161C10</stp>
        <stp>PX391=20180101</stp>
        <stp>PX392=20180331</stp>
        <stp>DS004=USD</stp>
        <stp>Fill=B</stp>
        <tr r="J161" s="3"/>
      </tp>
      <tp t="s">
        <v>#N/A Connection</v>
        <stp/>
        <stp>##V3_BDPV12</stp>
        <stp>WCARFII Index</stp>
        <stp>PX385</stp>
        <stp>[BI_AUTMG_1_l22cd4li.xlsx]ReferenceData!R180C59</stp>
        <stp>PX391=20051001</stp>
        <stp>PX392=20051231</stp>
        <stp>DS004=USD</stp>
        <stp>Fill=B</stp>
        <tr r="BG180" s="3"/>
      </tp>
      <tp t="s">
        <v>#N/A Connection</v>
        <stp/>
        <stp>##V3_BDPV12</stp>
        <stp>WCARFII Index</stp>
        <stp>PX385</stp>
        <stp>[BI_AUTMG_1_l22cd4li.xlsx]ReferenceData!R180C26</stp>
        <stp>PX391=20140101</stp>
        <stp>PX392=20140331</stp>
        <stp>DS004=USD</stp>
        <stp>Fill=B</stp>
        <tr r="Z180" s="3"/>
      </tp>
      <tp t="s">
        <v>#N/A Connection</v>
        <stp/>
        <stp>##V3_BDPV12</stp>
        <stp>WCARESI Index</stp>
        <stp>PX385</stp>
        <stp>[BI_AUTMG_1_l22cd4li.xlsx]ReferenceData!R191C58</stp>
        <stp>PX391=20060101</stp>
        <stp>PX392=20060331</stp>
        <stp>DS004=USD</stp>
        <stp>Fill=B</stp>
        <tr r="BF191" s="3"/>
      </tp>
      <tp t="s">
        <v>#N/A Connection</v>
        <stp/>
        <stp>##V3_BDPV12</stp>
        <stp>WCARFRI Index</stp>
        <stp>PX385</stp>
        <stp>[BI_AUTMG_1_l22cd4li.xlsx]ReferenceData!R181C62</stp>
        <stp>PX391=20050101</stp>
        <stp>PX392=20050331</stp>
        <stp>DS004=USD</stp>
        <stp>Fill=B</stp>
        <tr r="BJ181" s="3"/>
      </tp>
      <tp t="s">
        <v>#N/A Connection</v>
        <stp/>
        <stp>##V3_BDPV12</stp>
        <stp>WCARESI Index</stp>
        <stp>PX385</stp>
        <stp>[BI_AUTMG_1_l22cd4li.xlsx]ReferenceData!R191C11</stp>
        <stp>PX391=20171001</stp>
        <stp>PX392=20171231</stp>
        <stp>DS004=USD</stp>
        <stp>Fill=B</stp>
        <tr r="K191" s="3"/>
      </tp>
      <tp t="s">
        <v>#N/A Connection</v>
        <stp/>
        <stp>##V3_BDPV12</stp>
        <stp>WCARATI Index</stp>
        <stp>PX385</stp>
        <stp>[BI_AUTMG_1_l22cd4li.xlsx]ReferenceData!R176C32</stp>
        <stp>PX391=20120701</stp>
        <stp>PX392=20120930</stp>
        <stp>DS004=USD</stp>
        <stp>Fill=B</stp>
        <tr r="AF176" s="3"/>
      </tp>
      <tp t="s">
        <v>#N/A Connection</v>
        <stp/>
        <stp>##V3_BDPV12</stp>
        <stp>WCARFRI Index</stp>
        <stp>PX385</stp>
        <stp>[BI_AUTMG_1_l22cd4li.xlsx]ReferenceData!R181C23</stp>
        <stp>PX391=20141001</stp>
        <stp>PX392=20141231</stp>
        <stp>DS004=USD</stp>
        <stp>Fill=B</stp>
        <tr r="W181" s="3"/>
      </tp>
      <tp t="s">
        <v>#N/A Connection</v>
        <stp/>
        <stp>##V3_BDPV12</stp>
        <stp>PHCSTOTL Index</stp>
        <stp>PX385</stp>
        <stp>[BI_AUTMG_1_l22cd4li.xlsx]ReferenceData!R170C37</stp>
        <stp>PX391=20110401</stp>
        <stp>PX392=20110630</stp>
        <stp>DS004=USD</stp>
        <stp>Fill=B</stp>
        <tr r="AK170" s="3"/>
      </tp>
      <tp t="s">
        <v>#N/A Connection</v>
        <stp/>
        <stp>##V3_BDPV12</stp>
        <stp>ARVSARTL Index</stp>
        <stp>PX385</stp>
        <stp>[BI_AUTMG_1_l22cd4li.xlsx]ReferenceData!R210C11</stp>
        <stp>PX391=20171001</stp>
        <stp>PX392=20171231</stp>
        <stp>DS004=USD</stp>
        <stp>Fill=B</stp>
        <tr r="K210" s="3"/>
      </tp>
      <tp t="s">
        <v>#N/A Connection</v>
        <stp/>
        <stp>##V3_BDPV12</stp>
        <stp>AUTMAUVS Index</stp>
        <stp>PX385</stp>
        <stp>[BI_AUTMG_1_l22cd4li.xlsx]ReferenceData!R161C14</stp>
        <stp>PX391=20170101</stp>
        <stp>PX392=20170331</stp>
        <stp>DS004=USD</stp>
        <stp>Fill=B</stp>
        <tr r="N161" s="3"/>
      </tp>
      <tp t="s">
        <v>#N/A Connection</v>
        <stp/>
        <stp>##V3_BDPV12</stp>
        <stp>VNVSTOTL Index</stp>
        <stp>PX385</stp>
        <stp>[BI_AUTMG_1_l22cd4li.xlsx]ReferenceData!R214C56</stp>
        <stp>PX391=20060701</stp>
        <stp>PX392=20060930</stp>
        <stp>DS004=USD</stp>
        <stp>Fill=B</stp>
        <tr r="BD214" s="3"/>
      </tp>
      <tp t="s">
        <v>#N/A Connection</v>
        <stp/>
        <stp>##V3_BDPV12</stp>
        <stp>ARVSARTL Index</stp>
        <stp>PX385</stp>
        <stp>[BI_AUTMG_1_l22cd4li.xlsx]ReferenceData!R210C58</stp>
        <stp>PX391=20060101</stp>
        <stp>PX392=20060331</stp>
        <stp>DS004=USD</stp>
        <stp>Fill=B</stp>
        <tr r="BF210" s="3"/>
      </tp>
      <tp t="s">
        <v>#N/A Connection</v>
        <stp/>
        <stp>##V3_BDPV12</stp>
        <stp>AUTMAUVS Index</stp>
        <stp>PX385</stp>
        <stp>[BI_AUTMG_1_l22cd4li.xlsx]ReferenceData!R161C55</stp>
        <stp>PX391=20061001</stp>
        <stp>PX392=20061231</stp>
        <stp>DS004=USD</stp>
        <stp>Fill=B</stp>
        <tr r="BC161" s="3"/>
      </tp>
      <tp t="s">
        <v>#N/A Connection</v>
        <stp/>
        <stp>##V3_BDPV12</stp>
        <stp>WCARFII Index</stp>
        <stp>PX385</stp>
        <stp>[BI_AUTMG_1_l22cd4li.xlsx]ReferenceData!R180C63</stp>
        <stp>PX391=20041001</stp>
        <stp>PX392=20041231</stp>
        <stp>DS004=USD</stp>
        <stp>Fill=B</stp>
        <tr r="BK180" s="3"/>
      </tp>
      <tp t="s">
        <v>#N/A Connection</v>
        <stp/>
        <stp>##V3_BDPV12</stp>
        <stp>WCARFII Index</stp>
        <stp>PX385</stp>
        <stp>[BI_AUTMG_1_l22cd4li.xlsx]ReferenceData!R180C22</stp>
        <stp>PX391=20150101</stp>
        <stp>PX392=20150331</stp>
        <stp>DS004=USD</stp>
        <stp>Fill=B</stp>
        <tr r="V180" s="3"/>
      </tp>
      <tp t="s">
        <v>#N/A Connection</v>
        <stp/>
        <stp>##V3_BDPV12</stp>
        <stp>WCARESI Index</stp>
        <stp>PX385</stp>
        <stp>[BI_AUTMG_1_l22cd4li.xlsx]ReferenceData!R191C54</stp>
        <stp>PX391=20070101</stp>
        <stp>PX392=20070331</stp>
        <stp>DS004=USD</stp>
        <stp>Fill=B</stp>
        <tr r="BB191" s="3"/>
      </tp>
      <tp t="s">
        <v>#N/A Connection</v>
        <stp/>
        <stp>##V3_BDPV12</stp>
        <stp>WCARESI Index</stp>
        <stp>PX385</stp>
        <stp>[BI_AUTMG_1_l22cd4li.xlsx]ReferenceData!R191C15</stp>
        <stp>PX391=20161001</stp>
        <stp>PX392=20161231</stp>
        <stp>DS004=USD</stp>
        <stp>Fill=B</stp>
        <tr r="O191" s="3"/>
      </tp>
      <tp t="s">
        <v>#N/A Connection</v>
        <stp/>
        <stp>##V3_BDPV12</stp>
        <stp>WCARATI Index</stp>
        <stp>PX385</stp>
        <stp>[BI_AUTMG_1_l22cd4li.xlsx]ReferenceData!R176C28</stp>
        <stp>PX391=20130701</stp>
        <stp>PX392=20130930</stp>
        <stp>DS004=USD</stp>
        <stp>Fill=B</stp>
        <tr r="AB176" s="3"/>
      </tp>
      <tp t="s">
        <v>#N/A Connection</v>
        <stp/>
        <stp>##V3_BDPV12</stp>
        <stp>WCARFRI Index</stp>
        <stp>PX385</stp>
        <stp>[BI_AUTMG_1_l22cd4li.xlsx]ReferenceData!R181C19</stp>
        <stp>PX391=20151001</stp>
        <stp>PX392=20151231</stp>
        <stp>DS004=USD</stp>
        <stp>Fill=B</stp>
        <tr r="S181" s="3"/>
      </tp>
      <tp t="s">
        <v>#N/A Connection</v>
        <stp/>
        <stp>##V3_BDPV12</stp>
        <stp>PHCSTOTL Index</stp>
        <stp>PX385</stp>
        <stp>[BI_AUTMG_1_l22cd4li.xlsx]ReferenceData!R170C41</stp>
        <stp>PX391=20100401</stp>
        <stp>PX392=20100630</stp>
        <stp>DS004=USD</stp>
        <stp>Fill=B</stp>
        <tr r="AO170" s="3"/>
      </tp>
      <tp t="s">
        <v>#N/A Connection</v>
        <stp/>
        <stp>##V3_BDPV12</stp>
        <stp>ARVSARTL Index</stp>
        <stp>PX385</stp>
        <stp>[BI_AUTMG_1_l22cd4li.xlsx]ReferenceData!R210C15</stp>
        <stp>PX391=20161001</stp>
        <stp>PX392=20161231</stp>
        <stp>DS004=USD</stp>
        <stp>Fill=B</stp>
        <tr r="O210" s="3"/>
      </tp>
      <tp t="s">
        <v>#N/A Connection</v>
        <stp/>
        <stp>##V3_BDPV12</stp>
        <stp>AUTMAUVS Index</stp>
        <stp>PX385</stp>
        <stp>[BI_AUTMG_1_l22cd4li.xlsx]ReferenceData!R161C18</stp>
        <stp>PX391=20160101</stp>
        <stp>PX392=20160331</stp>
        <stp>DS004=USD</stp>
        <stp>Fill=B</stp>
        <tr r="R161" s="3"/>
      </tp>
      <tp t="s">
        <v>#N/A Connection</v>
        <stp/>
        <stp>##V3_BDPV12</stp>
        <stp>ARVSARTL Index</stp>
        <stp>PX385</stp>
        <stp>[BI_AUTMG_1_l22cd4li.xlsx]ReferenceData!R210C54</stp>
        <stp>PX391=20070101</stp>
        <stp>PX392=20070331</stp>
        <stp>DS004=USD</stp>
        <stp>Fill=B</stp>
        <tr r="BB210" s="3"/>
      </tp>
      <tp t="s">
        <v>#N/A Connection</v>
        <stp/>
        <stp>##V3_BDPV12</stp>
        <stp>VNVSTOTL Index</stp>
        <stp>PX385</stp>
        <stp>[BI_AUTMG_1_l22cd4li.xlsx]ReferenceData!R214C52</stp>
        <stp>PX391=20070701</stp>
        <stp>PX392=20070930</stp>
        <stp>DS004=USD</stp>
        <stp>Fill=B</stp>
        <tr r="AZ214" s="3"/>
      </tp>
      <tp t="s">
        <v>#N/A Connection</v>
        <stp/>
        <stp>##V3_BDPV12</stp>
        <stp>AUTMAUVS Index</stp>
        <stp>PX385</stp>
        <stp>[BI_AUTMG_1_l22cd4li.xlsx]ReferenceData!R161C51</stp>
        <stp>PX391=20071001</stp>
        <stp>PX392=20071231</stp>
        <stp>DS004=USD</stp>
        <stp>Fill=B</stp>
        <tr r="AY161" s="3"/>
      </tp>
      <tp t="s">
        <v>#N/A Connection</v>
        <stp/>
        <stp>##V3_BDPV12</stp>
        <stp>WCARFII Index</stp>
        <stp>PX385</stp>
        <stp>[BI_AUTMG_1_l22cd4li.xlsx]ReferenceData!R180C51</stp>
        <stp>PX391=20071001</stp>
        <stp>PX392=20071231</stp>
        <stp>DS004=USD</stp>
        <stp>Fill=B</stp>
        <tr r="AY180" s="3"/>
      </tp>
      <tp t="s">
        <v>#N/A Connection</v>
        <stp/>
        <stp>##V3_BDPV12</stp>
        <stp>WCARFII Index</stp>
        <stp>PX385</stp>
        <stp>[BI_AUTMG_1_l22cd4li.xlsx]ReferenceData!R180C18</stp>
        <stp>PX391=20160101</stp>
        <stp>PX392=20160331</stp>
        <stp>DS004=USD</stp>
        <stp>Fill=B</stp>
        <tr r="R180" s="3"/>
      </tp>
      <tp t="s">
        <v>#N/A Connection</v>
        <stp/>
        <stp>##V3_BDPV12</stp>
        <stp>WCARFRI Index</stp>
        <stp>PX385</stp>
        <stp>[BI_AUTMG_1_l22cd4li.xlsx]ReferenceData!R181C54</stp>
        <stp>PX391=20070101</stp>
        <stp>PX392=20070331</stp>
        <stp>DS004=USD</stp>
        <stp>Fill=B</stp>
        <tr r="BB181" s="3"/>
      </tp>
      <tp t="s">
        <v>#N/A Connection</v>
        <stp/>
        <stp>##V3_BDPV12</stp>
        <stp>WCARATI Index</stp>
        <stp>PX385</stp>
        <stp>[BI_AUTMG_1_l22cd4li.xlsx]ReferenceData!R176C40</stp>
        <stp>PX391=20100701</stp>
        <stp>PX392=20100930</stp>
        <stp>DS004=USD</stp>
        <stp>Fill=B</stp>
        <tr r="AN176" s="3"/>
      </tp>
      <tp t="s">
        <v>#N/A Connection</v>
        <stp/>
        <stp>##V3_BDPV12</stp>
        <stp>WCARFRI Index</stp>
        <stp>PX385</stp>
        <stp>[BI_AUTMG_1_l22cd4li.xlsx]ReferenceData!R181C15</stp>
        <stp>PX391=20161001</stp>
        <stp>PX392=20161231</stp>
        <stp>DS004=USD</stp>
        <stp>Fill=B</stp>
        <tr r="O181" s="3"/>
      </tp>
      <tp t="s">
        <v>#N/A Connection</v>
        <stp/>
        <stp>##V3_BDPV12</stp>
        <stp>WCARESI Index</stp>
        <stp>PX385</stp>
        <stp>[BI_AUTMG_1_l22cd4li.xlsx]ReferenceData!R191C19</stp>
        <stp>PX391=20151001</stp>
        <stp>PX392=20151231</stp>
        <stp>DS004=USD</stp>
        <stp>Fill=B</stp>
        <tr r="S191" s="3"/>
      </tp>
      <tp t="s">
        <v>#N/A Connection</v>
        <stp/>
        <stp>##V3_BDPV12</stp>
        <stp>PHCSTOTL Index</stp>
        <stp>PX385</stp>
        <stp>[BI_AUTMG_1_l22cd4li.xlsx]ReferenceData!R170C29</stp>
        <stp>PX391=20130401</stp>
        <stp>PX392=20130630</stp>
        <stp>DS004=USD</stp>
        <stp>Fill=B</stp>
        <tr r="AC170" s="3"/>
      </tp>
      <tp t="s">
        <v>#N/A Connection</v>
        <stp/>
        <stp>##V3_BDPV12</stp>
        <stp>AUTMAUVS Index</stp>
        <stp>PX385</stp>
        <stp>[BI_AUTMG_1_l22cd4li.xlsx]ReferenceData!R161C22</stp>
        <stp>PX391=20150101</stp>
        <stp>PX392=20150331</stp>
        <stp>DS004=USD</stp>
        <stp>Fill=B</stp>
        <tr r="V161" s="3"/>
      </tp>
      <tp t="s">
        <v>#N/A Connection</v>
        <stp/>
        <stp>##V3_BDPV12</stp>
        <stp>ARVSARTL Index</stp>
        <stp>PX385</stp>
        <stp>[BI_AUTMG_1_l22cd4li.xlsx]ReferenceData!R210C19</stp>
        <stp>PX391=20151001</stp>
        <stp>PX392=20151231</stp>
        <stp>DS004=USD</stp>
        <stp>Fill=B</stp>
        <tr r="S210" s="3"/>
      </tp>
      <tp t="s">
        <v>#N/A Connection</v>
        <stp/>
        <stp>##V3_BDPV12</stp>
        <stp>VNVSTOTL Index</stp>
        <stp>PX385</stp>
        <stp>[BI_AUTMG_1_l22cd4li.xlsx]ReferenceData!R214C64</stp>
        <stp>PX391=20040701</stp>
        <stp>PX392=20040930</stp>
        <stp>DS004=USD</stp>
        <stp>Fill=B</stp>
        <tr r="BL214" s="3"/>
      </tp>
      <tp t="s">
        <v>#N/A Connection</v>
        <stp/>
        <stp>##V3_BDPV12</stp>
        <stp>AUTMAUVS Index</stp>
        <stp>PX385</stp>
        <stp>[BI_AUTMG_1_l22cd4li.xlsx]ReferenceData!R161C63</stp>
        <stp>PX391=20041001</stp>
        <stp>PX392=20041231</stp>
        <stp>DS004=USD</stp>
        <stp>Fill=B</stp>
        <tr r="BK161" s="3"/>
      </tp>
      <tp t="s">
        <v>#N/A Connection</v>
        <stp/>
        <stp>##V3_BDPV12</stp>
        <stp>WCARFII Index</stp>
        <stp>PX385</stp>
        <stp>[BI_AUTMG_1_l22cd4li.xlsx]ReferenceData!R180C55</stp>
        <stp>PX391=20061001</stp>
        <stp>PX392=20061231</stp>
        <stp>DS004=USD</stp>
        <stp>Fill=B</stp>
        <tr r="BC180" s="3"/>
      </tp>
      <tp t="s">
        <v>#N/A Connection</v>
        <stp/>
        <stp>##V3_BDPV12</stp>
        <stp>WCARFII Index</stp>
        <stp>PX385</stp>
        <stp>[BI_AUTMG_1_l22cd4li.xlsx]ReferenceData!R180C14</stp>
        <stp>PX391=20170101</stp>
        <stp>PX392=20170331</stp>
        <stp>DS004=USD</stp>
        <stp>Fill=B</stp>
        <tr r="N180" s="3"/>
      </tp>
      <tp t="s">
        <v>#N/A Connection</v>
        <stp/>
        <stp>##V3_BDPV12</stp>
        <stp>WCARESI Index</stp>
        <stp>PX385</stp>
        <stp>[BI_AUTMG_1_l22cd4li.xlsx]ReferenceData!R191C62</stp>
        <stp>PX391=20050101</stp>
        <stp>PX392=20050331</stp>
        <stp>DS004=USD</stp>
        <stp>Fill=B</stp>
        <tr r="BJ191" s="3"/>
      </tp>
      <tp t="s">
        <v>#N/A Connection</v>
        <stp/>
        <stp>##V3_BDPV12</stp>
        <stp>WCARFRI Index</stp>
        <stp>PX385</stp>
        <stp>[BI_AUTMG_1_l22cd4li.xlsx]ReferenceData!R181C58</stp>
        <stp>PX391=20060101</stp>
        <stp>PX392=20060331</stp>
        <stp>DS004=USD</stp>
        <stp>Fill=B</stp>
        <tr r="BF181" s="3"/>
      </tp>
      <tp t="s">
        <v>#N/A Connection</v>
        <stp/>
        <stp>##V3_BDPV12</stp>
        <stp>WCARESI Index</stp>
        <stp>PX385</stp>
        <stp>[BI_AUTMG_1_l22cd4li.xlsx]ReferenceData!R191C23</stp>
        <stp>PX391=20141001</stp>
        <stp>PX392=20141231</stp>
        <stp>DS004=USD</stp>
        <stp>Fill=B</stp>
        <tr r="W191" s="3"/>
      </tp>
      <tp t="s">
        <v>#N/A Connection</v>
        <stp/>
        <stp>##V3_BDPV12</stp>
        <stp>WCARFRI Index</stp>
        <stp>PX385</stp>
        <stp>[BI_AUTMG_1_l22cd4li.xlsx]ReferenceData!R181C11</stp>
        <stp>PX391=20171001</stp>
        <stp>PX392=20171231</stp>
        <stp>DS004=USD</stp>
        <stp>Fill=B</stp>
        <tr r="K181" s="3"/>
      </tp>
      <tp t="s">
        <v>#N/A Connection</v>
        <stp/>
        <stp>##V3_BDPV12</stp>
        <stp>WCARATI Index</stp>
        <stp>PX385</stp>
        <stp>[BI_AUTMG_1_l22cd4li.xlsx]ReferenceData!R176C36</stp>
        <stp>PX391=20110701</stp>
        <stp>PX392=20110930</stp>
        <stp>DS004=USD</stp>
        <stp>Fill=B</stp>
        <tr r="AJ176" s="3"/>
      </tp>
      <tp t="s">
        <v>#N/A Connection</v>
        <stp/>
        <stp>##V3_BDPV12</stp>
        <stp>PHCSTOTL Index</stp>
        <stp>PX385</stp>
        <stp>[BI_AUTMG_1_l22cd4li.xlsx]ReferenceData!R170C33</stp>
        <stp>PX391=20120401</stp>
        <stp>PX392=20120630</stp>
        <stp>DS004=USD</stp>
        <stp>Fill=B</stp>
        <tr r="AG170" s="3"/>
      </tp>
      <tp t="s">
        <v>#N/A Connection</v>
        <stp/>
        <stp>##V3_BDPV12</stp>
        <stp>ARVSARTL Index</stp>
        <stp>PX385</stp>
        <stp>[BI_AUTMG_1_l22cd4li.xlsx]ReferenceData!R210C23</stp>
        <stp>PX391=20141001</stp>
        <stp>PX392=20141231</stp>
        <stp>DS004=USD</stp>
        <stp>Fill=B</stp>
        <tr r="W210" s="3"/>
      </tp>
      <tp t="s">
        <v>#N/A Connection</v>
        <stp/>
        <stp>##V3_BDPV12</stp>
        <stp>AUTMAUVS Index</stp>
        <stp>PX385</stp>
        <stp>[BI_AUTMG_1_l22cd4li.xlsx]ReferenceData!R161C26</stp>
        <stp>PX391=20140101</stp>
        <stp>PX392=20140331</stp>
        <stp>DS004=USD</stp>
        <stp>Fill=B</stp>
        <tr r="Z161" s="3"/>
      </tp>
      <tp t="s">
        <v>#N/A Connection</v>
        <stp/>
        <stp>##V3_BDPV12</stp>
        <stp>AUTMAUVS Index</stp>
        <stp>PX385</stp>
        <stp>[BI_AUTMG_1_l22cd4li.xlsx]ReferenceData!R161C59</stp>
        <stp>PX391=20051001</stp>
        <stp>PX392=20051231</stp>
        <stp>DS004=USD</stp>
        <stp>Fill=B</stp>
        <tr r="BG161" s="3"/>
      </tp>
      <tp t="s">
        <v>#N/A Connection</v>
        <stp/>
        <stp>##V3_BDPV12</stp>
        <stp>ARVSARTL Index</stp>
        <stp>PX385</stp>
        <stp>[BI_AUTMG_1_l22cd4li.xlsx]ReferenceData!R210C62</stp>
        <stp>PX391=20050101</stp>
        <stp>PX392=20050331</stp>
        <stp>DS004=USD</stp>
        <stp>Fill=B</stp>
        <tr r="BJ210" s="3"/>
      </tp>
      <tp t="s">
        <v>#N/A Connection</v>
        <stp/>
        <stp>##V3_BDPV12</stp>
        <stp>VNVSTOTL Index</stp>
        <stp>PX385</stp>
        <stp>[BI_AUTMG_1_l22cd4li.xlsx]ReferenceData!R214C60</stp>
        <stp>PX391=20050701</stp>
        <stp>PX392=20050930</stp>
        <stp>DS004=USD</stp>
        <stp>Fill=B</stp>
        <tr r="BH214" s="3"/>
      </tp>
      <tp t="s">
        <v>#N/A Connection</v>
        <stp/>
        <stp>##V3_BDPV12</stp>
        <stp>WCARBEI Index</stp>
        <stp>PX385</stp>
        <stp>[BI_AUTMG_1_l22cd4li.xlsx]ReferenceData!R177C64</stp>
        <stp>PX391=20040701</stp>
        <stp>PX392=20040930</stp>
        <stp>DS004=USD</stp>
        <stp>Fill=B</stp>
        <tr r="BL177" s="3"/>
      </tp>
      <tp t="s">
        <v>#N/A Connection</v>
        <stp/>
        <stp>##V3_BDPV12</stp>
        <stp>WCARFII Index</stp>
        <stp>PX385</stp>
        <stp>[BI_AUTMG_1_l22cd4li.xlsx]ReferenceData!R180C42</stp>
        <stp>PX391=20100101</stp>
        <stp>PX392=20100331</stp>
        <stp>DS004=USD</stp>
        <stp>Fill=B</stp>
        <tr r="AP180" s="3"/>
      </tp>
      <tp t="s">
        <v>#N/A Connection</v>
        <stp/>
        <stp>##V3_BDPV12</stp>
        <stp>WCARFRI Index</stp>
        <stp>PX385</stp>
        <stp>[BI_AUTMG_1_l22cd4li.xlsx]ReferenceData!R181C39</stp>
        <stp>PX391=20101001</stp>
        <stp>PX392=20101231</stp>
        <stp>DS004=USD</stp>
        <stp>Fill=B</stp>
        <tr r="AM181" s="3"/>
      </tp>
      <tp t="s">
        <v>#N/A Connection</v>
        <stp/>
        <stp>##V3_BDPV12</stp>
        <stp>WCARESI Index</stp>
        <stp>PX385</stp>
        <stp>[BI_AUTMG_1_l22cd4li.xlsx]ReferenceData!R191C27</stp>
        <stp>PX391=20131001</stp>
        <stp>PX392=20131231</stp>
        <stp>DS004=USD</stp>
        <stp>Fill=B</stp>
        <tr r="AA191" s="3"/>
      </tp>
      <tp t="s">
        <v>#N/A Connection</v>
        <stp/>
        <stp>##V3_BDPV12</stp>
        <stp>WCARATI Index</stp>
        <stp>PX385</stp>
        <stp>[BI_AUTMG_1_l22cd4li.xlsx]ReferenceData!R176C16</stp>
        <stp>PX391=20160701</stp>
        <stp>PX392=20160930</stp>
        <stp>DS004=USD</stp>
        <stp>Fill=B</stp>
        <tr r="P176" s="3"/>
      </tp>
      <tp t="s">
        <v>#N/A Connection</v>
        <stp/>
        <stp>##V3_BDPV12</stp>
        <stp>PHCSTOTL Index</stp>
        <stp>PX385</stp>
        <stp>[BI_AUTMG_1_l22cd4li.xlsx]ReferenceData!R170C21</stp>
        <stp>PX391=20150401</stp>
        <stp>PX392=20150630</stp>
        <stp>DS004=USD</stp>
        <stp>Fill=B</stp>
        <tr r="U170" s="3"/>
      </tp>
      <tp t="s">
        <v>#N/A Connection</v>
        <stp/>
        <stp>##V3_BDPV12</stp>
        <stp>AUTMAUVS Index</stp>
        <stp>PX385</stp>
        <stp>[BI_AUTMG_1_l22cd4li.xlsx]ReferenceData!R161C30</stp>
        <stp>PX391=20130101</stp>
        <stp>PX392=20130331</stp>
        <stp>DS004=USD</stp>
        <stp>Fill=B</stp>
        <tr r="AD161" s="3"/>
      </tp>
      <tp t="s">
        <v>#N/A Connection</v>
        <stp/>
        <stp>##V3_BDPV12</stp>
        <stp>ARVSARTL Index</stp>
        <stp>PX385</stp>
        <stp>[BI_AUTMG_1_l22cd4li.xlsx]ReferenceData!R210C27</stp>
        <stp>PX391=20131001</stp>
        <stp>PX392=20131231</stp>
        <stp>DS004=USD</stp>
        <stp>Fill=B</stp>
        <tr r="AA210" s="3"/>
      </tp>
      <tp t="s">
        <v>#N/A Connection</v>
        <stp/>
        <stp>##V3_BDPV12</stp>
        <stp>WCARBEI Index</stp>
        <stp>PX385</stp>
        <stp>[BI_AUTMG_1_l22cd4li.xlsx]ReferenceData!R177C60</stp>
        <stp>PX391=20050701</stp>
        <stp>PX392=20050930</stp>
        <stp>DS004=USD</stp>
        <stp>Fill=B</stp>
        <tr r="BH177" s="3"/>
      </tp>
      <tp t="s">
        <v>#N/A Connection</v>
        <stp/>
        <stp>##V3_BDPV12</stp>
        <stp>WCARFII Index</stp>
        <stp>PX385</stp>
        <stp>[BI_AUTMG_1_l22cd4li.xlsx]ReferenceData!R180C38</stp>
        <stp>PX391=20110101</stp>
        <stp>PX392=20110331</stp>
        <stp>DS004=USD</stp>
        <stp>Fill=B</stp>
        <tr r="AL180" s="3"/>
      </tp>
      <tp t="s">
        <v>#N/A Connection</v>
        <stp/>
        <stp>##V3_BDPV12</stp>
        <stp>WCARFRI Index</stp>
        <stp>PX385</stp>
        <stp>[BI_AUTMG_1_l22cd4li.xlsx]ReferenceData!R181C35</stp>
        <stp>PX391=20111001</stp>
        <stp>PX392=20111231</stp>
        <stp>DS004=USD</stp>
        <stp>Fill=B</stp>
        <tr r="AI181" s="3"/>
      </tp>
      <tp t="s">
        <v>#N/A Connection</v>
        <stp/>
        <stp>##V3_BDPV12</stp>
        <stp>WCARATI Index</stp>
        <stp>PX385</stp>
        <stp>[BI_AUTMG_1_l22cd4li.xlsx]ReferenceData!R176C12</stp>
        <stp>PX391=20170701</stp>
        <stp>PX392=20170930</stp>
        <stp>DS004=USD</stp>
        <stp>Fill=B</stp>
        <tr r="L176" s="3"/>
      </tp>
      <tp t="s">
        <v>#N/A Connection</v>
        <stp/>
        <stp>##V3_BDPV12</stp>
        <stp>WCARESI Index</stp>
        <stp>PX385</stp>
        <stp>[BI_AUTMG_1_l22cd4li.xlsx]ReferenceData!R191C31</stp>
        <stp>PX391=20121001</stp>
        <stp>PX392=20121231</stp>
        <stp>DS004=USD</stp>
        <stp>Fill=B</stp>
        <tr r="AE191" s="3"/>
      </tp>
      <tp t="s">
        <v>#N/A Connection</v>
        <stp/>
        <stp>##V3_BDPV12</stp>
        <stp>PHCSTOTL Index</stp>
        <stp>PX385</stp>
        <stp>[BI_AUTMG_1_l22cd4li.xlsx]ReferenceData!R170C25</stp>
        <stp>PX391=20140401</stp>
        <stp>PX392=20140630</stp>
        <stp>DS004=USD</stp>
        <stp>Fill=B</stp>
        <tr r="Y170" s="3"/>
      </tp>
      <tp t="s">
        <v>#N/A Connection</v>
        <stp/>
        <stp>##V3_BDPV12</stp>
        <stp>AUTMAUVS Index</stp>
        <stp>PX385</stp>
        <stp>[BI_AUTMG_1_l22cd4li.xlsx]ReferenceData!R161C34</stp>
        <stp>PX391=20120101</stp>
        <stp>PX392=20120331</stp>
        <stp>DS004=USD</stp>
        <stp>Fill=B</stp>
        <tr r="AH161" s="3"/>
      </tp>
      <tp t="s">
        <v>#N/A Connection</v>
        <stp/>
        <stp>##V3_BDPV12</stp>
        <stp>ARVSARTL Index</stp>
        <stp>PX385</stp>
        <stp>[BI_AUTMG_1_l22cd4li.xlsx]ReferenceData!R210C31</stp>
        <stp>PX391=20121001</stp>
        <stp>PX392=20121231</stp>
        <stp>DS004=USD</stp>
        <stp>Fill=B</stp>
        <tr r="AE210" s="3"/>
      </tp>
      <tp t="s">
        <v>#N/A Connection</v>
        <stp/>
        <stp>##V3_BDPV12</stp>
        <stp>WCARBEI Index</stp>
        <stp>PX385</stp>
        <stp>[BI_AUTMG_1_l22cd4li.xlsx]ReferenceData!R177C56</stp>
        <stp>PX391=20060701</stp>
        <stp>PX392=20060930</stp>
        <stp>DS004=USD</stp>
        <stp>Fill=B</stp>
        <tr r="BD177" s="3"/>
      </tp>
      <tp t="s">
        <v>#N/A Connection</v>
        <stp/>
        <stp>##V3_BDPV12</stp>
        <stp>WCARFII Index</stp>
        <stp>PX385</stp>
        <stp>[BI_AUTMG_1_l22cd4li.xlsx]ReferenceData!R180C34</stp>
        <stp>PX391=20120101</stp>
        <stp>PX392=20120331</stp>
        <stp>DS004=USD</stp>
        <stp>Fill=B</stp>
        <tr r="AH180" s="3"/>
      </tp>
      <tp t="s">
        <v>#N/A Connection</v>
        <stp/>
        <stp>##V3_BDPV12</stp>
        <stp>WCARESI Index</stp>
        <stp>PX385</stp>
        <stp>[BI_AUTMG_1_l22cd4li.xlsx]ReferenceData!R191C35</stp>
        <stp>PX391=20111001</stp>
        <stp>PX392=20111231</stp>
        <stp>DS004=USD</stp>
        <stp>Fill=B</stp>
        <tr r="AI191" s="3"/>
      </tp>
      <tp t="s">
        <v>#N/A Connection</v>
        <stp/>
        <stp>##V3_BDPV12</stp>
        <stp>WCARATI Index</stp>
        <stp>PX385</stp>
        <stp>[BI_AUTMG_1_l22cd4li.xlsx]ReferenceData!R176C24</stp>
        <stp>PX391=20140701</stp>
        <stp>PX392=20140930</stp>
        <stp>DS004=USD</stp>
        <stp>Fill=B</stp>
        <tr r="X176" s="3"/>
      </tp>
      <tp t="s">
        <v>#N/A Connection</v>
        <stp/>
        <stp>##V3_BDPV12</stp>
        <stp>WCARFRI Index</stp>
        <stp>PX385</stp>
        <stp>[BI_AUTMG_1_l22cd4li.xlsx]ReferenceData!R181C31</stp>
        <stp>PX391=20121001</stp>
        <stp>PX392=20121231</stp>
        <stp>DS004=USD</stp>
        <stp>Fill=B</stp>
        <tr r="AE181" s="3"/>
      </tp>
      <tp t="s">
        <v>#N/A Connection</v>
        <stp/>
        <stp>##V3_BDPV12</stp>
        <stp>WCARLUI Index</stp>
        <stp>PX385</stp>
        <stp>[BI_AUTMG_1_l22cd4li.xlsx]ReferenceData!R187C48</stp>
        <stp>PX391=20080701</stp>
        <stp>PX392=20080930</stp>
        <stp>DS004=USD</stp>
        <stp>Fill=B</stp>
        <tr r="AV187" s="3"/>
      </tp>
      <tp t="s">
        <v>#N/A Connection</v>
        <stp/>
        <stp>##V3_BDPV12</stp>
        <stp>PHCSTOTL Index</stp>
        <stp>PX385</stp>
        <stp>[BI_AUTMG_1_l22cd4li.xlsx]ReferenceData!R170C13</stp>
        <stp>PX391=20170401</stp>
        <stp>PX392=20170630</stp>
        <stp>DS004=USD</stp>
        <stp>Fill=B</stp>
        <tr r="M170" s="3"/>
      </tp>
      <tp t="s">
        <v>#N/A Connection</v>
        <stp/>
        <stp>##V3_BDPV12</stp>
        <stp>ARVSARTL Index</stp>
        <stp>PX385</stp>
        <stp>[BI_AUTMG_1_l22cd4li.xlsx]ReferenceData!R210C35</stp>
        <stp>PX391=20111001</stp>
        <stp>PX392=20111231</stp>
        <stp>DS004=USD</stp>
        <stp>Fill=B</stp>
        <tr r="AI210" s="3"/>
      </tp>
      <tp t="s">
        <v>#N/A Connection</v>
        <stp/>
        <stp>##V3_BDPV12</stp>
        <stp>AUTMAUVS Index</stp>
        <stp>PX385</stp>
        <stp>[BI_AUTMG_1_l22cd4li.xlsx]ReferenceData!R161C38</stp>
        <stp>PX391=20110101</stp>
        <stp>PX392=20110331</stp>
        <stp>DS004=USD</stp>
        <stp>Fill=B</stp>
        <tr r="AL161" s="3"/>
      </tp>
      <tp t="s">
        <v>#N/A Connection</v>
        <stp/>
        <stp>##V3_BDPV12</stp>
        <stp>WCARBEI Index</stp>
        <stp>PX385</stp>
        <stp>[BI_AUTMG_1_l22cd4li.xlsx]ReferenceData!R177C52</stp>
        <stp>PX391=20070701</stp>
        <stp>PX392=20070930</stp>
        <stp>DS004=USD</stp>
        <stp>Fill=B</stp>
        <tr r="AZ177" s="3"/>
      </tp>
      <tp t="s">
        <v>#N/A Connection</v>
        <stp/>
        <stp>##V3_BDPV12</stp>
        <stp>WCARFII Index</stp>
        <stp>PX385</stp>
        <stp>[BI_AUTMG_1_l22cd4li.xlsx]ReferenceData!R180C30</stp>
        <stp>PX391=20130101</stp>
        <stp>PX392=20130331</stp>
        <stp>DS004=USD</stp>
        <stp>Fill=B</stp>
        <tr r="AD180" s="3"/>
      </tp>
      <tp t="s">
        <v>#N/A Connection</v>
        <stp/>
        <stp>##V3_BDPV12</stp>
        <stp>WCARESI Index</stp>
        <stp>PX385</stp>
        <stp>[BI_AUTMG_1_l22cd4li.xlsx]ReferenceData!R191C39</stp>
        <stp>PX391=20101001</stp>
        <stp>PX392=20101231</stp>
        <stp>DS004=USD</stp>
        <stp>Fill=B</stp>
        <tr r="AM191" s="3"/>
      </tp>
      <tp t="s">
        <v>#N/A Connection</v>
        <stp/>
        <stp>##V3_BDPV12</stp>
        <stp>WCARFRI Index</stp>
        <stp>PX385</stp>
        <stp>[BI_AUTMG_1_l22cd4li.xlsx]ReferenceData!R181C27</stp>
        <stp>PX391=20131001</stp>
        <stp>PX392=20131231</stp>
        <stp>DS004=USD</stp>
        <stp>Fill=B</stp>
        <tr r="AA181" s="3"/>
      </tp>
      <tp t="s">
        <v>#N/A Connection</v>
        <stp/>
        <stp>##V3_BDPV12</stp>
        <stp>WCARATI Index</stp>
        <stp>PX385</stp>
        <stp>[BI_AUTMG_1_l22cd4li.xlsx]ReferenceData!R176C20</stp>
        <stp>PX391=20150701</stp>
        <stp>PX392=20150930</stp>
        <stp>DS004=USD</stp>
        <stp>Fill=B</stp>
        <tr r="T176" s="3"/>
      </tp>
      <tp t="s">
        <v>#N/A Connection</v>
        <stp/>
        <stp>##V3_BDPV12</stp>
        <stp>WCARLUI Index</stp>
        <stp>PX385</stp>
        <stp>[BI_AUTMG_1_l22cd4li.xlsx]ReferenceData!R187C44</stp>
        <stp>PX391=20090701</stp>
        <stp>PX392=20090930</stp>
        <stp>DS004=USD</stp>
        <stp>Fill=B</stp>
        <tr r="AR187" s="3"/>
      </tp>
      <tp t="s">
        <v>#N/A Connection</v>
        <stp/>
        <stp>##V3_BDPV12</stp>
        <stp>PHCSTOTL Index</stp>
        <stp>PX385</stp>
        <stp>[BI_AUTMG_1_l22cd4li.xlsx]ReferenceData!R170C17</stp>
        <stp>PX391=20160401</stp>
        <stp>PX392=20160630</stp>
        <stp>DS004=USD</stp>
        <stp>Fill=B</stp>
        <tr r="Q170" s="3"/>
      </tp>
      <tp t="s">
        <v>#N/A Connection</v>
        <stp/>
        <stp>##V3_BDPV12</stp>
        <stp>AUTMAUVS Index</stp>
        <stp>PX385</stp>
        <stp>[BI_AUTMG_1_l22cd4li.xlsx]ReferenceData!R161C42</stp>
        <stp>PX391=20100101</stp>
        <stp>PX392=20100331</stp>
        <stp>DS004=USD</stp>
        <stp>Fill=B</stp>
        <tr r="AP161" s="3"/>
      </tp>
      <tp t="s">
        <v>#N/A Connection</v>
        <stp/>
        <stp>##V3_BDPV12</stp>
        <stp>ARVSARTL Index</stp>
        <stp>PX385</stp>
        <stp>[BI_AUTMG_1_l22cd4li.xlsx]ReferenceData!R210C39</stp>
        <stp>PX391=20101001</stp>
        <stp>PX392=20101231</stp>
        <stp>DS004=USD</stp>
        <stp>Fill=B</stp>
        <tr r="AM210" s="3"/>
      </tp>
      <tp t="s">
        <v>#N/A Connection</v>
        <stp/>
        <stp>##V3_BDPV12</stp>
        <stp>IDVHCLOC Index</stp>
        <stp>PX385</stp>
        <stp>[BI_AUTMG_1_l22cd4li.xlsx]ReferenceData!R166C9</stp>
        <stp>PX391=20180401</stp>
        <stp>PX392=20180630</stp>
        <stp>DS004=USD</stp>
        <stp>Fill=B</stp>
        <tr r="I166" s="3"/>
      </tp>
      <tp t="s">
        <v>#N/A Connection</v>
        <stp/>
        <stp>##V3_BDPV12</stp>
        <stp>CHVSAUTO Index</stp>
        <stp>PX385</stp>
        <stp>[BI_AUTMG_1_l22cd4li.xlsx]ReferenceData!R212C34</stp>
        <stp>PX391=20120101</stp>
        <stp>PX392=20120331</stp>
        <stp>DS004=USD</stp>
        <stp>Fill=B</stp>
        <tr r="AH212" s="3"/>
      </tp>
      <tp t="s">
        <v>#N/A Connection</v>
        <stp/>
        <stp>##V3_BDPV12</stp>
        <stp>CHVSAUTO Index</stp>
        <stp>PX385</stp>
        <stp>[BI_AUTMG_1_l22cd4li.xlsx]ReferenceData!R212C30</stp>
        <stp>PX391=20130101</stp>
        <stp>PX392=20130331</stp>
        <stp>DS004=USD</stp>
        <stp>Fill=B</stp>
        <tr r="AD212" s="3"/>
      </tp>
      <tp t="s">
        <v>#N/A Connection</v>
        <stp/>
        <stp>##V3_BDPV12</stp>
        <stp>WCARPTI Index</stp>
        <stp>PX385</stp>
        <stp>[BI_AUTMG_1_l22cd4li.xlsx]ReferenceData!R190C46</stp>
        <stp>PX391=20090101</stp>
        <stp>PX392=20090331</stp>
        <stp>DS004=USD</stp>
        <stp>Fill=B</stp>
        <tr r="AT190" s="3"/>
      </tp>
      <tp t="s">
        <v>#N/A Connection</v>
        <stp/>
        <stp>##V3_BDPV12</stp>
        <stp>CHVSAUTO Index</stp>
        <stp>PX385</stp>
        <stp>[BI_AUTMG_1_l22cd4li.xlsx]ReferenceData!R212C42</stp>
        <stp>PX391=20100101</stp>
        <stp>PX392=20100331</stp>
        <stp>DS004=USD</stp>
        <stp>Fill=B</stp>
        <tr r="AP212" s="3"/>
      </tp>
      <tp t="s">
        <v>#N/A Connection</v>
        <stp/>
        <stp>##V3_BDPV12</stp>
        <stp>WCARPTI Index</stp>
        <stp>PX385</stp>
        <stp>[BI_AUTMG_1_l22cd4li.xlsx]ReferenceData!R190C50</stp>
        <stp>PX391=20080101</stp>
        <stp>PX392=20080331</stp>
        <stp>DS004=USD</stp>
        <stp>Fill=B</stp>
        <tr r="AX190" s="3"/>
      </tp>
      <tp t="s">
        <v>#N/A Connection</v>
        <stp/>
        <stp>##V3_BDPV12</stp>
        <stp>CHVSAUTO Index</stp>
        <stp>PX385</stp>
        <stp>[BI_AUTMG_1_l22cd4li.xlsx]ReferenceData!R212C38</stp>
        <stp>PX391=20110101</stp>
        <stp>PX392=20110331</stp>
        <stp>DS004=USD</stp>
        <stp>Fill=B</stp>
        <tr r="AL212" s="3"/>
      </tp>
      <tp t="s">
        <v>#N/A Connection</v>
        <stp/>
        <stp>##V3_BDPV12</stp>
        <stp>WCAREE Index</stp>
        <stp>PX385</stp>
        <stp>[BI_AUTMG_1_l22cd4li.xlsx]ReferenceData!R198C44</stp>
        <stp>PX391=20090701</stp>
        <stp>PX392=20090930</stp>
        <stp>DS004=USD</stp>
        <stp>Fill=B</stp>
        <tr r="AR198" s="3"/>
      </tp>
      <tp t="s">
        <v>#N/A Connection</v>
        <stp/>
        <stp>##V3_BDPV12</stp>
        <stp>CHVSAUTO Index</stp>
        <stp>PX385</stp>
        <stp>[BI_AUTMG_1_l22cd4li.xlsx]ReferenceData!R212C18</stp>
        <stp>PX391=20160101</stp>
        <stp>PX392=20160331</stp>
        <stp>DS004=USD</stp>
        <stp>Fill=B</stp>
        <tr r="R212" s="3"/>
      </tp>
      <tp t="s">
        <v>#N/A Connection</v>
        <stp/>
        <stp>##V3_BDPV12</stp>
        <stp>CHVSAUTO Index</stp>
        <stp>PX385</stp>
        <stp>[BI_AUTMG_1_l22cd4li.xlsx]ReferenceData!R212C51</stp>
        <stp>PX391=20071001</stp>
        <stp>PX392=20071231</stp>
        <stp>DS004=USD</stp>
        <stp>Fill=B</stp>
        <tr r="AY212" s="3"/>
      </tp>
      <tp t="s">
        <v>#N/A Connection</v>
        <stp/>
        <stp>##V3_BDPV12</stp>
        <stp>WCAREE Index</stp>
        <stp>PX385</stp>
        <stp>[BI_AUTMG_1_l22cd4li.xlsx]ReferenceData!R198C48</stp>
        <stp>PX391=20080701</stp>
        <stp>PX392=20080930</stp>
        <stp>DS004=USD</stp>
        <stp>Fill=B</stp>
        <tr r="AV198" s="3"/>
      </tp>
      <tp t="s">
        <v>#N/A Connection</v>
        <stp/>
        <stp>##V3_BDPV12</stp>
        <stp>CHVSAUTO Index</stp>
        <stp>PX385</stp>
        <stp>[BI_AUTMG_1_l22cd4li.xlsx]ReferenceData!R212C14</stp>
        <stp>PX391=20170101</stp>
        <stp>PX392=20170331</stp>
        <stp>DS004=USD</stp>
        <stp>Fill=B</stp>
        <tr r="N212" s="3"/>
      </tp>
      <tp t="s">
        <v>#N/A Connection</v>
        <stp/>
        <stp>##V3_BDPV12</stp>
        <stp>CHVSAUTO Index</stp>
        <stp>PX385</stp>
        <stp>[BI_AUTMG_1_l22cd4li.xlsx]ReferenceData!R212C55</stp>
        <stp>PX391=20061001</stp>
        <stp>PX392=20061231</stp>
        <stp>DS004=USD</stp>
        <stp>Fill=B</stp>
        <tr r="BC212" s="3"/>
      </tp>
      <tp t="s">
        <v>#N/A Connection</v>
        <stp/>
        <stp>##V3_BDPV12</stp>
        <stp>WCARUKI Index</stp>
        <stp>PX385</stp>
        <stp>[BI_AUTMG_1_l22cd4li.xlsx]ReferenceData!R195C45</stp>
        <stp>PX391=20090401</stp>
        <stp>PX392=20090630</stp>
        <stp>DS004=USD</stp>
        <stp>Fill=B</stp>
        <tr r="AS195" s="3"/>
      </tp>
      <tp t="s">
        <v>#N/A Connection</v>
        <stp/>
        <stp>##V3_BDPV12</stp>
        <stp>CHVSAUTO Index</stp>
        <stp>PX385</stp>
        <stp>[BI_AUTMG_1_l22cd4li.xlsx]ReferenceData!R212C26</stp>
        <stp>PX391=20140101</stp>
        <stp>PX392=20140331</stp>
        <stp>DS004=USD</stp>
        <stp>Fill=B</stp>
        <tr r="Z212" s="3"/>
      </tp>
      <tp t="s">
        <v>#N/A Connection</v>
        <stp/>
        <stp>##V3_BDPV12</stp>
        <stp>CHVSAUTO Index</stp>
        <stp>PX385</stp>
        <stp>[BI_AUTMG_1_l22cd4li.xlsx]ReferenceData!R212C59</stp>
        <stp>PX391=20051001</stp>
        <stp>PX392=20051231</stp>
        <stp>DS004=USD</stp>
        <stp>Fill=B</stp>
        <tr r="BG212" s="3"/>
      </tp>
      <tp t="s">
        <v>#N/A Connection</v>
        <stp/>
        <stp>##V3_BDPV12</stp>
        <stp>WCARUKI Index</stp>
        <stp>PX385</stp>
        <stp>[BI_AUTMG_1_l22cd4li.xlsx]ReferenceData!R195C49</stp>
        <stp>PX391=20080401</stp>
        <stp>PX392=20080630</stp>
        <stp>DS004=USD</stp>
        <stp>Fill=B</stp>
        <tr r="AW195" s="3"/>
      </tp>
      <tp t="s">
        <v>#N/A Connection</v>
        <stp/>
        <stp>##V3_BDPV12</stp>
        <stp>CHVSAUTO Index</stp>
        <stp>PX385</stp>
        <stp>[BI_AUTMG_1_l22cd4li.xlsx]ReferenceData!R212C22</stp>
        <stp>PX391=20150101</stp>
        <stp>PX392=20150331</stp>
        <stp>DS004=USD</stp>
        <stp>Fill=B</stp>
        <tr r="V212" s="3"/>
      </tp>
      <tp t="s">
        <v>#N/A Connection</v>
        <stp/>
        <stp>##V3_BDPV12</stp>
        <stp>CHVSAUTO Index</stp>
        <stp>PX385</stp>
        <stp>[BI_AUTMG_1_l22cd4li.xlsx]ReferenceData!R212C63</stp>
        <stp>PX391=20041001</stp>
        <stp>PX392=20041231</stp>
        <stp>DS004=USD</stp>
        <stp>Fill=B</stp>
        <tr r="BK212" s="3"/>
      </tp>
      <tp t="s">
        <v>#N/A Connection</v>
        <stp/>
        <stp>##V3_BDPV12</stp>
        <stp>WCAREE Index</stp>
        <stp>PX385</stp>
        <stp>[BI_AUTMG_1_l22cd4li.xlsx]ReferenceData!R198C60</stp>
        <stp>PX391=20050701</stp>
        <stp>PX392=20050930</stp>
        <stp>DS004=USD</stp>
        <stp>Fill=B</stp>
        <tr r="BH198" s="3"/>
      </tp>
      <tp t="s">
        <v>#N/A Connection</v>
        <stp/>
        <stp>##V3_BDPV12</stp>
        <stp>WCARHU Index</stp>
        <stp>PX385</stp>
        <stp>[BI_AUTMG_1_l22cd4li.xlsx]ReferenceData!R199C24</stp>
        <stp>PX391=20140701</stp>
        <stp>PX392=20140930</stp>
        <stp>DS004=USD</stp>
        <stp>Fill=B</stp>
        <tr r="X199" s="3"/>
      </tp>
      <tp t="s">
        <v>#N/A Connection</v>
        <stp/>
        <stp>##V3_BDPV12</stp>
        <stp>WCARUKI Index</stp>
        <stp>PX385</stp>
        <stp>[BI_AUTMG_1_l22cd4li.xlsx]ReferenceData!R195C53</stp>
        <stp>PX391=20070401</stp>
        <stp>PX392=20070630</stp>
        <stp>DS004=USD</stp>
        <stp>Fill=B</stp>
        <tr r="BA195" s="3"/>
      </tp>
      <tp t="s">
        <v>#N/A Connection</v>
        <stp/>
        <stp>##V3_BDPV12</stp>
        <stp>WCARPTI Index</stp>
        <stp>PX385</stp>
        <stp>[BI_AUTMG_1_l22cd4li.xlsx]ReferenceData!R190C31</stp>
        <stp>PX391=20121001</stp>
        <stp>PX392=20121231</stp>
        <stp>DS004=USD</stp>
        <stp>Fill=B</stp>
        <tr r="AE190" s="3"/>
      </tp>
      <tp t="s">
        <v>#N/A Connection</v>
        <stp/>
        <stp>##V3_BDPV12</stp>
        <stp>WCAREE Index</stp>
        <stp>PX385</stp>
        <stp>[BI_AUTMG_1_l22cd4li.xlsx]ReferenceData!R198C64</stp>
        <stp>PX391=20040701</stp>
        <stp>PX392=20040930</stp>
        <stp>DS004=USD</stp>
        <stp>Fill=B</stp>
        <tr r="BL198" s="3"/>
      </tp>
      <tp t="s">
        <v>#N/A Connection</v>
        <stp/>
        <stp>##V3_BDPV12</stp>
        <stp>WCARUKI Index</stp>
        <stp>PX385</stp>
        <stp>[BI_AUTMG_1_l22cd4li.xlsx]ReferenceData!R195C57</stp>
        <stp>PX391=20060401</stp>
        <stp>PX392=20060630</stp>
        <stp>DS004=USD</stp>
        <stp>Fill=B</stp>
        <tr r="BE195" s="3"/>
      </tp>
      <tp t="s">
        <v>#N/A Connection</v>
        <stp/>
        <stp>##V3_BDPV12</stp>
        <stp>WCARHU Index</stp>
        <stp>PX385</stp>
        <stp>[BI_AUTMG_1_l22cd4li.xlsx]ReferenceData!R199C20</stp>
        <stp>PX391=20150701</stp>
        <stp>PX392=20150930</stp>
        <stp>DS004=USD</stp>
        <stp>Fill=B</stp>
        <tr r="T199" s="3"/>
      </tp>
      <tp t="s">
        <v>#N/A Connection</v>
        <stp/>
        <stp>##V3_BDPV12</stp>
        <stp>WCARPTI Index</stp>
        <stp>PX385</stp>
        <stp>[BI_AUTMG_1_l22cd4li.xlsx]ReferenceData!R190C27</stp>
        <stp>PX391=20131001</stp>
        <stp>PX392=20131231</stp>
        <stp>DS004=USD</stp>
        <stp>Fill=B</stp>
        <tr r="AA190" s="3"/>
      </tp>
      <tp t="s">
        <v>#N/A Connection</v>
        <stp/>
        <stp>##V3_BDPV12</stp>
        <stp>WCAREE Index</stp>
        <stp>PX385</stp>
        <stp>[BI_AUTMG_1_l22cd4li.xlsx]ReferenceData!R198C52</stp>
        <stp>PX391=20070701</stp>
        <stp>PX392=20070930</stp>
        <stp>DS004=USD</stp>
        <stp>Fill=B</stp>
        <tr r="AZ198" s="3"/>
      </tp>
      <tp t="s">
        <v>#N/A Connection</v>
        <stp/>
        <stp>##V3_BDPV12</stp>
        <stp>WCARUKI Index</stp>
        <stp>PX385</stp>
        <stp>[BI_AUTMG_1_l22cd4li.xlsx]ReferenceData!R195C61</stp>
        <stp>PX391=20050401</stp>
        <stp>PX392=20050630</stp>
        <stp>DS004=USD</stp>
        <stp>Fill=B</stp>
        <tr r="BI195" s="3"/>
      </tp>
      <tp t="s">
        <v>#N/A Connection</v>
        <stp/>
        <stp>##V3_BDPV12</stp>
        <stp>WCARHU Index</stp>
        <stp>PX385</stp>
        <stp>[BI_AUTMG_1_l22cd4li.xlsx]ReferenceData!R199C16</stp>
        <stp>PX391=20160701</stp>
        <stp>PX392=20160930</stp>
        <stp>DS004=USD</stp>
        <stp>Fill=B</stp>
        <tr r="P199" s="3"/>
      </tp>
      <tp t="s">
        <v>#N/A Connection</v>
        <stp/>
        <stp>##V3_BDPV12</stp>
        <stp>WCARPTI Index</stp>
        <stp>PX385</stp>
        <stp>[BI_AUTMG_1_l22cd4li.xlsx]ReferenceData!R190C39</stp>
        <stp>PX391=20101001</stp>
        <stp>PX392=20101231</stp>
        <stp>DS004=USD</stp>
        <stp>Fill=B</stp>
        <tr r="AM190" s="3"/>
      </tp>
      <tp t="s">
        <v>#N/A Connection</v>
        <stp/>
        <stp>##V3_BDPV12</stp>
        <stp>CHVSAUTO Index</stp>
        <stp>PX385</stp>
        <stp>[BI_AUTMG_1_l22cd4li.xlsx]ReferenceData!R212C43</stp>
        <stp>PX391=20091001</stp>
        <stp>PX392=20091231</stp>
        <stp>DS004=USD</stp>
        <stp>Fill=B</stp>
        <tr r="AQ212" s="3"/>
      </tp>
      <tp t="s">
        <v>#N/A Connection</v>
        <stp/>
        <stp>##V3_BDPV12</stp>
        <stp>CHVSAUTO Index</stp>
        <stp>PX385</stp>
        <stp>[BI_AUTMG_1_l22cd4li.xlsx]ReferenceData!R212C10</stp>
        <stp>PX391=20180101</stp>
        <stp>PX392=20180331</stp>
        <stp>DS004=USD</stp>
        <stp>Fill=B</stp>
        <tr r="J212" s="3"/>
      </tp>
      <tp t="s">
        <v>#N/A Connection</v>
        <stp/>
        <stp>##V3_BDPV12</stp>
        <stp>WCAREE Index</stp>
        <stp>PX385</stp>
        <stp>[BI_AUTMG_1_l22cd4li.xlsx]ReferenceData!R198C56</stp>
        <stp>PX391=20060701</stp>
        <stp>PX392=20060930</stp>
        <stp>DS004=USD</stp>
        <stp>Fill=B</stp>
        <tr r="BD198" s="3"/>
      </tp>
      <tp t="s">
        <v>#N/A Connection</v>
        <stp/>
        <stp>##V3_BDPV12</stp>
        <stp>WCARHU Index</stp>
        <stp>PX385</stp>
        <stp>[BI_AUTMG_1_l22cd4li.xlsx]ReferenceData!R199C12</stp>
        <stp>PX391=20170701</stp>
        <stp>PX392=20170930</stp>
        <stp>DS004=USD</stp>
        <stp>Fill=B</stp>
        <tr r="L199" s="3"/>
      </tp>
      <tp t="s">
        <v>#N/A Connection</v>
        <stp/>
        <stp>##V3_BDPV12</stp>
        <stp>WCARUKI Index</stp>
        <stp>PX385</stp>
        <stp>[BI_AUTMG_1_l22cd4li.xlsx]ReferenceData!R195C65</stp>
        <stp>PX391=20040401</stp>
        <stp>PX392=20040630</stp>
        <stp>DS004=USD</stp>
        <stp>Fill=B</stp>
        <tr r="BM195" s="3"/>
      </tp>
      <tp t="s">
        <v>#N/A Connection</v>
        <stp/>
        <stp>##V3_BDPV12</stp>
        <stp>WCARPTI Index</stp>
        <stp>PX385</stp>
        <stp>[BI_AUTMG_1_l22cd4li.xlsx]ReferenceData!R190C35</stp>
        <stp>PX391=20111001</stp>
        <stp>PX392=20111231</stp>
        <stp>DS004=USD</stp>
        <stp>Fill=B</stp>
        <tr r="AI190" s="3"/>
      </tp>
      <tp t="s">
        <v>#N/A Connection</v>
        <stp/>
        <stp>##V3_BDPV12</stp>
        <stp>CHVSAUTO Index</stp>
        <stp>PX385</stp>
        <stp>[BI_AUTMG_1_l22cd4li.xlsx]ReferenceData!R212C47</stp>
        <stp>PX391=20081001</stp>
        <stp>PX392=20081231</stp>
        <stp>DS004=USD</stp>
        <stp>Fill=B</stp>
        <tr r="AU212" s="3"/>
      </tp>
      <tp t="s">
        <v>#N/A Connection</v>
        <stp/>
        <stp>##V3_BDPV12</stp>
        <stp>WCARHU Index</stp>
        <stp>PX385</stp>
        <stp>[BI_AUTMG_1_l22cd4li.xlsx]ReferenceData!R199C40</stp>
        <stp>PX391=20100701</stp>
        <stp>PX392=20100930</stp>
        <stp>DS004=USD</stp>
        <stp>Fill=B</stp>
        <tr r="AN199" s="3"/>
      </tp>
      <tp t="s">
        <v>#N/A Connection</v>
        <stp/>
        <stp>##V3_BDPV12</stp>
        <stp>WCARPTI Index</stp>
        <stp>PX385</stp>
        <stp>[BI_AUTMG_1_l22cd4li.xlsx]ReferenceData!R190C15</stp>
        <stp>PX391=20161001</stp>
        <stp>PX392=20161231</stp>
        <stp>DS004=USD</stp>
        <stp>Fill=B</stp>
        <tr r="O190" s="3"/>
      </tp>
      <tp t="s">
        <v>#N/A Connection</v>
        <stp/>
        <stp>##V3_BDPV12</stp>
        <stp>WCARPTI Index</stp>
        <stp>PX385</stp>
        <stp>[BI_AUTMG_1_l22cd4li.xlsx]ReferenceData!R190C54</stp>
        <stp>PX391=20070101</stp>
        <stp>PX392=20070331</stp>
        <stp>DS004=USD</stp>
        <stp>Fill=B</stp>
        <tr r="BB190" s="3"/>
      </tp>
      <tp t="s">
        <v>#N/A Connection</v>
        <stp/>
        <stp>##V3_BDPV12</stp>
        <stp>WCARHU Index</stp>
        <stp>PX385</stp>
        <stp>[BI_AUTMG_1_l22cd4li.xlsx]ReferenceData!R199C36</stp>
        <stp>PX391=20110701</stp>
        <stp>PX392=20110930</stp>
        <stp>DS004=USD</stp>
        <stp>Fill=B</stp>
        <tr r="AJ199" s="3"/>
      </tp>
      <tp t="s">
        <v>#N/A Connection</v>
        <stp/>
        <stp>##V3_BDPV12</stp>
        <stp>WCARPTI Index</stp>
        <stp>PX385</stp>
        <stp>[BI_AUTMG_1_l22cd4li.xlsx]ReferenceData!R190C11</stp>
        <stp>PX391=20171001</stp>
        <stp>PX392=20171231</stp>
        <stp>DS004=USD</stp>
        <stp>Fill=B</stp>
        <tr r="K190" s="3"/>
      </tp>
      <tp t="s">
        <v>#N/A Connection</v>
        <stp/>
        <stp>##V3_BDPV12</stp>
        <stp>WCARPTI Index</stp>
        <stp>PX385</stp>
        <stp>[BI_AUTMG_1_l22cd4li.xlsx]ReferenceData!R190C58</stp>
        <stp>PX391=20060101</stp>
        <stp>PX392=20060331</stp>
        <stp>DS004=USD</stp>
        <stp>Fill=B</stp>
        <tr r="BF190" s="3"/>
      </tp>
      <tp t="s">
        <v>#N/A Connection</v>
        <stp/>
        <stp>##V3_BDPV12</stp>
        <stp>WCARHU Index</stp>
        <stp>PX385</stp>
        <stp>[BI_AUTMG_1_l22cd4li.xlsx]ReferenceData!R199C32</stp>
        <stp>PX391=20120701</stp>
        <stp>PX392=20120930</stp>
        <stp>DS004=USD</stp>
        <stp>Fill=B</stp>
        <tr r="AF199" s="3"/>
      </tp>
      <tp t="s">
        <v>#N/A Connection</v>
        <stp/>
        <stp>##V3_BDPV12</stp>
        <stp>WCARPTI Index</stp>
        <stp>PX385</stp>
        <stp>[BI_AUTMG_1_l22cd4li.xlsx]ReferenceData!R190C23</stp>
        <stp>PX391=20141001</stp>
        <stp>PX392=20141231</stp>
        <stp>DS004=USD</stp>
        <stp>Fill=B</stp>
        <tr r="W190" s="3"/>
      </tp>
      <tp t="s">
        <v>#N/A Connection</v>
        <stp/>
        <stp>##V3_BDPV12</stp>
        <stp>WCARPTI Index</stp>
        <stp>PX385</stp>
        <stp>[BI_AUTMG_1_l22cd4li.xlsx]ReferenceData!R190C62</stp>
        <stp>PX391=20050101</stp>
        <stp>PX392=20050331</stp>
        <stp>DS004=USD</stp>
        <stp>Fill=B</stp>
        <tr r="BJ190" s="3"/>
      </tp>
      <tp t="s">
        <v>#N/A Connection</v>
        <stp/>
        <stp>##V3_BDPV12</stp>
        <stp>WCARHU Index</stp>
        <stp>PX385</stp>
        <stp>[BI_AUTMG_1_l22cd4li.xlsx]ReferenceData!R199C28</stp>
        <stp>PX391=20130701</stp>
        <stp>PX392=20130930</stp>
        <stp>DS004=USD</stp>
        <stp>Fill=B</stp>
        <tr r="AB199" s="3"/>
      </tp>
      <tp t="s">
        <v>#N/A Connection</v>
        <stp/>
        <stp>##V3_BDPV12</stp>
        <stp>WCARPTI Index</stp>
        <stp>PX385</stp>
        <stp>[BI_AUTMG_1_l22cd4li.xlsx]ReferenceData!R190C19</stp>
        <stp>PX391=20151001</stp>
        <stp>PX392=20151231</stp>
        <stp>DS004=USD</stp>
        <stp>Fill=B</stp>
        <tr r="S190" s="3"/>
      </tp>
      <tp t="s">
        <v>#N/A Connection</v>
        <stp/>
        <stp>##V3_BDPV12</stp>
        <stp>WCARLUI Index</stp>
        <stp>PX385</stp>
        <stp>[BI_AUTMG_1_l22cd4li.xlsx]ReferenceData!R187C12</stp>
        <stp>PX391=20170701</stp>
        <stp>PX392=20170930</stp>
        <stp>DS004=USD</stp>
        <stp>Fill=B</stp>
        <tr r="L187" s="3"/>
      </tp>
      <tp t="s">
        <v>#N/A Connection</v>
        <stp/>
        <stp>##V3_BDPV12</stp>
        <stp>PHCSTOTL Index</stp>
        <stp>PX385</stp>
        <stp>[BI_AUTMG_1_l22cd4li.xlsx]ReferenceData!R170C49</stp>
        <stp>PX391=20080401</stp>
        <stp>PX392=20080630</stp>
        <stp>DS004=USD</stp>
        <stp>Fill=B</stp>
        <tr r="AW170" s="3"/>
      </tp>
      <tp t="s">
        <v>#N/A Connection</v>
        <stp/>
        <stp>##V3_BDPV12</stp>
        <stp>WCARLUI Index</stp>
        <stp>PX385</stp>
        <stp>[BI_AUTMG_1_l22cd4li.xlsx]ReferenceData!R187C16</stp>
        <stp>PX391=20160701</stp>
        <stp>PX392=20160930</stp>
        <stp>DS004=USD</stp>
        <stp>Fill=B</stp>
        <tr r="P187" s="3"/>
      </tp>
      <tp t="s">
        <v>#N/A Connection</v>
        <stp/>
        <stp>##V3_BDPV12</stp>
        <stp>PHCSTOTL Index</stp>
        <stp>PX385</stp>
        <stp>[BI_AUTMG_1_l22cd4li.xlsx]ReferenceData!R170C45</stp>
        <stp>PX391=20090401</stp>
        <stp>PX392=20090630</stp>
        <stp>DS004=USD</stp>
        <stp>Fill=B</stp>
        <tr r="AS170" s="3"/>
      </tp>
      <tp t="s">
        <v>#N/A Connection</v>
        <stp/>
        <stp>##V3_BDPV12</stp>
        <stp>WCARLUI Index</stp>
        <stp>PX385</stp>
        <stp>[BI_AUTMG_1_l22cd4li.xlsx]ReferenceData!R187C20</stp>
        <stp>PX391=20150701</stp>
        <stp>PX392=20150930</stp>
        <stp>DS004=USD</stp>
        <stp>Fill=B</stp>
        <tr r="T187" s="3"/>
      </tp>
      <tp t="s">
        <v>#N/A Connection</v>
        <stp/>
        <stp>##V3_BDPV12</stp>
        <stp>WCARATI Index</stp>
        <stp>PX385</stp>
        <stp>[BI_AUTMG_1_l22cd4li.xlsx]ReferenceData!R176C44</stp>
        <stp>PX391=20090701</stp>
        <stp>PX392=20090930</stp>
        <stp>DS004=USD</stp>
        <stp>Fill=B</stp>
        <tr r="AR176" s="3"/>
      </tp>
      <tp t="s">
        <v>#N/A Connection</v>
        <stp/>
        <stp>##V3_BDPV12</stp>
        <stp>WCARLUI Index</stp>
        <stp>PX385</stp>
        <stp>[BI_AUTMG_1_l22cd4li.xlsx]ReferenceData!R187C24</stp>
        <stp>PX391=20140701</stp>
        <stp>PX392=20140930</stp>
        <stp>DS004=USD</stp>
        <stp>Fill=B</stp>
        <tr r="X187" s="3"/>
      </tp>
      <tp t="s">
        <v>#N/A Connection</v>
        <stp/>
        <stp>##V3_BDPV12</stp>
        <stp>WCARATI Index</stp>
        <stp>PX385</stp>
        <stp>[BI_AUTMG_1_l22cd4li.xlsx]ReferenceData!R176C48</stp>
        <stp>PX391=20080701</stp>
        <stp>PX392=20080930</stp>
        <stp>DS004=USD</stp>
        <stp>Fill=B</stp>
        <tr r="AV176" s="3"/>
      </tp>
      <tp t="s">
        <v>#N/A Connection</v>
        <stp/>
        <stp>##V3_BDPV12</stp>
        <stp>WCARFII Index</stp>
        <stp>PX385</stp>
        <stp>[BI_AUTMG_1_l22cd4li.xlsx]ReferenceData!R180C46</stp>
        <stp>PX391=20090101</stp>
        <stp>PX392=20090331</stp>
        <stp>DS004=USD</stp>
        <stp>Fill=B</stp>
        <tr r="AT180" s="3"/>
      </tp>
      <tp t="s">
        <v>#N/A Connection</v>
        <stp/>
        <stp>##V3_BDPV12</stp>
        <stp>WCARIEI Index</stp>
        <stp>PX385</stp>
        <stp>[BI_AUTMG_1_l22cd4li.xlsx]ReferenceData!R185C53</stp>
        <stp>PX391=20070401</stp>
        <stp>PX392=20070630</stp>
        <stp>DS004=USD</stp>
        <stp>Fill=B</stp>
        <tr r="BA185" s="3"/>
      </tp>
      <tp t="s">
        <v>#N/A Connection</v>
        <stp/>
        <stp>##V3_BDPV12</stp>
        <stp>WCARLUI Index</stp>
        <stp>PX385</stp>
        <stp>[BI_AUTMG_1_l22cd4li.xlsx]ReferenceData!R187C28</stp>
        <stp>PX391=20130701</stp>
        <stp>PX392=20130930</stp>
        <stp>DS004=USD</stp>
        <stp>Fill=B</stp>
        <tr r="AB187" s="3"/>
      </tp>
      <tp t="s">
        <v>#N/A Connection</v>
        <stp/>
        <stp>##V3_BDPV12</stp>
        <stp>WCARITI Index</stp>
        <stp>PX385</stp>
        <stp>[BI_AUTMG_1_l22cd4li.xlsx]ReferenceData!R186C52</stp>
        <stp>PX391=20070701</stp>
        <stp>PX392=20070930</stp>
        <stp>DS004=USD</stp>
        <stp>Fill=B</stp>
        <tr r="AZ186" s="3"/>
      </tp>
      <tp t="s">
        <v>#N/A Connection</v>
        <stp/>
        <stp>##V3_BDPV12</stp>
        <stp>WCARFRI Index</stp>
        <stp>PX385</stp>
        <stp>[BI_AUTMG_1_l22cd4li.xlsx]ReferenceData!R181C10</stp>
        <stp>PX391=20180101</stp>
        <stp>PX392=20180331</stp>
        <stp>DS004=USD</stp>
        <stp>Fill=B</stp>
        <tr r="J181" s="3"/>
      </tp>
      <tp t="s">
        <v>#N/A Connection</v>
        <stp/>
        <stp>##V3_BDPV12</stp>
        <stp>WCARFRI Index</stp>
        <stp>PX385</stp>
        <stp>[BI_AUTMG_1_l22cd4li.xlsx]ReferenceData!R181C43</stp>
        <stp>PX391=20091001</stp>
        <stp>PX392=20091231</stp>
        <stp>DS004=USD</stp>
        <stp>Fill=B</stp>
        <tr r="AQ181" s="3"/>
      </tp>
      <tp t="s">
        <v>#N/A Connection</v>
        <stp/>
        <stp>##V3_BDPV12</stp>
        <stp>WCARFII Index</stp>
        <stp>PX385</stp>
        <stp>[BI_AUTMG_1_l22cd4li.xlsx]ReferenceData!R180C50</stp>
        <stp>PX391=20080101</stp>
        <stp>PX392=20080331</stp>
        <stp>DS004=USD</stp>
        <stp>Fill=B</stp>
        <tr r="AX180" s="3"/>
      </tp>
      <tp t="s">
        <v>#N/A Connection</v>
        <stp/>
        <stp>##V3_BDPV12</stp>
        <stp>WCARIEI Index</stp>
        <stp>PX385</stp>
        <stp>[BI_AUTMG_1_l22cd4li.xlsx]ReferenceData!R185C57</stp>
        <stp>PX391=20060401</stp>
        <stp>PX392=20060630</stp>
        <stp>DS004=USD</stp>
        <stp>Fill=B</stp>
        <tr r="BE185" s="3"/>
      </tp>
      <tp t="s">
        <v>#N/A Connection</v>
        <stp/>
        <stp>##V3_BDPV12</stp>
        <stp>WCARLUI Index</stp>
        <stp>PX385</stp>
        <stp>[BI_AUTMG_1_l22cd4li.xlsx]ReferenceData!R187C32</stp>
        <stp>PX391=20120701</stp>
        <stp>PX392=20120930</stp>
        <stp>DS004=USD</stp>
        <stp>Fill=B</stp>
        <tr r="AF187" s="3"/>
      </tp>
      <tp t="s">
        <v>#N/A Connection</v>
        <stp/>
        <stp>##V3_BDPV12</stp>
        <stp>WCARITI Index</stp>
        <stp>PX385</stp>
        <stp>[BI_AUTMG_1_l22cd4li.xlsx]ReferenceData!R186C56</stp>
        <stp>PX391=20060701</stp>
        <stp>PX392=20060930</stp>
        <stp>DS004=USD</stp>
        <stp>Fill=B</stp>
        <tr r="BD186" s="3"/>
      </tp>
      <tp t="s">
        <v>#N/A Connection</v>
        <stp/>
        <stp>##V3_BDPV12</stp>
        <stp>WCARFRI Index</stp>
        <stp>PX385</stp>
        <stp>[BI_AUTMG_1_l22cd4li.xlsx]ReferenceData!R181C47</stp>
        <stp>PX391=20081001</stp>
        <stp>PX392=20081231</stp>
        <stp>DS004=USD</stp>
        <stp>Fill=B</stp>
        <tr r="AU181" s="3"/>
      </tp>
      <tp t="s">
        <v>#N/A Connection</v>
        <stp/>
        <stp>##V3_BDPV12</stp>
        <stp>WCARIEI Index</stp>
        <stp>PX385</stp>
        <stp>[BI_AUTMG_1_l22cd4li.xlsx]ReferenceData!R185C61</stp>
        <stp>PX391=20050401</stp>
        <stp>PX392=20050630</stp>
        <stp>DS004=USD</stp>
        <stp>Fill=B</stp>
        <tr r="BI185" s="3"/>
      </tp>
      <tp t="s">
        <v>#N/A Connection</v>
        <stp/>
        <stp>##V3_BDPV12</stp>
        <stp>WCARLUI Index</stp>
        <stp>PX385</stp>
        <stp>[BI_AUTMG_1_l22cd4li.xlsx]ReferenceData!R187C36</stp>
        <stp>PX391=20110701</stp>
        <stp>PX392=20110930</stp>
        <stp>DS004=USD</stp>
        <stp>Fill=B</stp>
        <tr r="AJ187" s="3"/>
      </tp>
      <tp t="s">
        <v>#N/A Connection</v>
        <stp/>
        <stp>##V3_BDPV12</stp>
        <stp>WCARITI Index</stp>
        <stp>PX385</stp>
        <stp>[BI_AUTMG_1_l22cd4li.xlsx]ReferenceData!R186C60</stp>
        <stp>PX391=20050701</stp>
        <stp>PX392=20050930</stp>
        <stp>DS004=USD</stp>
        <stp>Fill=B</stp>
        <tr r="BH186" s="3"/>
      </tp>
      <tp t="s">
        <v>#N/A Connection</v>
        <stp/>
        <stp>##V3_BDPV12</stp>
        <stp>WCARESI Index</stp>
        <stp>PX385</stp>
        <stp>[BI_AUTMG_1_l22cd4li.xlsx]ReferenceData!R191C47</stp>
        <stp>PX391=20081001</stp>
        <stp>PX392=20081231</stp>
        <stp>DS004=USD</stp>
        <stp>Fill=B</stp>
        <tr r="AU191" s="3"/>
      </tp>
      <tp t="s">
        <v>#N/A Connection</v>
        <stp/>
        <stp>##V3_BDPV12</stp>
        <stp>AUTMAUVS Index</stp>
        <stp>PX385</stp>
        <stp>[BI_AUTMG_1_l22cd4li.xlsx]ReferenceData!R161C50</stp>
        <stp>PX391=20080101</stp>
        <stp>PX392=20080331</stp>
        <stp>DS004=USD</stp>
        <stp>Fill=B</stp>
        <tr r="AX161" s="3"/>
      </tp>
      <tp t="s">
        <v>#N/A Connection</v>
        <stp/>
        <stp>##V3_BDPV12</stp>
        <stp>ARVSARTL Index</stp>
        <stp>PX385</stp>
        <stp>[BI_AUTMG_1_l22cd4li.xlsx]ReferenceData!R210C47</stp>
        <stp>PX391=20081001</stp>
        <stp>PX392=20081231</stp>
        <stp>DS004=USD</stp>
        <stp>Fill=B</stp>
        <tr r="AU210" s="3"/>
      </tp>
      <tp t="s">
        <v>#N/A Connection</v>
        <stp/>
        <stp>##V3_BDPV12</stp>
        <stp>WCARIEI Index</stp>
        <stp>PX385</stp>
        <stp>[BI_AUTMG_1_l22cd4li.xlsx]ReferenceData!R185C65</stp>
        <stp>PX391=20040401</stp>
        <stp>PX392=20040630</stp>
        <stp>DS004=USD</stp>
        <stp>Fill=B</stp>
        <tr r="BM185" s="3"/>
      </tp>
      <tp t="s">
        <v>#N/A Connection</v>
        <stp/>
        <stp>##V3_BDPV12</stp>
        <stp>WCARLUI Index</stp>
        <stp>PX385</stp>
        <stp>[BI_AUTMG_1_l22cd4li.xlsx]ReferenceData!R187C40</stp>
        <stp>PX391=20100701</stp>
        <stp>PX392=20100930</stp>
        <stp>DS004=USD</stp>
        <stp>Fill=B</stp>
        <tr r="AN187" s="3"/>
      </tp>
      <tp t="s">
        <v>#N/A Connection</v>
        <stp/>
        <stp>##V3_BDPV12</stp>
        <stp>WCARITI Index</stp>
        <stp>PX385</stp>
        <stp>[BI_AUTMG_1_l22cd4li.xlsx]ReferenceData!R186C64</stp>
        <stp>PX391=20040701</stp>
        <stp>PX392=20040930</stp>
        <stp>DS004=USD</stp>
        <stp>Fill=B</stp>
        <tr r="BL186" s="3"/>
      </tp>
      <tp t="s">
        <v>#N/A Connection</v>
        <stp/>
        <stp>##V3_BDPV12</stp>
        <stp>WCARESI Index</stp>
        <stp>PX385</stp>
        <stp>[BI_AUTMG_1_l22cd4li.xlsx]ReferenceData!R191C10</stp>
        <stp>PX391=20180101</stp>
        <stp>PX392=20180331</stp>
        <stp>DS004=USD</stp>
        <stp>Fill=B</stp>
        <tr r="J191" s="3"/>
      </tp>
      <tp t="s">
        <v>#N/A Connection</v>
        <stp/>
        <stp>##V3_BDPV12</stp>
        <stp>WCARESI Index</stp>
        <stp>PX385</stp>
        <stp>[BI_AUTMG_1_l22cd4li.xlsx]ReferenceData!R191C43</stp>
        <stp>PX391=20091001</stp>
        <stp>PX392=20091231</stp>
        <stp>DS004=USD</stp>
        <stp>Fill=B</stp>
        <tr r="AQ191" s="3"/>
      </tp>
      <tp t="s">
        <v>#N/A Connection</v>
        <stp/>
        <stp>##V3_BDPV12</stp>
        <stp>AUTMAUVS Index</stp>
        <stp>PX385</stp>
        <stp>[BI_AUTMG_1_l22cd4li.xlsx]ReferenceData!R161C46</stp>
        <stp>PX391=20090101</stp>
        <stp>PX392=20090331</stp>
        <stp>DS004=USD</stp>
        <stp>Fill=B</stp>
        <tr r="AT161" s="3"/>
      </tp>
      <tp t="s">
        <v>#N/A Connection</v>
        <stp/>
        <stp>##V3_BDPV12</stp>
        <stp>ARVSARTL Index</stp>
        <stp>PX385</stp>
        <stp>[BI_AUTMG_1_l22cd4li.xlsx]ReferenceData!R210C43</stp>
        <stp>PX391=20091001</stp>
        <stp>PX392=20091231</stp>
        <stp>DS004=USD</stp>
        <stp>Fill=B</stp>
        <tr r="AQ210" s="3"/>
      </tp>
      <tp t="s">
        <v>#N/A Connection</v>
        <stp/>
        <stp>##V3_BDPV12</stp>
        <stp>ARVSARTL Index</stp>
        <stp>PX385</stp>
        <stp>[BI_AUTMG_1_l22cd4li.xlsx]ReferenceData!R210C10</stp>
        <stp>PX391=20180101</stp>
        <stp>PX392=20180331</stp>
        <stp>DS004=USD</stp>
        <stp>Fill=B</stp>
        <tr r="J210" s="3"/>
      </tp>
      <tp t="s">
        <v>#N/A Connection</v>
        <stp/>
        <stp>##V3_BDPV12</stp>
        <stp>WCARBEI Index</stp>
        <stp>PX385</stp>
        <stp>[BI_AUTMG_1_l22cd4li.xlsx]ReferenceData!R177C36</stp>
        <stp>PX391=20110701</stp>
        <stp>PX392=20110930</stp>
        <stp>DS004=USD</stp>
        <stp>Fill=B</stp>
        <tr r="AJ177" s="3"/>
      </tp>
      <tp t="s">
        <v>#N/A Connection</v>
        <stp/>
        <stp>##V3_BDPV12</stp>
        <stp>WCARFII Index</stp>
        <stp>PX385</stp>
        <stp>[BI_AUTMG_1_l22cd4li.xlsx]ReferenceData!R180C62</stp>
        <stp>PX391=20050101</stp>
        <stp>PX392=20050331</stp>
        <stp>DS004=USD</stp>
        <stp>Fill=B</stp>
        <tr r="BJ180" s="3"/>
      </tp>
      <tp t="s">
        <v>#N/A Connection</v>
        <stp/>
        <stp>##V3_BDPV12</stp>
        <stp>WCARFII Index</stp>
        <stp>PX385</stp>
        <stp>[BI_AUTMG_1_l22cd4li.xlsx]ReferenceData!R180C23</stp>
        <stp>PX391=20141001</stp>
        <stp>PX392=20141231</stp>
        <stp>DS004=USD</stp>
        <stp>Fill=B</stp>
        <tr r="W180" s="3"/>
      </tp>
      <tp t="s">
        <v>#N/A Connection</v>
        <stp/>
        <stp>##V3_BDPV12</stp>
        <stp>WCARESI Index</stp>
        <stp>PX385</stp>
        <stp>[BI_AUTMG_1_l22cd4li.xlsx]ReferenceData!R191C55</stp>
        <stp>PX391=20061001</stp>
        <stp>PX392=20061231</stp>
        <stp>DS004=USD</stp>
        <stp>Fill=B</stp>
        <tr r="BC191" s="3"/>
      </tp>
      <tp t="s">
        <v>#N/A Connection</v>
        <stp/>
        <stp>##V3_BDPV12</stp>
        <stp>WCARFRI Index</stp>
        <stp>PX385</stp>
        <stp>[BI_AUTMG_1_l22cd4li.xlsx]ReferenceData!R181C59</stp>
        <stp>PX391=20051001</stp>
        <stp>PX392=20051231</stp>
        <stp>DS004=USD</stp>
        <stp>Fill=B</stp>
        <tr r="BG181" s="3"/>
      </tp>
      <tp t="s">
        <v>#N/A Connection</v>
        <stp/>
        <stp>##V3_BDPV12</stp>
        <stp>WCARFRI Index</stp>
        <stp>PX385</stp>
        <stp>[BI_AUTMG_1_l22cd4li.xlsx]ReferenceData!R181C26</stp>
        <stp>PX391=20140101</stp>
        <stp>PX392=20140331</stp>
        <stp>DS004=USD</stp>
        <stp>Fill=B</stp>
        <tr r="Z181" s="3"/>
      </tp>
      <tp t="s">
        <v>#N/A Connection</v>
        <stp/>
        <stp>##V3_BDPV12</stp>
        <stp>WCARESI Index</stp>
        <stp>PX385</stp>
        <stp>[BI_AUTMG_1_l22cd4li.xlsx]ReferenceData!R191C14</stp>
        <stp>PX391=20170101</stp>
        <stp>PX392=20170331</stp>
        <stp>DS004=USD</stp>
        <stp>Fill=B</stp>
        <tr r="N191" s="3"/>
      </tp>
      <tp t="s">
        <v>#N/A Connection</v>
        <stp/>
        <stp>##V3_BDPV12</stp>
        <stp>ARVSARTL Index</stp>
        <stp>PX385</stp>
        <stp>[BI_AUTMG_1_l22cd4li.xlsx]ReferenceData!R210C14</stp>
        <stp>PX391=20170101</stp>
        <stp>PX392=20170331</stp>
        <stp>DS004=USD</stp>
        <stp>Fill=B</stp>
        <tr r="N210" s="3"/>
      </tp>
      <tp t="s">
        <v>#N/A Connection</v>
        <stp/>
        <stp>##V3_BDPV12</stp>
        <stp>VNVSTOTL Index</stp>
        <stp>PX385</stp>
        <stp>[BI_AUTMG_1_l22cd4li.xlsx]ReferenceData!R214C12</stp>
        <stp>PX391=20170701</stp>
        <stp>PX392=20170930</stp>
        <stp>DS004=USD</stp>
        <stp>Fill=B</stp>
        <tr r="L214" s="3"/>
      </tp>
      <tp t="s">
        <v>#N/A Connection</v>
        <stp/>
        <stp>##V3_BDPV12</stp>
        <stp>AUTMAUVS Index</stp>
        <stp>PX385</stp>
        <stp>[BI_AUTMG_1_l22cd4li.xlsx]ReferenceData!R161C11</stp>
        <stp>PX391=20171001</stp>
        <stp>PX392=20171231</stp>
        <stp>DS004=USD</stp>
        <stp>Fill=B</stp>
        <tr r="K161" s="3"/>
      </tp>
      <tp t="s">
        <v>#N/A Connection</v>
        <stp/>
        <stp>##V3_BDPV12</stp>
        <stp>ARVSARTL Index</stp>
        <stp>PX385</stp>
        <stp>[BI_AUTMG_1_l22cd4li.xlsx]ReferenceData!R210C55</stp>
        <stp>PX391=20061001</stp>
        <stp>PX392=20061231</stp>
        <stp>DS004=USD</stp>
        <stp>Fill=B</stp>
        <tr r="BC210" s="3"/>
      </tp>
      <tp t="s">
        <v>#N/A Connection</v>
        <stp/>
        <stp>##V3_BDPV12</stp>
        <stp>AUTMAUVS Index</stp>
        <stp>PX385</stp>
        <stp>[BI_AUTMG_1_l22cd4li.xlsx]ReferenceData!R161C58</stp>
        <stp>PX391=20060101</stp>
        <stp>PX392=20060331</stp>
        <stp>DS004=USD</stp>
        <stp>Fill=B</stp>
        <tr r="BF161" s="3"/>
      </tp>
      <tp t="s">
        <v>#N/A Connection</v>
        <stp/>
        <stp>##V3_BDPV12</stp>
        <stp>WCARBEI Index</stp>
        <stp>PX385</stp>
        <stp>[BI_AUTMG_1_l22cd4li.xlsx]ReferenceData!R177C40</stp>
        <stp>PX391=20100701</stp>
        <stp>PX392=20100930</stp>
        <stp>DS004=USD</stp>
        <stp>Fill=B</stp>
        <tr r="AN177" s="3"/>
      </tp>
      <tp t="s">
        <v>#N/A Connection</v>
        <stp/>
        <stp>##V3_BDPV12</stp>
        <stp>WCARFII Index</stp>
        <stp>PX385</stp>
        <stp>[BI_AUTMG_1_l22cd4li.xlsx]ReferenceData!R180C19</stp>
        <stp>PX391=20151001</stp>
        <stp>PX392=20151231</stp>
        <stp>DS004=USD</stp>
        <stp>Fill=B</stp>
        <tr r="S180" s="3"/>
      </tp>
      <tp t="s">
        <v>#N/A Connection</v>
        <stp/>
        <stp>##V3_BDPV12</stp>
        <stp>WCARESI Index</stp>
        <stp>PX385</stp>
        <stp>[BI_AUTMG_1_l22cd4li.xlsx]ReferenceData!R191C51</stp>
        <stp>PX391=20071001</stp>
        <stp>PX392=20071231</stp>
        <stp>DS004=USD</stp>
        <stp>Fill=B</stp>
        <tr r="AY191" s="3"/>
      </tp>
      <tp t="s">
        <v>#N/A Connection</v>
        <stp/>
        <stp>##V3_BDPV12</stp>
        <stp>WCARFRI Index</stp>
        <stp>PX385</stp>
        <stp>[BI_AUTMG_1_l22cd4li.xlsx]ReferenceData!R181C63</stp>
        <stp>PX391=20041001</stp>
        <stp>PX392=20041231</stp>
        <stp>DS004=USD</stp>
        <stp>Fill=B</stp>
        <tr r="BK181" s="3"/>
      </tp>
      <tp t="s">
        <v>#N/A Connection</v>
        <stp/>
        <stp>##V3_BDPV12</stp>
        <stp>WCARESI Index</stp>
        <stp>PX385</stp>
        <stp>[BI_AUTMG_1_l22cd4li.xlsx]ReferenceData!R191C18</stp>
        <stp>PX391=20160101</stp>
        <stp>PX392=20160331</stp>
        <stp>DS004=USD</stp>
        <stp>Fill=B</stp>
        <tr r="R191" s="3"/>
      </tp>
      <tp t="s">
        <v>#N/A Connection</v>
        <stp/>
        <stp>##V3_BDPV12</stp>
        <stp>WCARFRI Index</stp>
        <stp>PX385</stp>
        <stp>[BI_AUTMG_1_l22cd4li.xlsx]ReferenceData!R181C22</stp>
        <stp>PX391=20150101</stp>
        <stp>PX392=20150331</stp>
        <stp>DS004=USD</stp>
        <stp>Fill=B</stp>
        <tr r="V181" s="3"/>
      </tp>
      <tp t="s">
        <v>#N/A Connection</v>
        <stp/>
        <stp>##V3_BDPV12</stp>
        <stp>VNVSTOTL Index</stp>
        <stp>PX385</stp>
        <stp>[BI_AUTMG_1_l22cd4li.xlsx]ReferenceData!R214C16</stp>
        <stp>PX391=20160701</stp>
        <stp>PX392=20160930</stp>
        <stp>DS004=USD</stp>
        <stp>Fill=B</stp>
        <tr r="P214" s="3"/>
      </tp>
      <tp t="s">
        <v>#N/A Connection</v>
        <stp/>
        <stp>##V3_BDPV12</stp>
        <stp>ARVSARTL Index</stp>
        <stp>PX385</stp>
        <stp>[BI_AUTMG_1_l22cd4li.xlsx]ReferenceData!R210C18</stp>
        <stp>PX391=20160101</stp>
        <stp>PX392=20160331</stp>
        <stp>DS004=USD</stp>
        <stp>Fill=B</stp>
        <tr r="R210" s="3"/>
      </tp>
      <tp t="s">
        <v>#N/A Connection</v>
        <stp/>
        <stp>##V3_BDPV12</stp>
        <stp>AUTMAUVS Index</stp>
        <stp>PX385</stp>
        <stp>[BI_AUTMG_1_l22cd4li.xlsx]ReferenceData!R161C15</stp>
        <stp>PX391=20161001</stp>
        <stp>PX392=20161231</stp>
        <stp>DS004=USD</stp>
        <stp>Fill=B</stp>
        <tr r="O161" s="3"/>
      </tp>
      <tp t="s">
        <v>#N/A Connection</v>
        <stp/>
        <stp>##V3_BDPV12</stp>
        <stp>ARVSARTL Index</stp>
        <stp>PX385</stp>
        <stp>[BI_AUTMG_1_l22cd4li.xlsx]ReferenceData!R210C51</stp>
        <stp>PX391=20071001</stp>
        <stp>PX392=20071231</stp>
        <stp>DS004=USD</stp>
        <stp>Fill=B</stp>
        <tr r="AY210" s="3"/>
      </tp>
      <tp t="s">
        <v>#N/A Connection</v>
        <stp/>
        <stp>##V3_BDPV12</stp>
        <stp>AUTMAUVS Index</stp>
        <stp>PX385</stp>
        <stp>[BI_AUTMG_1_l22cd4li.xlsx]ReferenceData!R161C54</stp>
        <stp>PX391=20070101</stp>
        <stp>PX392=20070331</stp>
        <stp>DS004=USD</stp>
        <stp>Fill=B</stp>
        <tr r="BB161" s="3"/>
      </tp>
      <tp t="s">
        <v>#N/A Connection</v>
        <stp/>
        <stp>##V3_BDPV12</stp>
        <stp>WCARBEI Index</stp>
        <stp>PX385</stp>
        <stp>[BI_AUTMG_1_l22cd4li.xlsx]ReferenceData!R177C28</stp>
        <stp>PX391=20130701</stp>
        <stp>PX392=20130930</stp>
        <stp>DS004=USD</stp>
        <stp>Fill=B</stp>
        <tr r="AB177" s="3"/>
      </tp>
      <tp t="s">
        <v>#N/A Connection</v>
        <stp/>
        <stp>##V3_BDPV12</stp>
        <stp>WCARIEI Index</stp>
        <stp>PX385</stp>
        <stp>[BI_AUTMG_1_l22cd4li.xlsx]ReferenceData!R185C45</stp>
        <stp>PX391=20090401</stp>
        <stp>PX392=20090630</stp>
        <stp>DS004=USD</stp>
        <stp>Fill=B</stp>
        <tr r="AS185" s="3"/>
      </tp>
      <tp t="s">
        <v>#N/A Connection</v>
        <stp/>
        <stp>##V3_BDPV12</stp>
        <stp>WCARFII Index</stp>
        <stp>PX385</stp>
        <stp>[BI_AUTMG_1_l22cd4li.xlsx]ReferenceData!R180C54</stp>
        <stp>PX391=20070101</stp>
        <stp>PX392=20070331</stp>
        <stp>DS004=USD</stp>
        <stp>Fill=B</stp>
        <tr r="BB180" s="3"/>
      </tp>
      <tp t="s">
        <v>#N/A Connection</v>
        <stp/>
        <stp>##V3_BDPV12</stp>
        <stp>WCARFII Index</stp>
        <stp>PX385</stp>
        <stp>[BI_AUTMG_1_l22cd4li.xlsx]ReferenceData!R180C15</stp>
        <stp>PX391=20161001</stp>
        <stp>PX392=20161231</stp>
        <stp>DS004=USD</stp>
        <stp>Fill=B</stp>
        <tr r="O180" s="3"/>
      </tp>
      <tp t="s">
        <v>#N/A Connection</v>
        <stp/>
        <stp>##V3_BDPV12</stp>
        <stp>WCARESI Index</stp>
        <stp>PX385</stp>
        <stp>[BI_AUTMG_1_l22cd4li.xlsx]ReferenceData!R191C63</stp>
        <stp>PX391=20041001</stp>
        <stp>PX392=20041231</stp>
        <stp>DS004=USD</stp>
        <stp>Fill=B</stp>
        <tr r="BK191" s="3"/>
      </tp>
      <tp t="s">
        <v>#N/A Connection</v>
        <stp/>
        <stp>##V3_BDPV12</stp>
        <stp>WCARFRI Index</stp>
        <stp>PX385</stp>
        <stp>[BI_AUTMG_1_l22cd4li.xlsx]ReferenceData!R181C51</stp>
        <stp>PX391=20071001</stp>
        <stp>PX392=20071231</stp>
        <stp>DS004=USD</stp>
        <stp>Fill=B</stp>
        <tr r="AY181" s="3"/>
      </tp>
      <tp t="s">
        <v>#N/A Connection</v>
        <stp/>
        <stp>##V3_BDPV12</stp>
        <stp>WCARESI Index</stp>
        <stp>PX385</stp>
        <stp>[BI_AUTMG_1_l22cd4li.xlsx]ReferenceData!R191C22</stp>
        <stp>PX391=20150101</stp>
        <stp>PX392=20150331</stp>
        <stp>DS004=USD</stp>
        <stp>Fill=B</stp>
        <tr r="V191" s="3"/>
      </tp>
      <tp t="s">
        <v>#N/A Connection</v>
        <stp/>
        <stp>##V3_BDPV12</stp>
        <stp>WCARFRI Index</stp>
        <stp>PX385</stp>
        <stp>[BI_AUTMG_1_l22cd4li.xlsx]ReferenceData!R181C18</stp>
        <stp>PX391=20160101</stp>
        <stp>PX392=20160331</stp>
        <stp>DS004=USD</stp>
        <stp>Fill=B</stp>
        <tr r="R181" s="3"/>
      </tp>
      <tp t="s">
        <v>#N/A Connection</v>
        <stp/>
        <stp>##V3_BDPV12</stp>
        <stp>WCARITI Index</stp>
        <stp>PX385</stp>
        <stp>[BI_AUTMG_1_l22cd4li.xlsx]ReferenceData!R186C44</stp>
        <stp>PX391=20090701</stp>
        <stp>PX392=20090930</stp>
        <stp>DS004=USD</stp>
        <stp>Fill=B</stp>
        <tr r="AR186" s="3"/>
      </tp>
      <tp t="s">
        <v>#N/A Connection</v>
        <stp/>
        <stp>##V3_BDPV12</stp>
        <stp>AUTMAUVS Index</stp>
        <stp>PX385</stp>
        <stp>[BI_AUTMG_1_l22cd4li.xlsx]ReferenceData!R161C19</stp>
        <stp>PX391=20151001</stp>
        <stp>PX392=20151231</stp>
        <stp>DS004=USD</stp>
        <stp>Fill=B</stp>
        <tr r="S161" s="3"/>
      </tp>
      <tp t="s">
        <v>#N/A Connection</v>
        <stp/>
        <stp>##V3_BDPV12</stp>
        <stp>ARVSARTL Index</stp>
        <stp>PX385</stp>
        <stp>[BI_AUTMG_1_l22cd4li.xlsx]ReferenceData!R210C22</stp>
        <stp>PX391=20150101</stp>
        <stp>PX392=20150331</stp>
        <stp>DS004=USD</stp>
        <stp>Fill=B</stp>
        <tr r="V210" s="3"/>
      </tp>
      <tp t="s">
        <v>#N/A Connection</v>
        <stp/>
        <stp>##V3_BDPV12</stp>
        <stp>VNVSTOTL Index</stp>
        <stp>PX385</stp>
        <stp>[BI_AUTMG_1_l22cd4li.xlsx]ReferenceData!R214C20</stp>
        <stp>PX391=20150701</stp>
        <stp>PX392=20150930</stp>
        <stp>DS004=USD</stp>
        <stp>Fill=B</stp>
        <tr r="T214" s="3"/>
      </tp>
      <tp t="s">
        <v>#N/A Connection</v>
        <stp/>
        <stp>##V3_BDPV12</stp>
        <stp>ARVSARTL Index</stp>
        <stp>PX385</stp>
        <stp>[BI_AUTMG_1_l22cd4li.xlsx]ReferenceData!R210C63</stp>
        <stp>PX391=20041001</stp>
        <stp>PX392=20041231</stp>
        <stp>DS004=USD</stp>
        <stp>Fill=B</stp>
        <tr r="BK210" s="3"/>
      </tp>
      <tp t="s">
        <v>#N/A Connection</v>
        <stp/>
        <stp>##V3_BDPV12</stp>
        <stp>WCARBEI Index</stp>
        <stp>PX385</stp>
        <stp>[BI_AUTMG_1_l22cd4li.xlsx]ReferenceData!R177C32</stp>
        <stp>PX391=20120701</stp>
        <stp>PX392=20120930</stp>
        <stp>DS004=USD</stp>
        <stp>Fill=B</stp>
        <tr r="AF177" s="3"/>
      </tp>
      <tp t="s">
        <v>#N/A Connection</v>
        <stp/>
        <stp>##V3_BDPV12</stp>
        <stp>WCARIEI Index</stp>
        <stp>PX385</stp>
        <stp>[BI_AUTMG_1_l22cd4li.xlsx]ReferenceData!R185C49</stp>
        <stp>PX391=20080401</stp>
        <stp>PX392=20080630</stp>
        <stp>DS004=USD</stp>
        <stp>Fill=B</stp>
        <tr r="AW185" s="3"/>
      </tp>
      <tp t="s">
        <v>#N/A Connection</v>
        <stp/>
        <stp>##V3_BDPV12</stp>
        <stp>WCARFII Index</stp>
        <stp>PX385</stp>
        <stp>[BI_AUTMG_1_l22cd4li.xlsx]ReferenceData!R180C58</stp>
        <stp>PX391=20060101</stp>
        <stp>PX392=20060331</stp>
        <stp>DS004=USD</stp>
        <stp>Fill=B</stp>
        <tr r="BF180" s="3"/>
      </tp>
      <tp t="s">
        <v>#N/A Connection</v>
        <stp/>
        <stp>##V3_BDPV12</stp>
        <stp>WCARFII Index</stp>
        <stp>PX385</stp>
        <stp>[BI_AUTMG_1_l22cd4li.xlsx]ReferenceData!R180C11</stp>
        <stp>PX391=20171001</stp>
        <stp>PX392=20171231</stp>
        <stp>DS004=USD</stp>
        <stp>Fill=B</stp>
        <tr r="K180" s="3"/>
      </tp>
      <tp t="s">
        <v>#N/A Connection</v>
        <stp/>
        <stp>##V3_BDPV12</stp>
        <stp>WCARFRI Index</stp>
        <stp>PX385</stp>
        <stp>[BI_AUTMG_1_l22cd4li.xlsx]ReferenceData!R181C55</stp>
        <stp>PX391=20061001</stp>
        <stp>PX392=20061231</stp>
        <stp>DS004=USD</stp>
        <stp>Fill=B</stp>
        <tr r="BC181" s="3"/>
      </tp>
      <tp t="s">
        <v>#N/A Connection</v>
        <stp/>
        <stp>##V3_BDPV12</stp>
        <stp>WCARESI Index</stp>
        <stp>PX385</stp>
        <stp>[BI_AUTMG_1_l22cd4li.xlsx]ReferenceData!R191C59</stp>
        <stp>PX391=20051001</stp>
        <stp>PX392=20051231</stp>
        <stp>DS004=USD</stp>
        <stp>Fill=B</stp>
        <tr r="BG191" s="3"/>
      </tp>
      <tp t="s">
        <v>#N/A Connection</v>
        <stp/>
        <stp>##V3_BDPV12</stp>
        <stp>WCARFRI Index</stp>
        <stp>PX385</stp>
        <stp>[BI_AUTMG_1_l22cd4li.xlsx]ReferenceData!R181C14</stp>
        <stp>PX391=20170101</stp>
        <stp>PX392=20170331</stp>
        <stp>DS004=USD</stp>
        <stp>Fill=B</stp>
        <tr r="N181" s="3"/>
      </tp>
      <tp t="s">
        <v>#N/A Connection</v>
        <stp/>
        <stp>##V3_BDPV12</stp>
        <stp>WCARESI Index</stp>
        <stp>PX385</stp>
        <stp>[BI_AUTMG_1_l22cd4li.xlsx]ReferenceData!R191C26</stp>
        <stp>PX391=20140101</stp>
        <stp>PX392=20140331</stp>
        <stp>DS004=USD</stp>
        <stp>Fill=B</stp>
        <tr r="Z191" s="3"/>
      </tp>
      <tp t="s">
        <v>#N/A Connection</v>
        <stp/>
        <stp>##V3_BDPV12</stp>
        <stp>WCARITI Index</stp>
        <stp>PX385</stp>
        <stp>[BI_AUTMG_1_l22cd4li.xlsx]ReferenceData!R186C48</stp>
        <stp>PX391=20080701</stp>
        <stp>PX392=20080930</stp>
        <stp>DS004=USD</stp>
        <stp>Fill=B</stp>
        <tr r="AV186" s="3"/>
      </tp>
      <tp t="s">
        <v>#N/A Connection</v>
        <stp/>
        <stp>##V3_BDPV12</stp>
        <stp>ARVSARTL Index</stp>
        <stp>PX385</stp>
        <stp>[BI_AUTMG_1_l22cd4li.xlsx]ReferenceData!R210C26</stp>
        <stp>PX391=20140101</stp>
        <stp>PX392=20140331</stp>
        <stp>DS004=USD</stp>
        <stp>Fill=B</stp>
        <tr r="Z210" s="3"/>
      </tp>
      <tp t="s">
        <v>#N/A Connection</v>
        <stp/>
        <stp>##V3_BDPV12</stp>
        <stp>VNVSTOTL Index</stp>
        <stp>PX385</stp>
        <stp>[BI_AUTMG_1_l22cd4li.xlsx]ReferenceData!R214C24</stp>
        <stp>PX391=20140701</stp>
        <stp>PX392=20140930</stp>
        <stp>DS004=USD</stp>
        <stp>Fill=B</stp>
        <tr r="X214" s="3"/>
      </tp>
      <tp t="s">
        <v>#N/A Connection</v>
        <stp/>
        <stp>##V3_BDPV12</stp>
        <stp>AUTMAUVS Index</stp>
        <stp>PX385</stp>
        <stp>[BI_AUTMG_1_l22cd4li.xlsx]ReferenceData!R161C23</stp>
        <stp>PX391=20141001</stp>
        <stp>PX392=20141231</stp>
        <stp>DS004=USD</stp>
        <stp>Fill=B</stp>
        <tr r="W161" s="3"/>
      </tp>
      <tp t="s">
        <v>#N/A Connection</v>
        <stp/>
        <stp>##V3_BDPV12</stp>
        <stp>AUTMAUVS Index</stp>
        <stp>PX385</stp>
        <stp>[BI_AUTMG_1_l22cd4li.xlsx]ReferenceData!R161C62</stp>
        <stp>PX391=20050101</stp>
        <stp>PX392=20050331</stp>
        <stp>DS004=USD</stp>
        <stp>Fill=B</stp>
        <tr r="BJ161" s="3"/>
      </tp>
      <tp t="s">
        <v>#N/A Connection</v>
        <stp/>
        <stp>##V3_BDPV12</stp>
        <stp>ARVSARTL Index</stp>
        <stp>PX385</stp>
        <stp>[BI_AUTMG_1_l22cd4li.xlsx]ReferenceData!R210C59</stp>
        <stp>PX391=20051001</stp>
        <stp>PX392=20051231</stp>
        <stp>DS004=USD</stp>
        <stp>Fill=B</stp>
        <tr r="BG210" s="3"/>
      </tp>
      <tp t="s">
        <v>#N/A Connection</v>
        <stp/>
        <stp>##V3_BDPV12</stp>
        <stp>WCARBEI Index</stp>
        <stp>PX385</stp>
        <stp>[BI_AUTMG_1_l22cd4li.xlsx]ReferenceData!R177C20</stp>
        <stp>PX391=20150701</stp>
        <stp>PX392=20150930</stp>
        <stp>DS004=USD</stp>
        <stp>Fill=B</stp>
        <tr r="T177" s="3"/>
      </tp>
      <tp t="s">
        <v>#N/A Connection</v>
        <stp/>
        <stp>##V3_BDPV12</stp>
        <stp>WCARFII Index</stp>
        <stp>PX385</stp>
        <stp>[BI_AUTMG_1_l22cd4li.xlsx]ReferenceData!R180C39</stp>
        <stp>PX391=20101001</stp>
        <stp>PX392=20101231</stp>
        <stp>DS004=USD</stp>
        <stp>Fill=B</stp>
        <tr r="AM180" s="3"/>
      </tp>
      <tp t="s">
        <v>#N/A Connection</v>
        <stp/>
        <stp>##V3_BDPV12</stp>
        <stp>WCARESI Index</stp>
        <stp>PX385</stp>
        <stp>[BI_AUTMG_1_l22cd4li.xlsx]ReferenceData!R191C30</stp>
        <stp>PX391=20130101</stp>
        <stp>PX392=20130331</stp>
        <stp>DS004=USD</stp>
        <stp>Fill=B</stp>
        <tr r="AD191" s="3"/>
      </tp>
      <tp t="s">
        <v>#N/A Connection</v>
        <stp/>
        <stp>##V3_BDPV12</stp>
        <stp>WCARATI Index</stp>
        <stp>PX385</stp>
        <stp>[BI_AUTMG_1_l22cd4li.xlsx]ReferenceData!R176C52</stp>
        <stp>PX391=20070701</stp>
        <stp>PX392=20070930</stp>
        <stp>DS004=USD</stp>
        <stp>Fill=B</stp>
        <tr r="AZ176" s="3"/>
      </tp>
      <tp t="s">
        <v>#N/A Connection</v>
        <stp/>
        <stp>##V3_BDPV12</stp>
        <stp>WCARFRI Index</stp>
        <stp>PX385</stp>
        <stp>[BI_AUTMG_1_l22cd4li.xlsx]ReferenceData!R181C42</stp>
        <stp>PX391=20100101</stp>
        <stp>PX392=20100331</stp>
        <stp>DS004=USD</stp>
        <stp>Fill=B</stp>
        <tr r="AP181" s="3"/>
      </tp>
      <tp t="s">
        <v>#N/A Connection</v>
        <stp/>
        <stp>##V3_BDPV12</stp>
        <stp>PHCSTOTL Index</stp>
        <stp>PX385</stp>
        <stp>[BI_AUTMG_1_l22cd4li.xlsx]ReferenceData!R170C65</stp>
        <stp>PX391=20040401</stp>
        <stp>PX392=20040630</stp>
        <stp>DS004=USD</stp>
        <stp>Fill=B</stp>
        <tr r="BM170" s="3"/>
      </tp>
      <tp t="s">
        <v>#N/A Connection</v>
        <stp/>
        <stp>##V3_BDPV12</stp>
        <stp>AUTMAUVS Index</stp>
        <stp>PX385</stp>
        <stp>[BI_AUTMG_1_l22cd4li.xlsx]ReferenceData!R161C27</stp>
        <stp>PX391=20131001</stp>
        <stp>PX392=20131231</stp>
        <stp>DS004=USD</stp>
        <stp>Fill=B</stp>
        <tr r="AA161" s="3"/>
      </tp>
      <tp t="s">
        <v>#N/A Connection</v>
        <stp/>
        <stp>##V3_BDPV12</stp>
        <stp>ARVSARTL Index</stp>
        <stp>PX385</stp>
        <stp>[BI_AUTMG_1_l22cd4li.xlsx]ReferenceData!R210C30</stp>
        <stp>PX391=20130101</stp>
        <stp>PX392=20130331</stp>
        <stp>DS004=USD</stp>
        <stp>Fill=B</stp>
        <tr r="AD210" s="3"/>
      </tp>
      <tp t="s">
        <v>#N/A Connection</v>
        <stp/>
        <stp>##V3_BDPV12</stp>
        <stp>VNVSTOTL Index</stp>
        <stp>PX385</stp>
        <stp>[BI_AUTMG_1_l22cd4li.xlsx]ReferenceData!R214C28</stp>
        <stp>PX391=20130701</stp>
        <stp>PX392=20130930</stp>
        <stp>DS004=USD</stp>
        <stp>Fill=B</stp>
        <tr r="AB214" s="3"/>
      </tp>
      <tp t="s">
        <v>#N/A Connection</v>
        <stp/>
        <stp>##V3_BDPV12</stp>
        <stp>WCARBEI Index</stp>
        <stp>PX385</stp>
        <stp>[BI_AUTMG_1_l22cd4li.xlsx]ReferenceData!R177C24</stp>
        <stp>PX391=20140701</stp>
        <stp>PX392=20140930</stp>
        <stp>DS004=USD</stp>
        <stp>Fill=B</stp>
        <tr r="X177" s="3"/>
      </tp>
      <tp t="s">
        <v>#N/A Connection</v>
        <stp/>
        <stp>##V3_BDPV12</stp>
        <stp>WCARFII Index</stp>
        <stp>PX385</stp>
        <stp>[BI_AUTMG_1_l22cd4li.xlsx]ReferenceData!R180C35</stp>
        <stp>PX391=20111001</stp>
        <stp>PX392=20111231</stp>
        <stp>DS004=USD</stp>
        <stp>Fill=B</stp>
        <tr r="AI180" s="3"/>
      </tp>
      <tp t="s">
        <v>#N/A Connection</v>
        <stp/>
        <stp>##V3_BDPV12</stp>
        <stp>WCARFRI Index</stp>
        <stp>PX385</stp>
        <stp>[BI_AUTMG_1_l22cd4li.xlsx]ReferenceData!R181C38</stp>
        <stp>PX391=20110101</stp>
        <stp>PX392=20110331</stp>
        <stp>DS004=USD</stp>
        <stp>Fill=B</stp>
        <tr r="AL181" s="3"/>
      </tp>
      <tp t="s">
        <v>#N/A Connection</v>
        <stp/>
        <stp>##V3_BDPV12</stp>
        <stp>WCARESI Index</stp>
        <stp>PX385</stp>
        <stp>[BI_AUTMG_1_l22cd4li.xlsx]ReferenceData!R191C34</stp>
        <stp>PX391=20120101</stp>
        <stp>PX392=20120331</stp>
        <stp>DS004=USD</stp>
        <stp>Fill=B</stp>
        <tr r="AH191" s="3"/>
      </tp>
      <tp t="s">
        <v>#N/A Connection</v>
        <stp/>
        <stp>##V3_BDPV12</stp>
        <stp>WCARATI Index</stp>
        <stp>PX385</stp>
        <stp>[BI_AUTMG_1_l22cd4li.xlsx]ReferenceData!R176C56</stp>
        <stp>PX391=20060701</stp>
        <stp>PX392=20060930</stp>
        <stp>DS004=USD</stp>
        <stp>Fill=B</stp>
        <tr r="BD176" s="3"/>
      </tp>
      <tp t="s">
        <v>#N/A Connection</v>
        <stp/>
        <stp>##V3_BDPV12</stp>
        <stp>PHCSTOTL Index</stp>
        <stp>PX385</stp>
        <stp>[BI_AUTMG_1_l22cd4li.xlsx]ReferenceData!R170C61</stp>
        <stp>PX391=20050401</stp>
        <stp>PX392=20050630</stp>
        <stp>DS004=USD</stp>
        <stp>Fill=B</stp>
        <tr r="BI170" s="3"/>
      </tp>
      <tp t="s">
        <v>#N/A Connection</v>
        <stp/>
        <stp>##V3_BDPV12</stp>
        <stp>AUTMAUVS Index</stp>
        <stp>PX385</stp>
        <stp>[BI_AUTMG_1_l22cd4li.xlsx]ReferenceData!R161C31</stp>
        <stp>PX391=20121001</stp>
        <stp>PX392=20121231</stp>
        <stp>DS004=USD</stp>
        <stp>Fill=B</stp>
        <tr r="AE161" s="3"/>
      </tp>
      <tp t="s">
        <v>#N/A Connection</v>
        <stp/>
        <stp>##V3_BDPV12</stp>
        <stp>ARVSARTL Index</stp>
        <stp>PX385</stp>
        <stp>[BI_AUTMG_1_l22cd4li.xlsx]ReferenceData!R210C34</stp>
        <stp>PX391=20120101</stp>
        <stp>PX392=20120331</stp>
        <stp>DS004=USD</stp>
        <stp>Fill=B</stp>
        <tr r="AH210" s="3"/>
      </tp>
      <tp t="s">
        <v>#N/A Connection</v>
        <stp/>
        <stp>##V3_BDPV12</stp>
        <stp>VNVSTOTL Index</stp>
        <stp>PX385</stp>
        <stp>[BI_AUTMG_1_l22cd4li.xlsx]ReferenceData!R214C32</stp>
        <stp>PX391=20120701</stp>
        <stp>PX392=20120930</stp>
        <stp>DS004=USD</stp>
        <stp>Fill=B</stp>
        <tr r="AF214" s="3"/>
      </tp>
      <tp t="s">
        <v>#N/A Connection</v>
        <stp/>
        <stp>##V3_BDPV12</stp>
        <stp>WCARBEI Index</stp>
        <stp>PX385</stp>
        <stp>[BI_AUTMG_1_l22cd4li.xlsx]ReferenceData!R177C12</stp>
        <stp>PX391=20170701</stp>
        <stp>PX392=20170930</stp>
        <stp>DS004=USD</stp>
        <stp>Fill=B</stp>
        <tr r="L177" s="3"/>
      </tp>
      <tp t="s">
        <v>#N/A Connection</v>
        <stp/>
        <stp>##V3_BDPV12</stp>
        <stp>WCARFII Index</stp>
        <stp>PX385</stp>
        <stp>[BI_AUTMG_1_l22cd4li.xlsx]ReferenceData!R180C31</stp>
        <stp>PX391=20121001</stp>
        <stp>PX392=20121231</stp>
        <stp>DS004=USD</stp>
        <stp>Fill=B</stp>
        <tr r="AE180" s="3"/>
      </tp>
      <tp t="s">
        <v>#N/A Connection</v>
        <stp/>
        <stp>##V3_BDPV12</stp>
        <stp>WCARESI Index</stp>
        <stp>PX385</stp>
        <stp>[BI_AUTMG_1_l22cd4li.xlsx]ReferenceData!R191C38</stp>
        <stp>PX391=20110101</stp>
        <stp>PX392=20110331</stp>
        <stp>DS004=USD</stp>
        <stp>Fill=B</stp>
        <tr r="AL191" s="3"/>
      </tp>
      <tp t="s">
        <v>#N/A Connection</v>
        <stp/>
        <stp>##V3_BDPV12</stp>
        <stp>WCARFRI Index</stp>
        <stp>PX385</stp>
        <stp>[BI_AUTMG_1_l22cd4li.xlsx]ReferenceData!R181C34</stp>
        <stp>PX391=20120101</stp>
        <stp>PX392=20120331</stp>
        <stp>DS004=USD</stp>
        <stp>Fill=B</stp>
        <tr r="AH181" s="3"/>
      </tp>
      <tp t="s">
        <v>#N/A Connection</v>
        <stp/>
        <stp>##V3_BDPV12</stp>
        <stp>WCARATI Index</stp>
        <stp>PX385</stp>
        <stp>[BI_AUTMG_1_l22cd4li.xlsx]ReferenceData!R176C60</stp>
        <stp>PX391=20050701</stp>
        <stp>PX392=20050930</stp>
        <stp>DS004=USD</stp>
        <stp>Fill=B</stp>
        <tr r="BH176" s="3"/>
      </tp>
      <tp t="s">
        <v>#N/A Connection</v>
        <stp/>
        <stp>##V3_BDPV12</stp>
        <stp>PHCSTOTL Index</stp>
        <stp>PX385</stp>
        <stp>[BI_AUTMG_1_l22cd4li.xlsx]ReferenceData!R170C57</stp>
        <stp>PX391=20060401</stp>
        <stp>PX392=20060630</stp>
        <stp>DS004=USD</stp>
        <stp>Fill=B</stp>
        <tr r="BE170" s="3"/>
      </tp>
      <tp t="s">
        <v>#N/A Connection</v>
        <stp/>
        <stp>##V3_BDPV12</stp>
        <stp>VNVSTOTL Index</stp>
        <stp>PX385</stp>
        <stp>[BI_AUTMG_1_l22cd4li.xlsx]ReferenceData!R214C36</stp>
        <stp>PX391=20110701</stp>
        <stp>PX392=20110930</stp>
        <stp>DS004=USD</stp>
        <stp>Fill=B</stp>
        <tr r="AJ214" s="3"/>
      </tp>
      <tp t="s">
        <v>#N/A Connection</v>
        <stp/>
        <stp>##V3_BDPV12</stp>
        <stp>ARVSARTL Index</stp>
        <stp>PX385</stp>
        <stp>[BI_AUTMG_1_l22cd4li.xlsx]ReferenceData!R210C38</stp>
        <stp>PX391=20110101</stp>
        <stp>PX392=20110331</stp>
        <stp>DS004=USD</stp>
        <stp>Fill=B</stp>
        <tr r="AL210" s="3"/>
      </tp>
      <tp t="s">
        <v>#N/A Connection</v>
        <stp/>
        <stp>##V3_BDPV12</stp>
        <stp>AUTMAUVS Index</stp>
        <stp>PX385</stp>
        <stp>[BI_AUTMG_1_l22cd4li.xlsx]ReferenceData!R161C35</stp>
        <stp>PX391=20111001</stp>
        <stp>PX392=20111231</stp>
        <stp>DS004=USD</stp>
        <stp>Fill=B</stp>
        <tr r="AI161" s="3"/>
      </tp>
      <tp t="s">
        <v>#N/A Connection</v>
        <stp/>
        <stp>##V3_BDPV12</stp>
        <stp>WCARBEI Index</stp>
        <stp>PX385</stp>
        <stp>[BI_AUTMG_1_l22cd4li.xlsx]ReferenceData!R177C16</stp>
        <stp>PX391=20160701</stp>
        <stp>PX392=20160930</stp>
        <stp>DS004=USD</stp>
        <stp>Fill=B</stp>
        <tr r="P177" s="3"/>
      </tp>
      <tp t="s">
        <v>#N/A Connection</v>
        <stp/>
        <stp>##V3_BDPV12</stp>
        <stp>WCARFII Index</stp>
        <stp>PX385</stp>
        <stp>[BI_AUTMG_1_l22cd4li.xlsx]ReferenceData!R180C27</stp>
        <stp>PX391=20131001</stp>
        <stp>PX392=20131231</stp>
        <stp>DS004=USD</stp>
        <stp>Fill=B</stp>
        <tr r="AA180" s="3"/>
      </tp>
      <tp t="s">
        <v>#N/A Connection</v>
        <stp/>
        <stp>##V3_BDPV12</stp>
        <stp>WCARFRI Index</stp>
        <stp>PX385</stp>
        <stp>[BI_AUTMG_1_l22cd4li.xlsx]ReferenceData!R181C30</stp>
        <stp>PX391=20130101</stp>
        <stp>PX392=20130331</stp>
        <stp>DS004=USD</stp>
        <stp>Fill=B</stp>
        <tr r="AD181" s="3"/>
      </tp>
      <tp t="s">
        <v>#N/A Connection</v>
        <stp/>
        <stp>##V3_BDPV12</stp>
        <stp>WCARATI Index</stp>
        <stp>PX385</stp>
        <stp>[BI_AUTMG_1_l22cd4li.xlsx]ReferenceData!R176C64</stp>
        <stp>PX391=20040701</stp>
        <stp>PX392=20040930</stp>
        <stp>DS004=USD</stp>
        <stp>Fill=B</stp>
        <tr r="BL176" s="3"/>
      </tp>
      <tp t="s">
        <v>#N/A Connection</v>
        <stp/>
        <stp>##V3_BDPV12</stp>
        <stp>WCARESI Index</stp>
        <stp>PX385</stp>
        <stp>[BI_AUTMG_1_l22cd4li.xlsx]ReferenceData!R191C42</stp>
        <stp>PX391=20100101</stp>
        <stp>PX392=20100331</stp>
        <stp>DS004=USD</stp>
        <stp>Fill=B</stp>
        <tr r="AP191" s="3"/>
      </tp>
      <tp t="s">
        <v>#N/A Connection</v>
        <stp/>
        <stp>##V3_BDPV12</stp>
        <stp>PHCSTOTL Index</stp>
        <stp>PX385</stp>
        <stp>[BI_AUTMG_1_l22cd4li.xlsx]ReferenceData!R170C53</stp>
        <stp>PX391=20070401</stp>
        <stp>PX392=20070630</stp>
        <stp>DS004=USD</stp>
        <stp>Fill=B</stp>
        <tr r="BA170" s="3"/>
      </tp>
      <tp t="s">
        <v>#N/A Connection</v>
        <stp/>
        <stp>##V3_BDPV12</stp>
        <stp>ARVSARTL Index</stp>
        <stp>PX385</stp>
        <stp>[BI_AUTMG_1_l22cd4li.xlsx]ReferenceData!R210C42</stp>
        <stp>PX391=20100101</stp>
        <stp>PX392=20100331</stp>
        <stp>DS004=USD</stp>
        <stp>Fill=B</stp>
        <tr r="AP210" s="3"/>
      </tp>
      <tp t="s">
        <v>#N/A Connection</v>
        <stp/>
        <stp>##V3_BDPV12</stp>
        <stp>VNVSTOTL Index</stp>
        <stp>PX385</stp>
        <stp>[BI_AUTMG_1_l22cd4li.xlsx]ReferenceData!R214C40</stp>
        <stp>PX391=20100701</stp>
        <stp>PX392=20100930</stp>
        <stp>DS004=USD</stp>
        <stp>Fill=B</stp>
        <tr r="AN214" s="3"/>
      </tp>
      <tp t="s">
        <v>#N/A Connection</v>
        <stp/>
        <stp>##V3_BDPV12</stp>
        <stp>AUTMAUVS Index</stp>
        <stp>PX385</stp>
        <stp>[BI_AUTMG_1_l22cd4li.xlsx]ReferenceData!R161C39</stp>
        <stp>PX391=20101001</stp>
        <stp>PX392=20101231</stp>
        <stp>DS004=USD</stp>
        <stp>Fill=B</stp>
        <tr r="AM161" s="3"/>
      </tp>
      <tp t="s">
        <v>#N/A Connection</v>
        <stp/>
        <stp>##V3_BDPV12</stp>
        <stp>WCARCYI Index</stp>
        <stp>PX385</stp>
        <stp>[BI_AUTMG_1_l22cd4li.xlsx]ReferenceData!R178C8</stp>
        <stp>PX391=20180701</stp>
        <stp>PX392=20180930</stp>
        <stp>DS004=USD</stp>
        <stp>Fill=B</stp>
        <tr r="H178" s="3"/>
      </tp>
      <tp t="s">
        <v>#N/A Connection</v>
        <stp/>
        <stp>##V3_BDPV12</stp>
        <stp>WCARDKI Index</stp>
        <stp>PX385</stp>
        <stp>[BI_AUTMG_1_l22cd4li.xlsx]ReferenceData!R179C8</stp>
        <stp>PX391=20180701</stp>
        <stp>PX392=20180930</stp>
        <stp>DS004=USD</stp>
        <stp>Fill=B</stp>
        <tr r="H179" s="3"/>
      </tp>
      <tp t="s">
        <v>#N/A Connection</v>
        <stp/>
        <stp>##V3_BDPV12</stp>
        <stp>WCARATI Index</stp>
        <stp>PX385</stp>
        <stp>[BI_AUTMG_1_l22cd4li.xlsx]ReferenceData!R176C8</stp>
        <stp>PX391=20180701</stp>
        <stp>PX392=20180930</stp>
        <stp>DS004=USD</stp>
        <stp>Fill=B</stp>
        <tr r="H176" s="3"/>
      </tp>
      <tp t="s">
        <v>#N/A Connection</v>
        <stp/>
        <stp>##V3_BDPV12</stp>
        <stp>WCARBEI Index</stp>
        <stp>PX385</stp>
        <stp>[BI_AUTMG_1_l22cd4li.xlsx]ReferenceData!R177C8</stp>
        <stp>PX391=20180701</stp>
        <stp>PX392=20180930</stp>
        <stp>DS004=USD</stp>
        <stp>Fill=B</stp>
        <tr r="H177" s="3"/>
      </tp>
      <tp t="s">
        <v>#N/A Connection</v>
        <stp/>
        <stp>##V3_BDPV12</stp>
        <stp>KNNVREG Index</stp>
        <stp>PX385</stp>
        <stp>[BI_AUTMG_1_l22cd4li.xlsx]ReferenceData!R216C7</stp>
        <stp>PX391=20181001</stp>
        <stp>PX392=20181231</stp>
        <stp>DS004=USD</stp>
        <stp>Fill=B</stp>
        <tr r="G216" s="3"/>
      </tp>
      <tp t="s">
        <v>#N/A Connection</v>
        <stp/>
        <stp>##V3_BDPV12</stp>
        <stp>CAUTSALE Index</stp>
        <stp>PX385</stp>
        <stp>[BI_AUTMG_1_l22cd4li.xlsx]ReferenceData!R160C6</stp>
        <stp>PX391=20190101</stp>
        <stp>PX392=20190331</stp>
        <stp>DS004=USD</stp>
        <stp>Fill=B</stp>
        <tr r="F160" s="3"/>
      </tp>
      <tp t="s">
        <v>#N/A Connection</v>
        <stp/>
        <stp>##V3_BDPV12</stp>
        <stp>MXVHTOTL Index</stp>
        <stp>PX385</stp>
        <stp>[BI_AUTMG_1_l22cd4li.xlsx]ReferenceData!R207C46</stp>
        <stp>PX391=20090101</stp>
        <stp>PX392=20090331</stp>
        <stp>DS004=USD</stp>
        <stp>Fill=B</stp>
        <tr r="AT207" s="3"/>
      </tp>
      <tp t="s">
        <v>#N/A Connection</v>
        <stp/>
        <stp>##V3_BDPV12</stp>
        <stp>MXVHTOTL Index</stp>
        <stp>PX385</stp>
        <stp>[BI_AUTMG_1_l22cd4li.xlsx]ReferenceData!R207C50</stp>
        <stp>PX391=20080101</stp>
        <stp>PX392=20080331</stp>
        <stp>DS004=USD</stp>
        <stp>Fill=B</stp>
        <tr r="AX207" s="3"/>
      </tp>
      <tp t="s">
        <v>#N/A Connection</v>
        <stp/>
        <stp>##V3_BDPV12</stp>
        <stp>MXVHTOTL Index</stp>
        <stp>PX385</stp>
        <stp>[BI_AUTMG_1_l22cd4li.xlsx]ReferenceData!R207C39</stp>
        <stp>PX391=20101001</stp>
        <stp>PX392=20101231</stp>
        <stp>DS004=USD</stp>
        <stp>Fill=B</stp>
        <tr r="AM207" s="3"/>
      </tp>
      <tp t="s">
        <v>#N/A Connection</v>
        <stp/>
        <stp>##V3_BDPV12</stp>
        <stp>MXVHTOTL Index</stp>
        <stp>PX385</stp>
        <stp>[BI_AUTMG_1_l22cd4li.xlsx]ReferenceData!R207C35</stp>
        <stp>PX391=20111001</stp>
        <stp>PX392=20111231</stp>
        <stp>DS004=USD</stp>
        <stp>Fill=B</stp>
        <tr r="AI207" s="3"/>
      </tp>
      <tp t="s">
        <v>#N/A Connection</v>
        <stp/>
        <stp>##V3_BDPV12</stp>
        <stp>MXVHTOTL Index</stp>
        <stp>PX385</stp>
        <stp>[BI_AUTMG_1_l22cd4li.xlsx]ReferenceData!R207C31</stp>
        <stp>PX391=20121001</stp>
        <stp>PX392=20121231</stp>
        <stp>DS004=USD</stp>
        <stp>Fill=B</stp>
        <tr r="AE207" s="3"/>
      </tp>
      <tp t="s">
        <v>#N/A Connection</v>
        <stp/>
        <stp>##V3_BDPV12</stp>
        <stp>MXVHTOTL Index</stp>
        <stp>PX385</stp>
        <stp>[BI_AUTMG_1_l22cd4li.xlsx]ReferenceData!R207C27</stp>
        <stp>PX391=20131001</stp>
        <stp>PX392=20131231</stp>
        <stp>DS004=USD</stp>
        <stp>Fill=B</stp>
        <tr r="AA207" s="3"/>
      </tp>
      <tp t="s">
        <v>#N/A Connection</v>
        <stp/>
        <stp>##V3_BDPV12</stp>
        <stp>MXVHTOTL Index</stp>
        <stp>PX385</stp>
        <stp>[BI_AUTMG_1_l22cd4li.xlsx]ReferenceData!R207C23</stp>
        <stp>PX391=20141001</stp>
        <stp>PX392=20141231</stp>
        <stp>DS004=USD</stp>
        <stp>Fill=B</stp>
        <tr r="W207" s="3"/>
      </tp>
      <tp t="s">
        <v>#N/A Connection</v>
        <stp/>
        <stp>##V3_BDPV12</stp>
        <stp>MXVHTOTL Index</stp>
        <stp>PX385</stp>
        <stp>[BI_AUTMG_1_l22cd4li.xlsx]ReferenceData!R207C62</stp>
        <stp>PX391=20050101</stp>
        <stp>PX392=20050331</stp>
        <stp>DS004=USD</stp>
        <stp>Fill=B</stp>
        <tr r="BJ207" s="3"/>
      </tp>
      <tp t="s">
        <v>#N/A Connection</v>
        <stp/>
        <stp>##V3_BDPV12</stp>
        <stp>MXVHTOTL Index</stp>
        <stp>PX385</stp>
        <stp>[BI_AUTMG_1_l22cd4li.xlsx]ReferenceData!R207C19</stp>
        <stp>PX391=20151001</stp>
        <stp>PX392=20151231</stp>
        <stp>DS004=USD</stp>
        <stp>Fill=B</stp>
        <tr r="S207" s="3"/>
      </tp>
      <tp t="s">
        <v>#N/A Connection</v>
        <stp/>
        <stp>##V3_BDPV12</stp>
        <stp>MXVHTOTL Index</stp>
        <stp>PX385</stp>
        <stp>[BI_AUTMG_1_l22cd4li.xlsx]ReferenceData!R207C15</stp>
        <stp>PX391=20161001</stp>
        <stp>PX392=20161231</stp>
        <stp>DS004=USD</stp>
        <stp>Fill=B</stp>
        <tr r="O207" s="3"/>
      </tp>
      <tp t="s">
        <v>#N/A Connection</v>
        <stp/>
        <stp>##V3_BDPV12</stp>
        <stp>MXVHTOTL Index</stp>
        <stp>PX385</stp>
        <stp>[BI_AUTMG_1_l22cd4li.xlsx]ReferenceData!R207C54</stp>
        <stp>PX391=20070101</stp>
        <stp>PX392=20070331</stp>
        <stp>DS004=USD</stp>
        <stp>Fill=B</stp>
        <tr r="BB207" s="3"/>
      </tp>
      <tp t="s">
        <v>#N/A Connection</v>
        <stp/>
        <stp>##V3_BDPV12</stp>
        <stp>MXVHTOTL Index</stp>
        <stp>PX385</stp>
        <stp>[BI_AUTMG_1_l22cd4li.xlsx]ReferenceData!R207C11</stp>
        <stp>PX391=20171001</stp>
        <stp>PX392=20171231</stp>
        <stp>DS004=USD</stp>
        <stp>Fill=B</stp>
        <tr r="K207" s="3"/>
      </tp>
      <tp t="s">
        <v>#N/A Connection</v>
        <stp/>
        <stp>##V3_BDPV12</stp>
        <stp>MXVHTOTL Index</stp>
        <stp>PX385</stp>
        <stp>[BI_AUTMG_1_l22cd4li.xlsx]ReferenceData!R207C58</stp>
        <stp>PX391=20060101</stp>
        <stp>PX392=20060331</stp>
        <stp>DS004=USD</stp>
        <stp>Fill=B</stp>
        <tr r="BF207" s="3"/>
      </tp>
      <tp t="s">
        <v>#N/A Connection</v>
        <stp/>
        <stp>##V3_BDPV12</stp>
        <stp>JNVTTOTL Index</stp>
        <stp>PX385</stp>
        <stp>[BI_AUTMG_1_l22cd4li.xlsx]ReferenceData!R167C12</stp>
        <stp>PX391=20170701</stp>
        <stp>PX392=20170930</stp>
        <stp>DS004=USD</stp>
        <stp>Fill=B</stp>
        <tr r="L167" s="3"/>
      </tp>
      <tp t="s">
        <v>#N/A Connection</v>
        <stp/>
        <stp>##V3_BDPV12</stp>
        <stp>JNVTTOTL Index</stp>
        <stp>PX385</stp>
        <stp>[BI_AUTMG_1_l22cd4li.xlsx]ReferenceData!R167C16</stp>
        <stp>PX391=20160701</stp>
        <stp>PX392=20160930</stp>
        <stp>DS004=USD</stp>
        <stp>Fill=B</stp>
        <tr r="P167" s="3"/>
      </tp>
      <tp t="s">
        <v>#N/A Connection</v>
        <stp/>
        <stp>##V3_BDPV12</stp>
        <stp>JNVTTOTL Index</stp>
        <stp>PX385</stp>
        <stp>[BI_AUTMG_1_l22cd4li.xlsx]ReferenceData!R167C20</stp>
        <stp>PX391=20150701</stp>
        <stp>PX392=20150930</stp>
        <stp>DS004=USD</stp>
        <stp>Fill=B</stp>
        <tr r="T167" s="3"/>
      </tp>
      <tp t="s">
        <v>#N/A Connection</v>
        <stp/>
        <stp>##V3_BDPV12</stp>
        <stp>JNVTTOTL Index</stp>
        <stp>PX385</stp>
        <stp>[BI_AUTMG_1_l22cd4li.xlsx]ReferenceData!R167C24</stp>
        <stp>PX391=20140701</stp>
        <stp>PX392=20140930</stp>
        <stp>DS004=USD</stp>
        <stp>Fill=B</stp>
        <tr r="X167" s="3"/>
      </tp>
      <tp t="s">
        <v>#N/A Connection</v>
        <stp/>
        <stp>##V3_BDPV12</stp>
        <stp>JNVTTOTL Index</stp>
        <stp>PX385</stp>
        <stp>[BI_AUTMG_1_l22cd4li.xlsx]ReferenceData!R167C28</stp>
        <stp>PX391=20130701</stp>
        <stp>PX392=20130930</stp>
        <stp>DS004=USD</stp>
        <stp>Fill=B</stp>
        <tr r="AB167" s="3"/>
      </tp>
      <tp t="s">
        <v>#N/A Connection</v>
        <stp/>
        <stp>##V3_BDPV12</stp>
        <stp>JNVTTOTL Index</stp>
        <stp>PX385</stp>
        <stp>[BI_AUTMG_1_l22cd4li.xlsx]ReferenceData!R167C32</stp>
        <stp>PX391=20120701</stp>
        <stp>PX392=20120930</stp>
        <stp>DS004=USD</stp>
        <stp>Fill=B</stp>
        <tr r="AF167" s="3"/>
      </tp>
      <tp t="s">
        <v>#N/A Connection</v>
        <stp/>
        <stp>##V3_BDPV12</stp>
        <stp>JNVTTOTL Index</stp>
        <stp>PX385</stp>
        <stp>[BI_AUTMG_1_l22cd4li.xlsx]ReferenceData!R167C36</stp>
        <stp>PX391=20110701</stp>
        <stp>PX392=20110930</stp>
        <stp>DS004=USD</stp>
        <stp>Fill=B</stp>
        <tr r="AJ167" s="3"/>
      </tp>
      <tp t="s">
        <v>#N/A Connection</v>
        <stp/>
        <stp>##V3_BDPV12</stp>
        <stp>JNVTTOTL Index</stp>
        <stp>PX385</stp>
        <stp>[BI_AUTMG_1_l22cd4li.xlsx]ReferenceData!R167C40</stp>
        <stp>PX391=20100701</stp>
        <stp>PX392=20100930</stp>
        <stp>DS004=USD</stp>
        <stp>Fill=B</stp>
        <tr r="AN167" s="3"/>
      </tp>
      <tp t="s">
        <v>#N/A Connection</v>
        <stp/>
        <stp>##V3_BDPV12</stp>
        <stp>KNNVREG Index</stp>
        <stp>PX385</stp>
        <stp>[BI_AUTMG_1_l22cd4li.xlsx]ReferenceData!R216C6</stp>
        <stp>PX391=20190101</stp>
        <stp>PX392=20190331</stp>
        <stp>DS004=USD</stp>
        <stp>Fill=B</stp>
        <tr r="F216" s="3"/>
      </tp>
      <tp t="s">
        <v>#N/A Connection</v>
        <stp/>
        <stp>##V3_BDPV12</stp>
        <stp>CAUTSALE Index</stp>
        <stp>PX385</stp>
        <stp>[BI_AUTMG_1_l22cd4li.xlsx]ReferenceData!R160C7</stp>
        <stp>PX391=20181001</stp>
        <stp>PX392=20181231</stp>
        <stp>DS004=USD</stp>
        <stp>Fill=B</stp>
        <tr r="G160" s="3"/>
      </tp>
      <tp t="s">
        <v>#N/A Connection</v>
        <stp/>
        <stp>##V3_BDPV12</stp>
        <stp>MXVHTOTL Index</stp>
        <stp>PX385</stp>
        <stp>[BI_AUTMG_1_l22cd4li.xlsx]ReferenceData!R207C43</stp>
        <stp>PX391=20091001</stp>
        <stp>PX392=20091231</stp>
        <stp>DS004=USD</stp>
        <stp>Fill=B</stp>
        <tr r="AQ207" s="3"/>
      </tp>
      <tp t="s">
        <v>#N/A Connection</v>
        <stp/>
        <stp>##V3_BDPV12</stp>
        <stp>MXVHTOTL Index</stp>
        <stp>PX385</stp>
        <stp>[BI_AUTMG_1_l22cd4li.xlsx]ReferenceData!R207C10</stp>
        <stp>PX391=20180101</stp>
        <stp>PX392=20180331</stp>
        <stp>DS004=USD</stp>
        <stp>Fill=B</stp>
        <tr r="J207" s="3"/>
      </tp>
      <tp t="s">
        <v>#N/A Connection</v>
        <stp/>
        <stp>##V3_BDPV12</stp>
        <stp>MXVHTOTL Index</stp>
        <stp>PX385</stp>
        <stp>[BI_AUTMG_1_l22cd4li.xlsx]ReferenceData!R207C47</stp>
        <stp>PX391=20081001</stp>
        <stp>PX392=20081231</stp>
        <stp>DS004=USD</stp>
        <stp>Fill=B</stp>
        <tr r="AU207" s="3"/>
      </tp>
      <tp t="s">
        <v>#N/A Connection</v>
        <stp/>
        <stp>##V3_BDPV12</stp>
        <stp>MXVHTOTL Index</stp>
        <stp>PX385</stp>
        <stp>[BI_AUTMG_1_l22cd4li.xlsx]ReferenceData!R207C42</stp>
        <stp>PX391=20100101</stp>
        <stp>PX392=20100331</stp>
        <stp>DS004=USD</stp>
        <stp>Fill=B</stp>
        <tr r="AP207" s="3"/>
      </tp>
      <tp t="s">
        <v>#N/A Connection</v>
        <stp/>
        <stp>##V3_BDPV12</stp>
        <stp>MXVHTOTL Index</stp>
        <stp>PX385</stp>
        <stp>[BI_AUTMG_1_l22cd4li.xlsx]ReferenceData!R207C38</stp>
        <stp>PX391=20110101</stp>
        <stp>PX392=20110331</stp>
        <stp>DS004=USD</stp>
        <stp>Fill=B</stp>
        <tr r="AL207" s="3"/>
      </tp>
      <tp t="s">
        <v>#N/A Connection</v>
        <stp/>
        <stp>##V3_BDPV12</stp>
        <stp>MXVHTOTL Index</stp>
        <stp>PX385</stp>
        <stp>[BI_AUTMG_1_l22cd4li.xlsx]ReferenceData!R207C34</stp>
        <stp>PX391=20120101</stp>
        <stp>PX392=20120331</stp>
        <stp>DS004=USD</stp>
        <stp>Fill=B</stp>
        <tr r="AH207" s="3"/>
      </tp>
      <tp t="s">
        <v>#N/A Connection</v>
        <stp/>
        <stp>##V3_BDPV12</stp>
        <stp>MXVHTOTL Index</stp>
        <stp>PX385</stp>
        <stp>[BI_AUTMG_1_l22cd4li.xlsx]ReferenceData!R207C30</stp>
        <stp>PX391=20130101</stp>
        <stp>PX392=20130331</stp>
        <stp>DS004=USD</stp>
        <stp>Fill=B</stp>
        <tr r="AD207" s="3"/>
      </tp>
      <tp t="s">
        <v>#N/A Connection</v>
        <stp/>
        <stp>##V3_BDPV12</stp>
        <stp>MXVHTOTL Index</stp>
        <stp>PX385</stp>
        <stp>[BI_AUTMG_1_l22cd4li.xlsx]ReferenceData!R207C26</stp>
        <stp>PX391=20140101</stp>
        <stp>PX392=20140331</stp>
        <stp>DS004=USD</stp>
        <stp>Fill=B</stp>
        <tr r="Z207" s="3"/>
      </tp>
      <tp t="s">
        <v>#N/A Connection</v>
        <stp/>
        <stp>##V3_BDPV12</stp>
        <stp>MXVHTOTL Index</stp>
        <stp>PX385</stp>
        <stp>[BI_AUTMG_1_l22cd4li.xlsx]ReferenceData!R207C59</stp>
        <stp>PX391=20051001</stp>
        <stp>PX392=20051231</stp>
        <stp>DS004=USD</stp>
        <stp>Fill=B</stp>
        <tr r="BG207" s="3"/>
      </tp>
      <tp t="s">
        <v>#N/A Connection</v>
        <stp/>
        <stp>##V3_BDPV12</stp>
        <stp>MXVHTOTL Index</stp>
        <stp>PX385</stp>
        <stp>[BI_AUTMG_1_l22cd4li.xlsx]ReferenceData!R207C22</stp>
        <stp>PX391=20150101</stp>
        <stp>PX392=20150331</stp>
        <stp>DS004=USD</stp>
        <stp>Fill=B</stp>
        <tr r="V207" s="3"/>
      </tp>
      <tp t="s">
        <v>#N/A Connection</v>
        <stp/>
        <stp>##V3_BDPV12</stp>
        <stp>MXVHTOTL Index</stp>
        <stp>PX385</stp>
        <stp>[BI_AUTMG_1_l22cd4li.xlsx]ReferenceData!R207C63</stp>
        <stp>PX391=20041001</stp>
        <stp>PX392=20041231</stp>
        <stp>DS004=USD</stp>
        <stp>Fill=B</stp>
        <tr r="BK207" s="3"/>
      </tp>
      <tp t="s">
        <v>#N/A Connection</v>
        <stp/>
        <stp>##V3_BDPV12</stp>
        <stp>MXVHTOTL Index</stp>
        <stp>PX385</stp>
        <stp>[BI_AUTMG_1_l22cd4li.xlsx]ReferenceData!R207C18</stp>
        <stp>PX391=20160101</stp>
        <stp>PX392=20160331</stp>
        <stp>DS004=USD</stp>
        <stp>Fill=B</stp>
        <tr r="R207" s="3"/>
      </tp>
      <tp t="s">
        <v>#N/A Connection</v>
        <stp/>
        <stp>##V3_BDPV12</stp>
        <stp>MXVHTOTL Index</stp>
        <stp>PX385</stp>
        <stp>[BI_AUTMG_1_l22cd4li.xlsx]ReferenceData!R207C51</stp>
        <stp>PX391=20071001</stp>
        <stp>PX392=20071231</stp>
        <stp>DS004=USD</stp>
        <stp>Fill=B</stp>
        <tr r="AY207" s="3"/>
      </tp>
      <tp t="s">
        <v>#N/A Connection</v>
        <stp/>
        <stp>##V3_BDPV12</stp>
        <stp>MXVHTOTL Index</stp>
        <stp>PX385</stp>
        <stp>[BI_AUTMG_1_l22cd4li.xlsx]ReferenceData!R207C14</stp>
        <stp>PX391=20170101</stp>
        <stp>PX392=20170331</stp>
        <stp>DS004=USD</stp>
        <stp>Fill=B</stp>
        <tr r="N207" s="3"/>
      </tp>
      <tp t="s">
        <v>#N/A Connection</v>
        <stp/>
        <stp>##V3_BDPV12</stp>
        <stp>MXVHTOTL Index</stp>
        <stp>PX385</stp>
        <stp>[BI_AUTMG_1_l22cd4li.xlsx]ReferenceData!R207C55</stp>
        <stp>PX391=20061001</stp>
        <stp>PX392=20061231</stp>
        <stp>DS004=USD</stp>
        <stp>Fill=B</stp>
        <tr r="BC207" s="3"/>
      </tp>
      <tp t="s">
        <v>#N/A Connection</v>
        <stp/>
        <stp>##V3_BDPV12</stp>
        <stp>JNVTTOTL Index</stp>
        <stp>PX385</stp>
        <stp>[BI_AUTMG_1_l22cd4li.xlsx]ReferenceData!R167C48</stp>
        <stp>PX391=20080701</stp>
        <stp>PX392=20080930</stp>
        <stp>DS004=USD</stp>
        <stp>Fill=B</stp>
        <tr r="AV167" s="3"/>
      </tp>
      <tp t="s">
        <v>#N/A Connection</v>
        <stp/>
        <stp>##V3_BDPV12</stp>
        <stp>JNVTTOTL Index</stp>
        <stp>PX385</stp>
        <stp>[BI_AUTMG_1_l22cd4li.xlsx]ReferenceData!R167C44</stp>
        <stp>PX391=20090701</stp>
        <stp>PX392=20090930</stp>
        <stp>DS004=USD</stp>
        <stp>Fill=B</stp>
        <tr r="AR167" s="3"/>
      </tp>
      <tp t="s">
        <v>#N/A Connection</v>
        <stp/>
        <stp>##V3_BDPV12</stp>
        <stp>JNVTTOTL Index</stp>
        <stp>PX385</stp>
        <stp>[BI_AUTMG_1_l22cd4li.xlsx]ReferenceData!R167C56</stp>
        <stp>PX391=20060701</stp>
        <stp>PX392=20060930</stp>
        <stp>DS004=USD</stp>
        <stp>Fill=B</stp>
        <tr r="BD167" s="3"/>
      </tp>
      <tp t="s">
        <v>#N/A Connection</v>
        <stp/>
        <stp>##V3_BDPV12</stp>
        <stp>JNVTTOTL Index</stp>
        <stp>PX385</stp>
        <stp>[BI_AUTMG_1_l22cd4li.xlsx]ReferenceData!R167C52</stp>
        <stp>PX391=20070701</stp>
        <stp>PX392=20070930</stp>
        <stp>DS004=USD</stp>
        <stp>Fill=B</stp>
        <tr r="AZ167" s="3"/>
      </tp>
      <tp t="s">
        <v>#N/A Connection</v>
        <stp/>
        <stp>##V3_BDPV12</stp>
        <stp>JNVTTOTL Index</stp>
        <stp>PX385</stp>
        <stp>[BI_AUTMG_1_l22cd4li.xlsx]ReferenceData!R167C64</stp>
        <stp>PX391=20040701</stp>
        <stp>PX392=20040930</stp>
        <stp>DS004=USD</stp>
        <stp>Fill=B</stp>
        <tr r="BL167" s="3"/>
      </tp>
      <tp t="s">
        <v>#N/A Connection</v>
        <stp/>
        <stp>##V3_BDPV12</stp>
        <stp>JNVTTOTL Index</stp>
        <stp>PX385</stp>
        <stp>[BI_AUTMG_1_l22cd4li.xlsx]ReferenceData!R167C60</stp>
        <stp>PX391=20050701</stp>
        <stp>PX392=20050930</stp>
        <stp>DS004=USD</stp>
        <stp>Fill=B</stp>
        <tr r="BH167" s="3"/>
      </tp>
      <tp t="s">
        <v>#N/A Connection</v>
        <stp/>
        <stp>##V3_BDHV12</stp>
        <stp>DAI GR Equity</stp>
        <stp>BI047</stp>
        <stp>-60CQ</stp>
        <stp>3/31/2019</stp>
        <stp>[BI_AUTMG_1_l22cd4li.xlsx]ReferenceData!R244C6</stp>
        <stp>Per=CQ</stp>
        <stp>Dts=H</stp>
        <stp>Dir=H</stp>
        <stp>Points=60</stp>
        <stp>Sort=R</stp>
        <stp>Days=A</stp>
        <stp>Fill=B</stp>
        <stp>DZ666=084</stp>
        <stp>DZ381=16141010</stp>
        <stp>DZ667=1</stp>
        <stp>DS276=Y</stp>
        <stp>FX=USD</stp>
        <tr r="F244" s="3"/>
      </tp>
      <tp t="s">
        <v>#N/A Connection</v>
        <stp/>
        <stp>##V3_BDHV12</stp>
        <stp>DAI GR Equity</stp>
        <stp>BI047</stp>
        <stp>-60CQ</stp>
        <stp>3/31/2019</stp>
        <stp>[BI_AUTMG_1_l22cd4li.xlsx]ReferenceData!R245C6</stp>
        <stp>Per=CQ</stp>
        <stp>Dts=H</stp>
        <stp>Dir=H</stp>
        <stp>Points=60</stp>
        <stp>Sort=R</stp>
        <stp>Days=A</stp>
        <stp>Fill=B</stp>
        <stp>DZ666=084</stp>
        <stp>DZ381=11111011</stp>
        <stp>DZ667=3</stp>
        <stp>DS276=Y</stp>
        <stp>FX=USD</stp>
        <tr r="F245" s="3"/>
      </tp>
      <tp t="s">
        <v>#N/A Connection</v>
        <stp/>
        <stp>##V3_BDHV12</stp>
        <stp>DAI GR Equity</stp>
        <stp>BI047</stp>
        <stp>-60CQ</stp>
        <stp>3/31/2019</stp>
        <stp>[BI_AUTMG_1_l22cd4li.xlsx]ReferenceData!R243C6</stp>
        <stp>Per=CQ</stp>
        <stp>Dts=H</stp>
        <stp>Dir=H</stp>
        <stp>Points=60</stp>
        <stp>Sort=R</stp>
        <stp>Days=A</stp>
        <stp>Fill=B</stp>
        <stp>DZ666=084</stp>
        <stp>DZ381=11111011</stp>
        <stp>DZ667=2</stp>
        <stp>DS276=Y</stp>
        <stp>FX=USD</stp>
        <tr r="F243" s="3"/>
      </tp>
      <tp t="s">
        <v>#N/A Connection</v>
        <stp/>
        <stp>##V3_BDPV12</stp>
        <stp>ASTOTTRK Index</stp>
        <stp>PX385</stp>
        <stp>[BI_AUTMG_1_l22cd4li.xlsx]ReferenceData!R209C46</stp>
        <stp>PX391=20090101</stp>
        <stp>PX392=20090331</stp>
        <stp>DS004=USD</stp>
        <stp>Fill=B</stp>
        <tr r="AT209" s="3"/>
      </tp>
      <tp t="s">
        <v>#N/A Connection</v>
        <stp/>
        <stp>##V3_BDPV12</stp>
        <stp>ASTOTTRK Index</stp>
        <stp>PX385</stp>
        <stp>[BI_AUTMG_1_l22cd4li.xlsx]ReferenceData!R209C50</stp>
        <stp>PX391=20080101</stp>
        <stp>PX392=20080331</stp>
        <stp>DS004=USD</stp>
        <stp>Fill=B</stp>
        <tr r="AX209" s="3"/>
      </tp>
      <tp t="s">
        <v>#N/A Connection</v>
        <stp/>
        <stp>##V3_BDPV12</stp>
        <stp>JNVTTOTL Index</stp>
        <stp>PX385</stp>
        <stp>[BI_AUTMG_1_l22cd4li.xlsx]ReferenceData!R167C49</stp>
        <stp>PX391=20080401</stp>
        <stp>PX392=20080630</stp>
        <stp>DS004=USD</stp>
        <stp>Fill=B</stp>
        <tr r="AW167" s="3"/>
      </tp>
      <tp t="s">
        <v>#N/A Connection</v>
        <stp/>
        <stp>##V3_BDPV12</stp>
        <stp>JNVTTOTL Index</stp>
        <stp>PX385</stp>
        <stp>[BI_AUTMG_1_l22cd4li.xlsx]ReferenceData!R167C45</stp>
        <stp>PX391=20090401</stp>
        <stp>PX392=20090630</stp>
        <stp>DS004=USD</stp>
        <stp>Fill=B</stp>
        <tr r="AS167" s="3"/>
      </tp>
      <tp t="s">
        <v>#N/A Connection</v>
        <stp/>
        <stp>##V3_BDPV12</stp>
        <stp>ASTOTTRK Index</stp>
        <stp>PX385</stp>
        <stp>[BI_AUTMG_1_l22cd4li.xlsx]ReferenceData!R209C39</stp>
        <stp>PX391=20101001</stp>
        <stp>PX392=20101231</stp>
        <stp>DS004=USD</stp>
        <stp>Fill=B</stp>
        <tr r="AM209" s="3"/>
      </tp>
      <tp t="s">
        <v>#N/A Connection</v>
        <stp/>
        <stp>##V3_BDPV12</stp>
        <stp>JNVTTOTL Index</stp>
        <stp>PX385</stp>
        <stp>[BI_AUTMG_1_l22cd4li.xlsx]ReferenceData!R167C57</stp>
        <stp>PX391=20060401</stp>
        <stp>PX392=20060630</stp>
        <stp>DS004=USD</stp>
        <stp>Fill=B</stp>
        <tr r="BE167" s="3"/>
      </tp>
      <tp t="s">
        <v>#N/A Connection</v>
        <stp/>
        <stp>##V3_BDPV12</stp>
        <stp>ASTOTTRK Index</stp>
        <stp>PX385</stp>
        <stp>[BI_AUTMG_1_l22cd4li.xlsx]ReferenceData!R209C35</stp>
        <stp>PX391=20111001</stp>
        <stp>PX392=20111231</stp>
        <stp>DS004=USD</stp>
        <stp>Fill=B</stp>
        <tr r="AI209" s="3"/>
      </tp>
      <tp t="s">
        <v>#N/A Connection</v>
        <stp/>
        <stp>##V3_BDPV12</stp>
        <stp>JNVTTOTL Index</stp>
        <stp>PX385</stp>
        <stp>[BI_AUTMG_1_l22cd4li.xlsx]ReferenceData!R167C53</stp>
        <stp>PX391=20070401</stp>
        <stp>PX392=20070630</stp>
        <stp>DS004=USD</stp>
        <stp>Fill=B</stp>
        <tr r="BA167" s="3"/>
      </tp>
      <tp t="s">
        <v>#N/A Connection</v>
        <stp/>
        <stp>##V3_BDPV12</stp>
        <stp>ASTOTTRK Index</stp>
        <stp>PX385</stp>
        <stp>[BI_AUTMG_1_l22cd4li.xlsx]ReferenceData!R209C31</stp>
        <stp>PX391=20121001</stp>
        <stp>PX392=20121231</stp>
        <stp>DS004=USD</stp>
        <stp>Fill=B</stp>
        <tr r="AE209" s="3"/>
      </tp>
      <tp t="s">
        <v>#N/A Connection</v>
        <stp/>
        <stp>##V3_BDPV12</stp>
        <stp>JNVTTOTL Index</stp>
        <stp>PX385</stp>
        <stp>[BI_AUTMG_1_l22cd4li.xlsx]ReferenceData!R167C65</stp>
        <stp>PX391=20040401</stp>
        <stp>PX392=20040630</stp>
        <stp>DS004=USD</stp>
        <stp>Fill=B</stp>
        <tr r="BM167" s="3"/>
      </tp>
      <tp t="s">
        <v>#N/A Connection</v>
        <stp/>
        <stp>##V3_BDPV12</stp>
        <stp>ASTOTTRK Index</stp>
        <stp>PX385</stp>
        <stp>[BI_AUTMG_1_l22cd4li.xlsx]ReferenceData!R209C27</stp>
        <stp>PX391=20131001</stp>
        <stp>PX392=20131231</stp>
        <stp>DS004=USD</stp>
        <stp>Fill=B</stp>
        <tr r="AA209" s="3"/>
      </tp>
      <tp t="s">
        <v>#N/A Connection</v>
        <stp/>
        <stp>##V3_BDPV12</stp>
        <stp>JNVTTOTL Index</stp>
        <stp>PX385</stp>
        <stp>[BI_AUTMG_1_l22cd4li.xlsx]ReferenceData!R167C61</stp>
        <stp>PX391=20050401</stp>
        <stp>PX392=20050630</stp>
        <stp>DS004=USD</stp>
        <stp>Fill=B</stp>
        <tr r="BI167" s="3"/>
      </tp>
      <tp t="s">
        <v>#N/A Connection</v>
        <stp/>
        <stp>##V3_BDPV12</stp>
        <stp>ASTOTTRK Index</stp>
        <stp>PX385</stp>
        <stp>[BI_AUTMG_1_l22cd4li.xlsx]ReferenceData!R209C62</stp>
        <stp>PX391=20050101</stp>
        <stp>PX392=20050331</stp>
        <stp>DS004=USD</stp>
        <stp>Fill=B</stp>
        <tr r="BJ209" s="3"/>
      </tp>
      <tp t="s">
        <v>#N/A Connection</v>
        <stp/>
        <stp>##V3_BDPV12</stp>
        <stp>ASTOTTRK Index</stp>
        <stp>PX385</stp>
        <stp>[BI_AUTMG_1_l22cd4li.xlsx]ReferenceData!R209C23</stp>
        <stp>PX391=20141001</stp>
        <stp>PX392=20141231</stp>
        <stp>DS004=USD</stp>
        <stp>Fill=B</stp>
        <tr r="W209" s="3"/>
      </tp>
      <tp t="s">
        <v>#N/A Connection</v>
        <stp/>
        <stp>##V3_BDPV12</stp>
        <stp>ASTOTTRK Index</stp>
        <stp>PX385</stp>
        <stp>[BI_AUTMG_1_l22cd4li.xlsx]ReferenceData!R209C19</stp>
        <stp>PX391=20151001</stp>
        <stp>PX392=20151231</stp>
        <stp>DS004=USD</stp>
        <stp>Fill=B</stp>
        <tr r="S209" s="3"/>
      </tp>
      <tp t="s">
        <v>#N/A Connection</v>
        <stp/>
        <stp>##V3_BDPV12</stp>
        <stp>ASTOTTRK Index</stp>
        <stp>PX385</stp>
        <stp>[BI_AUTMG_1_l22cd4li.xlsx]ReferenceData!R209C54</stp>
        <stp>PX391=20070101</stp>
        <stp>PX392=20070331</stp>
        <stp>DS004=USD</stp>
        <stp>Fill=B</stp>
        <tr r="BB209" s="3"/>
      </tp>
      <tp t="s">
        <v>#N/A Connection</v>
        <stp/>
        <stp>##V3_BDPV12</stp>
        <stp>ASTOTTRK Index</stp>
        <stp>PX385</stp>
        <stp>[BI_AUTMG_1_l22cd4li.xlsx]ReferenceData!R209C15</stp>
        <stp>PX391=20161001</stp>
        <stp>PX392=20161231</stp>
        <stp>DS004=USD</stp>
        <stp>Fill=B</stp>
        <tr r="O209" s="3"/>
      </tp>
      <tp t="s">
        <v>#N/A Connection</v>
        <stp/>
        <stp>##V3_BDPV12</stp>
        <stp>ASTOTTRK Index</stp>
        <stp>PX385</stp>
        <stp>[BI_AUTMG_1_l22cd4li.xlsx]ReferenceData!R209C58</stp>
        <stp>PX391=20060101</stp>
        <stp>PX392=20060331</stp>
        <stp>DS004=USD</stp>
        <stp>Fill=B</stp>
        <tr r="BF209" s="3"/>
      </tp>
      <tp t="s">
        <v>#N/A Connection</v>
        <stp/>
        <stp>##V3_BDPV12</stp>
        <stp>ASTOTTRK Index</stp>
        <stp>PX385</stp>
        <stp>[BI_AUTMG_1_l22cd4li.xlsx]ReferenceData!R209C11</stp>
        <stp>PX391=20171001</stp>
        <stp>PX392=20171231</stp>
        <stp>DS004=USD</stp>
        <stp>Fill=B</stp>
        <tr r="K209" s="3"/>
      </tp>
      <tp t="s">
        <v>#N/A Connection</v>
        <stp/>
        <stp>##V3_BDPV12</stp>
        <stp>WCARCYI Index</stp>
        <stp>PX385</stp>
        <stp>[BI_AUTMG_1_l22cd4li.xlsx]ReferenceData!R178C9</stp>
        <stp>PX391=20180401</stp>
        <stp>PX392=20180630</stp>
        <stp>DS004=USD</stp>
        <stp>Fill=B</stp>
        <tr r="I178" s="3"/>
      </tp>
      <tp t="s">
        <v>#N/A Connection</v>
        <stp/>
        <stp>##V3_BDPV12</stp>
        <stp>WCARDKI Index</stp>
        <stp>PX385</stp>
        <stp>[BI_AUTMG_1_l22cd4li.xlsx]ReferenceData!R179C9</stp>
        <stp>PX391=20180401</stp>
        <stp>PX392=20180630</stp>
        <stp>DS004=USD</stp>
        <stp>Fill=B</stp>
        <tr r="I179" s="3"/>
      </tp>
      <tp t="s">
        <v>#N/A Connection</v>
        <stp/>
        <stp>##V3_BDPV12</stp>
        <stp>WCARATI Index</stp>
        <stp>PX385</stp>
        <stp>[BI_AUTMG_1_l22cd4li.xlsx]ReferenceData!R176C9</stp>
        <stp>PX391=20180401</stp>
        <stp>PX392=20180630</stp>
        <stp>DS004=USD</stp>
        <stp>Fill=B</stp>
        <tr r="I176" s="3"/>
      </tp>
      <tp t="s">
        <v>#N/A Connection</v>
        <stp/>
        <stp>##V3_BDPV12</stp>
        <stp>WCARBEI Index</stp>
        <stp>PX385</stp>
        <stp>[BI_AUTMG_1_l22cd4li.xlsx]ReferenceData!R177C9</stp>
        <stp>PX391=20180401</stp>
        <stp>PX392=20180630</stp>
        <stp>DS004=USD</stp>
        <stp>Fill=B</stp>
        <tr r="I177" s="3"/>
      </tp>
      <tp t="s">
        <v>#N/A Connection</v>
        <stp/>
        <stp>##V3_BDPV12</stp>
        <stp>ASTOTTRK Index</stp>
        <stp>PX385</stp>
        <stp>[BI_AUTMG_1_l22cd4li.xlsx]ReferenceData!R209C10</stp>
        <stp>PX391=20180101</stp>
        <stp>PX392=20180331</stp>
        <stp>DS004=USD</stp>
        <stp>Fill=B</stp>
        <tr r="J209" s="3"/>
      </tp>
      <tp t="s">
        <v>#N/A Connection</v>
        <stp/>
        <stp>##V3_BDPV12</stp>
        <stp>ASTOTTRK Index</stp>
        <stp>PX385</stp>
        <stp>[BI_AUTMG_1_l22cd4li.xlsx]ReferenceData!R209C43</stp>
        <stp>PX391=20091001</stp>
        <stp>PX392=20091231</stp>
        <stp>DS004=USD</stp>
        <stp>Fill=B</stp>
        <tr r="AQ209" s="3"/>
      </tp>
      <tp t="s">
        <v>#N/A Connection</v>
        <stp/>
        <stp>##V3_BDPV12</stp>
        <stp>ASTOTTRK Index</stp>
        <stp>PX385</stp>
        <stp>[BI_AUTMG_1_l22cd4li.xlsx]ReferenceData!R209C47</stp>
        <stp>PX391=20081001</stp>
        <stp>PX392=20081231</stp>
        <stp>DS004=USD</stp>
        <stp>Fill=B</stp>
        <tr r="AU209" s="3"/>
      </tp>
      <tp t="s">
        <v>#N/A Connection</v>
        <stp/>
        <stp>##V3_BDPV12</stp>
        <stp>JNVTTOTL Index</stp>
        <stp>PX385</stp>
        <stp>[BI_AUTMG_1_l22cd4li.xlsx]ReferenceData!R167C13</stp>
        <stp>PX391=20170401</stp>
        <stp>PX392=20170630</stp>
        <stp>DS004=USD</stp>
        <stp>Fill=B</stp>
        <tr r="M167" s="3"/>
      </tp>
      <tp t="s">
        <v>#N/A Connection</v>
        <stp/>
        <stp>##V3_BDPV12</stp>
        <stp>ASTOTTRK Index</stp>
        <stp>PX385</stp>
        <stp>[BI_AUTMG_1_l22cd4li.xlsx]ReferenceData!R209C42</stp>
        <stp>PX391=20100101</stp>
        <stp>PX392=20100331</stp>
        <stp>DS004=USD</stp>
        <stp>Fill=B</stp>
        <tr r="AP209" s="3"/>
      </tp>
      <tp t="s">
        <v>#N/A Connection</v>
        <stp/>
        <stp>##V3_BDPV12</stp>
        <stp>ASTOTTRK Index</stp>
        <stp>PX385</stp>
        <stp>[BI_AUTMG_1_l22cd4li.xlsx]ReferenceData!R209C38</stp>
        <stp>PX391=20110101</stp>
        <stp>PX392=20110331</stp>
        <stp>DS004=USD</stp>
        <stp>Fill=B</stp>
        <tr r="AL209" s="3"/>
      </tp>
      <tp t="s">
        <v>#N/A Connection</v>
        <stp/>
        <stp>##V3_BDPV12</stp>
        <stp>JNVTTOTL Index</stp>
        <stp>PX385</stp>
        <stp>[BI_AUTMG_1_l22cd4li.xlsx]ReferenceData!R167C17</stp>
        <stp>PX391=20160401</stp>
        <stp>PX392=20160630</stp>
        <stp>DS004=USD</stp>
        <stp>Fill=B</stp>
        <tr r="Q167" s="3"/>
      </tp>
      <tp t="s">
        <v>#N/A Connection</v>
        <stp/>
        <stp>##V3_BDPV12</stp>
        <stp>JNVTTOTL Index</stp>
        <stp>PX385</stp>
        <stp>[BI_AUTMG_1_l22cd4li.xlsx]ReferenceData!R167C21</stp>
        <stp>PX391=20150401</stp>
        <stp>PX392=20150630</stp>
        <stp>DS004=USD</stp>
        <stp>Fill=B</stp>
        <tr r="U167" s="3"/>
      </tp>
      <tp t="s">
        <v>#N/A Connection</v>
        <stp/>
        <stp>##V3_BDPV12</stp>
        <stp>ASTOTTRK Index</stp>
        <stp>PX385</stp>
        <stp>[BI_AUTMG_1_l22cd4li.xlsx]ReferenceData!R209C34</stp>
        <stp>PX391=20120101</stp>
        <stp>PX392=20120331</stp>
        <stp>DS004=USD</stp>
        <stp>Fill=B</stp>
        <tr r="AH209" s="3"/>
      </tp>
      <tp t="s">
        <v>#N/A Connection</v>
        <stp/>
        <stp>##V3_BDPV12</stp>
        <stp>ASTOTTRK Index</stp>
        <stp>PX385</stp>
        <stp>[BI_AUTMG_1_l22cd4li.xlsx]ReferenceData!R209C30</stp>
        <stp>PX391=20130101</stp>
        <stp>PX392=20130331</stp>
        <stp>DS004=USD</stp>
        <stp>Fill=B</stp>
        <tr r="AD209" s="3"/>
      </tp>
      <tp t="s">
        <v>#N/A Connection</v>
        <stp/>
        <stp>##V3_BDPV12</stp>
        <stp>JNVTTOTL Index</stp>
        <stp>PX385</stp>
        <stp>[BI_AUTMG_1_l22cd4li.xlsx]ReferenceData!R167C25</stp>
        <stp>PX391=20140401</stp>
        <stp>PX392=20140630</stp>
        <stp>DS004=USD</stp>
        <stp>Fill=B</stp>
        <tr r="Y167" s="3"/>
      </tp>
      <tp t="s">
        <v>#N/A Connection</v>
        <stp/>
        <stp>##V3_BDPV12</stp>
        <stp>ASTOTTRK Index</stp>
        <stp>PX385</stp>
        <stp>[BI_AUTMG_1_l22cd4li.xlsx]ReferenceData!R209C59</stp>
        <stp>PX391=20051001</stp>
        <stp>PX392=20051231</stp>
        <stp>DS004=USD</stp>
        <stp>Fill=B</stp>
        <tr r="BG209" s="3"/>
      </tp>
      <tp t="s">
        <v>#N/A Connection</v>
        <stp/>
        <stp>##V3_BDPV12</stp>
        <stp>JNVTTOTL Index</stp>
        <stp>PX385</stp>
        <stp>[BI_AUTMG_1_l22cd4li.xlsx]ReferenceData!R167C29</stp>
        <stp>PX391=20130401</stp>
        <stp>PX392=20130630</stp>
        <stp>DS004=USD</stp>
        <stp>Fill=B</stp>
        <tr r="AC167" s="3"/>
      </tp>
      <tp t="s">
        <v>#N/A Connection</v>
        <stp/>
        <stp>##V3_BDPV12</stp>
        <stp>ASTOTTRK Index</stp>
        <stp>PX385</stp>
        <stp>[BI_AUTMG_1_l22cd4li.xlsx]ReferenceData!R209C26</stp>
        <stp>PX391=20140101</stp>
        <stp>PX392=20140331</stp>
        <stp>DS004=USD</stp>
        <stp>Fill=B</stp>
        <tr r="Z209" s="3"/>
      </tp>
      <tp t="s">
        <v>#N/A Connection</v>
        <stp/>
        <stp>##V3_BDPV12</stp>
        <stp>ASTOTTRK Index</stp>
        <stp>PX385</stp>
        <stp>[BI_AUTMG_1_l22cd4li.xlsx]ReferenceData!R209C63</stp>
        <stp>PX391=20041001</stp>
        <stp>PX392=20041231</stp>
        <stp>DS004=USD</stp>
        <stp>Fill=B</stp>
        <tr r="BK209" s="3"/>
      </tp>
      <tp t="s">
        <v>#N/A Connection</v>
        <stp/>
        <stp>##V3_BDPV12</stp>
        <stp>JNVTTOTL Index</stp>
        <stp>PX385</stp>
        <stp>[BI_AUTMG_1_l22cd4li.xlsx]ReferenceData!R167C33</stp>
        <stp>PX391=20120401</stp>
        <stp>PX392=20120630</stp>
        <stp>DS004=USD</stp>
        <stp>Fill=B</stp>
        <tr r="AG167" s="3"/>
      </tp>
      <tp t="s">
        <v>#N/A Connection</v>
        <stp/>
        <stp>##V3_BDPV12</stp>
        <stp>ASTOTTRK Index</stp>
        <stp>PX385</stp>
        <stp>[BI_AUTMG_1_l22cd4li.xlsx]ReferenceData!R209C22</stp>
        <stp>PX391=20150101</stp>
        <stp>PX392=20150331</stp>
        <stp>DS004=USD</stp>
        <stp>Fill=B</stp>
        <tr r="V209" s="3"/>
      </tp>
      <tp t="s">
        <v>#N/A Connection</v>
        <stp/>
        <stp>##V3_BDPV12</stp>
        <stp>ASTOTTRK Index</stp>
        <stp>PX385</stp>
        <stp>[BI_AUTMG_1_l22cd4li.xlsx]ReferenceData!R209C51</stp>
        <stp>PX391=20071001</stp>
        <stp>PX392=20071231</stp>
        <stp>DS004=USD</stp>
        <stp>Fill=B</stp>
        <tr r="AY209" s="3"/>
      </tp>
      <tp t="s">
        <v>#N/A Connection</v>
        <stp/>
        <stp>##V3_BDPV12</stp>
        <stp>ASTOTTRK Index</stp>
        <stp>PX385</stp>
        <stp>[BI_AUTMG_1_l22cd4li.xlsx]ReferenceData!R209C18</stp>
        <stp>PX391=20160101</stp>
        <stp>PX392=20160331</stp>
        <stp>DS004=USD</stp>
        <stp>Fill=B</stp>
        <tr r="R209" s="3"/>
      </tp>
      <tp t="s">
        <v>#N/A Connection</v>
        <stp/>
        <stp>##V3_BDPV12</stp>
        <stp>JNVTTOTL Index</stp>
        <stp>PX385</stp>
        <stp>[BI_AUTMG_1_l22cd4li.xlsx]ReferenceData!R167C37</stp>
        <stp>PX391=20110401</stp>
        <stp>PX392=20110630</stp>
        <stp>DS004=USD</stp>
        <stp>Fill=B</stp>
        <tr r="AK167" s="3"/>
      </tp>
      <tp t="s">
        <v>#N/A Connection</v>
        <stp/>
        <stp>##V3_BDPV12</stp>
        <stp>ASTOTTRK Index</stp>
        <stp>PX385</stp>
        <stp>[BI_AUTMG_1_l22cd4li.xlsx]ReferenceData!R209C55</stp>
        <stp>PX391=20061001</stp>
        <stp>PX392=20061231</stp>
        <stp>DS004=USD</stp>
        <stp>Fill=B</stp>
        <tr r="BC209" s="3"/>
      </tp>
      <tp t="s">
        <v>#N/A Connection</v>
        <stp/>
        <stp>##V3_BDPV12</stp>
        <stp>JNVTTOTL Index</stp>
        <stp>PX385</stp>
        <stp>[BI_AUTMG_1_l22cd4li.xlsx]ReferenceData!R167C41</stp>
        <stp>PX391=20100401</stp>
        <stp>PX392=20100630</stp>
        <stp>DS004=USD</stp>
        <stp>Fill=B</stp>
        <tr r="AO167" s="3"/>
      </tp>
      <tp t="s">
        <v>#N/A Connection</v>
        <stp/>
        <stp>##V3_BDPV12</stp>
        <stp>ASTOTTRK Index</stp>
        <stp>PX385</stp>
        <stp>[BI_AUTMG_1_l22cd4li.xlsx]ReferenceData!R209C14</stp>
        <stp>PX391=20170101</stp>
        <stp>PX392=20170331</stp>
        <stp>DS004=USD</stp>
        <stp>Fill=B</stp>
        <tr r="N209" s="3"/>
      </tp>
      <tp t="s">
        <v>#N/A Connection</v>
        <stp/>
        <stp>##V3_BDPV12</stp>
        <stp>KNNVREG Index</stp>
        <stp>PX385</stp>
        <stp>[BI_AUTMG_1_l22cd4li.xlsx]ReferenceData!R216C9</stp>
        <stp>PX391=20180401</stp>
        <stp>PX392=20180630</stp>
        <stp>DS004=USD</stp>
        <stp>Fill=B</stp>
        <tr r="I216" s="3"/>
      </tp>
      <tp t="s">
        <v>#N/A Connection</v>
        <stp/>
        <stp>##V3_BDPV12</stp>
        <stp>MXVHTOTL Index</stp>
        <stp>PX385</stp>
        <stp>[BI_AUTMG_1_l22cd4li.xlsx]ReferenceData!R207C37</stp>
        <stp>PX391=20110401</stp>
        <stp>PX392=20110630</stp>
        <stp>DS004=USD</stp>
        <stp>Fill=B</stp>
        <tr r="AK207" s="3"/>
      </tp>
      <tp t="s">
        <v>#N/A Connection</v>
        <stp/>
        <stp>##V3_BDPV12</stp>
        <stp>MXVHTOTL Index</stp>
        <stp>PX385</stp>
        <stp>[BI_AUTMG_1_l22cd4li.xlsx]ReferenceData!R207C41</stp>
        <stp>PX391=20100401</stp>
        <stp>PX392=20100630</stp>
        <stp>DS004=USD</stp>
        <stp>Fill=B</stp>
        <tr r="AO207" s="3"/>
      </tp>
      <tp t="s">
        <v>#N/A Connection</v>
        <stp/>
        <stp>##V3_BDPV12</stp>
        <stp>MXVHTOTL Index</stp>
        <stp>PX385</stp>
        <stp>[BI_AUTMG_1_l22cd4li.xlsx]ReferenceData!R207C29</stp>
        <stp>PX391=20130401</stp>
        <stp>PX392=20130630</stp>
        <stp>DS004=USD</stp>
        <stp>Fill=B</stp>
        <tr r="AC207" s="3"/>
      </tp>
      <tp t="s">
        <v>#N/A Connection</v>
        <stp/>
        <stp>##V3_BDPV12</stp>
        <stp>MXVHTOTL Index</stp>
        <stp>PX385</stp>
        <stp>[BI_AUTMG_1_l22cd4li.xlsx]ReferenceData!R207C33</stp>
        <stp>PX391=20120401</stp>
        <stp>PX392=20120630</stp>
        <stp>DS004=USD</stp>
        <stp>Fill=B</stp>
        <tr r="AG207" s="3"/>
      </tp>
      <tp t="s">
        <v>#N/A Connection</v>
        <stp/>
        <stp>##V3_BDPV12</stp>
        <stp>MXVHTOTL Index</stp>
        <stp>PX385</stp>
        <stp>[BI_AUTMG_1_l22cd4li.xlsx]ReferenceData!R207C21</stp>
        <stp>PX391=20150401</stp>
        <stp>PX392=20150630</stp>
        <stp>DS004=USD</stp>
        <stp>Fill=B</stp>
        <tr r="U207" s="3"/>
      </tp>
      <tp t="s">
        <v>#N/A Connection</v>
        <stp/>
        <stp>##V3_BDPV12</stp>
        <stp>MXVHTOTL Index</stp>
        <stp>PX385</stp>
        <stp>[BI_AUTMG_1_l22cd4li.xlsx]ReferenceData!R207C25</stp>
        <stp>PX391=20140401</stp>
        <stp>PX392=20140630</stp>
        <stp>DS004=USD</stp>
        <stp>Fill=B</stp>
        <tr r="Y207" s="3"/>
      </tp>
      <tp t="s">
        <v>#N/A Connection</v>
        <stp/>
        <stp>##V3_BDPV12</stp>
        <stp>MXVHTOTL Index</stp>
        <stp>PX385</stp>
        <stp>[BI_AUTMG_1_l22cd4li.xlsx]ReferenceData!R207C13</stp>
        <stp>PX391=20170401</stp>
        <stp>PX392=20170630</stp>
        <stp>DS004=USD</stp>
        <stp>Fill=B</stp>
        <tr r="M207" s="3"/>
      </tp>
      <tp t="s">
        <v>#N/A Connection</v>
        <stp/>
        <stp>##V3_BDPV12</stp>
        <stp>MXVHTOTL Index</stp>
        <stp>PX385</stp>
        <stp>[BI_AUTMG_1_l22cd4li.xlsx]ReferenceData!R207C17</stp>
        <stp>PX391=20160401</stp>
        <stp>PX392=20160630</stp>
        <stp>DS004=USD</stp>
        <stp>Fill=B</stp>
        <tr r="Q207" s="3"/>
      </tp>
      <tp t="s">
        <v>#N/A Connection</v>
        <stp/>
        <stp>##V3_BDPV12</stp>
        <stp>ASTOTTRK Index</stp>
        <stp>PX385</stp>
        <stp>[BI_AUTMG_1_l22cd4li.xlsx]ReferenceData!R209C48</stp>
        <stp>PX391=20080701</stp>
        <stp>PX392=20080930</stp>
        <stp>DS004=USD</stp>
        <stp>Fill=B</stp>
        <tr r="AV209" s="3"/>
      </tp>
      <tp t="s">
        <v>#N/A Connection</v>
        <stp/>
        <stp>##V3_BDPV12</stp>
        <stp>ASTOTTRK Index</stp>
        <stp>PX385</stp>
        <stp>[BI_AUTMG_1_l22cd4li.xlsx]ReferenceData!R209C44</stp>
        <stp>PX391=20090701</stp>
        <stp>PX392=20090930</stp>
        <stp>DS004=USD</stp>
        <stp>Fill=B</stp>
        <tr r="AR209" s="3"/>
      </tp>
      <tp t="s">
        <v>#N/A Connection</v>
        <stp/>
        <stp>##V3_BDPV12</stp>
        <stp>ASTOTTRK Index</stp>
        <stp>PX385</stp>
        <stp>[BI_AUTMG_1_l22cd4li.xlsx]ReferenceData!R209C64</stp>
        <stp>PX391=20040701</stp>
        <stp>PX392=20040930</stp>
        <stp>DS004=USD</stp>
        <stp>Fill=B</stp>
        <tr r="BL209" s="3"/>
      </tp>
      <tp t="s">
        <v>#N/A Connection</v>
        <stp/>
        <stp>##V3_BDPV12</stp>
        <stp>ASTOTTRK Index</stp>
        <stp>PX385</stp>
        <stp>[BI_AUTMG_1_l22cd4li.xlsx]ReferenceData!R209C60</stp>
        <stp>PX391=20050701</stp>
        <stp>PX392=20050930</stp>
        <stp>DS004=USD</stp>
        <stp>Fill=B</stp>
        <tr r="BH209" s="3"/>
      </tp>
      <tp t="s">
        <v>#N/A Connection</v>
        <stp/>
        <stp>##V3_BDPV12</stp>
        <stp>ASTOTTRK Index</stp>
        <stp>PX385</stp>
        <stp>[BI_AUTMG_1_l22cd4li.xlsx]ReferenceData!R209C56</stp>
        <stp>PX391=20060701</stp>
        <stp>PX392=20060930</stp>
        <stp>DS004=USD</stp>
        <stp>Fill=B</stp>
        <tr r="BD209" s="3"/>
      </tp>
      <tp t="s">
        <v>#N/A Connection</v>
        <stp/>
        <stp>##V3_BDPV12</stp>
        <stp>ASTOTTRK Index</stp>
        <stp>PX385</stp>
        <stp>[BI_AUTMG_1_l22cd4li.xlsx]ReferenceData!R209C52</stp>
        <stp>PX391=20070701</stp>
        <stp>PX392=20070930</stp>
        <stp>DS004=USD</stp>
        <stp>Fill=B</stp>
        <tr r="AZ209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[BI_AUTMG_1_l22cd4li.xlsx]ReferenceData!R219C6</stp>
        <stp>Per=CQ</stp>
        <stp>Dts=H</stp>
        <stp>Dir=H</stp>
        <stp>Points=60</stp>
        <stp>Sort=R</stp>
        <stp>Days=A</stp>
        <stp>Fill=B</stp>
        <stp>DZ666=084</stp>
        <stp>DZ381=11111010</stp>
        <stp>DZ667=101</stp>
        <stp>DS276=Y</stp>
        <stp>FX=USD</stp>
        <tr r="F219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[BI_AUTMG_1_l22cd4li.xlsx]ReferenceData!R229C6</stp>
        <stp>Per=CQ</stp>
        <stp>Dts=H</stp>
        <stp>Dir=H</stp>
        <stp>Points=60</stp>
        <stp>Sort=R</stp>
        <stp>Days=A</stp>
        <stp>Fill=B</stp>
        <stp>DZ666=084</stp>
        <stp>DZ381=11111010</stp>
        <stp>DZ667=151</stp>
        <stp>DS276=Y</stp>
        <stp>FX=USD</stp>
        <tr r="F229" s="3"/>
      </tp>
      <tp t="s">
        <v>#N/A Connection</v>
        <stp/>
        <stp>##V3_BDPV12</stp>
        <stp>CAUTSALE Index</stp>
        <stp>PX385</stp>
        <stp>[BI_AUTMG_1_l22cd4li.xlsx]ReferenceData!R160C9</stp>
        <stp>PX391=20180401</stp>
        <stp>PX392=20180630</stp>
        <stp>DS004=USD</stp>
        <stp>Fill=B</stp>
        <tr r="I160" s="3"/>
      </tp>
      <tp t="s">
        <v>#N/A Connection</v>
        <stp/>
        <stp>##V3_BDPV12</stp>
        <stp>MXVHTOTL Index</stp>
        <stp>PX385</stp>
        <stp>[BI_AUTMG_1_l22cd4li.xlsx]ReferenceData!R207C49</stp>
        <stp>PX391=20080401</stp>
        <stp>PX392=20080630</stp>
        <stp>DS004=USD</stp>
        <stp>Fill=B</stp>
        <tr r="AW207" s="3"/>
      </tp>
      <tp t="s">
        <v>#N/A Connection</v>
        <stp/>
        <stp>##V3_BDPV12</stp>
        <stp>MXVHTOTL Index</stp>
        <stp>PX385</stp>
        <stp>[BI_AUTMG_1_l22cd4li.xlsx]ReferenceData!R207C45</stp>
        <stp>PX391=20090401</stp>
        <stp>PX392=20090630</stp>
        <stp>DS004=USD</stp>
        <stp>Fill=B</stp>
        <tr r="AS207" s="3"/>
      </tp>
      <tp t="s">
        <v>#N/A Connection</v>
        <stp/>
        <stp>##V3_BDPV12</stp>
        <stp>MXVHTOTL Index</stp>
        <stp>PX385</stp>
        <stp>[BI_AUTMG_1_l22cd4li.xlsx]ReferenceData!R207C65</stp>
        <stp>PX391=20040401</stp>
        <stp>PX392=20040630</stp>
        <stp>DS004=USD</stp>
        <stp>Fill=B</stp>
        <tr r="BM207" s="3"/>
      </tp>
      <tp t="s">
        <v>#N/A Connection</v>
        <stp/>
        <stp>##V3_BDPV12</stp>
        <stp>MXVHTOTL Index</stp>
        <stp>PX385</stp>
        <stp>[BI_AUTMG_1_l22cd4li.xlsx]ReferenceData!R207C61</stp>
        <stp>PX391=20050401</stp>
        <stp>PX392=20050630</stp>
        <stp>DS004=USD</stp>
        <stp>Fill=B</stp>
        <tr r="BI207" s="3"/>
      </tp>
      <tp t="s">
        <v>#N/A Connection</v>
        <stp/>
        <stp>##V3_BDPV12</stp>
        <stp>MXVHTOTL Index</stp>
        <stp>PX385</stp>
        <stp>[BI_AUTMG_1_l22cd4li.xlsx]ReferenceData!R207C57</stp>
        <stp>PX391=20060401</stp>
        <stp>PX392=20060630</stp>
        <stp>DS004=USD</stp>
        <stp>Fill=B</stp>
        <tr r="BE207" s="3"/>
      </tp>
      <tp t="s">
        <v>#N/A Connection</v>
        <stp/>
        <stp>##V3_BDPV12</stp>
        <stp>MXVHTOTL Index</stp>
        <stp>PX385</stp>
        <stp>[BI_AUTMG_1_l22cd4li.xlsx]ReferenceData!R207C53</stp>
        <stp>PX391=20070401</stp>
        <stp>PX392=20070630</stp>
        <stp>DS004=USD</stp>
        <stp>Fill=B</stp>
        <tr r="BA207" s="3"/>
      </tp>
      <tp t="s">
        <v>#N/A Connection</v>
        <stp/>
        <stp>##V3_BDPV12</stp>
        <stp>ASTOTTRK Index</stp>
        <stp>PX385</stp>
        <stp>[BI_AUTMG_1_l22cd4li.xlsx]ReferenceData!R209C36</stp>
        <stp>PX391=20110701</stp>
        <stp>PX392=20110930</stp>
        <stp>DS004=USD</stp>
        <stp>Fill=B</stp>
        <tr r="AJ209" s="3"/>
      </tp>
      <tp t="s">
        <v>#N/A Connection</v>
        <stp/>
        <stp>##V3_BDPV12</stp>
        <stp>ASTOTTRK Index</stp>
        <stp>PX385</stp>
        <stp>[BI_AUTMG_1_l22cd4li.xlsx]ReferenceData!R209C40</stp>
        <stp>PX391=20100701</stp>
        <stp>PX392=20100930</stp>
        <stp>DS004=USD</stp>
        <stp>Fill=B</stp>
        <tr r="AN209" s="3"/>
      </tp>
      <tp t="s">
        <v>#N/A Connection</v>
        <stp/>
        <stp>##V3_BDPV12</stp>
        <stp>ASTOTTRK Index</stp>
        <stp>PX385</stp>
        <stp>[BI_AUTMG_1_l22cd4li.xlsx]ReferenceData!R209C28</stp>
        <stp>PX391=20130701</stp>
        <stp>PX392=20130930</stp>
        <stp>DS004=USD</stp>
        <stp>Fill=B</stp>
        <tr r="AB209" s="3"/>
      </tp>
      <tp t="s">
        <v>#N/A Connection</v>
        <stp/>
        <stp>##V3_BDPV12</stp>
        <stp>ASTOTTRK Index</stp>
        <stp>PX385</stp>
        <stp>[BI_AUTMG_1_l22cd4li.xlsx]ReferenceData!R209C32</stp>
        <stp>PX391=20120701</stp>
        <stp>PX392=20120930</stp>
        <stp>DS004=USD</stp>
        <stp>Fill=B</stp>
        <tr r="AF209" s="3"/>
      </tp>
      <tp t="s">
        <v>#N/A Connection</v>
        <stp/>
        <stp>##V3_BDPV12</stp>
        <stp>ASTOTTRK Index</stp>
        <stp>PX385</stp>
        <stp>[BI_AUTMG_1_l22cd4li.xlsx]ReferenceData!R209C20</stp>
        <stp>PX391=20150701</stp>
        <stp>PX392=20150930</stp>
        <stp>DS004=USD</stp>
        <stp>Fill=B</stp>
        <tr r="T209" s="3"/>
      </tp>
      <tp t="s">
        <v>#N/A Connection</v>
        <stp/>
        <stp>##V3_BDPV12</stp>
        <stp>ASTOTTRK Index</stp>
        <stp>PX385</stp>
        <stp>[BI_AUTMG_1_l22cd4li.xlsx]ReferenceData!R209C24</stp>
        <stp>PX391=20140701</stp>
        <stp>PX392=20140930</stp>
        <stp>DS004=USD</stp>
        <stp>Fill=B</stp>
        <tr r="X209" s="3"/>
      </tp>
      <tp t="s">
        <v>#N/A Connection</v>
        <stp/>
        <stp>##V3_BDPV12</stp>
        <stp>ASTOTTRK Index</stp>
        <stp>PX385</stp>
        <stp>[BI_AUTMG_1_l22cd4li.xlsx]ReferenceData!R209C12</stp>
        <stp>PX391=20170701</stp>
        <stp>PX392=20170930</stp>
        <stp>DS004=USD</stp>
        <stp>Fill=B</stp>
        <tr r="L209" s="3"/>
      </tp>
      <tp t="s">
        <v>#N/A Connection</v>
        <stp/>
        <stp>##V3_BDPV12</stp>
        <stp>ASTOTTRK Index</stp>
        <stp>PX385</stp>
        <stp>[BI_AUTMG_1_l22cd4li.xlsx]ReferenceData!R209C16</stp>
        <stp>PX391=20160701</stp>
        <stp>PX392=20160930</stp>
        <stp>DS004=USD</stp>
        <stp>Fill=B</stp>
        <tr r="P209" s="3"/>
      </tp>
      <tp t="s">
        <v>#N/A Connection</v>
        <stp/>
        <stp>##V3_BDPV12</stp>
        <stp>WCARCYI Index</stp>
        <stp>PX385</stp>
        <stp>[BI_AUTMG_1_l22cd4li.xlsx]ReferenceData!R178C6</stp>
        <stp>PX391=20190101</stp>
        <stp>PX392=20190331</stp>
        <stp>DS004=USD</stp>
        <stp>Fill=B</stp>
        <tr r="F178" s="3"/>
      </tp>
      <tp t="s">
        <v>#N/A Connection</v>
        <stp/>
        <stp>##V3_BDPV12</stp>
        <stp>WCARDKI Index</stp>
        <stp>PX385</stp>
        <stp>[BI_AUTMG_1_l22cd4li.xlsx]ReferenceData!R179C6</stp>
        <stp>PX391=20190101</stp>
        <stp>PX392=20190331</stp>
        <stp>DS004=USD</stp>
        <stp>Fill=B</stp>
        <tr r="F179" s="3"/>
      </tp>
      <tp t="s">
        <v>#N/A Connection</v>
        <stp/>
        <stp>##V3_BDPV12</stp>
        <stp>WCARATI Index</stp>
        <stp>PX385</stp>
        <stp>[BI_AUTMG_1_l22cd4li.xlsx]ReferenceData!R176C6</stp>
        <stp>PX391=20190101</stp>
        <stp>PX392=20190331</stp>
        <stp>DS004=USD</stp>
        <stp>Fill=B</stp>
        <tr r="F176" s="3"/>
      </tp>
      <tp t="s">
        <v>#N/A Connection</v>
        <stp/>
        <stp>##V3_BDPV12</stp>
        <stp>WCARBEI Index</stp>
        <stp>PX385</stp>
        <stp>[BI_AUTMG_1_l22cd4li.xlsx]ReferenceData!R177C6</stp>
        <stp>PX391=20190101</stp>
        <stp>PX392=20190331</stp>
        <stp>DS004=USD</stp>
        <stp>Fill=B</stp>
        <tr r="F177" s="3"/>
      </tp>
      <tp t="s">
        <v>#N/A Connection</v>
        <stp/>
        <stp>##V3_BDPV12</stp>
        <stp>CAUTSALE Index</stp>
        <stp>PX385</stp>
        <stp>[BI_AUTMG_1_l22cd4li.xlsx]ReferenceData!R160C8</stp>
        <stp>PX391=20180701</stp>
        <stp>PX392=20180930</stp>
        <stp>DS004=USD</stp>
        <stp>Fill=B</stp>
        <tr r="H160" s="3"/>
      </tp>
      <tp t="s">
        <v>#N/A Connection</v>
        <stp/>
        <stp>##V3_BDPV12</stp>
        <stp>MXVHTOTL Index</stp>
        <stp>PX385</stp>
        <stp>[BI_AUTMG_1_l22cd4li.xlsx]ReferenceData!R207C48</stp>
        <stp>PX391=20080701</stp>
        <stp>PX392=20080930</stp>
        <stp>DS004=USD</stp>
        <stp>Fill=B</stp>
        <tr r="AV207" s="3"/>
      </tp>
      <tp t="s">
        <v>#N/A Connection</v>
        <stp/>
        <stp>##V3_BDPV12</stp>
        <stp>MXVHTOTL Index</stp>
        <stp>PX385</stp>
        <stp>[BI_AUTMG_1_l22cd4li.xlsx]ReferenceData!R207C44</stp>
        <stp>PX391=20090701</stp>
        <stp>PX392=20090930</stp>
        <stp>DS004=USD</stp>
        <stp>Fill=B</stp>
        <tr r="AR207" s="3"/>
      </tp>
      <tp t="s">
        <v>#N/A Connection</v>
        <stp/>
        <stp>##V3_BDPV12</stp>
        <stp>MXVHTOTL Index</stp>
        <stp>PX385</stp>
        <stp>[BI_AUTMG_1_l22cd4li.xlsx]ReferenceData!R207C64</stp>
        <stp>PX391=20040701</stp>
        <stp>PX392=20040930</stp>
        <stp>DS004=USD</stp>
        <stp>Fill=B</stp>
        <tr r="BL207" s="3"/>
      </tp>
      <tp t="s">
        <v>#N/A Connection</v>
        <stp/>
        <stp>##V3_BDPV12</stp>
        <stp>MXVHTOTL Index</stp>
        <stp>PX385</stp>
        <stp>[BI_AUTMG_1_l22cd4li.xlsx]ReferenceData!R207C60</stp>
        <stp>PX391=20050701</stp>
        <stp>PX392=20050930</stp>
        <stp>DS004=USD</stp>
        <stp>Fill=B</stp>
        <tr r="BH207" s="3"/>
      </tp>
      <tp t="s">
        <v>#N/A Connection</v>
        <stp/>
        <stp>##V3_BDPV12</stp>
        <stp>MXVHTOTL Index</stp>
        <stp>PX385</stp>
        <stp>[BI_AUTMG_1_l22cd4li.xlsx]ReferenceData!R207C56</stp>
        <stp>PX391=20060701</stp>
        <stp>PX392=20060930</stp>
        <stp>DS004=USD</stp>
        <stp>Fill=B</stp>
        <tr r="BD207" s="3"/>
      </tp>
      <tp t="s">
        <v>#N/A Connection</v>
        <stp/>
        <stp>##V3_BDPV12</stp>
        <stp>MXVHTOTL Index</stp>
        <stp>PX385</stp>
        <stp>[BI_AUTMG_1_l22cd4li.xlsx]ReferenceData!R207C52</stp>
        <stp>PX391=20070701</stp>
        <stp>PX392=20070930</stp>
        <stp>DS004=USD</stp>
        <stp>Fill=B</stp>
        <tr r="AZ207" s="3"/>
      </tp>
      <tp t="s">
        <v>#N/A Connection</v>
        <stp/>
        <stp>##V3_BDPV12</stp>
        <stp>JNVTTOTL Index</stp>
        <stp>PX385</stp>
        <stp>[BI_AUTMG_1_l22cd4li.xlsx]ReferenceData!R167C43</stp>
        <stp>PX391=20091001</stp>
        <stp>PX392=20091231</stp>
        <stp>DS004=USD</stp>
        <stp>Fill=B</stp>
        <tr r="AQ167" s="3"/>
      </tp>
      <tp t="s">
        <v>#N/A Connection</v>
        <stp/>
        <stp>##V3_BDPV12</stp>
        <stp>JNVTTOTL Index</stp>
        <stp>PX385</stp>
        <stp>[BI_AUTMG_1_l22cd4li.xlsx]ReferenceData!R167C10</stp>
        <stp>PX391=20180101</stp>
        <stp>PX392=20180331</stp>
        <stp>DS004=USD</stp>
        <stp>Fill=B</stp>
        <tr r="J167" s="3"/>
      </tp>
      <tp t="s">
        <v>#N/A Connection</v>
        <stp/>
        <stp>##V3_BDPV12</stp>
        <stp>JNVTTOTL Index</stp>
        <stp>PX385</stp>
        <stp>[BI_AUTMG_1_l22cd4li.xlsx]ReferenceData!R167C47</stp>
        <stp>PX391=20081001</stp>
        <stp>PX392=20081231</stp>
        <stp>DS004=USD</stp>
        <stp>Fill=B</stp>
        <tr r="AU167" s="3"/>
      </tp>
      <tp t="s">
        <v>#N/A Connection</v>
        <stp/>
        <stp>##V3_BDPV12</stp>
        <stp>ASTOTTRK Index</stp>
        <stp>PX385</stp>
        <stp>[BI_AUTMG_1_l22cd4li.xlsx]ReferenceData!R209C37</stp>
        <stp>PX391=20110401</stp>
        <stp>PX392=20110630</stp>
        <stp>DS004=USD</stp>
        <stp>Fill=B</stp>
        <tr r="AK209" s="3"/>
      </tp>
      <tp t="s">
        <v>#N/A Connection</v>
        <stp/>
        <stp>##V3_BDPV12</stp>
        <stp>JNVTTOTL Index</stp>
        <stp>PX385</stp>
        <stp>[BI_AUTMG_1_l22cd4li.xlsx]ReferenceData!R167C18</stp>
        <stp>PX391=20160101</stp>
        <stp>PX392=20160331</stp>
        <stp>DS004=USD</stp>
        <stp>Fill=B</stp>
        <tr r="R167" s="3"/>
      </tp>
      <tp t="s">
        <v>#N/A Connection</v>
        <stp/>
        <stp>##V3_BDPV12</stp>
        <stp>JNVTTOTL Index</stp>
        <stp>PX385</stp>
        <stp>[BI_AUTMG_1_l22cd4li.xlsx]ReferenceData!R167C51</stp>
        <stp>PX391=20071001</stp>
        <stp>PX392=20071231</stp>
        <stp>DS004=USD</stp>
        <stp>Fill=B</stp>
        <tr r="AY167" s="3"/>
      </tp>
      <tp t="s">
        <v>#N/A Connection</v>
        <stp/>
        <stp>##V3_BDPV12</stp>
        <stp>JNVTTOTL Index</stp>
        <stp>PX385</stp>
        <stp>[BI_AUTMG_1_l22cd4li.xlsx]ReferenceData!R167C14</stp>
        <stp>PX391=20170101</stp>
        <stp>PX392=20170331</stp>
        <stp>DS004=USD</stp>
        <stp>Fill=B</stp>
        <tr r="N167" s="3"/>
      </tp>
      <tp t="s">
        <v>#N/A Connection</v>
        <stp/>
        <stp>##V3_BDPV12</stp>
        <stp>ASTOTTRK Index</stp>
        <stp>PX385</stp>
        <stp>[BI_AUTMG_1_l22cd4li.xlsx]ReferenceData!R209C41</stp>
        <stp>PX391=20100401</stp>
        <stp>PX392=20100630</stp>
        <stp>DS004=USD</stp>
        <stp>Fill=B</stp>
        <tr r="AO209" s="3"/>
      </tp>
      <tp t="s">
        <v>#N/A Connection</v>
        <stp/>
        <stp>##V3_BDPV12</stp>
        <stp>JNVTTOTL Index</stp>
        <stp>PX385</stp>
        <stp>[BI_AUTMG_1_l22cd4li.xlsx]ReferenceData!R167C55</stp>
        <stp>PX391=20061001</stp>
        <stp>PX392=20061231</stp>
        <stp>DS004=USD</stp>
        <stp>Fill=B</stp>
        <tr r="BC167" s="3"/>
      </tp>
      <tp t="s">
        <v>#N/A Connection</v>
        <stp/>
        <stp>##V3_BDPV12</stp>
        <stp>JNVTTOTL Index</stp>
        <stp>PX385</stp>
        <stp>[BI_AUTMG_1_l22cd4li.xlsx]ReferenceData!R167C26</stp>
        <stp>PX391=20140101</stp>
        <stp>PX392=20140331</stp>
        <stp>DS004=USD</stp>
        <stp>Fill=B</stp>
        <tr r="Z167" s="3"/>
      </tp>
      <tp t="s">
        <v>#N/A Connection</v>
        <stp/>
        <stp>##V3_BDPV12</stp>
        <stp>ASTOTTRK Index</stp>
        <stp>PX385</stp>
        <stp>[BI_AUTMG_1_l22cd4li.xlsx]ReferenceData!R209C29</stp>
        <stp>PX391=20130401</stp>
        <stp>PX392=20130630</stp>
        <stp>DS004=USD</stp>
        <stp>Fill=B</stp>
        <tr r="AC209" s="3"/>
      </tp>
      <tp t="s">
        <v>#N/A Connection</v>
        <stp/>
        <stp>##V3_BDPV12</stp>
        <stp>JNVTTOTL Index</stp>
        <stp>PX385</stp>
        <stp>[BI_AUTMG_1_l22cd4li.xlsx]ReferenceData!R167C59</stp>
        <stp>PX391=20051001</stp>
        <stp>PX392=20051231</stp>
        <stp>DS004=USD</stp>
        <stp>Fill=B</stp>
        <tr r="BG167" s="3"/>
      </tp>
      <tp t="s">
        <v>#N/A Connection</v>
        <stp/>
        <stp>##V3_BDPV12</stp>
        <stp>JNVTTOTL Index</stp>
        <stp>PX385</stp>
        <stp>[BI_AUTMG_1_l22cd4li.xlsx]ReferenceData!R167C22</stp>
        <stp>PX391=20150101</stp>
        <stp>PX392=20150331</stp>
        <stp>DS004=USD</stp>
        <stp>Fill=B</stp>
        <tr r="V167" s="3"/>
      </tp>
      <tp t="s">
        <v>#N/A Connection</v>
        <stp/>
        <stp>##V3_BDPV12</stp>
        <stp>ASTOTTRK Index</stp>
        <stp>PX385</stp>
        <stp>[BI_AUTMG_1_l22cd4li.xlsx]ReferenceData!R209C33</stp>
        <stp>PX391=20120401</stp>
        <stp>PX392=20120630</stp>
        <stp>DS004=USD</stp>
        <stp>Fill=B</stp>
        <tr r="AG209" s="3"/>
      </tp>
      <tp t="s">
        <v>#N/A Connection</v>
        <stp/>
        <stp>##V3_BDPV12</stp>
        <stp>JNVTTOTL Index</stp>
        <stp>PX385</stp>
        <stp>[BI_AUTMG_1_l22cd4li.xlsx]ReferenceData!R167C63</stp>
        <stp>PX391=20041001</stp>
        <stp>PX392=20041231</stp>
        <stp>DS004=USD</stp>
        <stp>Fill=B</stp>
        <tr r="BK167" s="3"/>
      </tp>
      <tp t="s">
        <v>#N/A Connection</v>
        <stp/>
        <stp>##V3_BDPV12</stp>
        <stp>JNVTTOTL Index</stp>
        <stp>PX385</stp>
        <stp>[BI_AUTMG_1_l22cd4li.xlsx]ReferenceData!R167C34</stp>
        <stp>PX391=20120101</stp>
        <stp>PX392=20120331</stp>
        <stp>DS004=USD</stp>
        <stp>Fill=B</stp>
        <tr r="AH167" s="3"/>
      </tp>
      <tp t="s">
        <v>#N/A Connection</v>
        <stp/>
        <stp>##V3_BDPV12</stp>
        <stp>ASTOTTRK Index</stp>
        <stp>PX385</stp>
        <stp>[BI_AUTMG_1_l22cd4li.xlsx]ReferenceData!R209C21</stp>
        <stp>PX391=20150401</stp>
        <stp>PX392=20150630</stp>
        <stp>DS004=USD</stp>
        <stp>Fill=B</stp>
        <tr r="U209" s="3"/>
      </tp>
      <tp t="s">
        <v>#N/A Connection</v>
        <stp/>
        <stp>##V3_BDPV12</stp>
        <stp>ASTOTTRK Index</stp>
        <stp>PX385</stp>
        <stp>[BI_AUTMG_1_l22cd4li.xlsx]ReferenceData!R209C25</stp>
        <stp>PX391=20140401</stp>
        <stp>PX392=20140630</stp>
        <stp>DS004=USD</stp>
        <stp>Fill=B</stp>
        <tr r="Y209" s="3"/>
      </tp>
      <tp t="s">
        <v>#N/A Connection</v>
        <stp/>
        <stp>##V3_BDPV12</stp>
        <stp>JNVTTOTL Index</stp>
        <stp>PX385</stp>
        <stp>[BI_AUTMG_1_l22cd4li.xlsx]ReferenceData!R167C30</stp>
        <stp>PX391=20130101</stp>
        <stp>PX392=20130331</stp>
        <stp>DS004=USD</stp>
        <stp>Fill=B</stp>
        <tr r="AD167" s="3"/>
      </tp>
      <tp t="s">
        <v>#N/A Connection</v>
        <stp/>
        <stp>##V3_BDPV12</stp>
        <stp>JNVTTOTL Index</stp>
        <stp>PX385</stp>
        <stp>[BI_AUTMG_1_l22cd4li.xlsx]ReferenceData!R167C42</stp>
        <stp>PX391=20100101</stp>
        <stp>PX392=20100331</stp>
        <stp>DS004=USD</stp>
        <stp>Fill=B</stp>
        <tr r="AP167" s="3"/>
      </tp>
      <tp t="s">
        <v>#N/A Connection</v>
        <stp/>
        <stp>##V3_BDPV12</stp>
        <stp>ASTOTTRK Index</stp>
        <stp>PX385</stp>
        <stp>[BI_AUTMG_1_l22cd4li.xlsx]ReferenceData!R209C13</stp>
        <stp>PX391=20170401</stp>
        <stp>PX392=20170630</stp>
        <stp>DS004=USD</stp>
        <stp>Fill=B</stp>
        <tr r="M209" s="3"/>
      </tp>
      <tp t="s">
        <v>#N/A Connection</v>
        <stp/>
        <stp>##V3_BDPV12</stp>
        <stp>ASTOTTRK Index</stp>
        <stp>PX385</stp>
        <stp>[BI_AUTMG_1_l22cd4li.xlsx]ReferenceData!R209C17</stp>
        <stp>PX391=20160401</stp>
        <stp>PX392=20160630</stp>
        <stp>DS004=USD</stp>
        <stp>Fill=B</stp>
        <tr r="Q209" s="3"/>
      </tp>
      <tp t="s">
        <v>#N/A Connection</v>
        <stp/>
        <stp>##V3_BDPV12</stp>
        <stp>JNVTTOTL Index</stp>
        <stp>PX385</stp>
        <stp>[BI_AUTMG_1_l22cd4li.xlsx]ReferenceData!R167C38</stp>
        <stp>PX391=20110101</stp>
        <stp>PX392=20110331</stp>
        <stp>DS004=USD</stp>
        <stp>Fill=B</stp>
        <tr r="AL167" s="3"/>
      </tp>
      <tp t="s">
        <v>#N/A Connection</v>
        <stp/>
        <stp>##V3_BDPV12</stp>
        <stp>WCARDKI Index</stp>
        <stp>PX385</stp>
        <stp>[BI_AUTMG_1_l22cd4li.xlsx]ReferenceData!R179C7</stp>
        <stp>PX391=20181001</stp>
        <stp>PX392=20181231</stp>
        <stp>DS004=USD</stp>
        <stp>Fill=B</stp>
        <tr r="G179" s="3"/>
      </tp>
      <tp t="s">
        <v>#N/A Connection</v>
        <stp/>
        <stp>##V3_BDPV12</stp>
        <stp>WCARCYI Index</stp>
        <stp>PX385</stp>
        <stp>[BI_AUTMG_1_l22cd4li.xlsx]ReferenceData!R178C7</stp>
        <stp>PX391=20181001</stp>
        <stp>PX392=20181231</stp>
        <stp>DS004=USD</stp>
        <stp>Fill=B</stp>
        <tr r="G178" s="3"/>
      </tp>
      <tp t="s">
        <v>#N/A Connection</v>
        <stp/>
        <stp>##V3_BDPV12</stp>
        <stp>WCARBEI Index</stp>
        <stp>PX385</stp>
        <stp>[BI_AUTMG_1_l22cd4li.xlsx]ReferenceData!R177C7</stp>
        <stp>PX391=20181001</stp>
        <stp>PX392=20181231</stp>
        <stp>DS004=USD</stp>
        <stp>Fill=B</stp>
        <tr r="G177" s="3"/>
      </tp>
      <tp t="s">
        <v>#N/A Connection</v>
        <stp/>
        <stp>##V3_BDPV12</stp>
        <stp>WCARATI Index</stp>
        <stp>PX385</stp>
        <stp>[BI_AUTMG_1_l22cd4li.xlsx]ReferenceData!R176C7</stp>
        <stp>PX391=20181001</stp>
        <stp>PX392=20181231</stp>
        <stp>DS004=USD</stp>
        <stp>Fill=B</stp>
        <tr r="G176" s="3"/>
      </tp>
      <tp t="s">
        <v>#N/A Connection</v>
        <stp/>
        <stp>##V3_BDPV12</stp>
        <stp>KNNVREG Index</stp>
        <stp>PX385</stp>
        <stp>[BI_AUTMG_1_l22cd4li.xlsx]ReferenceData!R216C8</stp>
        <stp>PX391=20180701</stp>
        <stp>PX392=20180930</stp>
        <stp>DS004=USD</stp>
        <stp>Fill=B</stp>
        <tr r="H216" s="3"/>
      </tp>
      <tp t="s">
        <v>#N/A Connection</v>
        <stp/>
        <stp>##V3_BDPV12</stp>
        <stp>MXVHTOTL Index</stp>
        <stp>PX385</stp>
        <stp>[BI_AUTMG_1_l22cd4li.xlsx]ReferenceData!R207C36</stp>
        <stp>PX391=20110701</stp>
        <stp>PX392=20110930</stp>
        <stp>DS004=USD</stp>
        <stp>Fill=B</stp>
        <tr r="AJ207" s="3"/>
      </tp>
      <tp t="s">
        <v>#N/A Connection</v>
        <stp/>
        <stp>##V3_BDPV12</stp>
        <stp>MXVHTOTL Index</stp>
        <stp>PX385</stp>
        <stp>[BI_AUTMG_1_l22cd4li.xlsx]ReferenceData!R207C40</stp>
        <stp>PX391=20100701</stp>
        <stp>PX392=20100930</stp>
        <stp>DS004=USD</stp>
        <stp>Fill=B</stp>
        <tr r="AN207" s="3"/>
      </tp>
      <tp t="s">
        <v>#N/A Connection</v>
        <stp/>
        <stp>##V3_BDPV12</stp>
        <stp>MXVHTOTL Index</stp>
        <stp>PX385</stp>
        <stp>[BI_AUTMG_1_l22cd4li.xlsx]ReferenceData!R207C28</stp>
        <stp>PX391=20130701</stp>
        <stp>PX392=20130930</stp>
        <stp>DS004=USD</stp>
        <stp>Fill=B</stp>
        <tr r="AB207" s="3"/>
      </tp>
      <tp t="s">
        <v>#N/A Connection</v>
        <stp/>
        <stp>##V3_BDPV12</stp>
        <stp>MXVHTOTL Index</stp>
        <stp>PX385</stp>
        <stp>[BI_AUTMG_1_l22cd4li.xlsx]ReferenceData!R207C32</stp>
        <stp>PX391=20120701</stp>
        <stp>PX392=20120930</stp>
        <stp>DS004=USD</stp>
        <stp>Fill=B</stp>
        <tr r="AF207" s="3"/>
      </tp>
      <tp t="s">
        <v>#N/A Connection</v>
        <stp/>
        <stp>##V3_BDPV12</stp>
        <stp>MXVHTOTL Index</stp>
        <stp>PX385</stp>
        <stp>[BI_AUTMG_1_l22cd4li.xlsx]ReferenceData!R207C20</stp>
        <stp>PX391=20150701</stp>
        <stp>PX392=20150930</stp>
        <stp>DS004=USD</stp>
        <stp>Fill=B</stp>
        <tr r="T207" s="3"/>
      </tp>
      <tp t="s">
        <v>#N/A Connection</v>
        <stp/>
        <stp>##V3_BDPV12</stp>
        <stp>MXVHTOTL Index</stp>
        <stp>PX385</stp>
        <stp>[BI_AUTMG_1_l22cd4li.xlsx]ReferenceData!R207C24</stp>
        <stp>PX391=20140701</stp>
        <stp>PX392=20140930</stp>
        <stp>DS004=USD</stp>
        <stp>Fill=B</stp>
        <tr r="X207" s="3"/>
      </tp>
      <tp t="s">
        <v>#N/A Connection</v>
        <stp/>
        <stp>##V3_BDPV12</stp>
        <stp>MXVHTOTL Index</stp>
        <stp>PX385</stp>
        <stp>[BI_AUTMG_1_l22cd4li.xlsx]ReferenceData!R207C12</stp>
        <stp>PX391=20170701</stp>
        <stp>PX392=20170930</stp>
        <stp>DS004=USD</stp>
        <stp>Fill=B</stp>
        <tr r="L207" s="3"/>
      </tp>
      <tp t="s">
        <v>#N/A Connection</v>
        <stp/>
        <stp>##V3_BDPV12</stp>
        <stp>MXVHTOTL Index</stp>
        <stp>PX385</stp>
        <stp>[BI_AUTMG_1_l22cd4li.xlsx]ReferenceData!R207C16</stp>
        <stp>PX391=20160701</stp>
        <stp>PX392=20160930</stp>
        <stp>DS004=USD</stp>
        <stp>Fill=B</stp>
        <tr r="P207" s="3"/>
      </tp>
      <tp t="s">
        <v>#N/A Connection</v>
        <stp/>
        <stp>##V3_BDPV12</stp>
        <stp>ASTOTTRK Index</stp>
        <stp>PX385</stp>
        <stp>[BI_AUTMG_1_l22cd4li.xlsx]ReferenceData!R209C49</stp>
        <stp>PX391=20080401</stp>
        <stp>PX392=20080630</stp>
        <stp>DS004=USD</stp>
        <stp>Fill=B</stp>
        <tr r="AW209" s="3"/>
      </tp>
      <tp t="s">
        <v>#N/A Connection</v>
        <stp/>
        <stp>##V3_BDPV12</stp>
        <stp>ASTOTTRK Index</stp>
        <stp>PX385</stp>
        <stp>[BI_AUTMG_1_l22cd4li.xlsx]ReferenceData!R209C45</stp>
        <stp>PX391=20090401</stp>
        <stp>PX392=20090630</stp>
        <stp>DS004=USD</stp>
        <stp>Fill=B</stp>
        <tr r="AS209" s="3"/>
      </tp>
      <tp t="s">
        <v>#N/A Connection</v>
        <stp/>
        <stp>##V3_BDPV12</stp>
        <stp>JNVTTOTL Index</stp>
        <stp>PX385</stp>
        <stp>[BI_AUTMG_1_l22cd4li.xlsx]ReferenceData!R167C46</stp>
        <stp>PX391=20090101</stp>
        <stp>PX392=20090331</stp>
        <stp>DS004=USD</stp>
        <stp>Fill=B</stp>
        <tr r="AT167" s="3"/>
      </tp>
      <tp t="s">
        <v>#N/A Connection</v>
        <stp/>
        <stp>##V3_BDPV12</stp>
        <stp>JNVTTOTL Index</stp>
        <stp>PX385</stp>
        <stp>[BI_AUTMG_1_l22cd4li.xlsx]ReferenceData!R167C50</stp>
        <stp>PX391=20080101</stp>
        <stp>PX392=20080331</stp>
        <stp>DS004=USD</stp>
        <stp>Fill=B</stp>
        <tr r="AX167" s="3"/>
      </tp>
      <tp t="s">
        <v>#N/A Connection</v>
        <stp/>
        <stp>##V3_BDPV12</stp>
        <stp>JNVTTOTL Index</stp>
        <stp>PX385</stp>
        <stp>[BI_AUTMG_1_l22cd4li.xlsx]ReferenceData!R167C15</stp>
        <stp>PX391=20161001</stp>
        <stp>PX392=20161231</stp>
        <stp>DS004=USD</stp>
        <stp>Fill=B</stp>
        <tr r="O167" s="3"/>
      </tp>
      <tp t="s">
        <v>#N/A Connection</v>
        <stp/>
        <stp>##V3_BDPV12</stp>
        <stp>JNVTTOTL Index</stp>
        <stp>PX385</stp>
        <stp>[BI_AUTMG_1_l22cd4li.xlsx]ReferenceData!R167C54</stp>
        <stp>PX391=20070101</stp>
        <stp>PX392=20070331</stp>
        <stp>DS004=USD</stp>
        <stp>Fill=B</stp>
        <tr r="BB167" s="3"/>
      </tp>
      <tp t="s">
        <v>#N/A Connection</v>
        <stp/>
        <stp>##V3_BDPV12</stp>
        <stp>JNVTTOTL Index</stp>
        <stp>PX385</stp>
        <stp>[BI_AUTMG_1_l22cd4li.xlsx]ReferenceData!R167C11</stp>
        <stp>PX391=20171001</stp>
        <stp>PX392=20171231</stp>
        <stp>DS004=USD</stp>
        <stp>Fill=B</stp>
        <tr r="K167" s="3"/>
      </tp>
      <tp t="s">
        <v>#N/A Connection</v>
        <stp/>
        <stp>##V3_BDPV12</stp>
        <stp>JNVTTOTL Index</stp>
        <stp>PX385</stp>
        <stp>[BI_AUTMG_1_l22cd4li.xlsx]ReferenceData!R167C58</stp>
        <stp>PX391=20060101</stp>
        <stp>PX392=20060331</stp>
        <stp>DS004=USD</stp>
        <stp>Fill=B</stp>
        <tr r="BF167" s="3"/>
      </tp>
      <tp t="s">
        <v>#N/A Connection</v>
        <stp/>
        <stp>##V3_BDPV12</stp>
        <stp>JNVTTOTL Index</stp>
        <stp>PX385</stp>
        <stp>[BI_AUTMG_1_l22cd4li.xlsx]ReferenceData!R167C23</stp>
        <stp>PX391=20141001</stp>
        <stp>PX392=20141231</stp>
        <stp>DS004=USD</stp>
        <stp>Fill=B</stp>
        <tr r="W167" s="3"/>
      </tp>
      <tp t="s">
        <v>#N/A Connection</v>
        <stp/>
        <stp>##V3_BDPV12</stp>
        <stp>JNVTTOTL Index</stp>
        <stp>PX385</stp>
        <stp>[BI_AUTMG_1_l22cd4li.xlsx]ReferenceData!R167C62</stp>
        <stp>PX391=20050101</stp>
        <stp>PX392=20050331</stp>
        <stp>DS004=USD</stp>
        <stp>Fill=B</stp>
        <tr r="BJ167" s="3"/>
      </tp>
      <tp t="s">
        <v>#N/A Connection</v>
        <stp/>
        <stp>##V3_BDPV12</stp>
        <stp>JNVTTOTL Index</stp>
        <stp>PX385</stp>
        <stp>[BI_AUTMG_1_l22cd4li.xlsx]ReferenceData!R167C19</stp>
        <stp>PX391=20151001</stp>
        <stp>PX392=20151231</stp>
        <stp>DS004=USD</stp>
        <stp>Fill=B</stp>
        <tr r="S167" s="3"/>
      </tp>
      <tp t="s">
        <v>#N/A Connection</v>
        <stp/>
        <stp>##V3_BDPV12</stp>
        <stp>ASTOTTRK Index</stp>
        <stp>PX385</stp>
        <stp>[BI_AUTMG_1_l22cd4li.xlsx]ReferenceData!R209C65</stp>
        <stp>PX391=20040401</stp>
        <stp>PX392=20040630</stp>
        <stp>DS004=USD</stp>
        <stp>Fill=B</stp>
        <tr r="BM209" s="3"/>
      </tp>
      <tp t="s">
        <v>#N/A Connection</v>
        <stp/>
        <stp>##V3_BDPV12</stp>
        <stp>JNVTTOTL Index</stp>
        <stp>PX385</stp>
        <stp>[BI_AUTMG_1_l22cd4li.xlsx]ReferenceData!R167C31</stp>
        <stp>PX391=20121001</stp>
        <stp>PX392=20121231</stp>
        <stp>DS004=USD</stp>
        <stp>Fill=B</stp>
        <tr r="AE167" s="3"/>
      </tp>
      <tp t="s">
        <v>#N/A Connection</v>
        <stp/>
        <stp>##V3_BDPV12</stp>
        <stp>ASTOTTRK Index</stp>
        <stp>PX385</stp>
        <stp>[BI_AUTMG_1_l22cd4li.xlsx]ReferenceData!R209C61</stp>
        <stp>PX391=20050401</stp>
        <stp>PX392=20050630</stp>
        <stp>DS004=USD</stp>
        <stp>Fill=B</stp>
        <tr r="BI209" s="3"/>
      </tp>
      <tp t="s">
        <v>#N/A Connection</v>
        <stp/>
        <stp>##V3_BDPV12</stp>
        <stp>JNVTTOTL Index</stp>
        <stp>PX385</stp>
        <stp>[BI_AUTMG_1_l22cd4li.xlsx]ReferenceData!R167C27</stp>
        <stp>PX391=20131001</stp>
        <stp>PX392=20131231</stp>
        <stp>DS004=USD</stp>
        <stp>Fill=B</stp>
        <tr r="AA167" s="3"/>
      </tp>
      <tp t="s">
        <v>#N/A Connection</v>
        <stp/>
        <stp>##V3_BDPV12</stp>
        <stp>ASTOTTRK Index</stp>
        <stp>PX385</stp>
        <stp>[BI_AUTMG_1_l22cd4li.xlsx]ReferenceData!R209C57</stp>
        <stp>PX391=20060401</stp>
        <stp>PX392=20060630</stp>
        <stp>DS004=USD</stp>
        <stp>Fill=B</stp>
        <tr r="BE209" s="3"/>
      </tp>
      <tp t="s">
        <v>#N/A Connection</v>
        <stp/>
        <stp>##V3_BDPV12</stp>
        <stp>JNVTTOTL Index</stp>
        <stp>PX385</stp>
        <stp>[BI_AUTMG_1_l22cd4li.xlsx]ReferenceData!R167C39</stp>
        <stp>PX391=20101001</stp>
        <stp>PX392=20101231</stp>
        <stp>DS004=USD</stp>
        <stp>Fill=B</stp>
        <tr r="AM167" s="3"/>
      </tp>
      <tp t="s">
        <v>#N/A Connection</v>
        <stp/>
        <stp>##V3_BDPV12</stp>
        <stp>ASTOTTRK Index</stp>
        <stp>PX385</stp>
        <stp>[BI_AUTMG_1_l22cd4li.xlsx]ReferenceData!R209C53</stp>
        <stp>PX391=20070401</stp>
        <stp>PX392=20070630</stp>
        <stp>DS004=USD</stp>
        <stp>Fill=B</stp>
        <tr r="BA209" s="3"/>
      </tp>
      <tp t="s">
        <v>#N/A Connection</v>
        <stp/>
        <stp>##V3_BDPV12</stp>
        <stp>JNVTTOTL Index</stp>
        <stp>PX385</stp>
        <stp>[BI_AUTMG_1_l22cd4li.xlsx]ReferenceData!R167C35</stp>
        <stp>PX391=20111001</stp>
        <stp>PX392=20111231</stp>
        <stp>DS004=USD</stp>
        <stp>Fill=B</stp>
        <tr r="AI167" s="3"/>
      </tp>
      <tp t="s">
        <v>#N/A Connection</v>
        <stp/>
        <stp>##V3_BDPV12</stp>
        <stp>AUTMKRVS Index</stp>
        <stp>PX385</stp>
        <stp>[BI_AUTMG_1_l22cd4li.xlsx]ReferenceData!R171C8</stp>
        <stp>PX391=20180701</stp>
        <stp>PX392=20180930</stp>
        <stp>DS004=USD</stp>
        <stp>Fill=B</stp>
        <tr r="H171" s="3"/>
      </tp>
      <tp t="s">
        <v>#N/A Connection</v>
        <stp/>
        <stp>##V3_BDPV12</stp>
        <stp>NAAMCARS Index</stp>
        <stp>PX385</stp>
        <stp>[BI_AUTMG_1_l22cd4li.xlsx]ReferenceData!R217C6</stp>
        <stp>PX391=20190101</stp>
        <stp>PX392=20190331</stp>
        <stp>DS004=USD</stp>
        <stp>Fill=B</stp>
        <tr r="F217" s="3"/>
      </tp>
      <tp t="s">
        <v>#N/A Connection</v>
        <stp/>
        <stp>##V3_BDPV12</stp>
        <stp>WCARNOI Index</stp>
        <stp>PX385</stp>
        <stp>[BI_AUTMG_1_l22cd4li.xlsx]ReferenceData!R189C7</stp>
        <stp>PX391=20181001</stp>
        <stp>PX392=20181231</stp>
        <stp>DS004=USD</stp>
        <stp>Fill=B</stp>
        <tr r="G189" s="3"/>
      </tp>
      <tp t="s">
        <v>#N/A Connection</v>
        <stp/>
        <stp>##V3_BDPV12</stp>
        <stp>WCARNLI Index</stp>
        <stp>PX385</stp>
        <stp>[BI_AUTMG_1_l22cd4li.xlsx]ReferenceData!R188C7</stp>
        <stp>PX391=20181001</stp>
        <stp>PX392=20181231</stp>
        <stp>DS004=USD</stp>
        <stp>Fill=B</stp>
        <tr r="G188" s="3"/>
      </tp>
      <tp t="s">
        <v>#N/A Connection</v>
        <stp/>
        <stp>##V3_BDPV12</stp>
        <stp>WCARLUI Index</stp>
        <stp>PX385</stp>
        <stp>[BI_AUTMG_1_l22cd4li.xlsx]ReferenceData!R187C7</stp>
        <stp>PX391=20181001</stp>
        <stp>PX392=20181231</stp>
        <stp>DS004=USD</stp>
        <stp>Fill=B</stp>
        <tr r="G187" s="3"/>
      </tp>
      <tp t="s">
        <v>#N/A Connection</v>
        <stp/>
        <stp>##V3_BDPV12</stp>
        <stp>VNVSTOTL Index</stp>
        <stp>PX385</stp>
        <stp>[BI_AUTMG_1_l22cd4li.xlsx]ReferenceData!R214C7</stp>
        <stp>PX391=20181001</stp>
        <stp>PX392=20181231</stp>
        <stp>DS004=USD</stp>
        <stp>Fill=B</stp>
        <tr r="G214" s="3"/>
      </tp>
      <tp t="s">
        <v>#N/A Connection</v>
        <stp/>
        <stp>##V3_BDPV12</stp>
        <stp>WCARITI Index</stp>
        <stp>PX385</stp>
        <stp>[BI_AUTMG_1_l22cd4li.xlsx]ReferenceData!R186C7</stp>
        <stp>PX391=20181001</stp>
        <stp>PX392=20181231</stp>
        <stp>DS004=USD</stp>
        <stp>Fill=B</stp>
        <tr r="G186" s="3"/>
      </tp>
      <tp t="s">
        <v>#N/A Connection</v>
        <stp/>
        <stp>##V3_BDPV12</stp>
        <stp>WCARIEI Index</stp>
        <stp>PX385</stp>
        <stp>[BI_AUTMG_1_l22cd4li.xlsx]ReferenceData!R185C7</stp>
        <stp>PX391=20181001</stp>
        <stp>PX392=20181231</stp>
        <stp>DS004=USD</stp>
        <stp>Fill=B</stp>
        <tr r="G185" s="3"/>
      </tp>
      <tp t="s">
        <v>#N/A Connection</v>
        <stp/>
        <stp>##V3_BDPV12</stp>
        <stp>WCARUKI Index</stp>
        <stp>PX385</stp>
        <stp>[BI_AUTMG_1_l22cd4li.xlsx]ReferenceData!R195C6</stp>
        <stp>PX391=20190101</stp>
        <stp>PX392=20190331</stp>
        <stp>DS004=USD</stp>
        <stp>Fill=B</stp>
        <tr r="F195" s="3"/>
      </tp>
      <tp t="s">
        <v>#N/A Connection</v>
        <stp/>
        <stp>##V3_BDPV12</stp>
        <stp>WCARSEI Index</stp>
        <stp>PX385</stp>
        <stp>[BI_AUTMG_1_l22cd4li.xlsx]ReferenceData!R192C6</stp>
        <stp>PX391=20190101</stp>
        <stp>PX392=20190331</stp>
        <stp>DS004=USD</stp>
        <stp>Fill=B</stp>
        <tr r="F192" s="3"/>
      </tp>
      <tp t="s">
        <v>#N/A Connection</v>
        <stp/>
        <stp>##V3_BDPV12</stp>
        <stp>WCARGRI Index</stp>
        <stp>PX385</stp>
        <stp>[BI_AUTMG_1_l22cd4li.xlsx]ReferenceData!R183C7</stp>
        <stp>PX391=20181001</stp>
        <stp>PX392=20181231</stp>
        <stp>DS004=USD</stp>
        <stp>Fill=B</stp>
        <tr r="G183" s="3"/>
      </tp>
      <tp t="s">
        <v>#N/A Connection</v>
        <stp/>
        <stp>##V3_BDPV12</stp>
        <stp>RUAUTOTL Index</stp>
        <stp>PX385</stp>
        <stp>[BI_AUTMG_1_l22cd4li.xlsx]ReferenceData!R204C8</stp>
        <stp>PX391=20180701</stp>
        <stp>PX392=20180930</stp>
        <stp>DS004=USD</stp>
        <stp>Fill=B</stp>
        <tr r="H204" s="3"/>
      </tp>
      <tp t="s">
        <v>#N/A Connection</v>
        <stp/>
        <stp>##V3_BDPV12</stp>
        <stp>WCARDEI Index</stp>
        <stp>PX385</stp>
        <stp>[BI_AUTMG_1_l22cd4li.xlsx]ReferenceData!R182C7</stp>
        <stp>PX391=20181001</stp>
        <stp>PX392=20181231</stp>
        <stp>DS004=USD</stp>
        <stp>Fill=B</stp>
        <tr r="G182" s="3"/>
      </tp>
      <tp t="s">
        <v>#N/A Connection</v>
        <stp/>
        <stp>##V3_BDPV12</stp>
        <stp>WCARCHI Index</stp>
        <stp>PX385</stp>
        <stp>[BI_AUTMG_1_l22cd4li.xlsx]ReferenceData!R193C6</stp>
        <stp>PX391=20190101</stp>
        <stp>PX392=20190331</stp>
        <stp>DS004=USD</stp>
        <stp>Fill=B</stp>
        <tr r="F193" s="3"/>
      </tp>
      <tp t="s">
        <v>#N/A Connection</v>
        <stp/>
        <stp>##V3_BDPV12</stp>
        <stp>WCARPTI Index</stp>
        <stp>PX385</stp>
        <stp>[BI_AUTMG_1_l22cd4li.xlsx]ReferenceData!R190C6</stp>
        <stp>PX391=20190101</stp>
        <stp>PX392=20190331</stp>
        <stp>DS004=USD</stp>
        <stp>Fill=B</stp>
        <tr r="F190" s="3"/>
      </tp>
      <tp t="s">
        <v>#N/A Connection</v>
        <stp/>
        <stp>##V3_BDPV12</stp>
        <stp>ARVSARTL Index</stp>
        <stp>PX385</stp>
        <stp>[BI_AUTMG_1_l22cd4li.xlsx]ReferenceData!R210C7</stp>
        <stp>PX391=20181001</stp>
        <stp>PX392=20181231</stp>
        <stp>DS004=USD</stp>
        <stp>Fill=B</stp>
        <tr r="G210" s="3"/>
      </tp>
      <tp t="s">
        <v>#N/A Connection</v>
        <stp/>
        <stp>##V3_BDPV12</stp>
        <stp>WCARFRI Index</stp>
        <stp>PX385</stp>
        <stp>[BI_AUTMG_1_l22cd4li.xlsx]ReferenceData!R181C7</stp>
        <stp>PX391=20181001</stp>
        <stp>PX392=20181231</stp>
        <stp>DS004=USD</stp>
        <stp>Fill=B</stp>
        <tr r="G181" s="3"/>
      </tp>
      <tp t="s">
        <v>#N/A Connection</v>
        <stp/>
        <stp>##V3_BDPV12</stp>
        <stp>WCARESI Index</stp>
        <stp>PX385</stp>
        <stp>[BI_AUTMG_1_l22cd4li.xlsx]ReferenceData!R191C6</stp>
        <stp>PX391=20190101</stp>
        <stp>PX392=20190331</stp>
        <stp>DS004=USD</stp>
        <stp>Fill=B</stp>
        <tr r="F191" s="3"/>
      </tp>
      <tp t="s">
        <v>#N/A Connection</v>
        <stp/>
        <stp>##V3_BDPV12</stp>
        <stp>WCARFII Index</stp>
        <stp>PX385</stp>
        <stp>[BI_AUTMG_1_l22cd4li.xlsx]ReferenceData!R180C7</stp>
        <stp>PX391=20181001</stp>
        <stp>PX392=20181231</stp>
        <stp>DS004=USD</stp>
        <stp>Fill=B</stp>
        <tr r="G180" s="3"/>
      </tp>
      <tp t="s">
        <v>#N/A Connection</v>
        <stp/>
        <stp>##V3_BDPV12</stp>
        <stp>JNVTTOTL Index</stp>
        <stp>PX385</stp>
        <stp>[BI_AUTMG_1_l22cd4li.xlsx]ReferenceData!R167C7</stp>
        <stp>PX391=20181001</stp>
        <stp>PX392=20181231</stp>
        <stp>DS004=USD</stp>
        <stp>Fill=B</stp>
        <tr r="G167" s="3"/>
      </tp>
      <tp t="s">
        <v>#N/A Connection</v>
        <stp/>
        <stp>##V3_BDPV12</stp>
        <stp>AUTMVTVS Index</stp>
        <stp>PX385</stp>
        <stp>[BI_AUTMG_1_l22cd4li.xlsx]ReferenceData!R175C8</stp>
        <stp>PX391=20180701</stp>
        <stp>PX392=20180930</stp>
        <stp>DS004=USD</stp>
        <stp>Fill=B</stp>
        <tr r="H175" s="3"/>
      </tp>
      <tp t="s">
        <v>#N/A Connection</v>
        <stp/>
        <stp>##V3_BDPV12</stp>
        <stp>BZVLTOTL Index</stp>
        <stp>PX385</stp>
        <stp>[BI_AUTMG_1_l22cd4li.xlsx]ReferenceData!R211C43</stp>
        <stp>PX391=20091001</stp>
        <stp>PX392=20091231</stp>
        <stp>DS004=USD</stp>
        <stp>Fill=B</stp>
        <tr r="AQ211" s="3"/>
      </tp>
      <tp t="s">
        <v>#N/A Connection</v>
        <stp/>
        <stp>##V3_BDPV12</stp>
        <stp>BZVLTOTL Index</stp>
        <stp>PX385</stp>
        <stp>[BI_AUTMG_1_l22cd4li.xlsx]ReferenceData!R211C10</stp>
        <stp>PX391=20180101</stp>
        <stp>PX392=20180331</stp>
        <stp>DS004=USD</stp>
        <stp>Fill=B</stp>
        <tr r="J211" s="3"/>
      </tp>
      <tp t="s">
        <v>#N/A Connection</v>
        <stp/>
        <stp>##V3_BDPV12</stp>
        <stp>BZVLTOTL Index</stp>
        <stp>PX385</stp>
        <stp>[BI_AUTMG_1_l22cd4li.xlsx]ReferenceData!R211C47</stp>
        <stp>PX391=20081001</stp>
        <stp>PX392=20081231</stp>
        <stp>DS004=USD</stp>
        <stp>Fill=B</stp>
        <tr r="AU211" s="3"/>
      </tp>
      <tp t="s">
        <v>#N/A Connection</v>
        <stp/>
        <stp>##V3_BDPV12</stp>
        <stp>BZVLTOTL Index</stp>
        <stp>PX385</stp>
        <stp>[BI_AUTMG_1_l22cd4li.xlsx]ReferenceData!R211C34</stp>
        <stp>PX391=20120101</stp>
        <stp>PX392=20120331</stp>
        <stp>DS004=USD</stp>
        <stp>Fill=B</stp>
        <tr r="AH211" s="3"/>
      </tp>
      <tp t="s">
        <v>#N/A Connection</v>
        <stp/>
        <stp>##V3_BDPV12</stp>
        <stp>BZVLTOTL Index</stp>
        <stp>PX385</stp>
        <stp>[BI_AUTMG_1_l22cd4li.xlsx]ReferenceData!R211C30</stp>
        <stp>PX391=20130101</stp>
        <stp>PX392=20130331</stp>
        <stp>DS004=USD</stp>
        <stp>Fill=B</stp>
        <tr r="AD211" s="3"/>
      </tp>
      <tp t="s">
        <v>#N/A Connection</v>
        <stp/>
        <stp>##V3_BDPV12</stp>
        <stp>BZVLTOTL Index</stp>
        <stp>PX385</stp>
        <stp>[BI_AUTMG_1_l22cd4li.xlsx]ReferenceData!R211C42</stp>
        <stp>PX391=20100101</stp>
        <stp>PX392=20100331</stp>
        <stp>DS004=USD</stp>
        <stp>Fill=B</stp>
        <tr r="AP211" s="3"/>
      </tp>
      <tp t="s">
        <v>#N/A Connection</v>
        <stp/>
        <stp>##V3_BDPV12</stp>
        <stp>BZVLTOTL Index</stp>
        <stp>PX385</stp>
        <stp>[BI_AUTMG_1_l22cd4li.xlsx]ReferenceData!R211C38</stp>
        <stp>PX391=20110101</stp>
        <stp>PX392=20110331</stp>
        <stp>DS004=USD</stp>
        <stp>Fill=B</stp>
        <tr r="AL211" s="3"/>
      </tp>
      <tp t="s">
        <v>#N/A Connection</v>
        <stp/>
        <stp>##V3_BDPV12</stp>
        <stp>BZVLTOTL Index</stp>
        <stp>PX385</stp>
        <stp>[BI_AUTMG_1_l22cd4li.xlsx]ReferenceData!R211C18</stp>
        <stp>PX391=20160101</stp>
        <stp>PX392=20160331</stp>
        <stp>DS004=USD</stp>
        <stp>Fill=B</stp>
        <tr r="R211" s="3"/>
      </tp>
      <tp t="s">
        <v>#N/A Connection</v>
        <stp/>
        <stp>##V3_BDPV12</stp>
        <stp>BZVLTOTL Index</stp>
        <stp>PX385</stp>
        <stp>[BI_AUTMG_1_l22cd4li.xlsx]ReferenceData!R211C51</stp>
        <stp>PX391=20071001</stp>
        <stp>PX392=20071231</stp>
        <stp>DS004=USD</stp>
        <stp>Fill=B</stp>
        <tr r="AY211" s="3"/>
      </tp>
      <tp t="s">
        <v>#N/A Connection</v>
        <stp/>
        <stp>##V3_BDPV12</stp>
        <stp>BZVLTOTL Index</stp>
        <stp>PX385</stp>
        <stp>[BI_AUTMG_1_l22cd4li.xlsx]ReferenceData!R211C14</stp>
        <stp>PX391=20170101</stp>
        <stp>PX392=20170331</stp>
        <stp>DS004=USD</stp>
        <stp>Fill=B</stp>
        <tr r="N211" s="3"/>
      </tp>
      <tp t="s">
        <v>#N/A Connection</v>
        <stp/>
        <stp>##V3_BDPV12</stp>
        <stp>BZVLTOTL Index</stp>
        <stp>PX385</stp>
        <stp>[BI_AUTMG_1_l22cd4li.xlsx]ReferenceData!R211C55</stp>
        <stp>PX391=20061001</stp>
        <stp>PX392=20061231</stp>
        <stp>DS004=USD</stp>
        <stp>Fill=B</stp>
        <tr r="BC211" s="3"/>
      </tp>
      <tp t="s">
        <v>#N/A Connection</v>
        <stp/>
        <stp>##V3_BDPV12</stp>
        <stp>BZVLTOTL Index</stp>
        <stp>PX385</stp>
        <stp>[BI_AUTMG_1_l22cd4li.xlsx]ReferenceData!R211C26</stp>
        <stp>PX391=20140101</stp>
        <stp>PX392=20140331</stp>
        <stp>DS004=USD</stp>
        <stp>Fill=B</stp>
        <tr r="Z211" s="3"/>
      </tp>
      <tp t="s">
        <v>#N/A Connection</v>
        <stp/>
        <stp>##V3_BDPV12</stp>
        <stp>BZVLTOTL Index</stp>
        <stp>PX385</stp>
        <stp>[BI_AUTMG_1_l22cd4li.xlsx]ReferenceData!R211C59</stp>
        <stp>PX391=20051001</stp>
        <stp>PX392=20051231</stp>
        <stp>DS004=USD</stp>
        <stp>Fill=B</stp>
        <tr r="BG211" s="3"/>
      </tp>
      <tp t="s">
        <v>#N/A Connection</v>
        <stp/>
        <stp>##V3_BDPV12</stp>
        <stp>BZVLTOTL Index</stp>
        <stp>PX385</stp>
        <stp>[BI_AUTMG_1_l22cd4li.xlsx]ReferenceData!R211C22</stp>
        <stp>PX391=20150101</stp>
        <stp>PX392=20150331</stp>
        <stp>DS004=USD</stp>
        <stp>Fill=B</stp>
        <tr r="V211" s="3"/>
      </tp>
      <tp t="s">
        <v>#N/A Connection</v>
        <stp/>
        <stp>##V3_BDPV12</stp>
        <stp>BZVLTOTL Index</stp>
        <stp>PX385</stp>
        <stp>[BI_AUTMG_1_l22cd4li.xlsx]ReferenceData!R211C63</stp>
        <stp>PX391=20041001</stp>
        <stp>PX392=20041231</stp>
        <stp>DS004=USD</stp>
        <stp>Fill=B</stp>
        <tr r="BK211" s="3"/>
      </tp>
      <tp t="s">
        <v>#N/A Connection</v>
        <stp/>
        <stp>##V3_BDPV12</stp>
        <stp>CAUTSALE Index</stp>
        <stp>PX385</stp>
        <stp>[BI_AUTMG_1_l22cd4li.xlsx]ReferenceData!R160C44</stp>
        <stp>PX391=20090701</stp>
        <stp>PX392=20090930</stp>
        <stp>DS004=USD</stp>
        <stp>Fill=B</stp>
        <tr r="AR160" s="3"/>
      </tp>
      <tp t="s">
        <v>#N/A Connection</v>
        <stp/>
        <stp>##V3_BDPV12</stp>
        <stp>CAUTSALE Index</stp>
        <stp>PX385</stp>
        <stp>[BI_AUTMG_1_l22cd4li.xlsx]ReferenceData!R160C48</stp>
        <stp>PX391=20080701</stp>
        <stp>PX392=20080930</stp>
        <stp>DS004=USD</stp>
        <stp>Fill=B</stp>
        <tr r="AV160" s="3"/>
      </tp>
      <tp t="s">
        <v>#N/A Connection</v>
        <stp/>
        <stp>##V3_BDPV12</stp>
        <stp>CAUTSALE Index</stp>
        <stp>PX385</stp>
        <stp>[BI_AUTMG_1_l22cd4li.xlsx]ReferenceData!R160C52</stp>
        <stp>PX391=20070701</stp>
        <stp>PX392=20070930</stp>
        <stp>DS004=USD</stp>
        <stp>Fill=B</stp>
        <tr r="AZ160" s="3"/>
      </tp>
      <tp t="s">
        <v>#N/A Connection</v>
        <stp/>
        <stp>##V3_BDPV12</stp>
        <stp>AUTMVTVS Index</stp>
        <stp>PX385</stp>
        <stp>[BI_AUTMG_1_l22cd4li.xlsx]ReferenceData!R175C13</stp>
        <stp>PX391=20170401</stp>
        <stp>PX392=20170630</stp>
        <stp>DS004=USD</stp>
        <stp>Fill=B</stp>
        <tr r="M175" s="3"/>
      </tp>
      <tp t="s">
        <v>#N/A Connection</v>
        <stp/>
        <stp>##V3_BDPV12</stp>
        <stp>CAUTSALE Index</stp>
        <stp>PX385</stp>
        <stp>[BI_AUTMG_1_l22cd4li.xlsx]ReferenceData!R160C56</stp>
        <stp>PX391=20060701</stp>
        <stp>PX392=20060930</stp>
        <stp>DS004=USD</stp>
        <stp>Fill=B</stp>
        <tr r="BD160" s="3"/>
      </tp>
      <tp t="s">
        <v>#N/A Connection</v>
        <stp/>
        <stp>##V3_BDPV12</stp>
        <stp>AUTMVTVS Index</stp>
        <stp>PX385</stp>
        <stp>[BI_AUTMG_1_l22cd4li.xlsx]ReferenceData!R175C17</stp>
        <stp>PX391=20160401</stp>
        <stp>PX392=20160630</stp>
        <stp>DS004=USD</stp>
        <stp>Fill=B</stp>
        <tr r="Q175" s="3"/>
      </tp>
      <tp t="s">
        <v>#N/A Connection</v>
        <stp/>
        <stp>##V3_BDPV12</stp>
        <stp>CAUTSALE Index</stp>
        <stp>PX385</stp>
        <stp>[BI_AUTMG_1_l22cd4li.xlsx]ReferenceData!R160C60</stp>
        <stp>PX391=20050701</stp>
        <stp>PX392=20050930</stp>
        <stp>DS004=USD</stp>
        <stp>Fill=B</stp>
        <tr r="BH160" s="3"/>
      </tp>
      <tp t="s">
        <v>#N/A Connection</v>
        <stp/>
        <stp>##V3_BDPV12</stp>
        <stp>AUTMVTVS Index</stp>
        <stp>PX385</stp>
        <stp>[BI_AUTMG_1_l22cd4li.xlsx]ReferenceData!R175C21</stp>
        <stp>PX391=20150401</stp>
        <stp>PX392=20150630</stp>
        <stp>DS004=USD</stp>
        <stp>Fill=B</stp>
        <tr r="U175" s="3"/>
      </tp>
      <tp t="s">
        <v>#N/A Connection</v>
        <stp/>
        <stp>##V3_BDPV12</stp>
        <stp>CAUTSALE Index</stp>
        <stp>PX385</stp>
        <stp>[BI_AUTMG_1_l22cd4li.xlsx]ReferenceData!R160C64</stp>
        <stp>PX391=20040701</stp>
        <stp>PX392=20040930</stp>
        <stp>DS004=USD</stp>
        <stp>Fill=B</stp>
        <tr r="BL160" s="3"/>
      </tp>
      <tp t="s">
        <v>#N/A Connection</v>
        <stp/>
        <stp>##V3_BDPV12</stp>
        <stp>AUTMVTVS Index</stp>
        <stp>PX385</stp>
        <stp>[BI_AUTMG_1_l22cd4li.xlsx]ReferenceData!R175C25</stp>
        <stp>PX391=20140401</stp>
        <stp>PX392=20140630</stp>
        <stp>DS004=USD</stp>
        <stp>Fill=B</stp>
        <tr r="Y175" s="3"/>
      </tp>
      <tp t="s">
        <v>#N/A Connection</v>
        <stp/>
        <stp>##V3_BDPV12</stp>
        <stp>AUTMVTVS Index</stp>
        <stp>PX385</stp>
        <stp>[BI_AUTMG_1_l22cd4li.xlsx]ReferenceData!R175C29</stp>
        <stp>PX391=20130401</stp>
        <stp>PX392=20130630</stp>
        <stp>DS004=USD</stp>
        <stp>Fill=B</stp>
        <tr r="AC175" s="3"/>
      </tp>
      <tp t="s">
        <v>#N/A Connection</v>
        <stp/>
        <stp>##V3_BDPV12</stp>
        <stp>AUTMVTVS Index</stp>
        <stp>PX385</stp>
        <stp>[BI_AUTMG_1_l22cd4li.xlsx]ReferenceData!R175C33</stp>
        <stp>PX391=20120401</stp>
        <stp>PX392=20120630</stp>
        <stp>DS004=USD</stp>
        <stp>Fill=B</stp>
        <tr r="AG175" s="3"/>
      </tp>
      <tp t="s">
        <v>#N/A Connection</v>
        <stp/>
        <stp>##V3_BDPV12</stp>
        <stp>AUTMVTVS Index</stp>
        <stp>PX385</stp>
        <stp>[BI_AUTMG_1_l22cd4li.xlsx]ReferenceData!R175C37</stp>
        <stp>PX391=20110401</stp>
        <stp>PX392=20110630</stp>
        <stp>DS004=USD</stp>
        <stp>Fill=B</stp>
        <tr r="AK175" s="3"/>
      </tp>
      <tp t="s">
        <v>#N/A Connection</v>
        <stp/>
        <stp>##V3_BDPV12</stp>
        <stp>AUTMVTVS Index</stp>
        <stp>PX385</stp>
        <stp>[BI_AUTMG_1_l22cd4li.xlsx]ReferenceData!R175C41</stp>
        <stp>PX391=20100401</stp>
        <stp>PX392=20100630</stp>
        <stp>DS004=USD</stp>
        <stp>Fill=B</stp>
        <tr r="AO175" s="3"/>
      </tp>
      <tp t="s">
        <v>#N/A Connection</v>
        <stp/>
        <stp>##V3_BDPV12</stp>
        <stp>NAAMCARS Index</stp>
        <stp>PX385</stp>
        <stp>[BI_AUTMG_1_l22cd4li.xlsx]ReferenceData!R217C7</stp>
        <stp>PX391=20181001</stp>
        <stp>PX392=20181231</stp>
        <stp>DS004=USD</stp>
        <stp>Fill=B</stp>
        <tr r="G217" s="3"/>
      </tp>
      <tp t="s">
        <v>#N/A Connection</v>
        <stp/>
        <stp>##V3_BDPV12</stp>
        <stp>WCARNLI Index</stp>
        <stp>PX385</stp>
        <stp>[BI_AUTMG_1_l22cd4li.xlsx]ReferenceData!R188C6</stp>
        <stp>PX391=20190101</stp>
        <stp>PX392=20190331</stp>
        <stp>DS004=USD</stp>
        <stp>Fill=B</stp>
        <tr r="F188" s="3"/>
      </tp>
      <tp t="s">
        <v>#N/A Connection</v>
        <stp/>
        <stp>##V3_BDPV12</stp>
        <stp>WCARNOI Index</stp>
        <stp>PX385</stp>
        <stp>[BI_AUTMG_1_l22cd4li.xlsx]ReferenceData!R189C6</stp>
        <stp>PX391=20190101</stp>
        <stp>PX392=20190331</stp>
        <stp>DS004=USD</stp>
        <stp>Fill=B</stp>
        <tr r="F189" s="3"/>
      </tp>
      <tp t="s">
        <v>#N/A Connection</v>
        <stp/>
        <stp>##V3_BDPV12</stp>
        <stp>WCARITI Index</stp>
        <stp>PX385</stp>
        <stp>[BI_AUTMG_1_l22cd4li.xlsx]ReferenceData!R186C6</stp>
        <stp>PX391=20190101</stp>
        <stp>PX392=20190331</stp>
        <stp>DS004=USD</stp>
        <stp>Fill=B</stp>
        <tr r="F186" s="3"/>
      </tp>
      <tp t="s">
        <v>#N/A Connection</v>
        <stp/>
        <stp>##V3_BDPV12</stp>
        <stp>WCARLUI Index</stp>
        <stp>PX385</stp>
        <stp>[BI_AUTMG_1_l22cd4li.xlsx]ReferenceData!R187C6</stp>
        <stp>PX391=20190101</stp>
        <stp>PX392=20190331</stp>
        <stp>DS004=USD</stp>
        <stp>Fill=B</stp>
        <tr r="F187" s="3"/>
      </tp>
      <tp t="s">
        <v>#N/A Connection</v>
        <stp/>
        <stp>##V3_BDPV12</stp>
        <stp>VNVSTOTL Index</stp>
        <stp>PX385</stp>
        <stp>[BI_AUTMG_1_l22cd4li.xlsx]ReferenceData!R214C6</stp>
        <stp>PX391=20190101</stp>
        <stp>PX392=20190331</stp>
        <stp>DS004=USD</stp>
        <stp>Fill=B</stp>
        <tr r="F214" s="3"/>
      </tp>
      <tp t="s">
        <v>#N/A Connection</v>
        <stp/>
        <stp>##V3_BDPV12</stp>
        <stp>WCARUKI Index</stp>
        <stp>PX385</stp>
        <stp>[BI_AUTMG_1_l22cd4li.xlsx]ReferenceData!R195C7</stp>
        <stp>PX391=20181001</stp>
        <stp>PX392=20181231</stp>
        <stp>DS004=USD</stp>
        <stp>Fill=B</stp>
        <tr r="G195" s="3"/>
      </tp>
      <tp t="s">
        <v>#N/A Connection</v>
        <stp/>
        <stp>##V3_BDPV12</stp>
        <stp>WCARIEI Index</stp>
        <stp>PX385</stp>
        <stp>[BI_AUTMG_1_l22cd4li.xlsx]ReferenceData!R185C6</stp>
        <stp>PX391=20190101</stp>
        <stp>PX392=20190331</stp>
        <stp>DS004=USD</stp>
        <stp>Fill=B</stp>
        <tr r="F185" s="3"/>
      </tp>
      <tp t="s">
        <v>#N/A Connection</v>
        <stp/>
        <stp>##V3_BDPV12</stp>
        <stp>PHCSTOTL Index</stp>
        <stp>PX385</stp>
        <stp>[BI_AUTMG_1_l22cd4li.xlsx]ReferenceData!R170C8</stp>
        <stp>PX391=20180701</stp>
        <stp>PX392=20180930</stp>
        <stp>DS004=USD</stp>
        <stp>Fill=B</stp>
        <tr r="H170" s="3"/>
      </tp>
      <tp t="s">
        <v>#N/A Connection</v>
        <stp/>
        <stp>##V3_BDPV12</stp>
        <stp>WCARDEI Index</stp>
        <stp>PX385</stp>
        <stp>[BI_AUTMG_1_l22cd4li.xlsx]ReferenceData!R182C6</stp>
        <stp>PX391=20190101</stp>
        <stp>PX392=20190331</stp>
        <stp>DS004=USD</stp>
        <stp>Fill=B</stp>
        <tr r="F182" s="3"/>
      </tp>
      <tp t="s">
        <v>#N/A Connection</v>
        <stp/>
        <stp>##V3_BDPV12</stp>
        <stp>WCARCHI Index</stp>
        <stp>PX385</stp>
        <stp>[BI_AUTMG_1_l22cd4li.xlsx]ReferenceData!R193C7</stp>
        <stp>PX391=20181001</stp>
        <stp>PX392=20181231</stp>
        <stp>DS004=USD</stp>
        <stp>Fill=B</stp>
        <tr r="G193" s="3"/>
      </tp>
      <tp t="s">
        <v>#N/A Connection</v>
        <stp/>
        <stp>##V3_BDPV12</stp>
        <stp>WCARSEI Index</stp>
        <stp>PX385</stp>
        <stp>[BI_AUTMG_1_l22cd4li.xlsx]ReferenceData!R192C7</stp>
        <stp>PX391=20181001</stp>
        <stp>PX392=20181231</stp>
        <stp>DS004=USD</stp>
        <stp>Fill=B</stp>
        <tr r="G192" s="3"/>
      </tp>
      <tp t="s">
        <v>#N/A Connection</v>
        <stp/>
        <stp>##V3_BDPV12</stp>
        <stp>WCARGRI Index</stp>
        <stp>PX385</stp>
        <stp>[BI_AUTMG_1_l22cd4li.xlsx]ReferenceData!R183C6</stp>
        <stp>PX391=20190101</stp>
        <stp>PX392=20190331</stp>
        <stp>DS004=USD</stp>
        <stp>Fill=B</stp>
        <tr r="F183" s="3"/>
      </tp>
      <tp t="s">
        <v>#N/A Connection</v>
        <stp/>
        <stp>##V3_BDPV12</stp>
        <stp>WCARESI Index</stp>
        <stp>PX385</stp>
        <stp>[BI_AUTMG_1_l22cd4li.xlsx]ReferenceData!R191C7</stp>
        <stp>PX391=20181001</stp>
        <stp>PX392=20181231</stp>
        <stp>DS004=USD</stp>
        <stp>Fill=B</stp>
        <tr r="G191" s="3"/>
      </tp>
      <tp t="s">
        <v>#N/A Connection</v>
        <stp/>
        <stp>##V3_BDPV12</stp>
        <stp>AUTMAUVS Index</stp>
        <stp>PX385</stp>
        <stp>[BI_AUTMG_1_l22cd4li.xlsx]ReferenceData!R161C8</stp>
        <stp>PX391=20180701</stp>
        <stp>PX392=20180930</stp>
        <stp>DS004=USD</stp>
        <stp>Fill=B</stp>
        <tr r="H161" s="3"/>
      </tp>
      <tp t="s">
        <v>#N/A Connection</v>
        <stp/>
        <stp>##V3_BDPV12</stp>
        <stp>WCARFII Index</stp>
        <stp>PX385</stp>
        <stp>[BI_AUTMG_1_l22cd4li.xlsx]ReferenceData!R180C6</stp>
        <stp>PX391=20190101</stp>
        <stp>PX392=20190331</stp>
        <stp>DS004=USD</stp>
        <stp>Fill=B</stp>
        <tr r="F180" s="3"/>
      </tp>
      <tp t="s">
        <v>#N/A Connection</v>
        <stp/>
        <stp>##V3_BDPV12</stp>
        <stp>WCARPTI Index</stp>
        <stp>PX385</stp>
        <stp>[BI_AUTMG_1_l22cd4li.xlsx]ReferenceData!R190C7</stp>
        <stp>PX391=20181001</stp>
        <stp>PX392=20181231</stp>
        <stp>DS004=USD</stp>
        <stp>Fill=B</stp>
        <tr r="G190" s="3"/>
      </tp>
      <tp t="s">
        <v>#N/A Connection</v>
        <stp/>
        <stp>##V3_BDPV12</stp>
        <stp>ARVSARTL Index</stp>
        <stp>PX385</stp>
        <stp>[BI_AUTMG_1_l22cd4li.xlsx]ReferenceData!R210C6</stp>
        <stp>PX391=20190101</stp>
        <stp>PX392=20190331</stp>
        <stp>DS004=USD</stp>
        <stp>Fill=B</stp>
        <tr r="F210" s="3"/>
      </tp>
      <tp t="s">
        <v>#N/A Connection</v>
        <stp/>
        <stp>##V3_BDPV12</stp>
        <stp>WCARFRI Index</stp>
        <stp>PX385</stp>
        <stp>[BI_AUTMG_1_l22cd4li.xlsx]ReferenceData!R181C6</stp>
        <stp>PX391=20190101</stp>
        <stp>PX392=20190331</stp>
        <stp>DS004=USD</stp>
        <stp>Fill=B</stp>
        <tr r="F181" s="3"/>
      </tp>
      <tp t="s">
        <v>#N/A Connection</v>
        <stp/>
        <stp>##V3_BDPV12</stp>
        <stp>JNVTTOTL Index</stp>
        <stp>PX385</stp>
        <stp>[BI_AUTMG_1_l22cd4li.xlsx]ReferenceData!R167C6</stp>
        <stp>PX391=20190101</stp>
        <stp>PX392=20190331</stp>
        <stp>DS004=USD</stp>
        <stp>Fill=B</stp>
        <tr r="F167" s="3"/>
      </tp>
      <tp t="s">
        <v>#N/A Connection</v>
        <stp/>
        <stp>##V3_BDPV12</stp>
        <stp>BZVLTOTL Index</stp>
        <stp>PX385</stp>
        <stp>[BI_AUTMG_1_l22cd4li.xlsx]ReferenceData!R211C46</stp>
        <stp>PX391=20090101</stp>
        <stp>PX392=20090331</stp>
        <stp>DS004=USD</stp>
        <stp>Fill=B</stp>
        <tr r="AT211" s="3"/>
      </tp>
      <tp t="s">
        <v>#N/A Connection</v>
        <stp/>
        <stp>##V3_BDPV12</stp>
        <stp>BZVLTOTL Index</stp>
        <stp>PX385</stp>
        <stp>[BI_AUTMG_1_l22cd4li.xlsx]ReferenceData!R211C50</stp>
        <stp>PX391=20080101</stp>
        <stp>PX392=20080331</stp>
        <stp>DS004=USD</stp>
        <stp>Fill=B</stp>
        <tr r="AX211" s="3"/>
      </tp>
      <tp t="s">
        <v>#N/A Connection</v>
        <stp/>
        <stp>##V3_BDPV12</stp>
        <stp>BZVLTOTL Index</stp>
        <stp>PX385</stp>
        <stp>[BI_AUTMG_1_l22cd4li.xlsx]ReferenceData!R211C31</stp>
        <stp>PX391=20121001</stp>
        <stp>PX392=20121231</stp>
        <stp>DS004=USD</stp>
        <stp>Fill=B</stp>
        <tr r="AE211" s="3"/>
      </tp>
      <tp t="s">
        <v>#N/A Connection</v>
        <stp/>
        <stp>##V3_BDPV12</stp>
        <stp>BZVLTOTL Index</stp>
        <stp>PX385</stp>
        <stp>[BI_AUTMG_1_l22cd4li.xlsx]ReferenceData!R211C27</stp>
        <stp>PX391=20131001</stp>
        <stp>PX392=20131231</stp>
        <stp>DS004=USD</stp>
        <stp>Fill=B</stp>
        <tr r="AA211" s="3"/>
      </tp>
      <tp t="s">
        <v>#N/A Connection</v>
        <stp/>
        <stp>##V3_BDPV12</stp>
        <stp>BZVLTOTL Index</stp>
        <stp>PX385</stp>
        <stp>[BI_AUTMG_1_l22cd4li.xlsx]ReferenceData!R211C39</stp>
        <stp>PX391=20101001</stp>
        <stp>PX392=20101231</stp>
        <stp>DS004=USD</stp>
        <stp>Fill=B</stp>
        <tr r="AM211" s="3"/>
      </tp>
      <tp t="s">
        <v>#N/A Connection</v>
        <stp/>
        <stp>##V3_BDPV12</stp>
        <stp>BZVLTOTL Index</stp>
        <stp>PX385</stp>
        <stp>[BI_AUTMG_1_l22cd4li.xlsx]ReferenceData!R211C35</stp>
        <stp>PX391=20111001</stp>
        <stp>PX392=20111231</stp>
        <stp>DS004=USD</stp>
        <stp>Fill=B</stp>
        <tr r="AI211" s="3"/>
      </tp>
      <tp t="s">
        <v>#N/A Connection</v>
        <stp/>
        <stp>##V3_BDPV12</stp>
        <stp>BZVLTOTL Index</stp>
        <stp>PX385</stp>
        <stp>[BI_AUTMG_1_l22cd4li.xlsx]ReferenceData!R211C15</stp>
        <stp>PX391=20161001</stp>
        <stp>PX392=20161231</stp>
        <stp>DS004=USD</stp>
        <stp>Fill=B</stp>
        <tr r="O211" s="3"/>
      </tp>
      <tp t="s">
        <v>#N/A Connection</v>
        <stp/>
        <stp>##V3_BDPV12</stp>
        <stp>BZVLTOTL Index</stp>
        <stp>PX385</stp>
        <stp>[BI_AUTMG_1_l22cd4li.xlsx]ReferenceData!R211C54</stp>
        <stp>PX391=20070101</stp>
        <stp>PX392=20070331</stp>
        <stp>DS004=USD</stp>
        <stp>Fill=B</stp>
        <tr r="BB211" s="3"/>
      </tp>
      <tp t="s">
        <v>#N/A Connection</v>
        <stp/>
        <stp>##V3_BDPV12</stp>
        <stp>BZVLTOTL Index</stp>
        <stp>PX385</stp>
        <stp>[BI_AUTMG_1_l22cd4li.xlsx]ReferenceData!R211C11</stp>
        <stp>PX391=20171001</stp>
        <stp>PX392=20171231</stp>
        <stp>DS004=USD</stp>
        <stp>Fill=B</stp>
        <tr r="K211" s="3"/>
      </tp>
      <tp t="s">
        <v>#N/A Connection</v>
        <stp/>
        <stp>##V3_BDPV12</stp>
        <stp>BZVLTOTL Index</stp>
        <stp>PX385</stp>
        <stp>[BI_AUTMG_1_l22cd4li.xlsx]ReferenceData!R211C58</stp>
        <stp>PX391=20060101</stp>
        <stp>PX392=20060331</stp>
        <stp>DS004=USD</stp>
        <stp>Fill=B</stp>
        <tr r="BF211" s="3"/>
      </tp>
      <tp t="s">
        <v>#N/A Connection</v>
        <stp/>
        <stp>##V3_BDPV12</stp>
        <stp>BZVLTOTL Index</stp>
        <stp>PX385</stp>
        <stp>[BI_AUTMG_1_l22cd4li.xlsx]ReferenceData!R211C23</stp>
        <stp>PX391=20141001</stp>
        <stp>PX392=20141231</stp>
        <stp>DS004=USD</stp>
        <stp>Fill=B</stp>
        <tr r="W211" s="3"/>
      </tp>
      <tp t="s">
        <v>#N/A Connection</v>
        <stp/>
        <stp>##V3_BDPV12</stp>
        <stp>BZVLTOTL Index</stp>
        <stp>PX385</stp>
        <stp>[BI_AUTMG_1_l22cd4li.xlsx]ReferenceData!R211C62</stp>
        <stp>PX391=20050101</stp>
        <stp>PX392=20050331</stp>
        <stp>DS004=USD</stp>
        <stp>Fill=B</stp>
        <tr r="BJ211" s="3"/>
      </tp>
      <tp t="s">
        <v>#N/A Connection</v>
        <stp/>
        <stp>##V3_BDPV12</stp>
        <stp>BZVLTOTL Index</stp>
        <stp>PX385</stp>
        <stp>[BI_AUTMG_1_l22cd4li.xlsx]ReferenceData!R211C19</stp>
        <stp>PX391=20151001</stp>
        <stp>PX392=20151231</stp>
        <stp>DS004=USD</stp>
        <stp>Fill=B</stp>
        <tr r="S211" s="3"/>
      </tp>
      <tp t="s">
        <v>#N/A Connection</v>
        <stp/>
        <stp>##V3_BDPV12</stp>
        <stp>AUTMVTVS Index</stp>
        <stp>PX385</stp>
        <stp>[BI_AUTMG_1_l22cd4li.xlsx]ReferenceData!R175C49</stp>
        <stp>PX391=20080401</stp>
        <stp>PX392=20080630</stp>
        <stp>DS004=USD</stp>
        <stp>Fill=B</stp>
        <tr r="AW175" s="3"/>
      </tp>
      <tp t="s">
        <v>#N/A Connection</v>
        <stp/>
        <stp>##V3_BDPV12</stp>
        <stp>AUTMVTVS Index</stp>
        <stp>PX385</stp>
        <stp>[BI_AUTMG_1_l22cd4li.xlsx]ReferenceData!R175C45</stp>
        <stp>PX391=20090401</stp>
        <stp>PX392=20090630</stp>
        <stp>DS004=USD</stp>
        <stp>Fill=B</stp>
        <tr r="AS175" s="3"/>
      </tp>
      <tp t="s">
        <v>#N/A Connection</v>
        <stp/>
        <stp>##V3_BDPV12</stp>
        <stp>CAUTSALE Index</stp>
        <stp>PX385</stp>
        <stp>[BI_AUTMG_1_l22cd4li.xlsx]ReferenceData!R160C16</stp>
        <stp>PX391=20160701</stp>
        <stp>PX392=20160930</stp>
        <stp>DS004=USD</stp>
        <stp>Fill=B</stp>
        <tr r="P160" s="3"/>
      </tp>
      <tp t="s">
        <v>#N/A Connection</v>
        <stp/>
        <stp>##V3_BDPV12</stp>
        <stp>AUTMVTVS Index</stp>
        <stp>PX385</stp>
        <stp>[BI_AUTMG_1_l22cd4li.xlsx]ReferenceData!R175C57</stp>
        <stp>PX391=20060401</stp>
        <stp>PX392=20060630</stp>
        <stp>DS004=USD</stp>
        <stp>Fill=B</stp>
        <tr r="BE175" s="3"/>
      </tp>
      <tp t="s">
        <v>#N/A Connection</v>
        <stp/>
        <stp>##V3_BDPV12</stp>
        <stp>CAUTSALE Index</stp>
        <stp>PX385</stp>
        <stp>[BI_AUTMG_1_l22cd4li.xlsx]ReferenceData!R160C12</stp>
        <stp>PX391=20170701</stp>
        <stp>PX392=20170930</stp>
        <stp>DS004=USD</stp>
        <stp>Fill=B</stp>
        <tr r="L160" s="3"/>
      </tp>
      <tp t="s">
        <v>#N/A Connection</v>
        <stp/>
        <stp>##V3_BDPV12</stp>
        <stp>AUTMVTVS Index</stp>
        <stp>PX385</stp>
        <stp>[BI_AUTMG_1_l22cd4li.xlsx]ReferenceData!R175C53</stp>
        <stp>PX391=20070401</stp>
        <stp>PX392=20070630</stp>
        <stp>DS004=USD</stp>
        <stp>Fill=B</stp>
        <tr r="BA175" s="3"/>
      </tp>
      <tp t="s">
        <v>#N/A Connection</v>
        <stp/>
        <stp>##V3_BDPV12</stp>
        <stp>CAUTSALE Index</stp>
        <stp>PX385</stp>
        <stp>[BI_AUTMG_1_l22cd4li.xlsx]ReferenceData!R160C24</stp>
        <stp>PX391=20140701</stp>
        <stp>PX392=20140930</stp>
        <stp>DS004=USD</stp>
        <stp>Fill=B</stp>
        <tr r="X160" s="3"/>
      </tp>
      <tp t="s">
        <v>#N/A Connection</v>
        <stp/>
        <stp>##V3_BDPV12</stp>
        <stp>AUTMVTVS Index</stp>
        <stp>PX385</stp>
        <stp>[BI_AUTMG_1_l22cd4li.xlsx]ReferenceData!R175C65</stp>
        <stp>PX391=20040401</stp>
        <stp>PX392=20040630</stp>
        <stp>DS004=USD</stp>
        <stp>Fill=B</stp>
        <tr r="BM175" s="3"/>
      </tp>
      <tp t="s">
        <v>#N/A Connection</v>
        <stp/>
        <stp>##V3_BDPV12</stp>
        <stp>CAUTSALE Index</stp>
        <stp>PX385</stp>
        <stp>[BI_AUTMG_1_l22cd4li.xlsx]ReferenceData!R160C20</stp>
        <stp>PX391=20150701</stp>
        <stp>PX392=20150930</stp>
        <stp>DS004=USD</stp>
        <stp>Fill=B</stp>
        <tr r="T160" s="3"/>
      </tp>
      <tp t="s">
        <v>#N/A Connection</v>
        <stp/>
        <stp>##V3_BDPV12</stp>
        <stp>AUTMVTVS Index</stp>
        <stp>PX385</stp>
        <stp>[BI_AUTMG_1_l22cd4li.xlsx]ReferenceData!R175C61</stp>
        <stp>PX391=20050401</stp>
        <stp>PX392=20050630</stp>
        <stp>DS004=USD</stp>
        <stp>Fill=B</stp>
        <tr r="BI175" s="3"/>
      </tp>
      <tp t="s">
        <v>#N/A Connection</v>
        <stp/>
        <stp>##V3_BDPV12</stp>
        <stp>CAUTSALE Index</stp>
        <stp>PX385</stp>
        <stp>[BI_AUTMG_1_l22cd4li.xlsx]ReferenceData!R160C32</stp>
        <stp>PX391=20120701</stp>
        <stp>PX392=20120930</stp>
        <stp>DS004=USD</stp>
        <stp>Fill=B</stp>
        <tr r="AF160" s="3"/>
      </tp>
      <tp t="s">
        <v>#N/A Connection</v>
        <stp/>
        <stp>##V3_BDPV12</stp>
        <stp>CAUTSALE Index</stp>
        <stp>PX385</stp>
        <stp>[BI_AUTMG_1_l22cd4li.xlsx]ReferenceData!R160C28</stp>
        <stp>PX391=20130701</stp>
        <stp>PX392=20130930</stp>
        <stp>DS004=USD</stp>
        <stp>Fill=B</stp>
        <tr r="AB160" s="3"/>
      </tp>
      <tp t="s">
        <v>#N/A Connection</v>
        <stp/>
        <stp>##V3_BDPV12</stp>
        <stp>CAUTSALE Index</stp>
        <stp>PX385</stp>
        <stp>[BI_AUTMG_1_l22cd4li.xlsx]ReferenceData!R160C40</stp>
        <stp>PX391=20100701</stp>
        <stp>PX392=20100930</stp>
        <stp>DS004=USD</stp>
        <stp>Fill=B</stp>
        <tr r="AN160" s="3"/>
      </tp>
      <tp t="s">
        <v>#N/A Connection</v>
        <stp/>
        <stp>##V3_BDPV12</stp>
        <stp>CAUTSALE Index</stp>
        <stp>PX385</stp>
        <stp>[BI_AUTMG_1_l22cd4li.xlsx]ReferenceData!R160C36</stp>
        <stp>PX391=20110701</stp>
        <stp>PX392=20110930</stp>
        <stp>DS004=USD</stp>
        <stp>Fill=B</stp>
        <tr r="AJ160" s="3"/>
      </tp>
      <tp t="s">
        <v>#N/A Connection</v>
        <stp/>
        <stp>##V3_BDPV12</stp>
        <stp>PAVSCAR Index</stp>
        <stp>PX385</stp>
        <stp>[BI_AUTMG_1_l22cd4li.xlsx]ReferenceData!R169C7</stp>
        <stp>PX391=20181001</stp>
        <stp>PX392=20181231</stp>
        <stp>DS004=USD</stp>
        <stp>Fill=B</stp>
        <tr r="G169" s="3"/>
      </tp>
      <tp t="s">
        <v>#N/A Connection</v>
        <stp/>
        <stp>##V3_BDPV12</stp>
        <stp>PHCSTOTL Index</stp>
        <stp>PX385</stp>
        <stp>[BI_AUTMG_1_l22cd4li.xlsx]ReferenceData!R170C9</stp>
        <stp>PX391=20180401</stp>
        <stp>PX392=20180630</stp>
        <stp>DS004=USD</stp>
        <stp>Fill=B</stp>
        <tr r="I170" s="3"/>
      </tp>
      <tp t="s">
        <v>#N/A Connection</v>
        <stp/>
        <stp>##V3_BDPV12</stp>
        <stp>THVHSCAR Index</stp>
        <stp>PX385</stp>
        <stp>[BI_AUTMG_1_l22cd4li.xlsx]ReferenceData!R174C6</stp>
        <stp>PX391=20190101</stp>
        <stp>PX392=20190331</stp>
        <stp>DS004=USD</stp>
        <stp>Fill=B</stp>
        <tr r="F174" s="3"/>
      </tp>
      <tp t="s">
        <v>#N/A Connection</v>
        <stp/>
        <stp>##V3_BDPV12</stp>
        <stp>AUTMAUVS Index</stp>
        <stp>PX385</stp>
        <stp>[BI_AUTMG_1_l22cd4li.xlsx]ReferenceData!R161C9</stp>
        <stp>PX391=20180401</stp>
        <stp>PX392=20180630</stp>
        <stp>DS004=USD</stp>
        <stp>Fill=B</stp>
        <tr r="I161" s="3"/>
      </tp>
      <tp t="s">
        <v>#N/A Connection</v>
        <stp/>
        <stp>##V3_BDPV12</stp>
        <stp>CHVSAUTO Index</stp>
        <stp>PX385</stp>
        <stp>[BI_AUTMG_1_l22cd4li.xlsx]ReferenceData!R212C6</stp>
        <stp>PX391=20190101</stp>
        <stp>PX392=20190331</stp>
        <stp>DS004=USD</stp>
        <stp>Fill=B</stp>
        <tr r="F212" s="3"/>
      </tp>
      <tp t="s">
        <v>#N/A Connection</v>
        <stp/>
        <stp>##V3_BDPV12</stp>
        <stp>COVSTCAR Index</stp>
        <stp>PX385</stp>
        <stp>[BI_AUTMG_1_l22cd4li.xlsx]ReferenceData!R213C27</stp>
        <stp>PX391=20131001</stp>
        <stp>PX392=20131231</stp>
        <stp>DS004=USD</stp>
        <stp>Fill=B</stp>
        <tr r="AA213" s="3"/>
      </tp>
      <tp t="s">
        <v>#N/A Connection</v>
        <stp/>
        <stp>##V3_BDPV12</stp>
        <stp>COVSTCAR Index</stp>
        <stp>PX385</stp>
        <stp>[BI_AUTMG_1_l22cd4li.xlsx]ReferenceData!R213C31</stp>
        <stp>PX391=20121001</stp>
        <stp>PX392=20121231</stp>
        <stp>DS004=USD</stp>
        <stp>Fill=B</stp>
        <tr r="AE213" s="3"/>
      </tp>
      <tp t="s">
        <v>#N/A Connection</v>
        <stp/>
        <stp>##V3_BDPV12</stp>
        <stp>COVSTCAR Index</stp>
        <stp>PX385</stp>
        <stp>[BI_AUTMG_1_l22cd4li.xlsx]ReferenceData!R213C35</stp>
        <stp>PX391=20111001</stp>
        <stp>PX392=20111231</stp>
        <stp>DS004=USD</stp>
        <stp>Fill=B</stp>
        <tr r="AI213" s="3"/>
      </tp>
      <tp t="s">
        <v>#N/A Connection</v>
        <stp/>
        <stp>##V3_BDPV12</stp>
        <stp>COVSTCAR Index</stp>
        <stp>PX385</stp>
        <stp>[BI_AUTMG_1_l22cd4li.xlsx]ReferenceData!R213C39</stp>
        <stp>PX391=20101001</stp>
        <stp>PX392=20101231</stp>
        <stp>DS004=USD</stp>
        <stp>Fill=B</stp>
        <tr r="AM213" s="3"/>
      </tp>
      <tp t="s">
        <v>#N/A Connection</v>
        <stp/>
        <stp>##V3_BDPV12</stp>
        <stp>COVSTCAR Index</stp>
        <stp>PX385</stp>
        <stp>[BI_AUTMG_1_l22cd4li.xlsx]ReferenceData!R213C58</stp>
        <stp>PX391=20060101</stp>
        <stp>PX392=20060331</stp>
        <stp>DS004=USD</stp>
        <stp>Fill=B</stp>
        <tr r="BF213" s="3"/>
      </tp>
      <tp t="s">
        <v>#N/A Connection</v>
        <stp/>
        <stp>##V3_BDPV12</stp>
        <stp>COVSTCAR Index</stp>
        <stp>PX385</stp>
        <stp>[BI_AUTMG_1_l22cd4li.xlsx]ReferenceData!R213C11</stp>
        <stp>PX391=20171001</stp>
        <stp>PX392=20171231</stp>
        <stp>DS004=USD</stp>
        <stp>Fill=B</stp>
        <tr r="K213" s="3"/>
      </tp>
      <tp t="s">
        <v>#N/A Connection</v>
        <stp/>
        <stp>##V3_BDPV12</stp>
        <stp>COVSTCAR Index</stp>
        <stp>PX385</stp>
        <stp>[BI_AUTMG_1_l22cd4li.xlsx]ReferenceData!R213C54</stp>
        <stp>PX391=20070101</stp>
        <stp>PX392=20070331</stp>
        <stp>DS004=USD</stp>
        <stp>Fill=B</stp>
        <tr r="BB213" s="3"/>
      </tp>
      <tp t="s">
        <v>#N/A Connection</v>
        <stp/>
        <stp>##V3_BDPV12</stp>
        <stp>COVSTCAR Index</stp>
        <stp>PX385</stp>
        <stp>[BI_AUTMG_1_l22cd4li.xlsx]ReferenceData!R213C15</stp>
        <stp>PX391=20161001</stp>
        <stp>PX392=20161231</stp>
        <stp>DS004=USD</stp>
        <stp>Fill=B</stp>
        <tr r="O213" s="3"/>
      </tp>
      <tp t="s">
        <v>#N/A Connection</v>
        <stp/>
        <stp>##V3_BDPV12</stp>
        <stp>COVSTCAR Index</stp>
        <stp>PX385</stp>
        <stp>[BI_AUTMG_1_l22cd4li.xlsx]ReferenceData!R213C19</stp>
        <stp>PX391=20151001</stp>
        <stp>PX392=20151231</stp>
        <stp>DS004=USD</stp>
        <stp>Fill=B</stp>
        <tr r="S213" s="3"/>
      </tp>
      <tp t="s">
        <v>#N/A Connection</v>
        <stp/>
        <stp>##V3_BDPV12</stp>
        <stp>AUTMVTVS Index</stp>
        <stp>PX385</stp>
        <stp>[BI_AUTMG_1_l22cd4li.xlsx]ReferenceData!R175C48</stp>
        <stp>PX391=20080701</stp>
        <stp>PX392=20080930</stp>
        <stp>DS004=USD</stp>
        <stp>Fill=B</stp>
        <tr r="AV175" s="3"/>
      </tp>
      <tp t="s">
        <v>#N/A Connection</v>
        <stp/>
        <stp>##V3_BDPV12</stp>
        <stp>COVSTCAR Index</stp>
        <stp>PX385</stp>
        <stp>[BI_AUTMG_1_l22cd4li.xlsx]ReferenceData!R213C62</stp>
        <stp>PX391=20050101</stp>
        <stp>PX392=20050331</stp>
        <stp>DS004=USD</stp>
        <stp>Fill=B</stp>
        <tr r="BJ213" s="3"/>
      </tp>
      <tp t="s">
        <v>#N/A Connection</v>
        <stp/>
        <stp>##V3_BDPV12</stp>
        <stp>COVSTCAR Index</stp>
        <stp>PX385</stp>
        <stp>[BI_AUTMG_1_l22cd4li.xlsx]ReferenceData!R213C23</stp>
        <stp>PX391=20141001</stp>
        <stp>PX392=20141231</stp>
        <stp>DS004=USD</stp>
        <stp>Fill=B</stp>
        <tr r="W213" s="3"/>
      </tp>
      <tp t="s">
        <v>#N/A Connection</v>
        <stp/>
        <stp>##V3_BDPV12</stp>
        <stp>AUTMVTVS Index</stp>
        <stp>PX385</stp>
        <stp>[BI_AUTMG_1_l22cd4li.xlsx]ReferenceData!R175C44</stp>
        <stp>PX391=20090701</stp>
        <stp>PX392=20090930</stp>
        <stp>DS004=USD</stp>
        <stp>Fill=B</stp>
        <tr r="AR175" s="3"/>
      </tp>
      <tp t="s">
        <v>#N/A Connection</v>
        <stp/>
        <stp>##V3_BDPV12</stp>
        <stp>CAUTSALE Index</stp>
        <stp>PX385</stp>
        <stp>[BI_AUTMG_1_l22cd4li.xlsx]ReferenceData!R160C17</stp>
        <stp>PX391=20160401</stp>
        <stp>PX392=20160630</stp>
        <stp>DS004=USD</stp>
        <stp>Fill=B</stp>
        <tr r="Q160" s="3"/>
      </tp>
      <tp t="s">
        <v>#N/A Connection</v>
        <stp/>
        <stp>##V3_BDPV12</stp>
        <stp>AUTMVTVS Index</stp>
        <stp>PX385</stp>
        <stp>[BI_AUTMG_1_l22cd4li.xlsx]ReferenceData!R175C56</stp>
        <stp>PX391=20060701</stp>
        <stp>PX392=20060930</stp>
        <stp>DS004=USD</stp>
        <stp>Fill=B</stp>
        <tr r="BD175" s="3"/>
      </tp>
      <tp t="s">
        <v>#N/A Connection</v>
        <stp/>
        <stp>##V3_BDPV12</stp>
        <stp>CAUTSALE Index</stp>
        <stp>PX385</stp>
        <stp>[BI_AUTMG_1_l22cd4li.xlsx]ReferenceData!R160C13</stp>
        <stp>PX391=20170401</stp>
        <stp>PX392=20170630</stp>
        <stp>DS004=USD</stp>
        <stp>Fill=B</stp>
        <tr r="M160" s="3"/>
      </tp>
      <tp t="s">
        <v>#N/A Connection</v>
        <stp/>
        <stp>##V3_BDPV12</stp>
        <stp>AUTMVTVS Index</stp>
        <stp>PX385</stp>
        <stp>[BI_AUTMG_1_l22cd4li.xlsx]ReferenceData!R175C52</stp>
        <stp>PX391=20070701</stp>
        <stp>PX392=20070930</stp>
        <stp>DS004=USD</stp>
        <stp>Fill=B</stp>
        <tr r="AZ175" s="3"/>
      </tp>
      <tp t="s">
        <v>#N/A Connection</v>
        <stp/>
        <stp>##V3_BDPV12</stp>
        <stp>CAUTSALE Index</stp>
        <stp>PX385</stp>
        <stp>[BI_AUTMG_1_l22cd4li.xlsx]ReferenceData!R160C25</stp>
        <stp>PX391=20140401</stp>
        <stp>PX392=20140630</stp>
        <stp>DS004=USD</stp>
        <stp>Fill=B</stp>
        <tr r="Y160" s="3"/>
      </tp>
      <tp t="s">
        <v>#N/A Connection</v>
        <stp/>
        <stp>##V3_BDPV12</stp>
        <stp>COVSTCAR Index</stp>
        <stp>PX385</stp>
        <stp>[BI_AUTMG_1_l22cd4li.xlsx]ReferenceData!R213C50</stp>
        <stp>PX391=20080101</stp>
        <stp>PX392=20080331</stp>
        <stp>DS004=USD</stp>
        <stp>Fill=B</stp>
        <tr r="AX213" s="3"/>
      </tp>
      <tp t="s">
        <v>#N/A Connection</v>
        <stp/>
        <stp>##V3_BDPV12</stp>
        <stp>AUTMVTVS Index</stp>
        <stp>PX385</stp>
        <stp>[BI_AUTMG_1_l22cd4li.xlsx]ReferenceData!R175C64</stp>
        <stp>PX391=20040701</stp>
        <stp>PX392=20040930</stp>
        <stp>DS004=USD</stp>
        <stp>Fill=B</stp>
        <tr r="BL175" s="3"/>
      </tp>
      <tp t="s">
        <v>#N/A Connection</v>
        <stp/>
        <stp>##V3_BDPV12</stp>
        <stp>CAUTSALE Index</stp>
        <stp>PX385</stp>
        <stp>[BI_AUTMG_1_l22cd4li.xlsx]ReferenceData!R160C21</stp>
        <stp>PX391=20150401</stp>
        <stp>PX392=20150630</stp>
        <stp>DS004=USD</stp>
        <stp>Fill=B</stp>
        <tr r="U160" s="3"/>
      </tp>
      <tp t="s">
        <v>#N/A Connection</v>
        <stp/>
        <stp>##V3_BDPV12</stp>
        <stp>COVSTCAR Index</stp>
        <stp>PX385</stp>
        <stp>[BI_AUTMG_1_l22cd4li.xlsx]ReferenceData!R213C46</stp>
        <stp>PX391=20090101</stp>
        <stp>PX392=20090331</stp>
        <stp>DS004=USD</stp>
        <stp>Fill=B</stp>
        <tr r="AT213" s="3"/>
      </tp>
      <tp t="s">
        <v>#N/A Connection</v>
        <stp/>
        <stp>##V3_BDPV12</stp>
        <stp>AUTMVTVS Index</stp>
        <stp>PX385</stp>
        <stp>[BI_AUTMG_1_l22cd4li.xlsx]ReferenceData!R175C60</stp>
        <stp>PX391=20050701</stp>
        <stp>PX392=20050930</stp>
        <stp>DS004=USD</stp>
        <stp>Fill=B</stp>
        <tr r="BH175" s="3"/>
      </tp>
      <tp t="s">
        <v>#N/A Connection</v>
        <stp/>
        <stp>##V3_BDPV12</stp>
        <stp>CAUTSALE Index</stp>
        <stp>PX385</stp>
        <stp>[BI_AUTMG_1_l22cd4li.xlsx]ReferenceData!R160C33</stp>
        <stp>PX391=20120401</stp>
        <stp>PX392=20120630</stp>
        <stp>DS004=USD</stp>
        <stp>Fill=B</stp>
        <tr r="AG160" s="3"/>
      </tp>
      <tp t="s">
        <v>#N/A Connection</v>
        <stp/>
        <stp>##V3_BDPV12</stp>
        <stp>CAUTSALE Index</stp>
        <stp>PX385</stp>
        <stp>[BI_AUTMG_1_l22cd4li.xlsx]ReferenceData!R160C29</stp>
        <stp>PX391=20130401</stp>
        <stp>PX392=20130630</stp>
        <stp>DS004=USD</stp>
        <stp>Fill=B</stp>
        <tr r="AC160" s="3"/>
      </tp>
      <tp t="s">
        <v>#N/A Connection</v>
        <stp/>
        <stp>##V3_BDPV12</stp>
        <stp>CAUTSALE Index</stp>
        <stp>PX385</stp>
        <stp>[BI_AUTMG_1_l22cd4li.xlsx]ReferenceData!R160C41</stp>
        <stp>PX391=20100401</stp>
        <stp>PX392=20100630</stp>
        <stp>DS004=USD</stp>
        <stp>Fill=B</stp>
        <tr r="AO160" s="3"/>
      </tp>
      <tp t="s">
        <v>#N/A Connection</v>
        <stp/>
        <stp>##V3_BDPV12</stp>
        <stp>CAUTSALE Index</stp>
        <stp>PX385</stp>
        <stp>[BI_AUTMG_1_l22cd4li.xlsx]ReferenceData!R160C37</stp>
        <stp>PX391=20110401</stp>
        <stp>PX392=20110630</stp>
        <stp>DS004=USD</stp>
        <stp>Fill=B</stp>
        <tr r="AK160" s="3"/>
      </tp>
      <tp t="s">
        <v>#N/A Connection</v>
        <stp/>
        <stp>##V3_BDPV12</stp>
        <stp>AUTMKRVS Index</stp>
        <stp>PX385</stp>
        <stp>[BI_AUTMG_1_l22cd4li.xlsx]ReferenceData!R171C9</stp>
        <stp>PX391=20180401</stp>
        <stp>PX392=20180630</stp>
        <stp>DS004=USD</stp>
        <stp>Fill=B</stp>
        <tr r="I171" s="3"/>
      </tp>
      <tp t="s">
        <v>#N/A Connection</v>
        <stp/>
        <stp>##V3_BDPV12</stp>
        <stp>PAVSCAR Index</stp>
        <stp>PX385</stp>
        <stp>[BI_AUTMG_1_l22cd4li.xlsx]ReferenceData!R169C6</stp>
        <stp>PX391=20190101</stp>
        <stp>PX392=20190331</stp>
        <stp>DS004=USD</stp>
        <stp>Fill=B</stp>
        <tr r="F169" s="3"/>
      </tp>
      <tp t="s">
        <v>#N/A Connection</v>
        <stp/>
        <stp>##V3_BDPV12</stp>
        <stp>RUAUTOTL Index</stp>
        <stp>PX385</stp>
        <stp>[BI_AUTMG_1_l22cd4li.xlsx]ReferenceData!R204C9</stp>
        <stp>PX391=20180401</stp>
        <stp>PX392=20180630</stp>
        <stp>DS004=USD</stp>
        <stp>Fill=B</stp>
        <tr r="I204" s="3"/>
      </tp>
      <tp t="s">
        <v>#N/A Connection</v>
        <stp/>
        <stp>##V3_BDPV12</stp>
        <stp>THVHSCAR Index</stp>
        <stp>PX385</stp>
        <stp>[BI_AUTMG_1_l22cd4li.xlsx]ReferenceData!R174C7</stp>
        <stp>PX391=20181001</stp>
        <stp>PX392=20181231</stp>
        <stp>DS004=USD</stp>
        <stp>Fill=B</stp>
        <tr r="G174" s="3"/>
      </tp>
      <tp t="s">
        <v>#N/A Connection</v>
        <stp/>
        <stp>##V3_BDPV12</stp>
        <stp>CHVSAUTO Index</stp>
        <stp>PX385</stp>
        <stp>[BI_AUTMG_1_l22cd4li.xlsx]ReferenceData!R212C7</stp>
        <stp>PX391=20181001</stp>
        <stp>PX392=20181231</stp>
        <stp>DS004=USD</stp>
        <stp>Fill=B</stp>
        <tr r="G212" s="3"/>
      </tp>
      <tp t="s">
        <v>#N/A Connection</v>
        <stp/>
        <stp>##V3_BDPV12</stp>
        <stp>AUTMVTVS Index</stp>
        <stp>PX385</stp>
        <stp>[BI_AUTMG_1_l22cd4li.xlsx]ReferenceData!R175C9</stp>
        <stp>PX391=20180401</stp>
        <stp>PX392=20180630</stp>
        <stp>DS004=USD</stp>
        <stp>Fill=B</stp>
        <tr r="I175" s="3"/>
      </tp>
      <tp t="s">
        <v>#N/A Connection</v>
        <stp/>
        <stp>##V3_BDPV12</stp>
        <stp>COVSTCAR Index</stp>
        <stp>PX385</stp>
        <stp>[BI_AUTMG_1_l22cd4li.xlsx]ReferenceData!R213C30</stp>
        <stp>PX391=20130101</stp>
        <stp>PX392=20130331</stp>
        <stp>DS004=USD</stp>
        <stp>Fill=B</stp>
        <tr r="AD213" s="3"/>
      </tp>
      <tp t="s">
        <v>#N/A Connection</v>
        <stp/>
        <stp>##V3_BDPV12</stp>
        <stp>COVSTCAR Index</stp>
        <stp>PX385</stp>
        <stp>[BI_AUTMG_1_l22cd4li.xlsx]ReferenceData!R213C34</stp>
        <stp>PX391=20120101</stp>
        <stp>PX392=20120331</stp>
        <stp>DS004=USD</stp>
        <stp>Fill=B</stp>
        <tr r="AH213" s="3"/>
      </tp>
      <tp t="s">
        <v>#N/A Connection</v>
        <stp/>
        <stp>##V3_BDPV12</stp>
        <stp>COVSTCAR Index</stp>
        <stp>PX385</stp>
        <stp>[BI_AUTMG_1_l22cd4li.xlsx]ReferenceData!R213C38</stp>
        <stp>PX391=20110101</stp>
        <stp>PX392=20110331</stp>
        <stp>DS004=USD</stp>
        <stp>Fill=B</stp>
        <tr r="AL213" s="3"/>
      </tp>
      <tp t="s">
        <v>#N/A Connection</v>
        <stp/>
        <stp>##V3_BDPV12</stp>
        <stp>COVSTCAR Index</stp>
        <stp>PX385</stp>
        <stp>[BI_AUTMG_1_l22cd4li.xlsx]ReferenceData!R213C42</stp>
        <stp>PX391=20100101</stp>
        <stp>PX392=20100331</stp>
        <stp>DS004=USD</stp>
        <stp>Fill=B</stp>
        <tr r="AP213" s="3"/>
      </tp>
      <tp t="s">
        <v>#N/A Connection</v>
        <stp/>
        <stp>##V3_BDPV12</stp>
        <stp>COVSTCAR Index</stp>
        <stp>PX385</stp>
        <stp>[BI_AUTMG_1_l22cd4li.xlsx]ReferenceData!R213C55</stp>
        <stp>PX391=20061001</stp>
        <stp>PX392=20061231</stp>
        <stp>DS004=USD</stp>
        <stp>Fill=B</stp>
        <tr r="BC213" s="3"/>
      </tp>
      <tp t="s">
        <v>#N/A Connection</v>
        <stp/>
        <stp>##V3_BDPV12</stp>
        <stp>COVSTCAR Index</stp>
        <stp>PX385</stp>
        <stp>[BI_AUTMG_1_l22cd4li.xlsx]ReferenceData!R213C14</stp>
        <stp>PX391=20170101</stp>
        <stp>PX392=20170331</stp>
        <stp>DS004=USD</stp>
        <stp>Fill=B</stp>
        <tr r="N213" s="3"/>
      </tp>
      <tp t="s">
        <v>#N/A Connection</v>
        <stp/>
        <stp>##V3_BDPV12</stp>
        <stp>COVSTCAR Index</stp>
        <stp>PX385</stp>
        <stp>[BI_AUTMG_1_l22cd4li.xlsx]ReferenceData!R213C51</stp>
        <stp>PX391=20071001</stp>
        <stp>PX392=20071231</stp>
        <stp>DS004=USD</stp>
        <stp>Fill=B</stp>
        <tr r="AY213" s="3"/>
      </tp>
      <tp t="s">
        <v>#N/A Connection</v>
        <stp/>
        <stp>##V3_BDPV12</stp>
        <stp>COVSTCAR Index</stp>
        <stp>PX385</stp>
        <stp>[BI_AUTMG_1_l22cd4li.xlsx]ReferenceData!R213C18</stp>
        <stp>PX391=20160101</stp>
        <stp>PX392=20160331</stp>
        <stp>DS004=USD</stp>
        <stp>Fill=B</stp>
        <tr r="R213" s="3"/>
      </tp>
      <tp t="s">
        <v>#N/A Connection</v>
        <stp/>
        <stp>##V3_BDPV12</stp>
        <stp>COVSTCAR Index</stp>
        <stp>PX385</stp>
        <stp>[BI_AUTMG_1_l22cd4li.xlsx]ReferenceData!R213C63</stp>
        <stp>PX391=20041001</stp>
        <stp>PX392=20041231</stp>
        <stp>DS004=USD</stp>
        <stp>Fill=B</stp>
        <tr r="BK213" s="3"/>
      </tp>
      <tp t="s">
        <v>#N/A Connection</v>
        <stp/>
        <stp>##V3_BDPV12</stp>
        <stp>CAUTSALE Index</stp>
        <stp>PX385</stp>
        <stp>[BI_AUTMG_1_l22cd4li.xlsx]ReferenceData!R160C45</stp>
        <stp>PX391=20090401</stp>
        <stp>PX392=20090630</stp>
        <stp>DS004=USD</stp>
        <stp>Fill=B</stp>
        <tr r="AS160" s="3"/>
      </tp>
      <tp t="s">
        <v>#N/A Connection</v>
        <stp/>
        <stp>##V3_BDPV12</stp>
        <stp>COVSTCAR Index</stp>
        <stp>PX385</stp>
        <stp>[BI_AUTMG_1_l22cd4li.xlsx]ReferenceData!R213C22</stp>
        <stp>PX391=20150101</stp>
        <stp>PX392=20150331</stp>
        <stp>DS004=USD</stp>
        <stp>Fill=B</stp>
        <tr r="V213" s="3"/>
      </tp>
      <tp t="s">
        <v>#N/A Connection</v>
        <stp/>
        <stp>##V3_BDPV12</stp>
        <stp>CAUTSALE Index</stp>
        <stp>PX385</stp>
        <stp>[BI_AUTMG_1_l22cd4li.xlsx]ReferenceData!R160C49</stp>
        <stp>PX391=20080401</stp>
        <stp>PX392=20080630</stp>
        <stp>DS004=USD</stp>
        <stp>Fill=B</stp>
        <tr r="AW160" s="3"/>
      </tp>
      <tp t="s">
        <v>#N/A Connection</v>
        <stp/>
        <stp>##V3_BDPV12</stp>
        <stp>COVSTCAR Index</stp>
        <stp>PX385</stp>
        <stp>[BI_AUTMG_1_l22cd4li.xlsx]ReferenceData!R213C59</stp>
        <stp>PX391=20051001</stp>
        <stp>PX392=20051231</stp>
        <stp>DS004=USD</stp>
        <stp>Fill=B</stp>
        <tr r="BG213" s="3"/>
      </tp>
      <tp t="s">
        <v>#N/A Connection</v>
        <stp/>
        <stp>##V3_BDPV12</stp>
        <stp>COVSTCAR Index</stp>
        <stp>PX385</stp>
        <stp>[BI_AUTMG_1_l22cd4li.xlsx]ReferenceData!R213C26</stp>
        <stp>PX391=20140101</stp>
        <stp>PX392=20140331</stp>
        <stp>DS004=USD</stp>
        <stp>Fill=B</stp>
        <tr r="Z213" s="3"/>
      </tp>
      <tp t="s">
        <v>#N/A Connection</v>
        <stp/>
        <stp>##V3_BDPV12</stp>
        <stp>CAUTSALE Index</stp>
        <stp>PX385</stp>
        <stp>[BI_AUTMG_1_l22cd4li.xlsx]ReferenceData!R160C53</stp>
        <stp>PX391=20070401</stp>
        <stp>PX392=20070630</stp>
        <stp>DS004=USD</stp>
        <stp>Fill=B</stp>
        <tr r="BA160" s="3"/>
      </tp>
      <tp t="s">
        <v>#N/A Connection</v>
        <stp/>
        <stp>##V3_BDPV12</stp>
        <stp>AUTMVTVS Index</stp>
        <stp>PX385</stp>
        <stp>[BI_AUTMG_1_l22cd4li.xlsx]ReferenceData!R175C12</stp>
        <stp>PX391=20170701</stp>
        <stp>PX392=20170930</stp>
        <stp>DS004=USD</stp>
        <stp>Fill=B</stp>
        <tr r="L175" s="3"/>
      </tp>
      <tp t="s">
        <v>#N/A Connection</v>
        <stp/>
        <stp>##V3_BDPV12</stp>
        <stp>CAUTSALE Index</stp>
        <stp>PX385</stp>
        <stp>[BI_AUTMG_1_l22cd4li.xlsx]ReferenceData!R160C57</stp>
        <stp>PX391=20060401</stp>
        <stp>PX392=20060630</stp>
        <stp>DS004=USD</stp>
        <stp>Fill=B</stp>
        <tr r="BE160" s="3"/>
      </tp>
      <tp t="s">
        <v>#N/A Connection</v>
        <stp/>
        <stp>##V3_BDPV12</stp>
        <stp>AUTMVTVS Index</stp>
        <stp>PX385</stp>
        <stp>[BI_AUTMG_1_l22cd4li.xlsx]ReferenceData!R175C16</stp>
        <stp>PX391=20160701</stp>
        <stp>PX392=20160930</stp>
        <stp>DS004=USD</stp>
        <stp>Fill=B</stp>
        <tr r="P175" s="3"/>
      </tp>
      <tp t="s">
        <v>#N/A Connection</v>
        <stp/>
        <stp>##V3_BDPV12</stp>
        <stp>CAUTSALE Index</stp>
        <stp>PX385</stp>
        <stp>[BI_AUTMG_1_l22cd4li.xlsx]ReferenceData!R160C61</stp>
        <stp>PX391=20050401</stp>
        <stp>PX392=20050630</stp>
        <stp>DS004=USD</stp>
        <stp>Fill=B</stp>
        <tr r="BI160" s="3"/>
      </tp>
      <tp t="s">
        <v>#N/A Connection</v>
        <stp/>
        <stp>##V3_BDPV12</stp>
        <stp>COVSTCAR Index</stp>
        <stp>PX385</stp>
        <stp>[BI_AUTMG_1_l22cd4li.xlsx]ReferenceData!R213C47</stp>
        <stp>PX391=20081001</stp>
        <stp>PX392=20081231</stp>
        <stp>DS004=USD</stp>
        <stp>Fill=B</stp>
        <tr r="AU213" s="3"/>
      </tp>
      <tp t="s">
        <v>#N/A Connection</v>
        <stp/>
        <stp>##V3_BDPV12</stp>
        <stp>AUTMVTVS Index</stp>
        <stp>PX385</stp>
        <stp>[BI_AUTMG_1_l22cd4li.xlsx]ReferenceData!R175C20</stp>
        <stp>PX391=20150701</stp>
        <stp>PX392=20150930</stp>
        <stp>DS004=USD</stp>
        <stp>Fill=B</stp>
        <tr r="T175" s="3"/>
      </tp>
      <tp t="s">
        <v>#N/A Connection</v>
        <stp/>
        <stp>##V3_BDPV12</stp>
        <stp>COVSTCAR Index</stp>
        <stp>PX385</stp>
        <stp>[BI_AUTMG_1_l22cd4li.xlsx]ReferenceData!R213C10</stp>
        <stp>PX391=20180101</stp>
        <stp>PX392=20180331</stp>
        <stp>DS004=USD</stp>
        <stp>Fill=B</stp>
        <tr r="J213" s="3"/>
      </tp>
      <tp t="s">
        <v>#N/A Connection</v>
        <stp/>
        <stp>##V3_BDPV12</stp>
        <stp>CAUTSALE Index</stp>
        <stp>PX385</stp>
        <stp>[BI_AUTMG_1_l22cd4li.xlsx]ReferenceData!R160C65</stp>
        <stp>PX391=20040401</stp>
        <stp>PX392=20040630</stp>
        <stp>DS004=USD</stp>
        <stp>Fill=B</stp>
        <tr r="BM160" s="3"/>
      </tp>
      <tp t="s">
        <v>#N/A Connection</v>
        <stp/>
        <stp>##V3_BDPV12</stp>
        <stp>COVSTCAR Index</stp>
        <stp>PX385</stp>
        <stp>[BI_AUTMG_1_l22cd4li.xlsx]ReferenceData!R213C43</stp>
        <stp>PX391=20091001</stp>
        <stp>PX392=20091231</stp>
        <stp>DS004=USD</stp>
        <stp>Fill=B</stp>
        <tr r="AQ213" s="3"/>
      </tp>
      <tp t="s">
        <v>#N/A Connection</v>
        <stp/>
        <stp>##V3_BDPV12</stp>
        <stp>AUTMVTVS Index</stp>
        <stp>PX385</stp>
        <stp>[BI_AUTMG_1_l22cd4li.xlsx]ReferenceData!R175C24</stp>
        <stp>PX391=20140701</stp>
        <stp>PX392=20140930</stp>
        <stp>DS004=USD</stp>
        <stp>Fill=B</stp>
        <tr r="X175" s="3"/>
      </tp>
      <tp t="s">
        <v>#N/A Connection</v>
        <stp/>
        <stp>##V3_BDPV12</stp>
        <stp>AUTMVTVS Index</stp>
        <stp>PX385</stp>
        <stp>[BI_AUTMG_1_l22cd4li.xlsx]ReferenceData!R175C28</stp>
        <stp>PX391=20130701</stp>
        <stp>PX392=20130930</stp>
        <stp>DS004=USD</stp>
        <stp>Fill=B</stp>
        <tr r="AB175" s="3"/>
      </tp>
      <tp t="s">
        <v>#N/A Connection</v>
        <stp/>
        <stp>##V3_BDPV12</stp>
        <stp>AUTMVTVS Index</stp>
        <stp>PX385</stp>
        <stp>[BI_AUTMG_1_l22cd4li.xlsx]ReferenceData!R175C32</stp>
        <stp>PX391=20120701</stp>
        <stp>PX392=20120930</stp>
        <stp>DS004=USD</stp>
        <stp>Fill=B</stp>
        <tr r="AF175" s="3"/>
      </tp>
      <tp t="s">
        <v>#N/A Connection</v>
        <stp/>
        <stp>##V3_BDPV12</stp>
        <stp>AUTMVTVS Index</stp>
        <stp>PX385</stp>
        <stp>[BI_AUTMG_1_l22cd4li.xlsx]ReferenceData!R175C36</stp>
        <stp>PX391=20110701</stp>
        <stp>PX392=20110930</stp>
        <stp>DS004=USD</stp>
        <stp>Fill=B</stp>
        <tr r="AJ175" s="3"/>
      </tp>
      <tp t="s">
        <v>#N/A Connection</v>
        <stp/>
        <stp>##V3_BDPV12</stp>
        <stp>AUTMVTVS Index</stp>
        <stp>PX385</stp>
        <stp>[BI_AUTMG_1_l22cd4li.xlsx]ReferenceData!R175C40</stp>
        <stp>PX391=20100701</stp>
        <stp>PX392=20100930</stp>
        <stp>DS004=USD</stp>
        <stp>Fill=B</stp>
        <tr r="AN175" s="3"/>
      </tp>
      <tp t="s">
        <v>#N/A Connection</v>
        <stp/>
        <stp>##V3_BDPV12</stp>
        <stp>WCARNLI Index</stp>
        <stp>PX385</stp>
        <stp>[BI_AUTMG_1_l22cd4li.xlsx]ReferenceData!R188C9</stp>
        <stp>PX391=20180401</stp>
        <stp>PX392=20180630</stp>
        <stp>DS004=USD</stp>
        <stp>Fill=B</stp>
        <tr r="I188" s="3"/>
      </tp>
      <tp t="s">
        <v>#N/A Connection</v>
        <stp/>
        <stp>##V3_BDPV12</stp>
        <stp>WCARNOI Index</stp>
        <stp>PX385</stp>
        <stp>[BI_AUTMG_1_l22cd4li.xlsx]ReferenceData!R189C9</stp>
        <stp>PX391=20180401</stp>
        <stp>PX392=20180630</stp>
        <stp>DS004=USD</stp>
        <stp>Fill=B</stp>
        <tr r="I189" s="3"/>
      </tp>
      <tp t="s">
        <v>#N/A Connection</v>
        <stp/>
        <stp>##V3_BDPV12</stp>
        <stp>WCARITI Index</stp>
        <stp>PX385</stp>
        <stp>[BI_AUTMG_1_l22cd4li.xlsx]ReferenceData!R186C9</stp>
        <stp>PX391=20180401</stp>
        <stp>PX392=20180630</stp>
        <stp>DS004=USD</stp>
        <stp>Fill=B</stp>
        <tr r="I186" s="3"/>
      </tp>
      <tp t="s">
        <v>#N/A Connection</v>
        <stp/>
        <stp>##V3_BDPV12</stp>
        <stp>WCARLUI Index</stp>
        <stp>PX385</stp>
        <stp>[BI_AUTMG_1_l22cd4li.xlsx]ReferenceData!R187C9</stp>
        <stp>PX391=20180401</stp>
        <stp>PX392=20180630</stp>
        <stp>DS004=USD</stp>
        <stp>Fill=B</stp>
        <tr r="I187" s="3"/>
      </tp>
      <tp t="s">
        <v>#N/A Connection</v>
        <stp/>
        <stp>##V3_BDPV12</stp>
        <stp>VNVSTOTL Index</stp>
        <stp>PX385</stp>
        <stp>[BI_AUTMG_1_l22cd4li.xlsx]ReferenceData!R214C9</stp>
        <stp>PX391=20180401</stp>
        <stp>PX392=20180630</stp>
        <stp>DS004=USD</stp>
        <stp>Fill=B</stp>
        <tr r="I214" s="3"/>
      </tp>
      <tp t="s">
        <v>#N/A Connection</v>
        <stp/>
        <stp>##V3_BDPV12</stp>
        <stp>WCARIEI Index</stp>
        <stp>PX385</stp>
        <stp>[BI_AUTMG_1_l22cd4li.xlsx]ReferenceData!R185C9</stp>
        <stp>PX391=20180401</stp>
        <stp>PX392=20180630</stp>
        <stp>DS004=USD</stp>
        <stp>Fill=B</stp>
        <tr r="I185" s="3"/>
      </tp>
      <tp t="s">
        <v>#N/A Connection</v>
        <stp/>
        <stp>##V3_BDPV12</stp>
        <stp>THVHSCAR Index</stp>
        <stp>PX385</stp>
        <stp>[BI_AUTMG_1_l22cd4li.xlsx]ReferenceData!R174C8</stp>
        <stp>PX391=20180701</stp>
        <stp>PX392=20180930</stp>
        <stp>DS004=USD</stp>
        <stp>Fill=B</stp>
        <tr r="H174" s="3"/>
      </tp>
      <tp t="s">
        <v>#N/A Connection</v>
        <stp/>
        <stp>##V3_BDPV12</stp>
        <stp>WCARDEI Index</stp>
        <stp>PX385</stp>
        <stp>[BI_AUTMG_1_l22cd4li.xlsx]ReferenceData!R182C9</stp>
        <stp>PX391=20180401</stp>
        <stp>PX392=20180630</stp>
        <stp>DS004=USD</stp>
        <stp>Fill=B</stp>
        <tr r="I182" s="3"/>
      </tp>
      <tp t="s">
        <v>#N/A Connection</v>
        <stp/>
        <stp>##V3_BDPV12</stp>
        <stp>WCARGRI Index</stp>
        <stp>PX385</stp>
        <stp>[BI_AUTMG_1_l22cd4li.xlsx]ReferenceData!R183C9</stp>
        <stp>PX391=20180401</stp>
        <stp>PX392=20180630</stp>
        <stp>DS004=USD</stp>
        <stp>Fill=B</stp>
        <tr r="I183" s="3"/>
      </tp>
      <tp t="s">
        <v>#N/A Connection</v>
        <stp/>
        <stp>##V3_BDPV12</stp>
        <stp>WCARFII Index</stp>
        <stp>PX385</stp>
        <stp>[BI_AUTMG_1_l22cd4li.xlsx]ReferenceData!R180C9</stp>
        <stp>PX391=20180401</stp>
        <stp>PX392=20180630</stp>
        <stp>DS004=USD</stp>
        <stp>Fill=B</stp>
        <tr r="I180" s="3"/>
      </tp>
      <tp t="s">
        <v>#N/A Connection</v>
        <stp/>
        <stp>##V3_BDPV12</stp>
        <stp>CHVSAUTO Index</stp>
        <stp>PX385</stp>
        <stp>[BI_AUTMG_1_l22cd4li.xlsx]ReferenceData!R212C8</stp>
        <stp>PX391=20180701</stp>
        <stp>PX392=20180930</stp>
        <stp>DS004=USD</stp>
        <stp>Fill=B</stp>
        <tr r="H212" s="3"/>
      </tp>
      <tp t="s">
        <v>#N/A Connection</v>
        <stp/>
        <stp>##V3_BDPV12</stp>
        <stp>ARVSARTL Index</stp>
        <stp>PX385</stp>
        <stp>[BI_AUTMG_1_l22cd4li.xlsx]ReferenceData!R210C9</stp>
        <stp>PX391=20180401</stp>
        <stp>PX392=20180630</stp>
        <stp>DS004=USD</stp>
        <stp>Fill=B</stp>
        <tr r="I210" s="3"/>
      </tp>
      <tp t="s">
        <v>#N/A Connection</v>
        <stp/>
        <stp>##V3_BDPV12</stp>
        <stp>WCARFRI Index</stp>
        <stp>PX385</stp>
        <stp>[BI_AUTMG_1_l22cd4li.xlsx]ReferenceData!R181C9</stp>
        <stp>PX391=20180401</stp>
        <stp>PX392=20180630</stp>
        <stp>DS004=USD</stp>
        <stp>Fill=B</stp>
        <tr r="I181" s="3"/>
      </tp>
      <tp t="s">
        <v>#N/A Connection</v>
        <stp/>
        <stp>##V3_BDPV12</stp>
        <stp>JNVTTOTL Index</stp>
        <stp>PX385</stp>
        <stp>[BI_AUTMG_1_l22cd4li.xlsx]ReferenceData!R167C9</stp>
        <stp>PX391=20180401</stp>
        <stp>PX392=20180630</stp>
        <stp>DS004=USD</stp>
        <stp>Fill=B</stp>
        <tr r="I167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[BI_AUTMG_1_l22cd4li.xlsx]ReferenceData!R224C6</stp>
        <stp>Per=CQ</stp>
        <stp>Dts=H</stp>
        <stp>Dir=H</stp>
        <stp>Points=60</stp>
        <stp>Sort=R</stp>
        <stp>Days=A</stp>
        <stp>Fill=B</stp>
        <stp>DZ666=084</stp>
        <stp>DZ381=16141010</stp>
        <stp>DZ667=6</stp>
        <stp>DS276=Y</stp>
        <stp>FX=USD</stp>
        <tr r="F224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[BI_AUTMG_1_l22cd4li.xlsx]ReferenceData!R225C6</stp>
        <stp>Per=CQ</stp>
        <stp>Dts=H</stp>
        <stp>Dir=H</stp>
        <stp>Points=60</stp>
        <stp>Sort=R</stp>
        <stp>Days=A</stp>
        <stp>Fill=B</stp>
        <stp>DZ666=084</stp>
        <stp>DZ381=16141010</stp>
        <stp>DZ667=1</stp>
        <stp>DS276=Y</stp>
        <stp>FX=USD</stp>
        <tr r="F225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[BI_AUTMG_1_l22cd4li.xlsx]ReferenceData!R228C6</stp>
        <stp>Per=CQ</stp>
        <stp>Dts=H</stp>
        <stp>Dir=H</stp>
        <stp>Points=60</stp>
        <stp>Sort=R</stp>
        <stp>Days=A</stp>
        <stp>Fill=B</stp>
        <stp>DZ666=084</stp>
        <stp>DZ381=11111010</stp>
        <stp>DZ667=6</stp>
        <stp>DS276=Y</stp>
        <stp>FX=USD</stp>
        <tr r="F228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[BI_AUTMG_1_l22cd4li.xlsx]ReferenceData!R226C6</stp>
        <stp>Per=CQ</stp>
        <stp>Dts=H</stp>
        <stp>Dir=H</stp>
        <stp>Points=60</stp>
        <stp>Sort=R</stp>
        <stp>Days=A</stp>
        <stp>Fill=B</stp>
        <stp>DZ666=084</stp>
        <stp>DZ381=11111010</stp>
        <stp>DZ667=3</stp>
        <stp>DS276=Y</stp>
        <stp>FX=USD</stp>
        <tr r="F226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[BI_AUTMG_1_l22cd4li.xlsx]ReferenceData!R227C6</stp>
        <stp>Per=CQ</stp>
        <stp>Dts=H</stp>
        <stp>Dir=H</stp>
        <stp>Points=60</stp>
        <stp>Sort=R</stp>
        <stp>Days=A</stp>
        <stp>Fill=B</stp>
        <stp>DZ666=084</stp>
        <stp>DZ381=11111010</stp>
        <stp>DZ667=4</stp>
        <stp>DS276=Y</stp>
        <stp>FX=USD</stp>
        <tr r="F227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[BI_AUTMG_1_l22cd4li.xlsx]ReferenceData!R220C6</stp>
        <stp>Per=CQ</stp>
        <stp>Dts=H</stp>
        <stp>Dir=H</stp>
        <stp>Points=60</stp>
        <stp>Sort=R</stp>
        <stp>Days=A</stp>
        <stp>Fill=B</stp>
        <stp>DZ666=084</stp>
        <stp>DZ381=11111010</stp>
        <stp>DZ667=2</stp>
        <stp>DS276=Y</stp>
        <stp>FX=USD</stp>
        <tr r="F220" s="3"/>
      </tp>
      <tp t="s">
        <v>#N/A Connection</v>
        <stp/>
        <stp>##V3_BDPV12</stp>
        <stp>BZVLTOTL Index</stp>
        <stp>PX385</stp>
        <stp>[BI_AUTMG_1_l22cd4li.xlsx]ReferenceData!R211C49</stp>
        <stp>PX391=20080401</stp>
        <stp>PX392=20080630</stp>
        <stp>DS004=USD</stp>
        <stp>Fill=B</stp>
        <tr r="AW211" s="3"/>
      </tp>
      <tp t="s">
        <v>#N/A Connection</v>
        <stp/>
        <stp>##V3_BDPV12</stp>
        <stp>BZVLTOTL Index</stp>
        <stp>PX385</stp>
        <stp>[BI_AUTMG_1_l22cd4li.xlsx]ReferenceData!R211C45</stp>
        <stp>PX391=20090401</stp>
        <stp>PX392=20090630</stp>
        <stp>DS004=USD</stp>
        <stp>Fill=B</stp>
        <tr r="AS211" s="3"/>
      </tp>
      <tp t="s">
        <v>#N/A Connection</v>
        <stp/>
        <stp>##V3_BDPV12</stp>
        <stp>BZVLTOTL Index</stp>
        <stp>PX385</stp>
        <stp>[BI_AUTMG_1_l22cd4li.xlsx]ReferenceData!R211C57</stp>
        <stp>PX391=20060401</stp>
        <stp>PX392=20060630</stp>
        <stp>DS004=USD</stp>
        <stp>Fill=B</stp>
        <tr r="BE211" s="3"/>
      </tp>
      <tp t="s">
        <v>#N/A Connection</v>
        <stp/>
        <stp>##V3_BDPV12</stp>
        <stp>BZVLTOTL Index</stp>
        <stp>PX385</stp>
        <stp>[BI_AUTMG_1_l22cd4li.xlsx]ReferenceData!R211C53</stp>
        <stp>PX391=20070401</stp>
        <stp>PX392=20070630</stp>
        <stp>DS004=USD</stp>
        <stp>Fill=B</stp>
        <tr r="BA211" s="3"/>
      </tp>
      <tp t="s">
        <v>#N/A Connection</v>
        <stp/>
        <stp>##V3_BDPV12</stp>
        <stp>BZVLTOTL Index</stp>
        <stp>PX385</stp>
        <stp>[BI_AUTMG_1_l22cd4li.xlsx]ReferenceData!R211C65</stp>
        <stp>PX391=20040401</stp>
        <stp>PX392=20040630</stp>
        <stp>DS004=USD</stp>
        <stp>Fill=B</stp>
        <tr r="BM211" s="3"/>
      </tp>
      <tp t="s">
        <v>#N/A Connection</v>
        <stp/>
        <stp>##V3_BDPV12</stp>
        <stp>BZVLTOTL Index</stp>
        <stp>PX385</stp>
        <stp>[BI_AUTMG_1_l22cd4li.xlsx]ReferenceData!R211C61</stp>
        <stp>PX391=20050401</stp>
        <stp>PX392=20050630</stp>
        <stp>DS004=USD</stp>
        <stp>Fill=B</stp>
        <tr r="BI211" s="3"/>
      </tp>
      <tp t="s">
        <v>#N/A Connection</v>
        <stp/>
        <stp>##V3_BDPV12</stp>
        <stp>COVSTCAR Index</stp>
        <stp>PX385</stp>
        <stp>[BI_AUTMG_1_l22cd4li.xlsx]ReferenceData!R213C52</stp>
        <stp>PX391=20070701</stp>
        <stp>PX392=20070930</stp>
        <stp>DS004=USD</stp>
        <stp>Fill=B</stp>
        <tr r="AZ213" s="3"/>
      </tp>
      <tp t="s">
        <v>#N/A Connection</v>
        <stp/>
        <stp>##V3_BDPV12</stp>
        <stp>COVSTCAR Index</stp>
        <stp>PX385</stp>
        <stp>[BI_AUTMG_1_l22cd4li.xlsx]ReferenceData!R213C56</stp>
        <stp>PX391=20060701</stp>
        <stp>PX392=20060930</stp>
        <stp>DS004=USD</stp>
        <stp>Fill=B</stp>
        <tr r="BD213" s="3"/>
      </tp>
      <tp t="s">
        <v>#N/A Connection</v>
        <stp/>
        <stp>##V3_BDPV12</stp>
        <stp>COVSTCAR Index</stp>
        <stp>PX385</stp>
        <stp>[BI_AUTMG_1_l22cd4li.xlsx]ReferenceData!R213C60</stp>
        <stp>PX391=20050701</stp>
        <stp>PX392=20050930</stp>
        <stp>DS004=USD</stp>
        <stp>Fill=B</stp>
        <tr r="BH213" s="3"/>
      </tp>
      <tp t="s">
        <v>#N/A Connection</v>
        <stp/>
        <stp>##V3_BDPV12</stp>
        <stp>AUTMVTVS Index</stp>
        <stp>PX385</stp>
        <stp>[BI_AUTMG_1_l22cd4li.xlsx]ReferenceData!R175C46</stp>
        <stp>PX391=20090101</stp>
        <stp>PX392=20090331</stp>
        <stp>DS004=USD</stp>
        <stp>Fill=B</stp>
        <tr r="AT175" s="3"/>
      </tp>
      <tp t="s">
        <v>#N/A Connection</v>
        <stp/>
        <stp>##V3_BDPV12</stp>
        <stp>COVSTCAR Index</stp>
        <stp>PX385</stp>
        <stp>[BI_AUTMG_1_l22cd4li.xlsx]ReferenceData!R213C64</stp>
        <stp>PX391=20040701</stp>
        <stp>PX392=20040930</stp>
        <stp>DS004=USD</stp>
        <stp>Fill=B</stp>
        <tr r="BL213" s="3"/>
      </tp>
      <tp t="s">
        <v>#N/A Connection</v>
        <stp/>
        <stp>##V3_BDPV12</stp>
        <stp>AUTMVTVS Index</stp>
        <stp>PX385</stp>
        <stp>[BI_AUTMG_1_l22cd4li.xlsx]ReferenceData!R175C50</stp>
        <stp>PX391=20080101</stp>
        <stp>PX392=20080331</stp>
        <stp>DS004=USD</stp>
        <stp>Fill=B</stp>
        <tr r="AX175" s="3"/>
      </tp>
      <tp t="s">
        <v>#N/A Connection</v>
        <stp/>
        <stp>##V3_BDPV12</stp>
        <stp>AUTMVTVS Index</stp>
        <stp>PX385</stp>
        <stp>[BI_AUTMG_1_l22cd4li.xlsx]ReferenceData!R175C15</stp>
        <stp>PX391=20161001</stp>
        <stp>PX392=20161231</stp>
        <stp>DS004=USD</stp>
        <stp>Fill=B</stp>
        <tr r="O175" s="3"/>
      </tp>
      <tp t="s">
        <v>#N/A Connection</v>
        <stp/>
        <stp>##V3_BDPV12</stp>
        <stp>AUTMVTVS Index</stp>
        <stp>PX385</stp>
        <stp>[BI_AUTMG_1_l22cd4li.xlsx]ReferenceData!R175C54</stp>
        <stp>PX391=20070101</stp>
        <stp>PX392=20070331</stp>
        <stp>DS004=USD</stp>
        <stp>Fill=B</stp>
        <tr r="BB175" s="3"/>
      </tp>
      <tp t="s">
        <v>#N/A Connection</v>
        <stp/>
        <stp>##V3_BDPV12</stp>
        <stp>AUTMVTVS Index</stp>
        <stp>PX385</stp>
        <stp>[BI_AUTMG_1_l22cd4li.xlsx]ReferenceData!R175C11</stp>
        <stp>PX391=20171001</stp>
        <stp>PX392=20171231</stp>
        <stp>DS004=USD</stp>
        <stp>Fill=B</stp>
        <tr r="K175" s="3"/>
      </tp>
      <tp t="s">
        <v>#N/A Connection</v>
        <stp/>
        <stp>##V3_BDPV12</stp>
        <stp>AUTMVTVS Index</stp>
        <stp>PX385</stp>
        <stp>[BI_AUTMG_1_l22cd4li.xlsx]ReferenceData!R175C58</stp>
        <stp>PX391=20060101</stp>
        <stp>PX392=20060331</stp>
        <stp>DS004=USD</stp>
        <stp>Fill=B</stp>
        <tr r="BF175" s="3"/>
      </tp>
      <tp t="s">
        <v>#N/A Connection</v>
        <stp/>
        <stp>##V3_BDPV12</stp>
        <stp>COVSTCAR Index</stp>
        <stp>PX385</stp>
        <stp>[BI_AUTMG_1_l22cd4li.xlsx]ReferenceData!R213C44</stp>
        <stp>PX391=20090701</stp>
        <stp>PX392=20090930</stp>
        <stp>DS004=USD</stp>
        <stp>Fill=B</stp>
        <tr r="AR213" s="3"/>
      </tp>
      <tp t="s">
        <v>#N/A Connection</v>
        <stp/>
        <stp>##V3_BDPV12</stp>
        <stp>AUTMVTVS Index</stp>
        <stp>PX385</stp>
        <stp>[BI_AUTMG_1_l22cd4li.xlsx]ReferenceData!R175C23</stp>
        <stp>PX391=20141001</stp>
        <stp>PX392=20141231</stp>
        <stp>DS004=USD</stp>
        <stp>Fill=B</stp>
        <tr r="W175" s="3"/>
      </tp>
      <tp t="s">
        <v>#N/A Connection</v>
        <stp/>
        <stp>##V3_BDPV12</stp>
        <stp>AUTMVTVS Index</stp>
        <stp>PX385</stp>
        <stp>[BI_AUTMG_1_l22cd4li.xlsx]ReferenceData!R175C62</stp>
        <stp>PX391=20050101</stp>
        <stp>PX392=20050331</stp>
        <stp>DS004=USD</stp>
        <stp>Fill=B</stp>
        <tr r="BJ175" s="3"/>
      </tp>
      <tp t="s">
        <v>#N/A Connection</v>
        <stp/>
        <stp>##V3_BDPV12</stp>
        <stp>COVSTCAR Index</stp>
        <stp>PX385</stp>
        <stp>[BI_AUTMG_1_l22cd4li.xlsx]ReferenceData!R213C48</stp>
        <stp>PX391=20080701</stp>
        <stp>PX392=20080930</stp>
        <stp>DS004=USD</stp>
        <stp>Fill=B</stp>
        <tr r="AV213" s="3"/>
      </tp>
      <tp t="s">
        <v>#N/A Connection</v>
        <stp/>
        <stp>##V3_BDPV12</stp>
        <stp>AUTMVTVS Index</stp>
        <stp>PX385</stp>
        <stp>[BI_AUTMG_1_l22cd4li.xlsx]ReferenceData!R175C19</stp>
        <stp>PX391=20151001</stp>
        <stp>PX392=20151231</stp>
        <stp>DS004=USD</stp>
        <stp>Fill=B</stp>
        <tr r="S175" s="3"/>
      </tp>
      <tp t="s">
        <v>#N/A Connection</v>
        <stp/>
        <stp>##V3_BDPV12</stp>
        <stp>AUTMVTVS Index</stp>
        <stp>PX385</stp>
        <stp>[BI_AUTMG_1_l22cd4li.xlsx]ReferenceData!R175C31</stp>
        <stp>PX391=20121001</stp>
        <stp>PX392=20121231</stp>
        <stp>DS004=USD</stp>
        <stp>Fill=B</stp>
        <tr r="AE175" s="3"/>
      </tp>
      <tp t="s">
        <v>#N/A Connection</v>
        <stp/>
        <stp>##V3_BDPV12</stp>
        <stp>AUTMVTVS Index</stp>
        <stp>PX385</stp>
        <stp>[BI_AUTMG_1_l22cd4li.xlsx]ReferenceData!R175C27</stp>
        <stp>PX391=20131001</stp>
        <stp>PX392=20131231</stp>
        <stp>DS004=USD</stp>
        <stp>Fill=B</stp>
        <tr r="AA175" s="3"/>
      </tp>
      <tp t="s">
        <v>#N/A Connection</v>
        <stp/>
        <stp>##V3_BDPV12</stp>
        <stp>AUTMVTVS Index</stp>
        <stp>PX385</stp>
        <stp>[BI_AUTMG_1_l22cd4li.xlsx]ReferenceData!R175C39</stp>
        <stp>PX391=20101001</stp>
        <stp>PX392=20101231</stp>
        <stp>DS004=USD</stp>
        <stp>Fill=B</stp>
        <tr r="AM175" s="3"/>
      </tp>
      <tp t="s">
        <v>#N/A Connection</v>
        <stp/>
        <stp>##V3_BDPV12</stp>
        <stp>AUTMVTVS Index</stp>
        <stp>PX385</stp>
        <stp>[BI_AUTMG_1_l22cd4li.xlsx]ReferenceData!R175C35</stp>
        <stp>PX391=20111001</stp>
        <stp>PX392=20111231</stp>
        <stp>DS004=USD</stp>
        <stp>Fill=B</stp>
        <tr r="AI175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[BI_AUTMG_1_l22cd4li.xlsx]ReferenceData!R221C6</stp>
        <stp>Per=CQ</stp>
        <stp>Dts=H</stp>
        <stp>Dir=H</stp>
        <stp>Points=60</stp>
        <stp>Sort=R</stp>
        <stp>Days=A</stp>
        <stp>Fill=B</stp>
        <stp>DZ666=084</stp>
        <stp>DZ381=11111010</stp>
        <stp>DZ667=140</stp>
        <stp>DS276=Y</stp>
        <stp>FX=USD</stp>
        <tr r="F221" s="3"/>
      </tp>
      <tp t="s">
        <v>#N/A Connection</v>
        <stp/>
        <stp>##V3_BDPV12</stp>
        <stp>NAAMCARS Index</stp>
        <stp>PX385</stp>
        <stp>[BI_AUTMG_1_l22cd4li.xlsx]ReferenceData!R217C9</stp>
        <stp>PX391=20180401</stp>
        <stp>PX392=20180630</stp>
        <stp>DS004=USD</stp>
        <stp>Fill=B</stp>
        <tr r="I217" s="3"/>
      </tp>
      <tp t="s">
        <v>#N/A Connection</v>
        <stp/>
        <stp>##V3_BDPV12</stp>
        <stp>PAVSCAR Index</stp>
        <stp>PX385</stp>
        <stp>[BI_AUTMG_1_l22cd4li.xlsx]ReferenceData!R169C8</stp>
        <stp>PX391=20180701</stp>
        <stp>PX392=20180930</stp>
        <stp>DS004=USD</stp>
        <stp>Fill=B</stp>
        <tr r="H169" s="3"/>
      </tp>
      <tp t="s">
        <v>#N/A Connection</v>
        <stp/>
        <stp>##V3_BDPV12</stp>
        <stp>WCARUKI Index</stp>
        <stp>PX385</stp>
        <stp>[BI_AUTMG_1_l22cd4li.xlsx]ReferenceData!R195C9</stp>
        <stp>PX391=20180401</stp>
        <stp>PX392=20180630</stp>
        <stp>DS004=USD</stp>
        <stp>Fill=B</stp>
        <tr r="I195" s="3"/>
      </tp>
      <tp t="s">
        <v>#N/A Connection</v>
        <stp/>
        <stp>##V3_BDPV12</stp>
        <stp>WCARSEI Index</stp>
        <stp>PX385</stp>
        <stp>[BI_AUTMG_1_l22cd4li.xlsx]ReferenceData!R192C9</stp>
        <stp>PX391=20180401</stp>
        <stp>PX392=20180630</stp>
        <stp>DS004=USD</stp>
        <stp>Fill=B</stp>
        <tr r="I192" s="3"/>
      </tp>
      <tp t="s">
        <v>#N/A Connection</v>
        <stp/>
        <stp>##V3_BDPV12</stp>
        <stp>WCARCHI Index</stp>
        <stp>PX385</stp>
        <stp>[BI_AUTMG_1_l22cd4li.xlsx]ReferenceData!R193C9</stp>
        <stp>PX391=20180401</stp>
        <stp>PX392=20180630</stp>
        <stp>DS004=USD</stp>
        <stp>Fill=B</stp>
        <tr r="I193" s="3"/>
      </tp>
      <tp t="s">
        <v>#N/A Connection</v>
        <stp/>
        <stp>##V3_BDPV12</stp>
        <stp>WCARPTI Index</stp>
        <stp>PX385</stp>
        <stp>[BI_AUTMG_1_l22cd4li.xlsx]ReferenceData!R190C9</stp>
        <stp>PX391=20180401</stp>
        <stp>PX392=20180630</stp>
        <stp>DS004=USD</stp>
        <stp>Fill=B</stp>
        <tr r="I190" s="3"/>
      </tp>
      <tp t="s">
        <v>#N/A Connection</v>
        <stp/>
        <stp>##V3_BDPV12</stp>
        <stp>WCARESI Index</stp>
        <stp>PX385</stp>
        <stp>[BI_AUTMG_1_l22cd4li.xlsx]ReferenceData!R191C9</stp>
        <stp>PX391=20180401</stp>
        <stp>PX392=20180630</stp>
        <stp>DS004=USD</stp>
        <stp>Fill=B</stp>
        <tr r="I191" s="3"/>
      </tp>
      <tp t="s">
        <v>#N/A Connection</v>
        <stp/>
        <stp>##V3_BDPV12</stp>
        <stp>BZVLTOTL Index</stp>
        <stp>PX385</stp>
        <stp>[BI_AUTMG_1_l22cd4li.xlsx]ReferenceData!R211C29</stp>
        <stp>PX391=20130401</stp>
        <stp>PX392=20130630</stp>
        <stp>DS004=USD</stp>
        <stp>Fill=B</stp>
        <tr r="AC211" s="3"/>
      </tp>
      <tp t="s">
        <v>#N/A Connection</v>
        <stp/>
        <stp>##V3_BDPV12</stp>
        <stp>BZVLTOTL Index</stp>
        <stp>PX385</stp>
        <stp>[BI_AUTMG_1_l22cd4li.xlsx]ReferenceData!R211C33</stp>
        <stp>PX391=20120401</stp>
        <stp>PX392=20120630</stp>
        <stp>DS004=USD</stp>
        <stp>Fill=B</stp>
        <tr r="AG211" s="3"/>
      </tp>
      <tp t="s">
        <v>#N/A Connection</v>
        <stp/>
        <stp>##V3_BDPV12</stp>
        <stp>BZVLTOTL Index</stp>
        <stp>PX385</stp>
        <stp>[BI_AUTMG_1_l22cd4li.xlsx]ReferenceData!R211C37</stp>
        <stp>PX391=20110401</stp>
        <stp>PX392=20110630</stp>
        <stp>DS004=USD</stp>
        <stp>Fill=B</stp>
        <tr r="AK211" s="3"/>
      </tp>
      <tp t="s">
        <v>#N/A Connection</v>
        <stp/>
        <stp>##V3_BDPV12</stp>
        <stp>BZVLTOTL Index</stp>
        <stp>PX385</stp>
        <stp>[BI_AUTMG_1_l22cd4li.xlsx]ReferenceData!R211C41</stp>
        <stp>PX391=20100401</stp>
        <stp>PX392=20100630</stp>
        <stp>DS004=USD</stp>
        <stp>Fill=B</stp>
        <tr r="AO211" s="3"/>
      </tp>
      <tp t="s">
        <v>#N/A Connection</v>
        <stp/>
        <stp>##V3_BDPV12</stp>
        <stp>BZVLTOTL Index</stp>
        <stp>PX385</stp>
        <stp>[BI_AUTMG_1_l22cd4li.xlsx]ReferenceData!R211C13</stp>
        <stp>PX391=20170401</stp>
        <stp>PX392=20170630</stp>
        <stp>DS004=USD</stp>
        <stp>Fill=B</stp>
        <tr r="M211" s="3"/>
      </tp>
      <tp t="s">
        <v>#N/A Connection</v>
        <stp/>
        <stp>##V3_BDPV12</stp>
        <stp>BZVLTOTL Index</stp>
        <stp>PX385</stp>
        <stp>[BI_AUTMG_1_l22cd4li.xlsx]ReferenceData!R211C17</stp>
        <stp>PX391=20160401</stp>
        <stp>PX392=20160630</stp>
        <stp>DS004=USD</stp>
        <stp>Fill=B</stp>
        <tr r="Q211" s="3"/>
      </tp>
      <tp t="s">
        <v>#N/A Connection</v>
        <stp/>
        <stp>##V3_BDPV12</stp>
        <stp>BZVLTOTL Index</stp>
        <stp>PX385</stp>
        <stp>[BI_AUTMG_1_l22cd4li.xlsx]ReferenceData!R211C21</stp>
        <stp>PX391=20150401</stp>
        <stp>PX392=20150630</stp>
        <stp>DS004=USD</stp>
        <stp>Fill=B</stp>
        <tr r="U211" s="3"/>
      </tp>
      <tp t="s">
        <v>#N/A Connection</v>
        <stp/>
        <stp>##V3_BDPV12</stp>
        <stp>BZVLTOTL Index</stp>
        <stp>PX385</stp>
        <stp>[BI_AUTMG_1_l22cd4li.xlsx]ReferenceData!R211C25</stp>
        <stp>PX391=20140401</stp>
        <stp>PX392=20140630</stp>
        <stp>DS004=USD</stp>
        <stp>Fill=B</stp>
        <tr r="Y211" s="3"/>
      </tp>
      <tp t="s">
        <v>#N/A Connection</v>
        <stp/>
        <stp>##V3_BDPV12</stp>
        <stp>COVSTCAR Index</stp>
        <stp>PX385</stp>
        <stp>[BI_AUTMG_1_l22cd4li.xlsx]ReferenceData!R213C32</stp>
        <stp>PX391=20120701</stp>
        <stp>PX392=20120930</stp>
        <stp>DS004=USD</stp>
        <stp>Fill=B</stp>
        <tr r="AF213" s="3"/>
      </tp>
      <tp t="s">
        <v>#N/A Connection</v>
        <stp/>
        <stp>##V3_BDPV12</stp>
        <stp>COVSTCAR Index</stp>
        <stp>PX385</stp>
        <stp>[BI_AUTMG_1_l22cd4li.xlsx]ReferenceData!R213C28</stp>
        <stp>PX391=20130701</stp>
        <stp>PX392=20130930</stp>
        <stp>DS004=USD</stp>
        <stp>Fill=B</stp>
        <tr r="AB213" s="3"/>
      </tp>
      <tp t="s">
        <v>#N/A Connection</v>
        <stp/>
        <stp>##V3_BDPV12</stp>
        <stp>COVSTCAR Index</stp>
        <stp>PX385</stp>
        <stp>[BI_AUTMG_1_l22cd4li.xlsx]ReferenceData!R213C40</stp>
        <stp>PX391=20100701</stp>
        <stp>PX392=20100930</stp>
        <stp>DS004=USD</stp>
        <stp>Fill=B</stp>
        <tr r="AN213" s="3"/>
      </tp>
      <tp t="s">
        <v>#N/A Connection</v>
        <stp/>
        <stp>##V3_BDPV12</stp>
        <stp>COVSTCAR Index</stp>
        <stp>PX385</stp>
        <stp>[BI_AUTMG_1_l22cd4li.xlsx]ReferenceData!R213C36</stp>
        <stp>PX391=20110701</stp>
        <stp>PX392=20110930</stp>
        <stp>DS004=USD</stp>
        <stp>Fill=B</stp>
        <tr r="AJ213" s="3"/>
      </tp>
      <tp t="s">
        <v>#N/A Connection</v>
        <stp/>
        <stp>##V3_BDPV12</stp>
        <stp>COVSTCAR Index</stp>
        <stp>PX385</stp>
        <stp>[BI_AUTMG_1_l22cd4li.xlsx]ReferenceData!R213C16</stp>
        <stp>PX391=20160701</stp>
        <stp>PX392=20160930</stp>
        <stp>DS004=USD</stp>
        <stp>Fill=B</stp>
        <tr r="P213" s="3"/>
      </tp>
      <tp t="s">
        <v>#N/A Connection</v>
        <stp/>
        <stp>##V3_BDPV12</stp>
        <stp>COVSTCAR Index</stp>
        <stp>PX385</stp>
        <stp>[BI_AUTMG_1_l22cd4li.xlsx]ReferenceData!R213C12</stp>
        <stp>PX391=20170701</stp>
        <stp>PX392=20170930</stp>
        <stp>DS004=USD</stp>
        <stp>Fill=B</stp>
        <tr r="L213" s="3"/>
      </tp>
      <tp t="s">
        <v>#N/A Connection</v>
        <stp/>
        <stp>##V3_BDPV12</stp>
        <stp>COVSTCAR Index</stp>
        <stp>PX385</stp>
        <stp>[BI_AUTMG_1_l22cd4li.xlsx]ReferenceData!R213C24</stp>
        <stp>PX391=20140701</stp>
        <stp>PX392=20140930</stp>
        <stp>DS004=USD</stp>
        <stp>Fill=B</stp>
        <tr r="X213" s="3"/>
      </tp>
      <tp t="s">
        <v>#N/A Connection</v>
        <stp/>
        <stp>##V3_BDPV12</stp>
        <stp>AUTMVTVS Index</stp>
        <stp>PX385</stp>
        <stp>[BI_AUTMG_1_l22cd4li.xlsx]ReferenceData!R175C43</stp>
        <stp>PX391=20091001</stp>
        <stp>PX392=20091231</stp>
        <stp>DS004=USD</stp>
        <stp>Fill=B</stp>
        <tr r="AQ175" s="3"/>
      </tp>
      <tp t="s">
        <v>#N/A Connection</v>
        <stp/>
        <stp>##V3_BDPV12</stp>
        <stp>AUTMVTVS Index</stp>
        <stp>PX385</stp>
        <stp>[BI_AUTMG_1_l22cd4li.xlsx]ReferenceData!R175C10</stp>
        <stp>PX391=20180101</stp>
        <stp>PX392=20180331</stp>
        <stp>DS004=USD</stp>
        <stp>Fill=B</stp>
        <tr r="J175" s="3"/>
      </tp>
      <tp t="s">
        <v>#N/A Connection</v>
        <stp/>
        <stp>##V3_BDPV12</stp>
        <stp>COVSTCAR Index</stp>
        <stp>PX385</stp>
        <stp>[BI_AUTMG_1_l22cd4li.xlsx]ReferenceData!R213C20</stp>
        <stp>PX391=20150701</stp>
        <stp>PX392=20150930</stp>
        <stp>DS004=USD</stp>
        <stp>Fill=B</stp>
        <tr r="T213" s="3"/>
      </tp>
      <tp t="s">
        <v>#N/A Connection</v>
        <stp/>
        <stp>##V3_BDPV12</stp>
        <stp>AUTMVTVS Index</stp>
        <stp>PX385</stp>
        <stp>[BI_AUTMG_1_l22cd4li.xlsx]ReferenceData!R175C47</stp>
        <stp>PX391=20081001</stp>
        <stp>PX392=20081231</stp>
        <stp>DS004=USD</stp>
        <stp>Fill=B</stp>
        <tr r="AU175" s="3"/>
      </tp>
      <tp t="s">
        <v>#N/A Connection</v>
        <stp/>
        <stp>##V3_BDPV12</stp>
        <stp>AUTMVTVS Index</stp>
        <stp>PX385</stp>
        <stp>[BI_AUTMG_1_l22cd4li.xlsx]ReferenceData!R175C18</stp>
        <stp>PX391=20160101</stp>
        <stp>PX392=20160331</stp>
        <stp>DS004=USD</stp>
        <stp>Fill=B</stp>
        <tr r="R175" s="3"/>
      </tp>
      <tp t="s">
        <v>#N/A Connection</v>
        <stp/>
        <stp>##V3_BDPV12</stp>
        <stp>AUTMVTVS Index</stp>
        <stp>PX385</stp>
        <stp>[BI_AUTMG_1_l22cd4li.xlsx]ReferenceData!R175C51</stp>
        <stp>PX391=20071001</stp>
        <stp>PX392=20071231</stp>
        <stp>DS004=USD</stp>
        <stp>Fill=B</stp>
        <tr r="AY175" s="3"/>
      </tp>
      <tp t="s">
        <v>#N/A Connection</v>
        <stp/>
        <stp>##V3_BDPV12</stp>
        <stp>AUTMVTVS Index</stp>
        <stp>PX385</stp>
        <stp>[BI_AUTMG_1_l22cd4li.xlsx]ReferenceData!R175C14</stp>
        <stp>PX391=20170101</stp>
        <stp>PX392=20170331</stp>
        <stp>DS004=USD</stp>
        <stp>Fill=B</stp>
        <tr r="N175" s="3"/>
      </tp>
      <tp t="s">
        <v>#N/A Connection</v>
        <stp/>
        <stp>##V3_BDPV12</stp>
        <stp>AUTMVTVS Index</stp>
        <stp>PX385</stp>
        <stp>[BI_AUTMG_1_l22cd4li.xlsx]ReferenceData!R175C55</stp>
        <stp>PX391=20061001</stp>
        <stp>PX392=20061231</stp>
        <stp>DS004=USD</stp>
        <stp>Fill=B</stp>
        <tr r="BC175" s="3"/>
      </tp>
      <tp t="s">
        <v>#N/A Connection</v>
        <stp/>
        <stp>##V3_BDPV12</stp>
        <stp>AUTMVTVS Index</stp>
        <stp>PX385</stp>
        <stp>[BI_AUTMG_1_l22cd4li.xlsx]ReferenceData!R175C26</stp>
        <stp>PX391=20140101</stp>
        <stp>PX392=20140331</stp>
        <stp>DS004=USD</stp>
        <stp>Fill=B</stp>
        <tr r="Z175" s="3"/>
      </tp>
      <tp t="s">
        <v>#N/A Connection</v>
        <stp/>
        <stp>##V3_BDPV12</stp>
        <stp>AUTMVTVS Index</stp>
        <stp>PX385</stp>
        <stp>[BI_AUTMG_1_l22cd4li.xlsx]ReferenceData!R175C59</stp>
        <stp>PX391=20051001</stp>
        <stp>PX392=20051231</stp>
        <stp>DS004=USD</stp>
        <stp>Fill=B</stp>
        <tr r="BG175" s="3"/>
      </tp>
      <tp t="s">
        <v>#N/A Connection</v>
        <stp/>
        <stp>##V3_BDPV12</stp>
        <stp>AUTMVTVS Index</stp>
        <stp>PX385</stp>
        <stp>[BI_AUTMG_1_l22cd4li.xlsx]ReferenceData!R175C22</stp>
        <stp>PX391=20150101</stp>
        <stp>PX392=20150331</stp>
        <stp>DS004=USD</stp>
        <stp>Fill=B</stp>
        <tr r="V175" s="3"/>
      </tp>
      <tp t="s">
        <v>#N/A Connection</v>
        <stp/>
        <stp>##V3_BDPV12</stp>
        <stp>AUTMVTVS Index</stp>
        <stp>PX385</stp>
        <stp>[BI_AUTMG_1_l22cd4li.xlsx]ReferenceData!R175C63</stp>
        <stp>PX391=20041001</stp>
        <stp>PX392=20041231</stp>
        <stp>DS004=USD</stp>
        <stp>Fill=B</stp>
        <tr r="BK175" s="3"/>
      </tp>
      <tp t="s">
        <v>#N/A Connection</v>
        <stp/>
        <stp>##V3_BDPV12</stp>
        <stp>AUTMVTVS Index</stp>
        <stp>PX385</stp>
        <stp>[BI_AUTMG_1_l22cd4li.xlsx]ReferenceData!R175C34</stp>
        <stp>PX391=20120101</stp>
        <stp>PX392=20120331</stp>
        <stp>DS004=USD</stp>
        <stp>Fill=B</stp>
        <tr r="AH175" s="3"/>
      </tp>
      <tp t="s">
        <v>#N/A Connection</v>
        <stp/>
        <stp>##V3_BDPV12</stp>
        <stp>AUTMVTVS Index</stp>
        <stp>PX385</stp>
        <stp>[BI_AUTMG_1_l22cd4li.xlsx]ReferenceData!R175C30</stp>
        <stp>PX391=20130101</stp>
        <stp>PX392=20130331</stp>
        <stp>DS004=USD</stp>
        <stp>Fill=B</stp>
        <tr r="AD175" s="3"/>
      </tp>
      <tp t="s">
        <v>#N/A Connection</v>
        <stp/>
        <stp>##V3_BDPV12</stp>
        <stp>AUTMVTVS Index</stp>
        <stp>PX385</stp>
        <stp>[BI_AUTMG_1_l22cd4li.xlsx]ReferenceData!R175C42</stp>
        <stp>PX391=20100101</stp>
        <stp>PX392=20100331</stp>
        <stp>DS004=USD</stp>
        <stp>Fill=B</stp>
        <tr r="AP175" s="3"/>
      </tp>
      <tp t="s">
        <v>#N/A Connection</v>
        <stp/>
        <stp>##V3_BDPV12</stp>
        <stp>AUTMVTVS Index</stp>
        <stp>PX385</stp>
        <stp>[BI_AUTMG_1_l22cd4li.xlsx]ReferenceData!R175C38</stp>
        <stp>PX391=20110101</stp>
        <stp>PX392=20110331</stp>
        <stp>DS004=USD</stp>
        <stp>Fill=B</stp>
        <tr r="AL175" s="3"/>
      </tp>
      <tp t="s">
        <v>#N/A Connection</v>
        <stp/>
        <stp>##V3_BDPV12</stp>
        <stp>AUTMKRVS Index</stp>
        <stp>PX385</stp>
        <stp>[BI_AUTMG_1_l22cd4li.xlsx]ReferenceData!R171C6</stp>
        <stp>PX391=20190101</stp>
        <stp>PX392=20190331</stp>
        <stp>DS004=USD</stp>
        <stp>Fill=B</stp>
        <tr r="F171" s="3"/>
      </tp>
      <tp t="s">
        <v>#N/A Connection</v>
        <stp/>
        <stp>##V3_BDPV12</stp>
        <stp>NAAMCARS Index</stp>
        <stp>PX385</stp>
        <stp>[BI_AUTMG_1_l22cd4li.xlsx]ReferenceData!R217C8</stp>
        <stp>PX391=20180701</stp>
        <stp>PX392=20180930</stp>
        <stp>DS004=USD</stp>
        <stp>Fill=B</stp>
        <tr r="H217" s="3"/>
      </tp>
      <tp t="s">
        <v>#N/A Connection</v>
        <stp/>
        <stp>##V3_BDPV12</stp>
        <stp>PAVSCAR Index</stp>
        <stp>PX385</stp>
        <stp>[BI_AUTMG_1_l22cd4li.xlsx]ReferenceData!R169C9</stp>
        <stp>PX391=20180401</stp>
        <stp>PX392=20180630</stp>
        <stp>DS004=USD</stp>
        <stp>Fill=B</stp>
        <tr r="I169" s="3"/>
      </tp>
      <tp t="s">
        <v>#N/A Connection</v>
        <stp/>
        <stp>##V3_BDPV12</stp>
        <stp>PHCSTOTL Index</stp>
        <stp>PX385</stp>
        <stp>[BI_AUTMG_1_l22cd4li.xlsx]ReferenceData!R170C7</stp>
        <stp>PX391=20181001</stp>
        <stp>PX392=20181231</stp>
        <stp>DS004=USD</stp>
        <stp>Fill=B</stp>
        <tr r="G170" s="3"/>
      </tp>
      <tp t="s">
        <v>#N/A Connection</v>
        <stp/>
        <stp>##V3_BDPV12</stp>
        <stp>WCARUKI Index</stp>
        <stp>PX385</stp>
        <stp>[BI_AUTMG_1_l22cd4li.xlsx]ReferenceData!R195C8</stp>
        <stp>PX391=20180701</stp>
        <stp>PX392=20180930</stp>
        <stp>DS004=USD</stp>
        <stp>Fill=B</stp>
        <tr r="H195" s="3"/>
      </tp>
      <tp t="s">
        <v>#N/A Connection</v>
        <stp/>
        <stp>##V3_BDPV12</stp>
        <stp>WCARSEI Index</stp>
        <stp>PX385</stp>
        <stp>[BI_AUTMG_1_l22cd4li.xlsx]ReferenceData!R192C8</stp>
        <stp>PX391=20180701</stp>
        <stp>PX392=20180930</stp>
        <stp>DS004=USD</stp>
        <stp>Fill=B</stp>
        <tr r="H192" s="3"/>
      </tp>
      <tp t="s">
        <v>#N/A Connection</v>
        <stp/>
        <stp>##V3_BDPV12</stp>
        <stp>RUAUTOTL Index</stp>
        <stp>PX385</stp>
        <stp>[BI_AUTMG_1_l22cd4li.xlsx]ReferenceData!R204C6</stp>
        <stp>PX391=20190101</stp>
        <stp>PX392=20190331</stp>
        <stp>DS004=USD</stp>
        <stp>Fill=B</stp>
        <tr r="F204" s="3"/>
      </tp>
      <tp t="s">
        <v>#N/A Connection</v>
        <stp/>
        <stp>##V3_BDPV12</stp>
        <stp>WCARCHI Index</stp>
        <stp>PX385</stp>
        <stp>[BI_AUTMG_1_l22cd4li.xlsx]ReferenceData!R193C8</stp>
        <stp>PX391=20180701</stp>
        <stp>PX392=20180930</stp>
        <stp>DS004=USD</stp>
        <stp>Fill=B</stp>
        <tr r="H193" s="3"/>
      </tp>
      <tp t="s">
        <v>#N/A Connection</v>
        <stp/>
        <stp>##V3_BDPV12</stp>
        <stp>WCARPTI Index</stp>
        <stp>PX385</stp>
        <stp>[BI_AUTMG_1_l22cd4li.xlsx]ReferenceData!R190C8</stp>
        <stp>PX391=20180701</stp>
        <stp>PX392=20180930</stp>
        <stp>DS004=USD</stp>
        <stp>Fill=B</stp>
        <tr r="H190" s="3"/>
      </tp>
      <tp t="s">
        <v>#N/A Connection</v>
        <stp/>
        <stp>##V3_BDPV12</stp>
        <stp>AUTMAUVS Index</stp>
        <stp>PX385</stp>
        <stp>[BI_AUTMG_1_l22cd4li.xlsx]ReferenceData!R161C7</stp>
        <stp>PX391=20181001</stp>
        <stp>PX392=20181231</stp>
        <stp>DS004=USD</stp>
        <stp>Fill=B</stp>
        <tr r="G161" s="3"/>
      </tp>
      <tp t="s">
        <v>#N/A Connection</v>
        <stp/>
        <stp>##V3_BDPV12</stp>
        <stp>WCARESI Index</stp>
        <stp>PX385</stp>
        <stp>[BI_AUTMG_1_l22cd4li.xlsx]ReferenceData!R191C8</stp>
        <stp>PX391=20180701</stp>
        <stp>PX392=20180930</stp>
        <stp>DS004=USD</stp>
        <stp>Fill=B</stp>
        <tr r="H191" s="3"/>
      </tp>
      <tp t="s">
        <v>#N/A Connection</v>
        <stp/>
        <stp>##V3_BDPV12</stp>
        <stp>AUTMVTVS Index</stp>
        <stp>PX385</stp>
        <stp>[BI_AUTMG_1_l22cd4li.xlsx]ReferenceData!R175C6</stp>
        <stp>PX391=20190101</stp>
        <stp>PX392=20190331</stp>
        <stp>DS004=USD</stp>
        <stp>Fill=B</stp>
        <tr r="F175" s="3"/>
      </tp>
      <tp t="s">
        <v>#N/A Connection</v>
        <stp/>
        <stp>##V3_BDPV12</stp>
        <stp>BZVLTOTL Index</stp>
        <stp>PX385</stp>
        <stp>[BI_AUTMG_1_l22cd4li.xlsx]ReferenceData!R211C28</stp>
        <stp>PX391=20130701</stp>
        <stp>PX392=20130930</stp>
        <stp>DS004=USD</stp>
        <stp>Fill=B</stp>
        <tr r="AB211" s="3"/>
      </tp>
      <tp t="s">
        <v>#N/A Connection</v>
        <stp/>
        <stp>##V3_BDPV12</stp>
        <stp>BZVLTOTL Index</stp>
        <stp>PX385</stp>
        <stp>[BI_AUTMG_1_l22cd4li.xlsx]ReferenceData!R211C32</stp>
        <stp>PX391=20120701</stp>
        <stp>PX392=20120930</stp>
        <stp>DS004=USD</stp>
        <stp>Fill=B</stp>
        <tr r="AF211" s="3"/>
      </tp>
      <tp t="s">
        <v>#N/A Connection</v>
        <stp/>
        <stp>##V3_BDPV12</stp>
        <stp>BZVLTOTL Index</stp>
        <stp>PX385</stp>
        <stp>[BI_AUTMG_1_l22cd4li.xlsx]ReferenceData!R211C36</stp>
        <stp>PX391=20110701</stp>
        <stp>PX392=20110930</stp>
        <stp>DS004=USD</stp>
        <stp>Fill=B</stp>
        <tr r="AJ211" s="3"/>
      </tp>
      <tp t="s">
        <v>#N/A Connection</v>
        <stp/>
        <stp>##V3_BDPV12</stp>
        <stp>BZVLTOTL Index</stp>
        <stp>PX385</stp>
        <stp>[BI_AUTMG_1_l22cd4li.xlsx]ReferenceData!R211C40</stp>
        <stp>PX391=20100701</stp>
        <stp>PX392=20100930</stp>
        <stp>DS004=USD</stp>
        <stp>Fill=B</stp>
        <tr r="AN211" s="3"/>
      </tp>
      <tp t="s">
        <v>#N/A Connection</v>
        <stp/>
        <stp>##V3_BDPV12</stp>
        <stp>BZVLTOTL Index</stp>
        <stp>PX385</stp>
        <stp>[BI_AUTMG_1_l22cd4li.xlsx]ReferenceData!R211C12</stp>
        <stp>PX391=20170701</stp>
        <stp>PX392=20170930</stp>
        <stp>DS004=USD</stp>
        <stp>Fill=B</stp>
        <tr r="L211" s="3"/>
      </tp>
      <tp t="s">
        <v>#N/A Connection</v>
        <stp/>
        <stp>##V3_BDPV12</stp>
        <stp>BZVLTOTL Index</stp>
        <stp>PX385</stp>
        <stp>[BI_AUTMG_1_l22cd4li.xlsx]ReferenceData!R211C16</stp>
        <stp>PX391=20160701</stp>
        <stp>PX392=20160930</stp>
        <stp>DS004=USD</stp>
        <stp>Fill=B</stp>
        <tr r="P211" s="3"/>
      </tp>
      <tp t="s">
        <v>#N/A Connection</v>
        <stp/>
        <stp>##V3_BDPV12</stp>
        <stp>BZVLTOTL Index</stp>
        <stp>PX385</stp>
        <stp>[BI_AUTMG_1_l22cd4li.xlsx]ReferenceData!R211C20</stp>
        <stp>PX391=20150701</stp>
        <stp>PX392=20150930</stp>
        <stp>DS004=USD</stp>
        <stp>Fill=B</stp>
        <tr r="T211" s="3"/>
      </tp>
      <tp t="s">
        <v>#N/A Connection</v>
        <stp/>
        <stp>##V3_BDPV12</stp>
        <stp>BZVLTOTL Index</stp>
        <stp>PX385</stp>
        <stp>[BI_AUTMG_1_l22cd4li.xlsx]ReferenceData!R211C24</stp>
        <stp>PX391=20140701</stp>
        <stp>PX392=20140930</stp>
        <stp>DS004=USD</stp>
        <stp>Fill=B</stp>
        <tr r="X211" s="3"/>
      </tp>
      <tp t="s">
        <v>#N/A Connection</v>
        <stp/>
        <stp>##V3_BDPV12</stp>
        <stp>COVSTCAR Index</stp>
        <stp>PX385</stp>
        <stp>[BI_AUTMG_1_l22cd4li.xlsx]ReferenceData!R213C33</stp>
        <stp>PX391=20120401</stp>
        <stp>PX392=20120630</stp>
        <stp>DS004=USD</stp>
        <stp>Fill=B</stp>
        <tr r="AG213" s="3"/>
      </tp>
      <tp t="s">
        <v>#N/A Connection</v>
        <stp/>
        <stp>##V3_BDPV12</stp>
        <stp>COVSTCAR Index</stp>
        <stp>PX385</stp>
        <stp>[BI_AUTMG_1_l22cd4li.xlsx]ReferenceData!R213C29</stp>
        <stp>PX391=20130401</stp>
        <stp>PX392=20130630</stp>
        <stp>DS004=USD</stp>
        <stp>Fill=B</stp>
        <tr r="AC213" s="3"/>
      </tp>
      <tp t="s">
        <v>#N/A Connection</v>
        <stp/>
        <stp>##V3_BDPV12</stp>
        <stp>COVSTCAR Index</stp>
        <stp>PX385</stp>
        <stp>[BI_AUTMG_1_l22cd4li.xlsx]ReferenceData!R213C41</stp>
        <stp>PX391=20100401</stp>
        <stp>PX392=20100630</stp>
        <stp>DS004=USD</stp>
        <stp>Fill=B</stp>
        <tr r="AO213" s="3"/>
      </tp>
      <tp t="s">
        <v>#N/A Connection</v>
        <stp/>
        <stp>##V3_BDPV12</stp>
        <stp>COVSTCAR Index</stp>
        <stp>PX385</stp>
        <stp>[BI_AUTMG_1_l22cd4li.xlsx]ReferenceData!R213C37</stp>
        <stp>PX391=20110401</stp>
        <stp>PX392=20110630</stp>
        <stp>DS004=USD</stp>
        <stp>Fill=B</stp>
        <tr r="AK213" s="3"/>
      </tp>
      <tp t="s">
        <v>#N/A Connection</v>
        <stp/>
        <stp>##V3_BDPV12</stp>
        <stp>COVSTCAR Index</stp>
        <stp>PX385</stp>
        <stp>[BI_AUTMG_1_l22cd4li.xlsx]ReferenceData!R213C17</stp>
        <stp>PX391=20160401</stp>
        <stp>PX392=20160630</stp>
        <stp>DS004=USD</stp>
        <stp>Fill=B</stp>
        <tr r="Q213" s="3"/>
      </tp>
      <tp t="s">
        <v>#N/A Connection</v>
        <stp/>
        <stp>##V3_BDPV12</stp>
        <stp>COVSTCAR Index</stp>
        <stp>PX385</stp>
        <stp>[BI_AUTMG_1_l22cd4li.xlsx]ReferenceData!R213C13</stp>
        <stp>PX391=20170401</stp>
        <stp>PX392=20170630</stp>
        <stp>DS004=USD</stp>
        <stp>Fill=B</stp>
        <tr r="M213" s="3"/>
      </tp>
      <tp t="s">
        <v>#N/A Connection</v>
        <stp/>
        <stp>##V3_BDPV12</stp>
        <stp>CAUTSALE Index</stp>
        <stp>PX385</stp>
        <stp>[BI_AUTMG_1_l22cd4li.xlsx]ReferenceData!R160C50</stp>
        <stp>PX391=20080101</stp>
        <stp>PX392=20080331</stp>
        <stp>DS004=USD</stp>
        <stp>Fill=B</stp>
        <tr r="AX160" s="3"/>
      </tp>
      <tp t="s">
        <v>#N/A Connection</v>
        <stp/>
        <stp>##V3_BDPV12</stp>
        <stp>COVSTCAR Index</stp>
        <stp>PX385</stp>
        <stp>[BI_AUTMG_1_l22cd4li.xlsx]ReferenceData!R213C25</stp>
        <stp>PX391=20140401</stp>
        <stp>PX392=20140630</stp>
        <stp>DS004=USD</stp>
        <stp>Fill=B</stp>
        <tr r="Y213" s="3"/>
      </tp>
      <tp t="s">
        <v>#N/A Connection</v>
        <stp/>
        <stp>##V3_BDPV12</stp>
        <stp>CAUTSALE Index</stp>
        <stp>PX385</stp>
        <stp>[BI_AUTMG_1_l22cd4li.xlsx]ReferenceData!R160C46</stp>
        <stp>PX391=20090101</stp>
        <stp>PX392=20090331</stp>
        <stp>DS004=USD</stp>
        <stp>Fill=B</stp>
        <tr r="AT160" s="3"/>
      </tp>
      <tp t="s">
        <v>#N/A Connection</v>
        <stp/>
        <stp>##V3_BDPV12</stp>
        <stp>COVSTCAR Index</stp>
        <stp>PX385</stp>
        <stp>[BI_AUTMG_1_l22cd4li.xlsx]ReferenceData!R213C21</stp>
        <stp>PX391=20150401</stp>
        <stp>PX392=20150630</stp>
        <stp>DS004=USD</stp>
        <stp>Fill=B</stp>
        <tr r="U213" s="3"/>
      </tp>
      <tp t="s">
        <v>#N/A Connection</v>
        <stp/>
        <stp>##V3_BDPV12</stp>
        <stp>CAUTSALE Index</stp>
        <stp>PX385</stp>
        <stp>[BI_AUTMG_1_l22cd4li.xlsx]ReferenceData!R160C11</stp>
        <stp>PX391=20171001</stp>
        <stp>PX392=20171231</stp>
        <stp>DS004=USD</stp>
        <stp>Fill=B</stp>
        <tr r="K160" s="3"/>
      </tp>
      <tp t="s">
        <v>#N/A Connection</v>
        <stp/>
        <stp>##V3_BDPV12</stp>
        <stp>CAUTSALE Index</stp>
        <stp>PX385</stp>
        <stp>[BI_AUTMG_1_l22cd4li.xlsx]ReferenceData!R160C58</stp>
        <stp>PX391=20060101</stp>
        <stp>PX392=20060331</stp>
        <stp>DS004=USD</stp>
        <stp>Fill=B</stp>
        <tr r="BF160" s="3"/>
      </tp>
      <tp t="s">
        <v>#N/A Connection</v>
        <stp/>
        <stp>##V3_BDPV12</stp>
        <stp>CAUTSALE Index</stp>
        <stp>PX385</stp>
        <stp>[BI_AUTMG_1_l22cd4li.xlsx]ReferenceData!R160C15</stp>
        <stp>PX391=20161001</stp>
        <stp>PX392=20161231</stp>
        <stp>DS004=USD</stp>
        <stp>Fill=B</stp>
        <tr r="O160" s="3"/>
      </tp>
      <tp t="s">
        <v>#N/A Connection</v>
        <stp/>
        <stp>##V3_BDPV12</stp>
        <stp>CAUTSALE Index</stp>
        <stp>PX385</stp>
        <stp>[BI_AUTMG_1_l22cd4li.xlsx]ReferenceData!R160C54</stp>
        <stp>PX391=20070101</stp>
        <stp>PX392=20070331</stp>
        <stp>DS004=USD</stp>
        <stp>Fill=B</stp>
        <tr r="BB160" s="3"/>
      </tp>
      <tp t="s">
        <v>#N/A Connection</v>
        <stp/>
        <stp>##V3_BDPV12</stp>
        <stp>CAUTSALE Index</stp>
        <stp>PX385</stp>
        <stp>[BI_AUTMG_1_l22cd4li.xlsx]ReferenceData!R160C19</stp>
        <stp>PX391=20151001</stp>
        <stp>PX392=20151231</stp>
        <stp>DS004=USD</stp>
        <stp>Fill=B</stp>
        <tr r="S160" s="3"/>
      </tp>
      <tp t="s">
        <v>#N/A Connection</v>
        <stp/>
        <stp>##V3_BDPV12</stp>
        <stp>CAUTSALE Index</stp>
        <stp>PX385</stp>
        <stp>[BI_AUTMG_1_l22cd4li.xlsx]ReferenceData!R160C23</stp>
        <stp>PX391=20141001</stp>
        <stp>PX392=20141231</stp>
        <stp>DS004=USD</stp>
        <stp>Fill=B</stp>
        <tr r="W160" s="3"/>
      </tp>
      <tp t="s">
        <v>#N/A Connection</v>
        <stp/>
        <stp>##V3_BDPV12</stp>
        <stp>CAUTSALE Index</stp>
        <stp>PX385</stp>
        <stp>[BI_AUTMG_1_l22cd4li.xlsx]ReferenceData!R160C62</stp>
        <stp>PX391=20050101</stp>
        <stp>PX392=20050331</stp>
        <stp>DS004=USD</stp>
        <stp>Fill=B</stp>
        <tr r="BJ160" s="3"/>
      </tp>
      <tp t="s">
        <v>#N/A Connection</v>
        <stp/>
        <stp>##V3_BDPV12</stp>
        <stp>CAUTSALE Index</stp>
        <stp>PX385</stp>
        <stp>[BI_AUTMG_1_l22cd4li.xlsx]ReferenceData!R160C27</stp>
        <stp>PX391=20131001</stp>
        <stp>PX392=20131231</stp>
        <stp>DS004=USD</stp>
        <stp>Fill=B</stp>
        <tr r="AA160" s="3"/>
      </tp>
      <tp t="s">
        <v>#N/A Connection</v>
        <stp/>
        <stp>##V3_BDPV12</stp>
        <stp>CAUTSALE Index</stp>
        <stp>PX385</stp>
        <stp>[BI_AUTMG_1_l22cd4li.xlsx]ReferenceData!R160C31</stp>
        <stp>PX391=20121001</stp>
        <stp>PX392=20121231</stp>
        <stp>DS004=USD</stp>
        <stp>Fill=B</stp>
        <tr r="AE160" s="3"/>
      </tp>
      <tp t="s">
        <v>#N/A Connection</v>
        <stp/>
        <stp>##V3_BDPV12</stp>
        <stp>CAUTSALE Index</stp>
        <stp>PX385</stp>
        <stp>[BI_AUTMG_1_l22cd4li.xlsx]ReferenceData!R160C35</stp>
        <stp>PX391=20111001</stp>
        <stp>PX392=20111231</stp>
        <stp>DS004=USD</stp>
        <stp>Fill=B</stp>
        <tr r="AI160" s="3"/>
      </tp>
      <tp t="s">
        <v>#N/A Connection</v>
        <stp/>
        <stp>##V3_BDPV12</stp>
        <stp>CAUTSALE Index</stp>
        <stp>PX385</stp>
        <stp>[BI_AUTMG_1_l22cd4li.xlsx]ReferenceData!R160C39</stp>
        <stp>PX391=20101001</stp>
        <stp>PX392=20101231</stp>
        <stp>DS004=USD</stp>
        <stp>Fill=B</stp>
        <tr r="AM160" s="3"/>
      </tp>
      <tp t="s">
        <v>#N/A Connection</v>
        <stp/>
        <stp>##V3_BDPV12</stp>
        <stp>AUTMKRVS Index</stp>
        <stp>PX385</stp>
        <stp>[BI_AUTMG_1_l22cd4li.xlsx]ReferenceData!R171C7</stp>
        <stp>PX391=20181001</stp>
        <stp>PX392=20181231</stp>
        <stp>DS004=USD</stp>
        <stp>Fill=B</stp>
        <tr r="G171" s="3"/>
      </tp>
      <tp t="s">
        <v>#N/A Connection</v>
        <stp/>
        <stp>##V3_BDPV12</stp>
        <stp>WCARNLI Index</stp>
        <stp>PX385</stp>
        <stp>[BI_AUTMG_1_l22cd4li.xlsx]ReferenceData!R188C8</stp>
        <stp>PX391=20180701</stp>
        <stp>PX392=20180930</stp>
        <stp>DS004=USD</stp>
        <stp>Fill=B</stp>
        <tr r="H188" s="3"/>
      </tp>
      <tp t="s">
        <v>#N/A Connection</v>
        <stp/>
        <stp>##V3_BDPV12</stp>
        <stp>WCARNOI Index</stp>
        <stp>PX385</stp>
        <stp>[BI_AUTMG_1_l22cd4li.xlsx]ReferenceData!R189C8</stp>
        <stp>PX391=20180701</stp>
        <stp>PX392=20180930</stp>
        <stp>DS004=USD</stp>
        <stp>Fill=B</stp>
        <tr r="H189" s="3"/>
      </tp>
      <tp t="s">
        <v>#N/A Connection</v>
        <stp/>
        <stp>##V3_BDPV12</stp>
        <stp>WCARITI Index</stp>
        <stp>PX385</stp>
        <stp>[BI_AUTMG_1_l22cd4li.xlsx]ReferenceData!R186C8</stp>
        <stp>PX391=20180701</stp>
        <stp>PX392=20180930</stp>
        <stp>DS004=USD</stp>
        <stp>Fill=B</stp>
        <tr r="H186" s="3"/>
      </tp>
      <tp t="s">
        <v>#N/A Connection</v>
        <stp/>
        <stp>##V3_BDPV12</stp>
        <stp>WCARLUI Index</stp>
        <stp>PX385</stp>
        <stp>[BI_AUTMG_1_l22cd4li.xlsx]ReferenceData!R187C8</stp>
        <stp>PX391=20180701</stp>
        <stp>PX392=20180930</stp>
        <stp>DS004=USD</stp>
        <stp>Fill=B</stp>
        <tr r="H187" s="3"/>
      </tp>
      <tp t="s">
        <v>#N/A Connection</v>
        <stp/>
        <stp>##V3_BDPV12</stp>
        <stp>VNVSTOTL Index</stp>
        <stp>PX385</stp>
        <stp>[BI_AUTMG_1_l22cd4li.xlsx]ReferenceData!R214C8</stp>
        <stp>PX391=20180701</stp>
        <stp>PX392=20180930</stp>
        <stp>DS004=USD</stp>
        <stp>Fill=B</stp>
        <tr r="H214" s="3"/>
      </tp>
      <tp t="s">
        <v>#N/A Connection</v>
        <stp/>
        <stp>##V3_BDPV12</stp>
        <stp>WCARIEI Index</stp>
        <stp>PX385</stp>
        <stp>[BI_AUTMG_1_l22cd4li.xlsx]ReferenceData!R185C8</stp>
        <stp>PX391=20180701</stp>
        <stp>PX392=20180930</stp>
        <stp>DS004=USD</stp>
        <stp>Fill=B</stp>
        <tr r="H185" s="3"/>
      </tp>
      <tp t="s">
        <v>#N/A Connection</v>
        <stp/>
        <stp>##V3_BDPV12</stp>
        <stp>PHCSTOTL Index</stp>
        <stp>PX385</stp>
        <stp>[BI_AUTMG_1_l22cd4li.xlsx]ReferenceData!R170C6</stp>
        <stp>PX391=20190101</stp>
        <stp>PX392=20190331</stp>
        <stp>DS004=USD</stp>
        <stp>Fill=B</stp>
        <tr r="F170" s="3"/>
      </tp>
      <tp t="s">
        <v>#N/A Connection</v>
        <stp/>
        <stp>##V3_BDPV12</stp>
        <stp>RUAUTOTL Index</stp>
        <stp>PX385</stp>
        <stp>[BI_AUTMG_1_l22cd4li.xlsx]ReferenceData!R204C7</stp>
        <stp>PX391=20181001</stp>
        <stp>PX392=20181231</stp>
        <stp>DS004=USD</stp>
        <stp>Fill=B</stp>
        <tr r="G204" s="3"/>
      </tp>
      <tp t="s">
        <v>#N/A Connection</v>
        <stp/>
        <stp>##V3_BDPV12</stp>
        <stp>THVHSCAR Index</stp>
        <stp>PX385</stp>
        <stp>[BI_AUTMG_1_l22cd4li.xlsx]ReferenceData!R174C9</stp>
        <stp>PX391=20180401</stp>
        <stp>PX392=20180630</stp>
        <stp>DS004=USD</stp>
        <stp>Fill=B</stp>
        <tr r="I174" s="3"/>
      </tp>
      <tp t="s">
        <v>#N/A Connection</v>
        <stp/>
        <stp>##V3_BDPV12</stp>
        <stp>WCARDEI Index</stp>
        <stp>PX385</stp>
        <stp>[BI_AUTMG_1_l22cd4li.xlsx]ReferenceData!R182C8</stp>
        <stp>PX391=20180701</stp>
        <stp>PX392=20180930</stp>
        <stp>DS004=USD</stp>
        <stp>Fill=B</stp>
        <tr r="H182" s="3"/>
      </tp>
      <tp t="s">
        <v>#N/A Connection</v>
        <stp/>
        <stp>##V3_BDPV12</stp>
        <stp>WCARGRI Index</stp>
        <stp>PX385</stp>
        <stp>[BI_AUTMG_1_l22cd4li.xlsx]ReferenceData!R183C8</stp>
        <stp>PX391=20180701</stp>
        <stp>PX392=20180930</stp>
        <stp>DS004=USD</stp>
        <stp>Fill=B</stp>
        <tr r="H183" s="3"/>
      </tp>
      <tp t="s">
        <v>#N/A Connection</v>
        <stp/>
        <stp>##V3_BDPV12</stp>
        <stp>AUTMAUVS Index</stp>
        <stp>PX385</stp>
        <stp>[BI_AUTMG_1_l22cd4li.xlsx]ReferenceData!R161C6</stp>
        <stp>PX391=20190101</stp>
        <stp>PX392=20190331</stp>
        <stp>DS004=USD</stp>
        <stp>Fill=B</stp>
        <tr r="F161" s="3"/>
      </tp>
      <tp t="s">
        <v>#N/A Connection</v>
        <stp/>
        <stp>##V3_BDPV12</stp>
        <stp>WCARFII Index</stp>
        <stp>PX385</stp>
        <stp>[BI_AUTMG_1_l22cd4li.xlsx]ReferenceData!R180C8</stp>
        <stp>PX391=20180701</stp>
        <stp>PX392=20180930</stp>
        <stp>DS004=USD</stp>
        <stp>Fill=B</stp>
        <tr r="H180" s="3"/>
      </tp>
      <tp t="s">
        <v>#N/A Connection</v>
        <stp/>
        <stp>##V3_BDPV12</stp>
        <stp>CHVSAUTO Index</stp>
        <stp>PX385</stp>
        <stp>[BI_AUTMG_1_l22cd4li.xlsx]ReferenceData!R212C9</stp>
        <stp>PX391=20180401</stp>
        <stp>PX392=20180630</stp>
        <stp>DS004=USD</stp>
        <stp>Fill=B</stp>
        <tr r="I212" s="3"/>
      </tp>
      <tp t="s">
        <v>#N/A Connection</v>
        <stp/>
        <stp>##V3_BDPV12</stp>
        <stp>ARVSARTL Index</stp>
        <stp>PX385</stp>
        <stp>[BI_AUTMG_1_l22cd4li.xlsx]ReferenceData!R210C8</stp>
        <stp>PX391=20180701</stp>
        <stp>PX392=20180930</stp>
        <stp>DS004=USD</stp>
        <stp>Fill=B</stp>
        <tr r="H210" s="3"/>
      </tp>
      <tp t="s">
        <v>#N/A Connection</v>
        <stp/>
        <stp>##V3_BDPV12</stp>
        <stp>WCARFRI Index</stp>
        <stp>PX385</stp>
        <stp>[BI_AUTMG_1_l22cd4li.xlsx]ReferenceData!R181C8</stp>
        <stp>PX391=20180701</stp>
        <stp>PX392=20180930</stp>
        <stp>DS004=USD</stp>
        <stp>Fill=B</stp>
        <tr r="H181" s="3"/>
      </tp>
      <tp t="s">
        <v>#N/A Connection</v>
        <stp/>
        <stp>##V3_BDPV12</stp>
        <stp>JNVTTOTL Index</stp>
        <stp>PX385</stp>
        <stp>[BI_AUTMG_1_l22cd4li.xlsx]ReferenceData!R167C8</stp>
        <stp>PX391=20180701</stp>
        <stp>PX392=20180930</stp>
        <stp>DS004=USD</stp>
        <stp>Fill=B</stp>
        <tr r="H167" s="3"/>
      </tp>
      <tp t="s">
        <v>#N/A Connection</v>
        <stp/>
        <stp>##V3_BDPV12</stp>
        <stp>AUTMVTVS Index</stp>
        <stp>PX385</stp>
        <stp>[BI_AUTMG_1_l22cd4li.xlsx]ReferenceData!R175C7</stp>
        <stp>PX391=20181001</stp>
        <stp>PX392=20181231</stp>
        <stp>DS004=USD</stp>
        <stp>Fill=B</stp>
        <tr r="G175" s="3"/>
      </tp>
      <tp t="s">
        <v>#N/A Connection</v>
        <stp/>
        <stp>##V3_BDPV12</stp>
        <stp>BZVLTOTL Index</stp>
        <stp>PX385</stp>
        <stp>[BI_AUTMG_1_l22cd4li.xlsx]ReferenceData!R211C48</stp>
        <stp>PX391=20080701</stp>
        <stp>PX392=20080930</stp>
        <stp>DS004=USD</stp>
        <stp>Fill=B</stp>
        <tr r="AV211" s="3"/>
      </tp>
      <tp t="s">
        <v>#N/A Connection</v>
        <stp/>
        <stp>##V3_BDPV12</stp>
        <stp>BZVLTOTL Index</stp>
        <stp>PX385</stp>
        <stp>[BI_AUTMG_1_l22cd4li.xlsx]ReferenceData!R211C44</stp>
        <stp>PX391=20090701</stp>
        <stp>PX392=20090930</stp>
        <stp>DS004=USD</stp>
        <stp>Fill=B</stp>
        <tr r="AR211" s="3"/>
      </tp>
      <tp t="s">
        <v>#N/A Connection</v>
        <stp/>
        <stp>##V3_BDPV12</stp>
        <stp>BZVLTOTL Index</stp>
        <stp>PX385</stp>
        <stp>[BI_AUTMG_1_l22cd4li.xlsx]ReferenceData!R211C56</stp>
        <stp>PX391=20060701</stp>
        <stp>PX392=20060930</stp>
        <stp>DS004=USD</stp>
        <stp>Fill=B</stp>
        <tr r="BD211" s="3"/>
      </tp>
      <tp t="s">
        <v>#N/A Connection</v>
        <stp/>
        <stp>##V3_BDPV12</stp>
        <stp>BZVLTOTL Index</stp>
        <stp>PX385</stp>
        <stp>[BI_AUTMG_1_l22cd4li.xlsx]ReferenceData!R211C52</stp>
        <stp>PX391=20070701</stp>
        <stp>PX392=20070930</stp>
        <stp>DS004=USD</stp>
        <stp>Fill=B</stp>
        <tr r="AZ211" s="3"/>
      </tp>
      <tp t="s">
        <v>#N/A Connection</v>
        <stp/>
        <stp>##V3_BDPV12</stp>
        <stp>BZVLTOTL Index</stp>
        <stp>PX385</stp>
        <stp>[BI_AUTMG_1_l22cd4li.xlsx]ReferenceData!R211C64</stp>
        <stp>PX391=20040701</stp>
        <stp>PX392=20040930</stp>
        <stp>DS004=USD</stp>
        <stp>Fill=B</stp>
        <tr r="BL211" s="3"/>
      </tp>
      <tp t="s">
        <v>#N/A Connection</v>
        <stp/>
        <stp>##V3_BDPV12</stp>
        <stp>BZVLTOTL Index</stp>
        <stp>PX385</stp>
        <stp>[BI_AUTMG_1_l22cd4li.xlsx]ReferenceData!R211C60</stp>
        <stp>PX391=20050701</stp>
        <stp>PX392=20050930</stp>
        <stp>DS004=USD</stp>
        <stp>Fill=B</stp>
        <tr r="BH211" s="3"/>
      </tp>
      <tp t="s">
        <v>#N/A Connection</v>
        <stp/>
        <stp>##V3_BDPV12</stp>
        <stp>COVSTCAR Index</stp>
        <stp>PX385</stp>
        <stp>[BI_AUTMG_1_l22cd4li.xlsx]ReferenceData!R213C53</stp>
        <stp>PX391=20070401</stp>
        <stp>PX392=20070630</stp>
        <stp>DS004=USD</stp>
        <stp>Fill=B</stp>
        <tr r="BA213" s="3"/>
      </tp>
      <tp t="s">
        <v>#N/A Connection</v>
        <stp/>
        <stp>##V3_BDPV12</stp>
        <stp>COVSTCAR Index</stp>
        <stp>PX385</stp>
        <stp>[BI_AUTMG_1_l22cd4li.xlsx]ReferenceData!R213C57</stp>
        <stp>PX391=20060401</stp>
        <stp>PX392=20060630</stp>
        <stp>DS004=USD</stp>
        <stp>Fill=B</stp>
        <tr r="BE213" s="3"/>
      </tp>
      <tp t="s">
        <v>#N/A Connection</v>
        <stp/>
        <stp>##V3_BDPV12</stp>
        <stp>COVSTCAR Index</stp>
        <stp>PX385</stp>
        <stp>[BI_AUTMG_1_l22cd4li.xlsx]ReferenceData!R213C61</stp>
        <stp>PX391=20050401</stp>
        <stp>PX392=20050630</stp>
        <stp>DS004=USD</stp>
        <stp>Fill=B</stp>
        <tr r="BI213" s="3"/>
      </tp>
      <tp t="s">
        <v>#N/A Connection</v>
        <stp/>
        <stp>##V3_BDPV12</stp>
        <stp>CAUTSALE Index</stp>
        <stp>PX385</stp>
        <stp>[BI_AUTMG_1_l22cd4li.xlsx]ReferenceData!R160C47</stp>
        <stp>PX391=20081001</stp>
        <stp>PX392=20081231</stp>
        <stp>DS004=USD</stp>
        <stp>Fill=B</stp>
        <tr r="AU160" s="3"/>
      </tp>
      <tp t="s">
        <v>#N/A Connection</v>
        <stp/>
        <stp>##V3_BDPV12</stp>
        <stp>COVSTCAR Index</stp>
        <stp>PX385</stp>
        <stp>[BI_AUTMG_1_l22cd4li.xlsx]ReferenceData!R213C65</stp>
        <stp>PX391=20040401</stp>
        <stp>PX392=20040630</stp>
        <stp>DS004=USD</stp>
        <stp>Fill=B</stp>
        <tr r="BM213" s="3"/>
      </tp>
      <tp t="s">
        <v>#N/A Connection</v>
        <stp/>
        <stp>##V3_BDPV12</stp>
        <stp>CAUTSALE Index</stp>
        <stp>PX385</stp>
        <stp>[BI_AUTMG_1_l22cd4li.xlsx]ReferenceData!R160C43</stp>
        <stp>PX391=20091001</stp>
        <stp>PX392=20091231</stp>
        <stp>DS004=USD</stp>
        <stp>Fill=B</stp>
        <tr r="AQ160" s="3"/>
      </tp>
      <tp t="s">
        <v>#N/A Connection</v>
        <stp/>
        <stp>##V3_BDPV12</stp>
        <stp>CAUTSALE Index</stp>
        <stp>PX385</stp>
        <stp>[BI_AUTMG_1_l22cd4li.xlsx]ReferenceData!R160C10</stp>
        <stp>PX391=20180101</stp>
        <stp>PX392=20180331</stp>
        <stp>DS004=USD</stp>
        <stp>Fill=B</stp>
        <tr r="J160" s="3"/>
      </tp>
      <tp t="s">
        <v>#N/A Connection</v>
        <stp/>
        <stp>##V3_BDPV12</stp>
        <stp>CAUTSALE Index</stp>
        <stp>PX385</stp>
        <stp>[BI_AUTMG_1_l22cd4li.xlsx]ReferenceData!R160C14</stp>
        <stp>PX391=20170101</stp>
        <stp>PX392=20170331</stp>
        <stp>DS004=USD</stp>
        <stp>Fill=B</stp>
        <tr r="N160" s="3"/>
      </tp>
      <tp t="s">
        <v>#N/A Connection</v>
        <stp/>
        <stp>##V3_BDPV12</stp>
        <stp>CAUTSALE Index</stp>
        <stp>PX385</stp>
        <stp>[BI_AUTMG_1_l22cd4li.xlsx]ReferenceData!R160C55</stp>
        <stp>PX391=20061001</stp>
        <stp>PX392=20061231</stp>
        <stp>DS004=USD</stp>
        <stp>Fill=B</stp>
        <tr r="BC160" s="3"/>
      </tp>
      <tp t="s">
        <v>#N/A Connection</v>
        <stp/>
        <stp>##V3_BDPV12</stp>
        <stp>CAUTSALE Index</stp>
        <stp>PX385</stp>
        <stp>[BI_AUTMG_1_l22cd4li.xlsx]ReferenceData!R160C18</stp>
        <stp>PX391=20160101</stp>
        <stp>PX392=20160331</stp>
        <stp>DS004=USD</stp>
        <stp>Fill=B</stp>
        <tr r="R160" s="3"/>
      </tp>
      <tp t="s">
        <v>#N/A Connection</v>
        <stp/>
        <stp>##V3_BDPV12</stp>
        <stp>CAUTSALE Index</stp>
        <stp>PX385</stp>
        <stp>[BI_AUTMG_1_l22cd4li.xlsx]ReferenceData!R160C51</stp>
        <stp>PX391=20071001</stp>
        <stp>PX392=20071231</stp>
        <stp>DS004=USD</stp>
        <stp>Fill=B</stp>
        <tr r="AY160" s="3"/>
      </tp>
      <tp t="s">
        <v>#N/A Connection</v>
        <stp/>
        <stp>##V3_BDPV12</stp>
        <stp>CAUTSALE Index</stp>
        <stp>PX385</stp>
        <stp>[BI_AUTMG_1_l22cd4li.xlsx]ReferenceData!R160C22</stp>
        <stp>PX391=20150101</stp>
        <stp>PX392=20150331</stp>
        <stp>DS004=USD</stp>
        <stp>Fill=B</stp>
        <tr r="V160" s="3"/>
      </tp>
      <tp t="s">
        <v>#N/A Connection</v>
        <stp/>
        <stp>##V3_BDPV12</stp>
        <stp>CAUTSALE Index</stp>
        <stp>PX385</stp>
        <stp>[BI_AUTMG_1_l22cd4li.xlsx]ReferenceData!R160C63</stp>
        <stp>PX391=20041001</stp>
        <stp>PX392=20041231</stp>
        <stp>DS004=USD</stp>
        <stp>Fill=B</stp>
        <tr r="BK160" s="3"/>
      </tp>
      <tp t="s">
        <v>#N/A Connection</v>
        <stp/>
        <stp>##V3_BDPV12</stp>
        <stp>COVSTCAR Index</stp>
        <stp>PX385</stp>
        <stp>[BI_AUTMG_1_l22cd4li.xlsx]ReferenceData!R213C45</stp>
        <stp>PX391=20090401</stp>
        <stp>PX392=20090630</stp>
        <stp>DS004=USD</stp>
        <stp>Fill=B</stp>
        <tr r="AS213" s="3"/>
      </tp>
      <tp t="s">
        <v>#N/A Connection</v>
        <stp/>
        <stp>##V3_BDPV12</stp>
        <stp>CAUTSALE Index</stp>
        <stp>PX385</stp>
        <stp>[BI_AUTMG_1_l22cd4li.xlsx]ReferenceData!R160C26</stp>
        <stp>PX391=20140101</stp>
        <stp>PX392=20140331</stp>
        <stp>DS004=USD</stp>
        <stp>Fill=B</stp>
        <tr r="Z160" s="3"/>
      </tp>
      <tp t="s">
        <v>#N/A Connection</v>
        <stp/>
        <stp>##V3_BDPV12</stp>
        <stp>CAUTSALE Index</stp>
        <stp>PX385</stp>
        <stp>[BI_AUTMG_1_l22cd4li.xlsx]ReferenceData!R160C59</stp>
        <stp>PX391=20051001</stp>
        <stp>PX392=20051231</stp>
        <stp>DS004=USD</stp>
        <stp>Fill=B</stp>
        <tr r="BG160" s="3"/>
      </tp>
      <tp t="s">
        <v>#N/A Connection</v>
        <stp/>
        <stp>##V3_BDPV12</stp>
        <stp>COVSTCAR Index</stp>
        <stp>PX385</stp>
        <stp>[BI_AUTMG_1_l22cd4li.xlsx]ReferenceData!R213C49</stp>
        <stp>PX391=20080401</stp>
        <stp>PX392=20080630</stp>
        <stp>DS004=USD</stp>
        <stp>Fill=B</stp>
        <tr r="AW213" s="3"/>
      </tp>
      <tp t="s">
        <v>#N/A Connection</v>
        <stp/>
        <stp>##V3_BDPV12</stp>
        <stp>CAUTSALE Index</stp>
        <stp>PX385</stp>
        <stp>[BI_AUTMG_1_l22cd4li.xlsx]ReferenceData!R160C30</stp>
        <stp>PX391=20130101</stp>
        <stp>PX392=20130331</stp>
        <stp>DS004=USD</stp>
        <stp>Fill=B</stp>
        <tr r="AD160" s="3"/>
      </tp>
      <tp t="s">
        <v>#N/A Connection</v>
        <stp/>
        <stp>##V3_BDPV12</stp>
        <stp>CAUTSALE Index</stp>
        <stp>PX385</stp>
        <stp>[BI_AUTMG_1_l22cd4li.xlsx]ReferenceData!R160C34</stp>
        <stp>PX391=20120101</stp>
        <stp>PX392=20120331</stp>
        <stp>DS004=USD</stp>
        <stp>Fill=B</stp>
        <tr r="AH160" s="3"/>
      </tp>
      <tp t="s">
        <v>#N/A Connection</v>
        <stp/>
        <stp>##V3_BDPV12</stp>
        <stp>CAUTSALE Index</stp>
        <stp>PX385</stp>
        <stp>[BI_AUTMG_1_l22cd4li.xlsx]ReferenceData!R160C38</stp>
        <stp>PX391=20110101</stp>
        <stp>PX392=20110331</stp>
        <stp>DS004=USD</stp>
        <stp>Fill=B</stp>
        <tr r="AL160" s="3"/>
      </tp>
      <tp t="s">
        <v>#N/A Connection</v>
        <stp/>
        <stp>##V3_BDPV12</stp>
        <stp>CAUTSALE Index</stp>
        <stp>PX385</stp>
        <stp>[BI_AUTMG_1_l22cd4li.xlsx]ReferenceData!R160C42</stp>
        <stp>PX391=20100101</stp>
        <stp>PX392=20100331</stp>
        <stp>DS004=USD</stp>
        <stp>Fill=B</stp>
        <tr r="AP160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[BI_AUTMG_1_l22cd4li.xlsx]ReferenceData!R222C6</stp>
        <stp>Per=CQ</stp>
        <stp>Dts=H</stp>
        <stp>Dir=H</stp>
        <stp>Points=60</stp>
        <stp>Sort=R</stp>
        <stp>Days=A</stp>
        <stp>Fill=B</stp>
        <stp>DZ666=084</stp>
        <stp>DZ381=11111011</stp>
        <stp>DZ667=159</stp>
        <stp>DS276=Y</stp>
        <stp>FX=USD</stp>
        <tr r="F222" s="3"/>
      </tp>
      <tp t="s">
        <v>#N/A Connection</v>
        <stp/>
        <stp>##V3_BDHV12</stp>
        <stp>489 HK Equity</stp>
        <stp>FS265</stp>
        <stp>-60CQ</stp>
        <stp>3/31/2019</stp>
        <stp>[BI_AUTMG_1_l22cd4li.xlsx]ReferenceData!R240C6</stp>
        <stp>Per=CQ</stp>
        <stp>Dts=H</stp>
        <stp>Dir=H</stp>
        <stp>Points=60</stp>
        <stp>Sort=R</stp>
        <stp>Days=A</stp>
        <stp>Fill=B</stp>
        <stp>FX=USD</stp>
        <tr r="F240" s="3"/>
      </tp>
      <tp t="s">
        <v>#N/A Connection</v>
        <stp/>
        <stp>##V3_BDHV12</stp>
        <stp>2238 HK Equity</stp>
        <stp>BI047</stp>
        <stp>-60CQ</stp>
        <stp>3/31/2019</stp>
        <stp>[BI_AUTMG_1_l22cd4li.xlsx]ReferenceData!R247C6</stp>
        <stp>Per=CQ</stp>
        <stp>Dts=H</stp>
        <stp>Dir=H</stp>
        <stp>Points=60</stp>
        <stp>Sort=R</stp>
        <stp>Days=A</stp>
        <stp>Fill=B</stp>
        <stp>DZ666=084</stp>
        <stp>DZ381=11111010</stp>
        <stp>DZ667=1</stp>
        <stp>DS276=Y</stp>
        <stp>FX=USD</stp>
        <tr r="F247" s="3"/>
      </tp>
      <tp t="s">
        <v>#N/A Connection</v>
        <stp/>
        <stp>##V3_BDHV12</stp>
        <stp>175 HK Equity</stp>
        <stp>FS265</stp>
        <stp>-60CQ</stp>
        <stp>3/31/2019</stp>
        <stp>[BI_AUTMG_1_l22cd4li.xlsx]ReferenceData!R250C6</stp>
        <stp>Per=CQ</stp>
        <stp>Dts=H</stp>
        <stp>Dir=H</stp>
        <stp>Points=60</stp>
        <stp>Sort=R</stp>
        <stp>Days=A</stp>
        <stp>Fill=B</stp>
        <stp>FX=USD</stp>
        <tr r="F250" s="3"/>
      </tp>
      <tp t="s">
        <v>#N/A Connection</v>
        <stp/>
        <stp>##V3_BDHV12</stp>
        <stp>2206 TT Equity</stp>
        <stp>FS265</stp>
        <stp>-60CQ</stp>
        <stp>3/31/2019</stp>
        <stp>[BI_AUTMG_1_l22cd4li.xlsx]ReferenceData!R259C6</stp>
        <stp>Per=CQ</stp>
        <stp>Dts=H</stp>
        <stp>Dir=H</stp>
        <stp>Points=60</stp>
        <stp>Sort=R</stp>
        <stp>Days=A</stp>
        <stp>Fill=B</stp>
        <stp>FX=USD</stp>
        <tr r="F259" s="3"/>
      </tp>
      <tp t="s">
        <v>#N/A Connection</v>
        <stp/>
        <stp>##V3_BDHV12</stp>
        <stp>2201 TT Equity</stp>
        <stp>FS265</stp>
        <stp>-60CQ</stp>
        <stp>3/31/2019</stp>
        <stp>[BI_AUTMG_1_l22cd4li.xlsx]ReferenceData!R258C6</stp>
        <stp>Per=CQ</stp>
        <stp>Dts=H</stp>
        <stp>Dir=H</stp>
        <stp>Points=60</stp>
        <stp>Sort=R</stp>
        <stp>Days=A</stp>
        <stp>Fill=B</stp>
        <stp>FX=USD</stp>
        <tr r="F258" s="3"/>
      </tp>
      <tp t="s">
        <v>#N/A Connection</v>
        <stp/>
        <stp>##V3_BDHV12</stp>
        <stp>VOW GR Equity</stp>
        <stp>FS265</stp>
        <stp>-60CQ</stp>
        <stp>3/31/2019</stp>
        <stp>[BI_AUTMG_1_l22cd4li.xlsx]ReferenceData!R273C3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273" s="3"/>
      </tp>
      <tp t="s">
        <v>#N/A Connection</v>
        <stp/>
        <stp>##V3_BDHV12</stp>
        <stp>VOW GR Equity</stp>
        <stp>FS265</stp>
        <stp>-60CQ</stp>
        <stp>3/31/2019</stp>
        <stp>[BI_AUTMG_1_l22cd4li.xlsx]ReferenceData!R281C3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281" s="3"/>
      </tp>
      <tp t="s">
        <v>#N/A Connection</v>
        <stp/>
        <stp>##V3_BDHV12</stp>
        <stp>1114 HK Equity</stp>
        <stp>FS265</stp>
        <stp>-60CQ</stp>
        <stp>3/31/2019</stp>
        <stp>[BI_AUTMG_1_l22cd4li.xlsx]ReferenceData!R255C6</stp>
        <stp>Per=CQ</stp>
        <stp>Dts=H</stp>
        <stp>Dir=H</stp>
        <stp>Points=60</stp>
        <stp>Sort=R</stp>
        <stp>Days=A</stp>
        <stp>Fill=B</stp>
        <stp>FX=USD</stp>
        <tr r="F255" s="3"/>
      </tp>
      <tp t="s">
        <v>#N/A Connection</v>
        <stp/>
        <stp>##V3_BDHV12</stp>
        <stp>2333 HK Equity</stp>
        <stp>FS265</stp>
        <stp>-60CQ</stp>
        <stp>3/31/2019</stp>
        <stp>[BI_AUTMG_1_l22cd4li.xlsx]ReferenceData!R251C6</stp>
        <stp>Per=CQ</stp>
        <stp>Dts=H</stp>
        <stp>Dir=H</stp>
        <stp>Points=60</stp>
        <stp>Sort=R</stp>
        <stp>Days=A</stp>
        <stp>Fill=B</stp>
        <stp>FX=USD</stp>
        <tr r="F251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[BI_AUTMG_1_l22cd4li.xlsx]ReferenceData!R285C3</stp>
        <stp>PER=CQ</stp>
        <stp>Dts=S</stp>
        <stp>DtFmt=FI</stp>
        <stp>rows=2</stp>
        <stp>Dir=H</stp>
        <stp>Points=60</stp>
        <stp>Sort=R</stp>
        <stp>Days=A</stp>
        <stp>Fill=B</stp>
        <stp>DZ666=084</stp>
        <stp>DZ381=11111010</stp>
        <stp>DZ667=2</stp>
        <stp>DS276=Y</stp>
        <stp>FX=USD</stp>
        <tr r="C285" s="3"/>
      </tp>
      <tp t="s">
        <v>#N/A Connection</v>
        <stp/>
        <stp>##V3_BDHV12</stp>
        <stp>VOW GR Equity</stp>
        <stp>BI047</stp>
        <stp>-60CQ</stp>
        <stp>3/31/2019</stp>
        <stp>[BI_AUTMG_1_l22cd4li.xlsx]ReferenceData!R277C3</stp>
        <stp>PER=CQ</stp>
        <stp>Dts=S</stp>
        <stp>DtFmt=FI</stp>
        <stp>rows=2</stp>
        <stp>Dir=H</stp>
        <stp>Points=60</stp>
        <stp>Sort=R</stp>
        <stp>Days=A</stp>
        <stp>Fill=B</stp>
        <stp>DZ666=084</stp>
        <stp>DZ381=11111010</stp>
        <stp>DZ667=2</stp>
        <stp>DS276=Y</stp>
        <stp>FX=USD</stp>
        <tr r="C27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0"/>
  <sheetViews>
    <sheetView tabSelected="1" workbookViewId="0"/>
  </sheetViews>
  <sheetFormatPr defaultRowHeight="15" x14ac:dyDescent="0.25"/>
  <cols>
    <col min="1" max="1" width="56.28515625" customWidth="1"/>
    <col min="2" max="2" width="15.85546875" customWidth="1"/>
    <col min="3" max="65" width="9.140625" bestFit="1" customWidth="1"/>
  </cols>
  <sheetData>
    <row r="1" spans="1:6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2019 Q1</v>
      </c>
      <c r="G2" t="str">
        <f>IFERROR(IF(0=LEN(ReferenceData!$G$2),"",ReferenceData!$G$2),"")</f>
        <v>2018 Q4</v>
      </c>
      <c r="H2" t="str">
        <f>IFERROR(IF(0=LEN(ReferenceData!$H$2),"",ReferenceData!$H$2),"")</f>
        <v>2018 Q3</v>
      </c>
      <c r="I2" t="str">
        <f>IFERROR(IF(0=LEN(ReferenceData!$I$2),"",ReferenceData!$I$2),"")</f>
        <v>2018 Q2</v>
      </c>
      <c r="J2" t="str">
        <f>IFERROR(IF(0=LEN(ReferenceData!$J$2),"",ReferenceData!$J$2),"")</f>
        <v>2018 Q1</v>
      </c>
      <c r="K2" t="str">
        <f>IFERROR(IF(0=LEN(ReferenceData!$K$2),"",ReferenceData!$K$2),"")</f>
        <v>2017 Q4</v>
      </c>
      <c r="L2" t="str">
        <f>IFERROR(IF(0=LEN(ReferenceData!$L$2),"",ReferenceData!$L$2),"")</f>
        <v>2017 Q3</v>
      </c>
      <c r="M2" t="str">
        <f>IFERROR(IF(0=LEN(ReferenceData!$M$2),"",ReferenceData!$M$2),"")</f>
        <v>2017 Q2</v>
      </c>
      <c r="N2" t="str">
        <f>IFERROR(IF(0=LEN(ReferenceData!$N$2),"",ReferenceData!$N$2),"")</f>
        <v>2017 Q1</v>
      </c>
      <c r="O2" t="str">
        <f>IFERROR(IF(0=LEN(ReferenceData!$O$2),"",ReferenceData!$O$2),"")</f>
        <v>2016 Q4</v>
      </c>
      <c r="P2" t="str">
        <f>IFERROR(IF(0=LEN(ReferenceData!$P$2),"",ReferenceData!$P$2),"")</f>
        <v>2016 Q3</v>
      </c>
      <c r="Q2" t="str">
        <f>IFERROR(IF(0=LEN(ReferenceData!$Q$2),"",ReferenceData!$Q$2),"")</f>
        <v>2016 Q2</v>
      </c>
      <c r="R2" t="str">
        <f>IFERROR(IF(0=LEN(ReferenceData!$R$2),"",ReferenceData!$R$2),"")</f>
        <v>2016 Q1</v>
      </c>
      <c r="S2" t="str">
        <f>IFERROR(IF(0=LEN(ReferenceData!$S$2),"",ReferenceData!$S$2),"")</f>
        <v>2015 Q4</v>
      </c>
      <c r="T2" t="str">
        <f>IFERROR(IF(0=LEN(ReferenceData!$T$2),"",ReferenceData!$T$2),"")</f>
        <v>2015 Q3</v>
      </c>
      <c r="U2" t="str">
        <f>IFERROR(IF(0=LEN(ReferenceData!$U$2),"",ReferenceData!$U$2),"")</f>
        <v>2015 Q2</v>
      </c>
      <c r="V2" t="str">
        <f>IFERROR(IF(0=LEN(ReferenceData!$V$2),"",ReferenceData!$V$2),"")</f>
        <v>2015 Q1</v>
      </c>
      <c r="W2" t="str">
        <f>IFERROR(IF(0=LEN(ReferenceData!$W$2),"",ReferenceData!$W$2),"")</f>
        <v>2014 Q4</v>
      </c>
      <c r="X2" t="str">
        <f>IFERROR(IF(0=LEN(ReferenceData!$X$2),"",ReferenceData!$X$2),"")</f>
        <v>2014 Q3</v>
      </c>
      <c r="Y2" t="str">
        <f>IFERROR(IF(0=LEN(ReferenceData!$Y$2),"",ReferenceData!$Y$2),"")</f>
        <v>2014 Q2</v>
      </c>
      <c r="Z2" t="str">
        <f>IFERROR(IF(0=LEN(ReferenceData!$Z$2),"",ReferenceData!$Z$2),"")</f>
        <v>2014 Q1</v>
      </c>
      <c r="AA2" t="str">
        <f>IFERROR(IF(0=LEN(ReferenceData!$AA$2),"",ReferenceData!$AA$2),"")</f>
        <v>2013 Q4</v>
      </c>
      <c r="AB2" t="str">
        <f>IFERROR(IF(0=LEN(ReferenceData!$AB$2),"",ReferenceData!$AB$2),"")</f>
        <v>2013 Q3</v>
      </c>
      <c r="AC2" t="str">
        <f>IFERROR(IF(0=LEN(ReferenceData!$AC$2),"",ReferenceData!$AC$2),"")</f>
        <v>2013 Q2</v>
      </c>
      <c r="AD2" t="str">
        <f>IFERROR(IF(0=LEN(ReferenceData!$AD$2),"",ReferenceData!$AD$2),"")</f>
        <v>2013 Q1</v>
      </c>
      <c r="AE2" t="str">
        <f>IFERROR(IF(0=LEN(ReferenceData!$AE$2),"",ReferenceData!$AE$2),"")</f>
        <v>2012 Q4</v>
      </c>
      <c r="AF2" t="str">
        <f>IFERROR(IF(0=LEN(ReferenceData!$AF$2),"",ReferenceData!$AF$2),"")</f>
        <v>2012 Q3</v>
      </c>
      <c r="AG2" t="str">
        <f>IFERROR(IF(0=LEN(ReferenceData!$AG$2),"",ReferenceData!$AG$2),"")</f>
        <v>2012 Q2</v>
      </c>
      <c r="AH2" t="str">
        <f>IFERROR(IF(0=LEN(ReferenceData!$AH$2),"",ReferenceData!$AH$2),"")</f>
        <v>2012 Q1</v>
      </c>
      <c r="AI2" t="str">
        <f>IFERROR(IF(0=LEN(ReferenceData!$AI$2),"",ReferenceData!$AI$2),"")</f>
        <v>2011 Q4</v>
      </c>
      <c r="AJ2" t="str">
        <f>IFERROR(IF(0=LEN(ReferenceData!$AJ$2),"",ReferenceData!$AJ$2),"")</f>
        <v>2011 Q3</v>
      </c>
      <c r="AK2" t="str">
        <f>IFERROR(IF(0=LEN(ReferenceData!$AK$2),"",ReferenceData!$AK$2),"")</f>
        <v>2011 Q2</v>
      </c>
      <c r="AL2" t="str">
        <f>IFERROR(IF(0=LEN(ReferenceData!$AL$2),"",ReferenceData!$AL$2),"")</f>
        <v>2011 Q1</v>
      </c>
      <c r="AM2" t="str">
        <f>IFERROR(IF(0=LEN(ReferenceData!$AM$2),"",ReferenceData!$AM$2),"")</f>
        <v>2010 Q4</v>
      </c>
      <c r="AN2" t="str">
        <f>IFERROR(IF(0=LEN(ReferenceData!$AN$2),"",ReferenceData!$AN$2),"")</f>
        <v>2010 Q3</v>
      </c>
      <c r="AO2" t="str">
        <f>IFERROR(IF(0=LEN(ReferenceData!$AO$2),"",ReferenceData!$AO$2),"")</f>
        <v>2010 Q2</v>
      </c>
      <c r="AP2" t="str">
        <f>IFERROR(IF(0=LEN(ReferenceData!$AP$2),"",ReferenceData!$AP$2),"")</f>
        <v>2010 Q1</v>
      </c>
      <c r="AQ2" t="str">
        <f>IFERROR(IF(0=LEN(ReferenceData!$AQ$2),"",ReferenceData!$AQ$2),"")</f>
        <v>2009 Q4</v>
      </c>
      <c r="AR2" t="str">
        <f>IFERROR(IF(0=LEN(ReferenceData!$AR$2),"",ReferenceData!$AR$2),"")</f>
        <v>2009 Q3</v>
      </c>
      <c r="AS2" t="str">
        <f>IFERROR(IF(0=LEN(ReferenceData!$AS$2),"",ReferenceData!$AS$2),"")</f>
        <v>2009 Q2</v>
      </c>
      <c r="AT2" t="str">
        <f>IFERROR(IF(0=LEN(ReferenceData!$AT$2),"",ReferenceData!$AT$2),"")</f>
        <v>2009 Q1</v>
      </c>
      <c r="AU2" t="str">
        <f>IFERROR(IF(0=LEN(ReferenceData!$AU$2),"",ReferenceData!$AU$2),"")</f>
        <v>2008 Q4</v>
      </c>
      <c r="AV2" t="str">
        <f>IFERROR(IF(0=LEN(ReferenceData!$AV$2),"",ReferenceData!$AV$2),"")</f>
        <v>2008 Q3</v>
      </c>
      <c r="AW2" t="str">
        <f>IFERROR(IF(0=LEN(ReferenceData!$AW$2),"",ReferenceData!$AW$2),"")</f>
        <v>2008 Q2</v>
      </c>
      <c r="AX2" t="str">
        <f>IFERROR(IF(0=LEN(ReferenceData!$AX$2),"",ReferenceData!$AX$2),"")</f>
        <v>2008 Q1</v>
      </c>
      <c r="AY2" t="str">
        <f>IFERROR(IF(0=LEN(ReferenceData!$AY$2),"",ReferenceData!$AY$2),"")</f>
        <v>2007 Q4</v>
      </c>
      <c r="AZ2" t="str">
        <f>IFERROR(IF(0=LEN(ReferenceData!$AZ$2),"",ReferenceData!$AZ$2),"")</f>
        <v>2007 Q3</v>
      </c>
      <c r="BA2" t="str">
        <f>IFERROR(IF(0=LEN(ReferenceData!$BA$2),"",ReferenceData!$BA$2),"")</f>
        <v>2007 Q2</v>
      </c>
      <c r="BB2" t="str">
        <f>IFERROR(IF(0=LEN(ReferenceData!$BB$2),"",ReferenceData!$BB$2),"")</f>
        <v>2007 Q1</v>
      </c>
      <c r="BC2" t="str">
        <f>IFERROR(IF(0=LEN(ReferenceData!$BC$2),"",ReferenceData!$BC$2),"")</f>
        <v>2006 Q4</v>
      </c>
      <c r="BD2" t="str">
        <f>IFERROR(IF(0=LEN(ReferenceData!$BD$2),"",ReferenceData!$BD$2),"")</f>
        <v>2006 Q3</v>
      </c>
      <c r="BE2" t="str">
        <f>IFERROR(IF(0=LEN(ReferenceData!$BE$2),"",ReferenceData!$BE$2),"")</f>
        <v>2006 Q2</v>
      </c>
      <c r="BF2" t="str">
        <f>IFERROR(IF(0=LEN(ReferenceData!$BF$2),"",ReferenceData!$BF$2),"")</f>
        <v>2006 Q1</v>
      </c>
      <c r="BG2" t="str">
        <f>IFERROR(IF(0=LEN(ReferenceData!$BG$2),"",ReferenceData!$BG$2),"")</f>
        <v>2005 Q4</v>
      </c>
      <c r="BH2" t="str">
        <f>IFERROR(IF(0=LEN(ReferenceData!$BH$2),"",ReferenceData!$BH$2),"")</f>
        <v>2005 Q3</v>
      </c>
      <c r="BI2" t="str">
        <f>IFERROR(IF(0=LEN(ReferenceData!$BI$2),"",ReferenceData!$BI$2),"")</f>
        <v>2005 Q2</v>
      </c>
      <c r="BJ2" t="str">
        <f>IFERROR(IF(0=LEN(ReferenceData!$BJ$2),"",ReferenceData!$BJ$2),"")</f>
        <v>2005 Q1</v>
      </c>
      <c r="BK2" t="str">
        <f>IFERROR(IF(0=LEN(ReferenceData!$BK$2),"",ReferenceData!$BK$2),"")</f>
        <v>2004 Q4</v>
      </c>
      <c r="BL2" t="str">
        <f>IFERROR(IF(0=LEN(ReferenceData!$BL$2),"",ReferenceData!$BL$2),"")</f>
        <v>2004 Q3</v>
      </c>
      <c r="BM2" t="str">
        <f>IFERROR(IF(0=LEN(ReferenceData!$BM$2),"",ReferenceData!$BM$2),"")</f>
        <v>2004 Q2</v>
      </c>
    </row>
    <row r="3" spans="1:65" x14ac:dyDescent="0.25">
      <c r="A3" t="str">
        <f>IFERROR(IF(0=LEN(ReferenceData!$A$3),"",ReferenceData!$A$3),"")</f>
        <v>Global Vehicle Sales (units)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IFERROR(IF(0=LEN(ReferenceData!$F$3),"",ReferenceData!$F$3),"")</f>
        <v/>
      </c>
      <c r="G3" t="str">
        <f>IFERROR(IF(0=LEN(ReferenceData!$G$3),"",ReferenceData!$G$3),"")</f>
        <v/>
      </c>
      <c r="H3" t="str">
        <f>IFERROR(IF(0=LEN(ReferenceData!$H$3),"",ReferenceData!$H$3),"")</f>
        <v/>
      </c>
      <c r="I3" t="str">
        <f>IFERROR(IF(0=LEN(ReferenceData!$I$3),"",ReferenceData!$I$3),"")</f>
        <v/>
      </c>
      <c r="J3" t="str">
        <f>IFERROR(IF(0=LEN(ReferenceData!$J$3),"",ReferenceData!$J$3),"")</f>
        <v/>
      </c>
      <c r="K3" t="str">
        <f>IFERROR(IF(0=LEN(ReferenceData!$K$3),"",ReferenceData!$K$3),"")</f>
        <v/>
      </c>
      <c r="L3" t="str">
        <f>IFERROR(IF(0=LEN(ReferenceData!$L$3),"",ReferenceData!$L$3),"")</f>
        <v/>
      </c>
      <c r="M3" t="str">
        <f>IFERROR(IF(0=LEN(ReferenceData!$M$3),"",ReferenceData!$M$3),"")</f>
        <v/>
      </c>
      <c r="N3" t="str">
        <f>IFERROR(IF(0=LEN(ReferenceData!$N$3),"",ReferenceData!$N$3),"")</f>
        <v/>
      </c>
      <c r="O3" t="str">
        <f>IFERROR(IF(0=LEN(ReferenceData!$O$3),"",ReferenceData!$O$3),"")</f>
        <v/>
      </c>
      <c r="P3" t="str">
        <f>IFERROR(IF(0=LEN(ReferenceData!$P$3),"",ReferenceData!$P$3),"")</f>
        <v/>
      </c>
      <c r="Q3" t="str">
        <f>IFERROR(IF(0=LEN(ReferenceData!$Q$3),"",ReferenceData!$Q$3),"")</f>
        <v/>
      </c>
      <c r="R3" t="str">
        <f>IFERROR(IF(0=LEN(ReferenceData!$R$3),"",ReferenceData!$R$3),"")</f>
        <v/>
      </c>
      <c r="S3" t="str">
        <f>IFERROR(IF(0=LEN(ReferenceData!$S$3),"",ReferenceData!$S$3),"")</f>
        <v/>
      </c>
      <c r="T3" t="str">
        <f>IFERROR(IF(0=LEN(ReferenceData!$T$3),"",ReferenceData!$T$3),"")</f>
        <v/>
      </c>
      <c r="U3" t="str">
        <f>IFERROR(IF(0=LEN(ReferenceData!$U$3),"",ReferenceData!$U$3),"")</f>
        <v/>
      </c>
      <c r="V3" t="str">
        <f>IFERROR(IF(0=LEN(ReferenceData!$V$3),"",ReferenceData!$V$3),"")</f>
        <v/>
      </c>
      <c r="W3" t="str">
        <f>IFERROR(IF(0=LEN(ReferenceData!$W$3),"",ReferenceData!$W$3),"")</f>
        <v/>
      </c>
      <c r="X3" t="str">
        <f>IFERROR(IF(0=LEN(ReferenceData!$X$3),"",ReferenceData!$X$3),"")</f>
        <v/>
      </c>
      <c r="Y3" t="str">
        <f>IFERROR(IF(0=LEN(ReferenceData!$Y$3),"",ReferenceData!$Y$3),"")</f>
        <v/>
      </c>
      <c r="Z3" t="str">
        <f>IFERROR(IF(0=LEN(ReferenceData!$Z$3),"",ReferenceData!$Z$3),"")</f>
        <v/>
      </c>
      <c r="AA3" t="str">
        <f>IFERROR(IF(0=LEN(ReferenceData!$AA$3),"",ReferenceData!$AA$3),"")</f>
        <v/>
      </c>
      <c r="AB3" t="str">
        <f>IFERROR(IF(0=LEN(ReferenceData!$AB$3),"",ReferenceData!$AB$3),"")</f>
        <v/>
      </c>
      <c r="AC3" t="str">
        <f>IFERROR(IF(0=LEN(ReferenceData!$AC$3),"",ReferenceData!$AC$3),"")</f>
        <v/>
      </c>
      <c r="AD3" t="str">
        <f>IFERROR(IF(0=LEN(ReferenceData!$AD$3),"",ReferenceData!$AD$3),"")</f>
        <v/>
      </c>
      <c r="AE3" t="str">
        <f>IFERROR(IF(0=LEN(ReferenceData!$AE$3),"",ReferenceData!$AE$3),"")</f>
        <v/>
      </c>
      <c r="AF3" t="str">
        <f>IFERROR(IF(0=LEN(ReferenceData!$AF$3),"",ReferenceData!$AF$3),"")</f>
        <v/>
      </c>
      <c r="AG3" t="str">
        <f>IFERROR(IF(0=LEN(ReferenceData!$AG$3),"",ReferenceData!$AG$3),"")</f>
        <v/>
      </c>
      <c r="AH3" t="str">
        <f>IFERROR(IF(0=LEN(ReferenceData!$AH$3),"",ReferenceData!$AH$3),"")</f>
        <v/>
      </c>
      <c r="AI3" t="str">
        <f>IFERROR(IF(0=LEN(ReferenceData!$AI$3),"",ReferenceData!$AI$3),"")</f>
        <v/>
      </c>
      <c r="AJ3" t="str">
        <f>IFERROR(IF(0=LEN(ReferenceData!$AJ$3),"",ReferenceData!$AJ$3),"")</f>
        <v/>
      </c>
      <c r="AK3" t="str">
        <f>IFERROR(IF(0=LEN(ReferenceData!$AK$3),"",ReferenceData!$AK$3),"")</f>
        <v/>
      </c>
      <c r="AL3" t="str">
        <f>IFERROR(IF(0=LEN(ReferenceData!$AL$3),"",ReferenceData!$AL$3),"")</f>
        <v/>
      </c>
      <c r="AM3" t="str">
        <f>IFERROR(IF(0=LEN(ReferenceData!$AM$3),"",ReferenceData!$AM$3),"")</f>
        <v/>
      </c>
      <c r="AN3" t="str">
        <f>IFERROR(IF(0=LEN(ReferenceData!$AN$3),"",ReferenceData!$AN$3),"")</f>
        <v/>
      </c>
      <c r="AO3" t="str">
        <f>IFERROR(IF(0=LEN(ReferenceData!$AO$3),"",ReferenceData!$AO$3),"")</f>
        <v/>
      </c>
      <c r="AP3" t="str">
        <f>IFERROR(IF(0=LEN(ReferenceData!$AP$3),"",ReferenceData!$AP$3),"")</f>
        <v/>
      </c>
      <c r="AQ3" t="str">
        <f>IFERROR(IF(0=LEN(ReferenceData!$AQ$3),"",ReferenceData!$AQ$3),"")</f>
        <v/>
      </c>
      <c r="AR3" t="str">
        <f>IFERROR(IF(0=LEN(ReferenceData!$AR$3),"",ReferenceData!$AR$3),"")</f>
        <v/>
      </c>
      <c r="AS3" t="str">
        <f>IFERROR(IF(0=LEN(ReferenceData!$AS$3),"",ReferenceData!$AS$3),"")</f>
        <v/>
      </c>
      <c r="AT3" t="str">
        <f>IFERROR(IF(0=LEN(ReferenceData!$AT$3),"",ReferenceData!$AT$3),"")</f>
        <v/>
      </c>
      <c r="AU3" t="str">
        <f>IFERROR(IF(0=LEN(ReferenceData!$AU$3),"",ReferenceData!$AU$3),"")</f>
        <v/>
      </c>
      <c r="AV3" t="str">
        <f>IFERROR(IF(0=LEN(ReferenceData!$AV$3),"",ReferenceData!$AV$3),"")</f>
        <v/>
      </c>
      <c r="AW3" t="str">
        <f>IFERROR(IF(0=LEN(ReferenceData!$AW$3),"",ReferenceData!$AW$3),"")</f>
        <v/>
      </c>
      <c r="AX3" t="str">
        <f>IFERROR(IF(0=LEN(ReferenceData!$AX$3),"",ReferenceData!$AX$3),"")</f>
        <v/>
      </c>
      <c r="AY3" t="str">
        <f>IFERROR(IF(0=LEN(ReferenceData!$AY$3),"",ReferenceData!$AY$3),"")</f>
        <v/>
      </c>
      <c r="AZ3" t="str">
        <f>IFERROR(IF(0=LEN(ReferenceData!$AZ$3),"",ReferenceData!$AZ$3),"")</f>
        <v/>
      </c>
      <c r="BA3" t="str">
        <f>IFERROR(IF(0=LEN(ReferenceData!$BA$3),"",ReferenceData!$BA$3),"")</f>
        <v/>
      </c>
      <c r="BB3" t="str">
        <f>IFERROR(IF(0=LEN(ReferenceData!$BB$3),"",ReferenceData!$BB$3),"")</f>
        <v/>
      </c>
      <c r="BC3" t="str">
        <f>IFERROR(IF(0=LEN(ReferenceData!$BC$3),"",ReferenceData!$BC$3),"")</f>
        <v/>
      </c>
      <c r="BD3" t="str">
        <f>IFERROR(IF(0=LEN(ReferenceData!$BD$3),"",ReferenceData!$BD$3),"")</f>
        <v/>
      </c>
      <c r="BE3" t="str">
        <f>IFERROR(IF(0=LEN(ReferenceData!$BE$3),"",ReferenceData!$BE$3),"")</f>
        <v/>
      </c>
      <c r="BF3" t="str">
        <f>IFERROR(IF(0=LEN(ReferenceData!$BF$3),"",ReferenceData!$BF$3),"")</f>
        <v/>
      </c>
      <c r="BG3" t="str">
        <f>IFERROR(IF(0=LEN(ReferenceData!$BG$3),"",ReferenceData!$BG$3),"")</f>
        <v/>
      </c>
      <c r="BH3" t="str">
        <f>IFERROR(IF(0=LEN(ReferenceData!$BH$3),"",ReferenceData!$BH$3),"")</f>
        <v/>
      </c>
      <c r="BI3" t="str">
        <f>IFERROR(IF(0=LEN(ReferenceData!$BI$3),"",ReferenceData!$BI$3),"")</f>
        <v/>
      </c>
      <c r="BJ3" t="str">
        <f>IFERROR(IF(0=LEN(ReferenceData!$BJ$3),"",ReferenceData!$BJ$3),"")</f>
        <v/>
      </c>
      <c r="BK3" t="str">
        <f>IFERROR(IF(0=LEN(ReferenceData!$BK$3),"",ReferenceData!$BK$3),"")</f>
        <v/>
      </c>
      <c r="BL3" t="str">
        <f>IFERROR(IF(0=LEN(ReferenceData!$BL$3),"",ReferenceData!$BL$3),"")</f>
        <v/>
      </c>
      <c r="BM3" t="str">
        <f>IFERROR(IF(0=LEN(ReferenceData!$BM$3),"",ReferenceData!$BM$3),"")</f>
        <v/>
      </c>
    </row>
    <row r="4" spans="1:65" x14ac:dyDescent="0.25">
      <c r="A4" t="str">
        <f>IFERROR(IF(0=LEN(ReferenceData!$A$4),"",ReferenceData!$A$4),"")</f>
        <v>by Region/ Country of Sale (units)</v>
      </c>
      <c r="B4" t="str">
        <f>IFERROR(IF(0=LEN(ReferenceData!$B$4),"",ReferenceData!$B$4),"")</f>
        <v>AUTMTVSA Index</v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Sum</v>
      </c>
      <c r="F4">
        <f ca="1">IFERROR(IF(0=LEN(ReferenceData!$F$4),"",ReferenceData!$F$4),"")</f>
        <v>4868119</v>
      </c>
      <c r="G4">
        <f ca="1">IFERROR(IF(0=LEN(ReferenceData!$G$4),"",ReferenceData!$G$4),"")</f>
        <v>16056166</v>
      </c>
      <c r="H4">
        <f ca="1">IFERROR(IF(0=LEN(ReferenceData!$H$4),"",ReferenceData!$H$4),"")</f>
        <v>15085594</v>
      </c>
      <c r="I4">
        <f ca="1">IFERROR(IF(0=LEN(ReferenceData!$I$4),"",ReferenceData!$I$4),"")</f>
        <v>16374572</v>
      </c>
      <c r="J4">
        <f ca="1">IFERROR(IF(0=LEN(ReferenceData!$J$4),"",ReferenceData!$J$4),"")</f>
        <v>20618349</v>
      </c>
      <c r="K4">
        <f ca="1">IFERROR(IF(0=LEN(ReferenceData!$K$4),"",ReferenceData!$K$4),"")</f>
        <v>22125963</v>
      </c>
      <c r="L4">
        <f ca="1">IFERROR(IF(0=LEN(ReferenceData!$L$4),"",ReferenceData!$L$4),"")</f>
        <v>20676218</v>
      </c>
      <c r="M4">
        <f ca="1">IFERROR(IF(0=LEN(ReferenceData!$M$4),"",ReferenceData!$M$4),"")</f>
        <v>20961811</v>
      </c>
      <c r="N4">
        <f ca="1">IFERROR(IF(0=LEN(ReferenceData!$N$4),"",ReferenceData!$N$4),"")</f>
        <v>21319971</v>
      </c>
      <c r="O4">
        <f ca="1">IFERROR(IF(0=LEN(ReferenceData!$O$4),"",ReferenceData!$O$4),"")</f>
        <v>22693080</v>
      </c>
      <c r="P4">
        <f ca="1">IFERROR(IF(0=LEN(ReferenceData!$P$4),"",ReferenceData!$P$4),"")</f>
        <v>20227384</v>
      </c>
      <c r="Q4">
        <f ca="1">IFERROR(IF(0=LEN(ReferenceData!$Q$4),"",ReferenceData!$Q$4),"")</f>
        <v>20771275</v>
      </c>
      <c r="R4">
        <f ca="1">IFERROR(IF(0=LEN(ReferenceData!$R$4),"",ReferenceData!$R$4),"")</f>
        <v>20267535</v>
      </c>
      <c r="S4">
        <f ca="1">IFERROR(IF(0=LEN(ReferenceData!$S$4),"",ReferenceData!$S$4),"")</f>
        <v>21448110</v>
      </c>
      <c r="T4">
        <f ca="1">IFERROR(IF(0=LEN(ReferenceData!$T$4),"",ReferenceData!$T$4),"")</f>
        <v>19015463</v>
      </c>
      <c r="U4">
        <f ca="1">IFERROR(IF(0=LEN(ReferenceData!$U$4),"",ReferenceData!$U$4),"")</f>
        <v>19819643</v>
      </c>
      <c r="V4">
        <f ca="1">IFERROR(IF(0=LEN(ReferenceData!$V$4),"",ReferenceData!$V$4),"")</f>
        <v>19800130</v>
      </c>
      <c r="W4">
        <f ca="1">IFERROR(IF(0=LEN(ReferenceData!$W$4),"",ReferenceData!$W$4),"")</f>
        <v>20252621</v>
      </c>
      <c r="X4">
        <f ca="1">IFERROR(IF(0=LEN(ReferenceData!$X$4),"",ReferenceData!$X$4),"")</f>
        <v>18901721</v>
      </c>
      <c r="Y4">
        <f ca="1">IFERROR(IF(0=LEN(ReferenceData!$Y$4),"",ReferenceData!$Y$4),"")</f>
        <v>19814916</v>
      </c>
      <c r="Z4">
        <f ca="1">IFERROR(IF(0=LEN(ReferenceData!$Z$4),"",ReferenceData!$Z$4),"")</f>
        <v>19591719</v>
      </c>
      <c r="AA4">
        <f ca="1">IFERROR(IF(0=LEN(ReferenceData!$AA$4),"",ReferenceData!$AA$4),"")</f>
        <v>19584637</v>
      </c>
      <c r="AB4">
        <f ca="1">IFERROR(IF(0=LEN(ReferenceData!$AB$4),"",ReferenceData!$AB$4),"")</f>
        <v>18608248</v>
      </c>
      <c r="AC4">
        <f ca="1">IFERROR(IF(0=LEN(ReferenceData!$AC$4),"",ReferenceData!$AC$4),"")</f>
        <v>19388792</v>
      </c>
      <c r="AD4">
        <f ca="1">IFERROR(IF(0=LEN(ReferenceData!$AD$4),"",ReferenceData!$AD$4),"")</f>
        <v>18742320</v>
      </c>
      <c r="AE4">
        <f ca="1">IFERROR(IF(0=LEN(ReferenceData!$AE$4),"",ReferenceData!$AE$4),"")</f>
        <v>18223747</v>
      </c>
      <c r="AF4">
        <f ca="1">IFERROR(IF(0=LEN(ReferenceData!$AF$4),"",ReferenceData!$AF$4),"")</f>
        <v>17616021</v>
      </c>
      <c r="AG4">
        <f ca="1">IFERROR(IF(0=LEN(ReferenceData!$AG$4),"",ReferenceData!$AG$4),"")</f>
        <v>18631942</v>
      </c>
      <c r="AH4">
        <f ca="1">IFERROR(IF(0=LEN(ReferenceData!$AH$4),"",ReferenceData!$AH$4),"")</f>
        <v>18218566</v>
      </c>
      <c r="AI4">
        <f ca="1">IFERROR(IF(0=LEN(ReferenceData!$AI$4),"",ReferenceData!$AI$4),"")</f>
        <v>17268267.25</v>
      </c>
      <c r="AJ4">
        <f ca="1">IFERROR(IF(0=LEN(ReferenceData!$AJ$4),"",ReferenceData!$AJ$4),"")</f>
        <v>16675125</v>
      </c>
      <c r="AK4">
        <f ca="1">IFERROR(IF(0=LEN(ReferenceData!$AK$4),"",ReferenceData!$AK$4),"")</f>
        <v>16888620</v>
      </c>
      <c r="AL4">
        <f ca="1">IFERROR(IF(0=LEN(ReferenceData!$AL$4),"",ReferenceData!$AL$4),"")</f>
        <v>17462650</v>
      </c>
      <c r="AM4">
        <f ca="1">IFERROR(IF(0=LEN(ReferenceData!$AM$4),"",ReferenceData!$AM$4),"")</f>
        <v>16903196.75</v>
      </c>
      <c r="AN4">
        <f ca="1">IFERROR(IF(0=LEN(ReferenceData!$AN$4),"",ReferenceData!$AN$4),"")</f>
        <v>16084298</v>
      </c>
      <c r="AO4">
        <f ca="1">IFERROR(IF(0=LEN(ReferenceData!$AO$4),"",ReferenceData!$AO$4),"")</f>
        <v>16646796.25</v>
      </c>
      <c r="AP4">
        <f ca="1">IFERROR(IF(0=LEN(ReferenceData!$AP$4),"",ReferenceData!$AP$4),"")</f>
        <v>16259152.1666667</v>
      </c>
      <c r="AQ4">
        <f ca="1">IFERROR(IF(0=LEN(ReferenceData!$AQ$4),"",ReferenceData!$AQ$4),"")</f>
        <v>15265436</v>
      </c>
      <c r="AR4">
        <f ca="1">IFERROR(IF(0=LEN(ReferenceData!$AR$4),"",ReferenceData!$AR$4),"")</f>
        <v>15069891</v>
      </c>
      <c r="AS4">
        <f ca="1">IFERROR(IF(0=LEN(ReferenceData!$AS$4),"",ReferenceData!$AS$4),"")</f>
        <v>14631007</v>
      </c>
      <c r="AT4">
        <f ca="1">IFERROR(IF(0=LEN(ReferenceData!$AT$4),"",ReferenceData!$AT$4),"")</f>
        <v>12791569</v>
      </c>
      <c r="AU4">
        <f ca="1">IFERROR(IF(0=LEN(ReferenceData!$AU$4),"",ReferenceData!$AU$4),"")</f>
        <v>11876237</v>
      </c>
      <c r="AV4">
        <f ca="1">IFERROR(IF(0=LEN(ReferenceData!$AV$4),"",ReferenceData!$AV$4),"")</f>
        <v>13900307</v>
      </c>
      <c r="AW4">
        <f ca="1">IFERROR(IF(0=LEN(ReferenceData!$AW$4),"",ReferenceData!$AW$4),"")</f>
        <v>15946831</v>
      </c>
      <c r="AX4">
        <f ca="1">IFERROR(IF(0=LEN(ReferenceData!$AX$4),"",ReferenceData!$AX$4),"")</f>
        <v>15474862</v>
      </c>
      <c r="AY4">
        <f ca="1">IFERROR(IF(0=LEN(ReferenceData!$AY$4),"",ReferenceData!$AY$4),"")</f>
        <v>15055360</v>
      </c>
      <c r="AZ4">
        <f ca="1">IFERROR(IF(0=LEN(ReferenceData!$AZ$4),"",ReferenceData!$AZ$4),"")</f>
        <v>14965933</v>
      </c>
      <c r="BA4">
        <f ca="1">IFERROR(IF(0=LEN(ReferenceData!$BA$4),"",ReferenceData!$BA$4),"")</f>
        <v>15768706</v>
      </c>
      <c r="BB4">
        <f ca="1">IFERROR(IF(0=LEN(ReferenceData!$BB$4),"",ReferenceData!$BB$4),"")</f>
        <v>15011834</v>
      </c>
      <c r="BC4">
        <f ca="1">IFERROR(IF(0=LEN(ReferenceData!$BC$4),"",ReferenceData!$BC$4),"")</f>
        <v>14045895</v>
      </c>
      <c r="BD4">
        <f ca="1">IFERROR(IF(0=LEN(ReferenceData!$BD$4),"",ReferenceData!$BD$4),"")</f>
        <v>14063631</v>
      </c>
      <c r="BE4">
        <f ca="1">IFERROR(IF(0=LEN(ReferenceData!$BE$4),"",ReferenceData!$BE$4),"")</f>
        <v>14771147</v>
      </c>
      <c r="BF4">
        <f ca="1">IFERROR(IF(0=LEN(ReferenceData!$BF$4),"",ReferenceData!$BF$4),"")</f>
        <v>14350131</v>
      </c>
      <c r="BG4">
        <f ca="1">IFERROR(IF(0=LEN(ReferenceData!$BG$4),"",ReferenceData!$BG$4),"")</f>
        <v>13049800</v>
      </c>
      <c r="BH4">
        <f ca="1">IFERROR(IF(0=LEN(ReferenceData!$BH$4),"",ReferenceData!$BH$4),"")</f>
        <v>13847413</v>
      </c>
      <c r="BI4">
        <f ca="1">IFERROR(IF(0=LEN(ReferenceData!$BI$4),"",ReferenceData!$BI$4),"")</f>
        <v>14615928</v>
      </c>
      <c r="BJ4">
        <f ca="1">IFERROR(IF(0=LEN(ReferenceData!$BJ$4),"",ReferenceData!$BJ$4),"")</f>
        <v>13479023</v>
      </c>
      <c r="BK4">
        <f ca="1">IFERROR(IF(0=LEN(ReferenceData!$BK$4),"",ReferenceData!$BK$4),"")</f>
        <v>12916706</v>
      </c>
      <c r="BL4">
        <f ca="1">IFERROR(IF(0=LEN(ReferenceData!$BL$4),"",ReferenceData!$BL$4),"")</f>
        <v>13011853</v>
      </c>
      <c r="BM4">
        <f ca="1">IFERROR(IF(0=LEN(ReferenceData!$BM$4),"",ReferenceData!$BM$4),"")</f>
        <v>13654117</v>
      </c>
    </row>
    <row r="5" spans="1:65" x14ac:dyDescent="0.25">
      <c r="A5" t="str">
        <f>IFERROR(IF(0=LEN(ReferenceData!$A$5),"",ReferenceData!$A$5),"")</f>
        <v xml:space="preserve">    Asia Pacific</v>
      </c>
      <c r="B5" t="str">
        <f>IFERROR(IF(0=LEN(ReferenceData!$B$5),"",ReferenceData!$B$5),"")</f>
        <v>AUTMASBS Index</v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Sum</v>
      </c>
      <c r="F5">
        <f ca="1">IFERROR(IF(0=LEN(ReferenceData!$F$5),"",ReferenceData!$F$5),"")</f>
        <v>3020556</v>
      </c>
      <c r="G5">
        <f ca="1">IFERROR(IF(0=LEN(ReferenceData!$G$5),"",ReferenceData!$G$5),"")</f>
        <v>10208093</v>
      </c>
      <c r="H5">
        <f ca="1">IFERROR(IF(0=LEN(ReferenceData!$H$5),"",ReferenceData!$H$5),"")</f>
        <v>8976171</v>
      </c>
      <c r="I5">
        <f ca="1">IFERROR(IF(0=LEN(ReferenceData!$I$5),"",ReferenceData!$I$5),"")</f>
        <v>9372976</v>
      </c>
      <c r="J5">
        <f ca="1">IFERROR(IF(0=LEN(ReferenceData!$J$5),"",ReferenceData!$J$5),"")</f>
        <v>9980596</v>
      </c>
      <c r="K5">
        <f ca="1">IFERROR(IF(0=LEN(ReferenceData!$K$5),"",ReferenceData!$K$5),"")</f>
        <v>11421433</v>
      </c>
      <c r="L5">
        <f ca="1">IFERROR(IF(0=LEN(ReferenceData!$L$5),"",ReferenceData!$L$5),"")</f>
        <v>10089613</v>
      </c>
      <c r="M5">
        <f ca="1">IFERROR(IF(0=LEN(ReferenceData!$M$5),"",ReferenceData!$M$5),"")</f>
        <v>9843022</v>
      </c>
      <c r="N5">
        <f ca="1">IFERROR(IF(0=LEN(ReferenceData!$N$5),"",ReferenceData!$N$5),"")</f>
        <v>10933748</v>
      </c>
      <c r="O5">
        <f ca="1">IFERROR(IF(0=LEN(ReferenceData!$O$5),"",ReferenceData!$O$5),"")</f>
        <v>12211708</v>
      </c>
      <c r="P5">
        <f ca="1">IFERROR(IF(0=LEN(ReferenceData!$P$5),"",ReferenceData!$P$5),"")</f>
        <v>9954796</v>
      </c>
      <c r="Q5">
        <f ca="1">IFERROR(IF(0=LEN(ReferenceData!$Q$5),"",ReferenceData!$Q$5),"")</f>
        <v>9676095</v>
      </c>
      <c r="R5">
        <f ca="1">IFERROR(IF(0=LEN(ReferenceData!$R$5),"",ReferenceData!$R$5),"")</f>
        <v>10191998</v>
      </c>
      <c r="S5">
        <f ca="1">IFERROR(IF(0=LEN(ReferenceData!$S$5),"",ReferenceData!$S$5),"")</f>
        <v>11103225</v>
      </c>
      <c r="T5">
        <f ca="1">IFERROR(IF(0=LEN(ReferenceData!$T$5),"",ReferenceData!$T$5),"")</f>
        <v>8622856</v>
      </c>
      <c r="U5">
        <f ca="1">IFERROR(IF(0=LEN(ReferenceData!$U$5),"",ReferenceData!$U$5),"")</f>
        <v>8960536</v>
      </c>
      <c r="V5">
        <f ca="1">IFERROR(IF(0=LEN(ReferenceData!$V$5),"",ReferenceData!$V$5),"")</f>
        <v>9964429</v>
      </c>
      <c r="W5">
        <f ca="1">IFERROR(IF(0=LEN(ReferenceData!$W$5),"",ReferenceData!$W$5),"")</f>
        <v>9968076</v>
      </c>
      <c r="X5">
        <f ca="1">IFERROR(IF(0=LEN(ReferenceData!$X$5),"",ReferenceData!$X$5),"")</f>
        <v>8750186</v>
      </c>
      <c r="Y5">
        <f ca="1">IFERROR(IF(0=LEN(ReferenceData!$Y$5),"",ReferenceData!$Y$5),"")</f>
        <v>9096319</v>
      </c>
      <c r="Z5">
        <f ca="1">IFERROR(IF(0=LEN(ReferenceData!$Z$5),"",ReferenceData!$Z$5),"")</f>
        <v>9957352</v>
      </c>
      <c r="AA5">
        <f ca="1">IFERROR(IF(0=LEN(ReferenceData!$AA$5),"",ReferenceData!$AA$5),"")</f>
        <v>9640834</v>
      </c>
      <c r="AB5">
        <f ca="1">IFERROR(IF(0=LEN(ReferenceData!$AB$5),"",ReferenceData!$AB$5),"")</f>
        <v>8609895</v>
      </c>
      <c r="AC5">
        <f ca="1">IFERROR(IF(0=LEN(ReferenceData!$AC$5),"",ReferenceData!$AC$5),"")</f>
        <v>8728294</v>
      </c>
      <c r="AD5">
        <f ca="1">IFERROR(IF(0=LEN(ReferenceData!$AD$5),"",ReferenceData!$AD$5),"")</f>
        <v>9300785</v>
      </c>
      <c r="AE5">
        <f ca="1">IFERROR(IF(0=LEN(ReferenceData!$AE$5),"",ReferenceData!$AE$5),"")</f>
        <v>8697151</v>
      </c>
      <c r="AF5">
        <f ca="1">IFERROR(IF(0=LEN(ReferenceData!$AF$5),"",ReferenceData!$AF$5),"")</f>
        <v>8002813</v>
      </c>
      <c r="AG5">
        <f ca="1">IFERROR(IF(0=LEN(ReferenceData!$AG$5),"",ReferenceData!$AG$5),"")</f>
        <v>8287520</v>
      </c>
      <c r="AH5">
        <f ca="1">IFERROR(IF(0=LEN(ReferenceData!$AH$5),"",ReferenceData!$AH$5),"")</f>
        <v>8721760</v>
      </c>
      <c r="AI5">
        <f ca="1">IFERROR(IF(0=LEN(ReferenceData!$AI$5),"",ReferenceData!$AI$5),"")</f>
        <v>7884329</v>
      </c>
      <c r="AJ5">
        <f ca="1">IFERROR(IF(0=LEN(ReferenceData!$AJ$5),"",ReferenceData!$AJ$5),"")</f>
        <v>7476349</v>
      </c>
      <c r="AK5">
        <f ca="1">IFERROR(IF(0=LEN(ReferenceData!$AK$5),"",ReferenceData!$AK$5),"")</f>
        <v>7012667</v>
      </c>
      <c r="AL5">
        <f ca="1">IFERROR(IF(0=LEN(ReferenceData!$AL$5),"",ReferenceData!$AL$5),"")</f>
        <v>8250135</v>
      </c>
      <c r="AM5">
        <f ca="1">IFERROR(IF(0=LEN(ReferenceData!$AM$5),"",ReferenceData!$AM$5),"")</f>
        <v>7847239</v>
      </c>
      <c r="AN5">
        <f ca="1">IFERROR(IF(0=LEN(ReferenceData!$AN$5),"",ReferenceData!$AN$5),"")</f>
        <v>7410425</v>
      </c>
      <c r="AO5">
        <f ca="1">IFERROR(IF(0=LEN(ReferenceData!$AO$5),"",ReferenceData!$AO$5),"")</f>
        <v>7433120</v>
      </c>
      <c r="AP5">
        <f ca="1">IFERROR(IF(0=LEN(ReferenceData!$AP$5),"",ReferenceData!$AP$5),"")</f>
        <v>7923312</v>
      </c>
      <c r="AQ5">
        <f ca="1">IFERROR(IF(0=LEN(ReferenceData!$AQ$5),"",ReferenceData!$AQ$5),"")</f>
        <v>6964713</v>
      </c>
      <c r="AR5">
        <f ca="1">IFERROR(IF(0=LEN(ReferenceData!$AR$5),"",ReferenceData!$AR$5),"")</f>
        <v>6349351</v>
      </c>
      <c r="AS5">
        <f ca="1">IFERROR(IF(0=LEN(ReferenceData!$AS$5),"",ReferenceData!$AS$5),"")</f>
        <v>5853651</v>
      </c>
      <c r="AT5">
        <f ca="1">IFERROR(IF(0=LEN(ReferenceData!$AT$5),"",ReferenceData!$AT$5),"")</f>
        <v>5249699</v>
      </c>
      <c r="AU5">
        <f ca="1">IFERROR(IF(0=LEN(ReferenceData!$AU$5),"",ReferenceData!$AU$5),"")</f>
        <v>4455081</v>
      </c>
      <c r="AV5">
        <f ca="1">IFERROR(IF(0=LEN(ReferenceData!$AV$5),"",ReferenceData!$AV$5),"")</f>
        <v>4658156</v>
      </c>
      <c r="AW5">
        <f ca="1">IFERROR(IF(0=LEN(ReferenceData!$AW$5),"",ReferenceData!$AW$5),"")</f>
        <v>5264939</v>
      </c>
      <c r="AX5">
        <f ca="1">IFERROR(IF(0=LEN(ReferenceData!$AX$5),"",ReferenceData!$AX$5),"")</f>
        <v>5669690</v>
      </c>
      <c r="AY5">
        <f ca="1">IFERROR(IF(0=LEN(ReferenceData!$AY$5),"",ReferenceData!$AY$5),"")</f>
        <v>5017193</v>
      </c>
      <c r="AZ5">
        <f ca="1">IFERROR(IF(0=LEN(ReferenceData!$AZ$5),"",ReferenceData!$AZ$5),"")</f>
        <v>4784857</v>
      </c>
      <c r="BA5">
        <f ca="1">IFERROR(IF(0=LEN(ReferenceData!$BA$5),"",ReferenceData!$BA$5),"")</f>
        <v>4830563</v>
      </c>
      <c r="BB5">
        <f ca="1">IFERROR(IF(0=LEN(ReferenceData!$BB$5),"",ReferenceData!$BB$5),"")</f>
        <v>5097224</v>
      </c>
      <c r="BC5">
        <f ca="1">IFERROR(IF(0=LEN(ReferenceData!$BC$5),"",ReferenceData!$BC$5),"")</f>
        <v>4646721</v>
      </c>
      <c r="BD5">
        <f ca="1">IFERROR(IF(0=LEN(ReferenceData!$BD$5),"",ReferenceData!$BD$5),"")</f>
        <v>4311371</v>
      </c>
      <c r="BE5">
        <f ca="1">IFERROR(IF(0=LEN(ReferenceData!$BE$5),"",ReferenceData!$BE$5),"")</f>
        <v>4342671</v>
      </c>
      <c r="BF5">
        <f ca="1">IFERROR(IF(0=LEN(ReferenceData!$BF$5),"",ReferenceData!$BF$5),"")</f>
        <v>4784259</v>
      </c>
      <c r="BG5">
        <f ca="1">IFERROR(IF(0=LEN(ReferenceData!$BG$5),"",ReferenceData!$BG$5),"")</f>
        <v>4263256</v>
      </c>
      <c r="BH5">
        <f ca="1">IFERROR(IF(0=LEN(ReferenceData!$BH$5),"",ReferenceData!$BH$5),"")</f>
        <v>4110318</v>
      </c>
      <c r="BI5">
        <f ca="1">IFERROR(IF(0=LEN(ReferenceData!$BI$5),"",ReferenceData!$BI$5),"")</f>
        <v>4219666</v>
      </c>
      <c r="BJ5">
        <f ca="1">IFERROR(IF(0=LEN(ReferenceData!$BJ$5),"",ReferenceData!$BJ$5),"")</f>
        <v>4344460</v>
      </c>
      <c r="BK5">
        <f ca="1">IFERROR(IF(0=LEN(ReferenceData!$BK$5),"",ReferenceData!$BK$5),"")</f>
        <v>3999258</v>
      </c>
      <c r="BL5">
        <f ca="1">IFERROR(IF(0=LEN(ReferenceData!$BL$5),"",ReferenceData!$BL$5),"")</f>
        <v>3826199</v>
      </c>
      <c r="BM5">
        <f ca="1">IFERROR(IF(0=LEN(ReferenceData!$BM$5),"",ReferenceData!$BM$5),"")</f>
        <v>3756323</v>
      </c>
    </row>
    <row r="6" spans="1:65" x14ac:dyDescent="0.25">
      <c r="A6" t="str">
        <f>IFERROR(IF(0=LEN(ReferenceData!$A$6),"",ReferenceData!$A$6),"")</f>
        <v xml:space="preserve">        Australia</v>
      </c>
      <c r="B6" t="str">
        <f>IFERROR(IF(0=LEN(ReferenceData!$B$6),"",ReferenceData!$B$6),"")</f>
        <v>AUTMAUVS Index</v>
      </c>
      <c r="C6" t="str">
        <f>IFERROR(IF(0=LEN(ReferenceData!$C$6),"",ReferenceData!$C$6),"")</f>
        <v>PX385</v>
      </c>
      <c r="D6" t="str">
        <f>IFERROR(IF(0=LEN(ReferenceData!$D$6),"",ReferenceData!$D$6),"")</f>
        <v>INTERVAL_SUM</v>
      </c>
      <c r="E6" t="str">
        <f>IFERROR(IF(0=LEN(ReferenceData!$E$6),"",ReferenceData!$E$6),"")</f>
        <v>Dynamic</v>
      </c>
      <c r="F6" t="str">
        <f ca="1">IFERROR(IF(0=LEN(ReferenceData!$F$6),"",ReferenceData!$F$6),"")</f>
        <v/>
      </c>
      <c r="G6" t="str">
        <f ca="1">IFERROR(IF(0=LEN(ReferenceData!$G$6),"",ReferenceData!$G$6),"")</f>
        <v/>
      </c>
      <c r="H6" t="str">
        <f ca="1">IFERROR(IF(0=LEN(ReferenceData!$H$6),"",ReferenceData!$H$6),"")</f>
        <v/>
      </c>
      <c r="I6" t="str">
        <f ca="1">IFERROR(IF(0=LEN(ReferenceData!$I$6),"",ReferenceData!$I$6),"")</f>
        <v/>
      </c>
      <c r="J6" t="str">
        <f ca="1">IFERROR(IF(0=LEN(ReferenceData!$J$6),"",ReferenceData!$J$6),"")</f>
        <v/>
      </c>
      <c r="K6">
        <f ca="1">IFERROR(IF(0=LEN(ReferenceData!$K$6),"",ReferenceData!$K$6),"")</f>
        <v>230165</v>
      </c>
      <c r="L6">
        <f ca="1">IFERROR(IF(0=LEN(ReferenceData!$L$6),"",ReferenceData!$L$6),"")</f>
        <v>228010</v>
      </c>
      <c r="M6">
        <f ca="1">IFERROR(IF(0=LEN(ReferenceData!$M$6),"",ReferenceData!$M$6),"")</f>
        <v>232140</v>
      </c>
      <c r="N6">
        <f ca="1">IFERROR(IF(0=LEN(ReferenceData!$N$6),"",ReferenceData!$N$6),"")</f>
        <v>226679</v>
      </c>
      <c r="O6">
        <f ca="1">IFERROR(IF(0=LEN(ReferenceData!$O$6),"",ReferenceData!$O$6),"")</f>
        <v>229699</v>
      </c>
      <c r="P6">
        <f ca="1">IFERROR(IF(0=LEN(ReferenceData!$P$6),"",ReferenceData!$P$6),"")</f>
        <v>232664</v>
      </c>
      <c r="Q6">
        <f ca="1">IFERROR(IF(0=LEN(ReferenceData!$Q$6),"",ReferenceData!$Q$6),"")</f>
        <v>229610</v>
      </c>
      <c r="R6">
        <f ca="1">IFERROR(IF(0=LEN(ReferenceData!$R$6),"",ReferenceData!$R$6),"")</f>
        <v>233629</v>
      </c>
      <c r="S6">
        <f ca="1">IFERROR(IF(0=LEN(ReferenceData!$S$6),"",ReferenceData!$S$6),"")</f>
        <v>232677</v>
      </c>
      <c r="T6">
        <f ca="1">IFERROR(IF(0=LEN(ReferenceData!$T$6),"",ReferenceData!$T$6),"")</f>
        <v>234769</v>
      </c>
      <c r="U6">
        <f ca="1">IFERROR(IF(0=LEN(ReferenceData!$U$6),"",ReferenceData!$U$6),"")</f>
        <v>227533</v>
      </c>
      <c r="V6">
        <f ca="1">IFERROR(IF(0=LEN(ReferenceData!$V$6),"",ReferenceData!$V$6),"")</f>
        <v>228659</v>
      </c>
      <c r="W6">
        <f ca="1">IFERROR(IF(0=LEN(ReferenceData!$W$6),"",ReferenceData!$W$6),"")</f>
        <v>222148</v>
      </c>
      <c r="X6">
        <f ca="1">IFERROR(IF(0=LEN(ReferenceData!$X$6),"",ReferenceData!$X$6),"")</f>
        <v>220748</v>
      </c>
      <c r="Y6">
        <f ca="1">IFERROR(IF(0=LEN(ReferenceData!$Y$6),"",ReferenceData!$Y$6),"")</f>
        <v>221723</v>
      </c>
      <c r="Z6">
        <f ca="1">IFERROR(IF(0=LEN(ReferenceData!$Z$6),"",ReferenceData!$Z$6),"")</f>
        <v>221405</v>
      </c>
      <c r="AA6">
        <f ca="1">IFERROR(IF(0=LEN(ReferenceData!$AA$6),"",ReferenceData!$AA$6),"")</f>
        <v>226461</v>
      </c>
      <c r="AB6">
        <f ca="1">IFERROR(IF(0=LEN(ReferenceData!$AB$6),"",ReferenceData!$AB$6),"")</f>
        <v>224738</v>
      </c>
      <c r="AC6">
        <f ca="1">IFERROR(IF(0=LEN(ReferenceData!$AC$6),"",ReferenceData!$AC$6),"")</f>
        <v>226183</v>
      </c>
      <c r="AD6">
        <f ca="1">IFERROR(IF(0=LEN(ReferenceData!$AD$6),"",ReferenceData!$AD$6),"")</f>
        <v>223923</v>
      </c>
      <c r="AE6">
        <f ca="1">IFERROR(IF(0=LEN(ReferenceData!$AE$6),"",ReferenceData!$AE$6),"")</f>
        <v>228636</v>
      </c>
      <c r="AF6">
        <f ca="1">IFERROR(IF(0=LEN(ReferenceData!$AF$6),"",ReferenceData!$AF$6),"")</f>
        <v>220423</v>
      </c>
      <c r="AG6">
        <f ca="1">IFERROR(IF(0=LEN(ReferenceData!$AG$6),"",ReferenceData!$AG$6),"")</f>
        <v>217393</v>
      </c>
      <c r="AH6">
        <f ca="1">IFERROR(IF(0=LEN(ReferenceData!$AH$6),"",ReferenceData!$AH$6),"")</f>
        <v>211478</v>
      </c>
      <c r="AI6">
        <f ca="1">IFERROR(IF(0=LEN(ReferenceData!$AI$6),"",ReferenceData!$AI$6),"")</f>
        <v>208745</v>
      </c>
      <c r="AJ6">
        <f ca="1">IFERROR(IF(0=LEN(ReferenceData!$AJ$6),"",ReferenceData!$AJ$6),"")</f>
        <v>207004</v>
      </c>
      <c r="AK6">
        <f ca="1">IFERROR(IF(0=LEN(ReferenceData!$AK$6),"",ReferenceData!$AK$6),"")</f>
        <v>188912</v>
      </c>
      <c r="AL6">
        <f ca="1">IFERROR(IF(0=LEN(ReferenceData!$AL$6),"",ReferenceData!$AL$6),"")</f>
        <v>201409</v>
      </c>
      <c r="AM6">
        <f ca="1">IFERROR(IF(0=LEN(ReferenceData!$AM$6),"",ReferenceData!$AM$6),"")</f>
        <v>205065</v>
      </c>
      <c r="AN6">
        <f ca="1">IFERROR(IF(0=LEN(ReferenceData!$AN$6),"",ReferenceData!$AN$6),"")</f>
        <v>203356</v>
      </c>
      <c r="AO6">
        <f ca="1">IFERROR(IF(0=LEN(ReferenceData!$AO$6),"",ReferenceData!$AO$6),"")</f>
        <v>216584</v>
      </c>
      <c r="AP6">
        <f ca="1">IFERROR(IF(0=LEN(ReferenceData!$AP$6),"",ReferenceData!$AP$6),"")</f>
        <v>203025</v>
      </c>
      <c r="AQ6">
        <f ca="1">IFERROR(IF(0=LEN(ReferenceData!$AQ$6),"",ReferenceData!$AQ$6),"")</f>
        <v>195504</v>
      </c>
      <c r="AR6">
        <f ca="1">IFERROR(IF(0=LEN(ReferenceData!$AR$6),"",ReferenceData!$AR$6),"")</f>
        <v>183927</v>
      </c>
      <c r="AS6">
        <f ca="1">IFERROR(IF(0=LEN(ReferenceData!$AS$6),"",ReferenceData!$AS$6),"")</f>
        <v>177092</v>
      </c>
      <c r="AT6">
        <f ca="1">IFERROR(IF(0=LEN(ReferenceData!$AT$6),"",ReferenceData!$AT$6),"")</f>
        <v>172733</v>
      </c>
      <c r="AU6">
        <f ca="1">IFERROR(IF(0=LEN(ReferenceData!$AU$6),"",ReferenceData!$AU$6),"")</f>
        <v>177870</v>
      </c>
      <c r="AV6">
        <f ca="1">IFERROR(IF(0=LEN(ReferenceData!$AV$6),"",ReferenceData!$AV$6),"")</f>
        <v>192060</v>
      </c>
      <c r="AW6">
        <f ca="1">IFERROR(IF(0=LEN(ReferenceData!$AW$6),"",ReferenceData!$AW$6),"")</f>
        <v>206386</v>
      </c>
      <c r="AX6">
        <f ca="1">IFERROR(IF(0=LEN(ReferenceData!$AX$6),"",ReferenceData!$AX$6),"")</f>
        <v>213411</v>
      </c>
      <c r="AY6">
        <f ca="1">IFERROR(IF(0=LEN(ReferenceData!$AY$6),"",ReferenceData!$AY$6),"")</f>
        <v>213421</v>
      </c>
      <c r="AZ6">
        <f ca="1">IFERROR(IF(0=LEN(ReferenceData!$AZ$6),"",ReferenceData!$AZ$6),"")</f>
        <v>209918</v>
      </c>
      <c r="BA6">
        <f ca="1">IFERROR(IF(0=LEN(ReferenceData!$BA$6),"",ReferenceData!$BA$6),"")</f>
        <v>204725</v>
      </c>
      <c r="BB6">
        <f ca="1">IFERROR(IF(0=LEN(ReferenceData!$BB$6),"",ReferenceData!$BB$6),"")</f>
        <v>208186</v>
      </c>
      <c r="BC6">
        <f ca="1">IFERROR(IF(0=LEN(ReferenceData!$BC$6),"",ReferenceData!$BC$6),"")</f>
        <v>198037</v>
      </c>
      <c r="BD6">
        <f ca="1">IFERROR(IF(0=LEN(ReferenceData!$BD$6),"",ReferenceData!$BD$6),"")</f>
        <v>194992</v>
      </c>
      <c r="BE6">
        <f ca="1">IFERROR(IF(0=LEN(ReferenceData!$BE$6),"",ReferenceData!$BE$6),"")</f>
        <v>188660</v>
      </c>
      <c r="BF6">
        <f ca="1">IFERROR(IF(0=LEN(ReferenceData!$BF$6),"",ReferenceData!$BF$6),"")</f>
        <v>190945</v>
      </c>
      <c r="BG6">
        <f ca="1">IFERROR(IF(0=LEN(ReferenceData!$BG$6),"",ReferenceData!$BG$6),"")</f>
        <v>193475</v>
      </c>
      <c r="BH6">
        <f ca="1">IFERROR(IF(0=LEN(ReferenceData!$BH$6),"",ReferenceData!$BH$6),"")</f>
        <v>199855</v>
      </c>
      <c r="BI6">
        <f ca="1">IFERROR(IF(0=LEN(ReferenceData!$BI$6),"",ReferenceData!$BI$6),"")</f>
        <v>196925</v>
      </c>
      <c r="BJ6">
        <f ca="1">IFERROR(IF(0=LEN(ReferenceData!$BJ$6),"",ReferenceData!$BJ$6),"")</f>
        <v>201515</v>
      </c>
      <c r="BK6">
        <f ca="1">IFERROR(IF(0=LEN(ReferenceData!$BK$6),"",ReferenceData!$BK$6),"")</f>
        <v>197669</v>
      </c>
      <c r="BL6">
        <f ca="1">IFERROR(IF(0=LEN(ReferenceData!$BL$6),"",ReferenceData!$BL$6),"")</f>
        <v>190060</v>
      </c>
      <c r="BM6">
        <f ca="1">IFERROR(IF(0=LEN(ReferenceData!$BM$6),"",ReferenceData!$BM$6),"")</f>
        <v>187870</v>
      </c>
    </row>
    <row r="7" spans="1:65" x14ac:dyDescent="0.25">
      <c r="A7" t="str">
        <f>IFERROR(IF(0=LEN(ReferenceData!$A$7),"",ReferenceData!$A$7),"")</f>
        <v xml:space="preserve">        China</v>
      </c>
      <c r="B7" t="str">
        <f>IFERROR(IF(0=LEN(ReferenceData!$B$7),"",ReferenceData!$B$7),"")</f>
        <v>CNVSTTL Index</v>
      </c>
      <c r="C7" t="str">
        <f>IFERROR(IF(0=LEN(ReferenceData!$C$7),"",ReferenceData!$C$7),"")</f>
        <v>PX385</v>
      </c>
      <c r="D7" t="str">
        <f>IFERROR(IF(0=LEN(ReferenceData!$D$7),"",ReferenceData!$D$7),"")</f>
        <v>INTERVAL_SUM</v>
      </c>
      <c r="E7" t="str">
        <f>IFERROR(IF(0=LEN(ReferenceData!$E$7),"",ReferenceData!$E$7),"")</f>
        <v>Dynamic</v>
      </c>
      <c r="F7">
        <f ca="1">IFERROR(IF(0=LEN(ReferenceData!$F$7),"",ReferenceData!$F$7),"")</f>
        <v>2367278</v>
      </c>
      <c r="G7">
        <f ca="1">IFERROR(IF(0=LEN(ReferenceData!$G$7),"",ReferenceData!$G$7),"")</f>
        <v>7589411</v>
      </c>
      <c r="H7">
        <f ca="1">IFERROR(IF(0=LEN(ReferenceData!$H$7),"",ReferenceData!$H$7),"")</f>
        <v>6386536</v>
      </c>
      <c r="I7">
        <f ca="1">IFERROR(IF(0=LEN(ReferenceData!$I$7),"",ReferenceData!$I$7),"")</f>
        <v>6879927</v>
      </c>
      <c r="J7">
        <f ca="1">IFERROR(IF(0=LEN(ReferenceData!$J$7),"",ReferenceData!$J$7),"")</f>
        <v>7183073</v>
      </c>
      <c r="K7">
        <f ca="1">IFERROR(IF(0=LEN(ReferenceData!$K$7),"",ReferenceData!$K$7),"")</f>
        <v>8721416</v>
      </c>
      <c r="L7">
        <f ca="1">IFERROR(IF(0=LEN(ReferenceData!$L$7),"",ReferenceData!$L$7),"")</f>
        <v>6866382</v>
      </c>
      <c r="M7">
        <f ca="1">IFERROR(IF(0=LEN(ReferenceData!$M$7),"",ReferenceData!$M$7),"")</f>
        <v>6351893</v>
      </c>
      <c r="N7">
        <f ca="1">IFERROR(IF(0=LEN(ReferenceData!$N$7),"",ReferenceData!$N$7),"")</f>
        <v>7001690</v>
      </c>
      <c r="O7">
        <f ca="1">IFERROR(IF(0=LEN(ReferenceData!$O$7),"",ReferenceData!$O$7),"")</f>
        <v>8645873</v>
      </c>
      <c r="P7">
        <f ca="1">IFERROR(IF(0=LEN(ReferenceData!$P$7),"",ReferenceData!$P$7),"")</f>
        <v>6487058</v>
      </c>
      <c r="Q7">
        <f ca="1">IFERROR(IF(0=LEN(ReferenceData!$Q$7),"",ReferenceData!$Q$7),"")</f>
        <v>6284767</v>
      </c>
      <c r="R7">
        <f ca="1">IFERROR(IF(0=LEN(ReferenceData!$R$7),"",ReferenceData!$R$7),"")</f>
        <v>6521233</v>
      </c>
      <c r="S7">
        <f ca="1">IFERROR(IF(0=LEN(ReferenceData!$S$7),"",ReferenceData!$S$7),"")</f>
        <v>7515842</v>
      </c>
      <c r="T7">
        <f ca="1">IFERROR(IF(0=LEN(ReferenceData!$T$7),"",ReferenceData!$T$7),"")</f>
        <v>5192294</v>
      </c>
      <c r="U7">
        <f ca="1">IFERROR(IF(0=LEN(ReferenceData!$U$7),"",ReferenceData!$U$7),"")</f>
        <v>5701371</v>
      </c>
      <c r="V7">
        <f ca="1">IFERROR(IF(0=LEN(ReferenceData!$V$7),"",ReferenceData!$V$7),"")</f>
        <v>6153468</v>
      </c>
      <c r="W7">
        <f ca="1">IFERROR(IF(0=LEN(ReferenceData!$W$7),"",ReferenceData!$W$7),"")</f>
        <v>6488150</v>
      </c>
      <c r="X7">
        <f ca="1">IFERROR(IF(0=LEN(ReferenceData!$X$7),"",ReferenceData!$X$7),"")</f>
        <v>5317296</v>
      </c>
      <c r="Y7">
        <f ca="1">IFERROR(IF(0=LEN(ReferenceData!$Y$7),"",ReferenceData!$Y$7),"")</f>
        <v>5761303</v>
      </c>
      <c r="Z7">
        <f ca="1">IFERROR(IF(0=LEN(ReferenceData!$Z$7),"",ReferenceData!$Z$7),"")</f>
        <v>5921854</v>
      </c>
      <c r="AA7">
        <f ca="1">IFERROR(IF(0=LEN(ReferenceData!$AA$7),"",ReferenceData!$AA$7),"")</f>
        <v>6110758</v>
      </c>
      <c r="AB7">
        <f ca="1">IFERROR(IF(0=LEN(ReferenceData!$AB$7),"",ReferenceData!$AB$7),"")</f>
        <v>5101012</v>
      </c>
      <c r="AC7">
        <f ca="1">IFERROR(IF(0=LEN(ReferenceData!$AC$7),"",ReferenceData!$AC$7),"")</f>
        <v>5357343</v>
      </c>
      <c r="AD7">
        <f ca="1">IFERROR(IF(0=LEN(ReferenceData!$AD$7),"",ReferenceData!$AD$7),"")</f>
        <v>5424230</v>
      </c>
      <c r="AE7">
        <f ca="1">IFERROR(IF(0=LEN(ReferenceData!$AE$7),"",ReferenceData!$AE$7),"")</f>
        <v>5206923</v>
      </c>
      <c r="AF7">
        <f ca="1">IFERROR(IF(0=LEN(ReferenceData!$AF$7),"",ReferenceData!$AF$7),"")</f>
        <v>4491951</v>
      </c>
      <c r="AG7">
        <f ca="1">IFERROR(IF(0=LEN(ReferenceData!$AG$7),"",ReferenceData!$AG$7),"")</f>
        <v>4809115</v>
      </c>
      <c r="AH7">
        <f ca="1">IFERROR(IF(0=LEN(ReferenceData!$AH$7),"",ReferenceData!$AH$7),"")</f>
        <v>4795421</v>
      </c>
      <c r="AI7">
        <f ca="1">IFERROR(IF(0=LEN(ReferenceData!$AI$7),"",ReferenceData!$AI$7),"")</f>
        <v>4870394</v>
      </c>
      <c r="AJ7">
        <f ca="1">IFERROR(IF(0=LEN(ReferenceData!$AJ$7),"",ReferenceData!$AJ$7),"")</f>
        <v>4302469</v>
      </c>
      <c r="AK7">
        <f ca="1">IFERROR(IF(0=LEN(ReferenceData!$AK$7),"",ReferenceData!$AK$7),"")</f>
        <v>4370730</v>
      </c>
      <c r="AL7">
        <f ca="1">IFERROR(IF(0=LEN(ReferenceData!$AL$7),"",ReferenceData!$AL$7),"")</f>
        <v>4989813</v>
      </c>
      <c r="AM7">
        <f ca="1">IFERROR(IF(0=LEN(ReferenceData!$AM$7),"",ReferenceData!$AM$7),"")</f>
        <v>4902324</v>
      </c>
      <c r="AN7">
        <f ca="1">IFERROR(IF(0=LEN(ReferenceData!$AN$7),"",ReferenceData!$AN$7),"")</f>
        <v>4123038</v>
      </c>
      <c r="AO7">
        <f ca="1">IFERROR(IF(0=LEN(ReferenceData!$AO$7),"",ReferenceData!$AO$7),"")</f>
        <v>4405608</v>
      </c>
      <c r="AP7">
        <f ca="1">IFERROR(IF(0=LEN(ReferenceData!$AP$7),"",ReferenceData!$AP$7),"")</f>
        <v>4610847</v>
      </c>
      <c r="AQ7">
        <f ca="1">IFERROR(IF(0=LEN(ReferenceData!$AQ$7),"",ReferenceData!$AQ$7),"")</f>
        <v>3977655</v>
      </c>
      <c r="AR7">
        <f ca="1">IFERROR(IF(0=LEN(ReferenceData!$AR$7),"",ReferenceData!$AR$7),"")</f>
        <v>3555907</v>
      </c>
      <c r="AS7">
        <f ca="1">IFERROR(IF(0=LEN(ReferenceData!$AS$7),"",ReferenceData!$AS$7),"")</f>
        <v>3414874</v>
      </c>
      <c r="AT7">
        <f ca="1">IFERROR(IF(0=LEN(ReferenceData!$AT$7),"",ReferenceData!$AT$7),"")</f>
        <v>2673149</v>
      </c>
      <c r="AU7">
        <f ca="1">IFERROR(IF(0=LEN(ReferenceData!$AU$7),"",ReferenceData!$AU$7),"")</f>
        <v>2142413</v>
      </c>
      <c r="AV7">
        <f ca="1">IFERROR(IF(0=LEN(ReferenceData!$AV$7),"",ReferenceData!$AV$7),"")</f>
        <v>2046402</v>
      </c>
      <c r="AW7">
        <f ca="1">IFERROR(IF(0=LEN(ReferenceData!$AW$7),"",ReferenceData!$AW$7),"")</f>
        <v>2594986</v>
      </c>
      <c r="AX7">
        <f ca="1">IFERROR(IF(0=LEN(ReferenceData!$AX$7),"",ReferenceData!$AX$7),"")</f>
        <v>2579505</v>
      </c>
      <c r="AY7">
        <f ca="1">IFERROR(IF(0=LEN(ReferenceData!$AY$7),"",ReferenceData!$AY$7),"")</f>
        <v>2332546</v>
      </c>
      <c r="AZ7">
        <f ca="1">IFERROR(IF(0=LEN(ReferenceData!$AZ$7),"",ReferenceData!$AZ$7),"")</f>
        <v>2085410</v>
      </c>
      <c r="BA7">
        <f ca="1">IFERROR(IF(0=LEN(ReferenceData!$BA$7),"",ReferenceData!$BA$7),"")</f>
        <v>2249175</v>
      </c>
      <c r="BB7">
        <f ca="1">IFERROR(IF(0=LEN(ReferenceData!$BB$7),"",ReferenceData!$BB$7),"")</f>
        <v>2117660</v>
      </c>
      <c r="BC7">
        <f ca="1">IFERROR(IF(0=LEN(ReferenceData!$BC$7),"",ReferenceData!$BC$7),"")</f>
        <v>2023888</v>
      </c>
      <c r="BD7">
        <f ca="1">IFERROR(IF(0=LEN(ReferenceData!$BD$7),"",ReferenceData!$BD$7),"")</f>
        <v>1630166</v>
      </c>
      <c r="BE7">
        <f ca="1">IFERROR(IF(0=LEN(ReferenceData!$BE$7),"",ReferenceData!$BE$7),"")</f>
        <v>1798010</v>
      </c>
      <c r="BF7">
        <f ca="1">IFERROR(IF(0=LEN(ReferenceData!$BF$7),"",ReferenceData!$BF$7),"")</f>
        <v>1731494</v>
      </c>
      <c r="BG7">
        <f ca="1">IFERROR(IF(0=LEN(ReferenceData!$BG$7),"",ReferenceData!$BG$7),"")</f>
        <v>1622392</v>
      </c>
      <c r="BH7">
        <f ca="1">IFERROR(IF(0=LEN(ReferenceData!$BH$7),"",ReferenceData!$BH$7),"")</f>
        <v>1347879</v>
      </c>
      <c r="BI7">
        <f ca="1">IFERROR(IF(0=LEN(ReferenceData!$BI$7),"",ReferenceData!$BI$7),"")</f>
        <v>1520045</v>
      </c>
      <c r="BJ7">
        <f ca="1">IFERROR(IF(0=LEN(ReferenceData!$BJ$7),"",ReferenceData!$BJ$7),"")</f>
        <v>1267075</v>
      </c>
      <c r="BK7">
        <f ca="1">IFERROR(IF(0=LEN(ReferenceData!$BK$7),"",ReferenceData!$BK$7),"")</f>
        <v>1342979</v>
      </c>
      <c r="BL7">
        <f ca="1">IFERROR(IF(0=LEN(ReferenceData!$BL$7),"",ReferenceData!$BL$7),"")</f>
        <v>1167309</v>
      </c>
      <c r="BM7">
        <f ca="1">IFERROR(IF(0=LEN(ReferenceData!$BM$7),"",ReferenceData!$BM$7),"")</f>
        <v>1274162</v>
      </c>
    </row>
    <row r="8" spans="1:65" x14ac:dyDescent="0.25">
      <c r="A8" t="str">
        <f>IFERROR(IF(0=LEN(ReferenceData!$A$8),"",ReferenceData!$A$8),"")</f>
        <v xml:space="preserve">        India</v>
      </c>
      <c r="B8" t="str">
        <f>IFERROR(IF(0=LEN(ReferenceData!$B$8),"",ReferenceData!$B$8),"")</f>
        <v/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Sum</v>
      </c>
      <c r="F8" t="str">
        <f ca="1">IFERROR(IF(0=LEN(ReferenceData!$F$8),"",ReferenceData!$F$8),"")</f>
        <v/>
      </c>
      <c r="G8" t="str">
        <f ca="1">IFERROR(IF(0=LEN(ReferenceData!$G$8),"",ReferenceData!$G$8),"")</f>
        <v/>
      </c>
      <c r="H8" t="str">
        <f ca="1">IFERROR(IF(0=LEN(ReferenceData!$H$8),"",ReferenceData!$H$8),"")</f>
        <v/>
      </c>
      <c r="I8" t="str">
        <f ca="1">IFERROR(IF(0=LEN(ReferenceData!$I$8),"",ReferenceData!$I$8),"")</f>
        <v/>
      </c>
      <c r="J8" t="str">
        <f ca="1">IFERROR(IF(0=LEN(ReferenceData!$J$8),"",ReferenceData!$J$8),"")</f>
        <v/>
      </c>
      <c r="K8" t="str">
        <f ca="1">IFERROR(IF(0=LEN(ReferenceData!$K$8),"",ReferenceData!$K$8),"")</f>
        <v/>
      </c>
      <c r="L8">
        <f ca="1">IFERROR(IF(0=LEN(ReferenceData!$L$8),"",ReferenceData!$L$8),"")</f>
        <v>497808</v>
      </c>
      <c r="M8">
        <f ca="1">IFERROR(IF(0=LEN(ReferenceData!$M$8),"",ReferenceData!$M$8),"")</f>
        <v>727643</v>
      </c>
      <c r="N8">
        <f ca="1">IFERROR(IF(0=LEN(ReferenceData!$N$8),"",ReferenceData!$N$8),"")</f>
        <v>803198</v>
      </c>
      <c r="O8">
        <f ca="1">IFERROR(IF(0=LEN(ReferenceData!$O$8),"",ReferenceData!$O$8),"")</f>
        <v>749480</v>
      </c>
      <c r="P8">
        <f ca="1">IFERROR(IF(0=LEN(ReferenceData!$P$8),"",ReferenceData!$P$8),"")</f>
        <v>796870</v>
      </c>
      <c r="Q8">
        <f ca="1">IFERROR(IF(0=LEN(ReferenceData!$Q$8),"",ReferenceData!$Q$8),"")</f>
        <v>697154</v>
      </c>
      <c r="R8">
        <f ca="1">IFERROR(IF(0=LEN(ReferenceData!$R$8),"",ReferenceData!$R$8),"")</f>
        <v>723081</v>
      </c>
      <c r="S8">
        <f ca="1">IFERROR(IF(0=LEN(ReferenceData!$S$8),"",ReferenceData!$S$8),"")</f>
        <v>736254</v>
      </c>
      <c r="T8">
        <f ca="1">IFERROR(IF(0=LEN(ReferenceData!$T$8),"",ReferenceData!$T$8),"")</f>
        <v>676281</v>
      </c>
      <c r="U8">
        <f ca="1">IFERROR(IF(0=LEN(ReferenceData!$U$8),"",ReferenceData!$U$8),"")</f>
        <v>653593</v>
      </c>
      <c r="V8">
        <f ca="1">IFERROR(IF(0=LEN(ReferenceData!$V$8),"",ReferenceData!$V$8),"")</f>
        <v>705294</v>
      </c>
      <c r="W8">
        <f ca="1">IFERROR(IF(0=LEN(ReferenceData!$W$8),"",ReferenceData!$W$8),"")</f>
        <v>642686</v>
      </c>
      <c r="X8">
        <f ca="1">IFERROR(IF(0=LEN(ReferenceData!$X$8),"",ReferenceData!$X$8),"")</f>
        <v>637084</v>
      </c>
      <c r="Y8">
        <f ca="1">IFERROR(IF(0=LEN(ReferenceData!$Y$8),"",ReferenceData!$Y$8),"")</f>
        <v>614943</v>
      </c>
      <c r="Z8">
        <f ca="1">IFERROR(IF(0=LEN(ReferenceData!$Z$8),"",ReferenceData!$Z$8),"")</f>
        <v>679336</v>
      </c>
      <c r="AA8">
        <f ca="1">IFERROR(IF(0=LEN(ReferenceData!$AA$8),"",ReferenceData!$AA$8),"")</f>
        <v>626612</v>
      </c>
      <c r="AB8">
        <f ca="1">IFERROR(IF(0=LEN(ReferenceData!$AB$8),"",ReferenceData!$AB$8),"")</f>
        <v>593829</v>
      </c>
      <c r="AC8">
        <f ca="1">IFERROR(IF(0=LEN(ReferenceData!$AC$8),"",ReferenceData!$AC$8),"")</f>
        <v>607425</v>
      </c>
      <c r="AD8">
        <f ca="1">IFERROR(IF(0=LEN(ReferenceData!$AD$8),"",ReferenceData!$AD$8),"")</f>
        <v>725922</v>
      </c>
      <c r="AE8">
        <f ca="1">IFERROR(IF(0=LEN(ReferenceData!$AE$8),"",ReferenceData!$AE$8),"")</f>
        <v>673040</v>
      </c>
      <c r="AF8">
        <f ca="1">IFERROR(IF(0=LEN(ReferenceData!$AF$8),"",ReferenceData!$AF$8),"")</f>
        <v>611195</v>
      </c>
      <c r="AG8">
        <f ca="1">IFERROR(IF(0=LEN(ReferenceData!$AG$8),"",ReferenceData!$AG$8),"")</f>
        <v>654858</v>
      </c>
      <c r="AH8">
        <f ca="1">IFERROR(IF(0=LEN(ReferenceData!$AH$8),"",ReferenceData!$AH$8),"")</f>
        <v>821376</v>
      </c>
      <c r="AI8">
        <f ca="1">IFERROR(IF(0=LEN(ReferenceData!$AI$8),"",ReferenceData!$AI$8),"")</f>
        <v>612490</v>
      </c>
      <c r="AJ8">
        <f ca="1">IFERROR(IF(0=LEN(ReferenceData!$AJ$8),"",ReferenceData!$AJ$8),"")</f>
        <v>593419</v>
      </c>
      <c r="AK8">
        <f ca="1">IFERROR(IF(0=LEN(ReferenceData!$AK$8),"",ReferenceData!$AK$8),"")</f>
        <v>602140</v>
      </c>
      <c r="AL8">
        <f ca="1">IFERROR(IF(0=LEN(ReferenceData!$AL$8),"",ReferenceData!$AL$8),"")</f>
        <v>706313</v>
      </c>
      <c r="AM8">
        <f ca="1">IFERROR(IF(0=LEN(ReferenceData!$AM$8),"",ReferenceData!$AM$8),"")</f>
        <v>620745</v>
      </c>
      <c r="AN8">
        <f ca="1">IFERROR(IF(0=LEN(ReferenceData!$AN$8),"",ReferenceData!$AN$8),"")</f>
        <v>620661</v>
      </c>
      <c r="AO8">
        <f ca="1">IFERROR(IF(0=LEN(ReferenceData!$AO$8),"",ReferenceData!$AO$8),"")</f>
        <v>554213</v>
      </c>
      <c r="AP8">
        <f ca="1">IFERROR(IF(0=LEN(ReferenceData!$AP$8),"",ReferenceData!$AP$8),"")</f>
        <v>582160</v>
      </c>
      <c r="AQ8">
        <f ca="1">IFERROR(IF(0=LEN(ReferenceData!$AQ$8),"",ReferenceData!$AQ$8),"")</f>
        <v>483953</v>
      </c>
      <c r="AR8">
        <f ca="1">IFERROR(IF(0=LEN(ReferenceData!$AR$8),"",ReferenceData!$AR$8),"")</f>
        <v>467302</v>
      </c>
      <c r="AS8">
        <f ca="1">IFERROR(IF(0=LEN(ReferenceData!$AS$8),"",ReferenceData!$AS$8),"")</f>
        <v>417591</v>
      </c>
      <c r="AT8">
        <f ca="1">IFERROR(IF(0=LEN(ReferenceData!$AT$8),"",ReferenceData!$AT$8),"")</f>
        <v>447704</v>
      </c>
      <c r="AU8">
        <f ca="1">IFERROR(IF(0=LEN(ReferenceData!$AU$8),"",ReferenceData!$AU$8),"")</f>
        <v>264347</v>
      </c>
      <c r="AV8">
        <f ca="1">IFERROR(IF(0=LEN(ReferenceData!$AV$8),"",ReferenceData!$AV$8),"")</f>
        <v>291500</v>
      </c>
      <c r="AW8">
        <f ca="1">IFERROR(IF(0=LEN(ReferenceData!$AW$8),"",ReferenceData!$AW$8),"")</f>
        <v>309238</v>
      </c>
      <c r="AX8">
        <f ca="1">IFERROR(IF(0=LEN(ReferenceData!$AX$8),"",ReferenceData!$AX$8),"")</f>
        <v>336749</v>
      </c>
      <c r="AY8">
        <f ca="1">IFERROR(IF(0=LEN(ReferenceData!$AY$8),"",ReferenceData!$AY$8),"")</f>
        <v>297180</v>
      </c>
      <c r="AZ8">
        <f ca="1">IFERROR(IF(0=LEN(ReferenceData!$AZ$8),"",ReferenceData!$AZ$8),"")</f>
        <v>293965</v>
      </c>
      <c r="BA8">
        <f ca="1">IFERROR(IF(0=LEN(ReferenceData!$BA$8),"",ReferenceData!$BA$8),"")</f>
        <v>275208</v>
      </c>
      <c r="BB8">
        <f ca="1">IFERROR(IF(0=LEN(ReferenceData!$BB$8),"",ReferenceData!$BB$8),"")</f>
        <v>311264</v>
      </c>
      <c r="BC8">
        <f ca="1">IFERROR(IF(0=LEN(ReferenceData!$BC$8),"",ReferenceData!$BC$8),"")</f>
        <v>261923</v>
      </c>
      <c r="BD8">
        <f ca="1">IFERROR(IF(0=LEN(ReferenceData!$BD$8),"",ReferenceData!$BD$8),"")</f>
        <v>259164</v>
      </c>
      <c r="BE8">
        <f ca="1">IFERROR(IF(0=LEN(ReferenceData!$BE$8),"",ReferenceData!$BE$8),"")</f>
        <v>244189</v>
      </c>
      <c r="BF8">
        <f ca="1">IFERROR(IF(0=LEN(ReferenceData!$BF$8),"",ReferenceData!$BF$8),"")</f>
        <v>258426</v>
      </c>
      <c r="BG8">
        <f ca="1">IFERROR(IF(0=LEN(ReferenceData!$BG$8),"",ReferenceData!$BG$8),"")</f>
        <v>214101</v>
      </c>
      <c r="BH8">
        <f ca="1">IFERROR(IF(0=LEN(ReferenceData!$BH$8),"",ReferenceData!$BH$8),"")</f>
        <v>212760</v>
      </c>
      <c r="BI8">
        <f ca="1">IFERROR(IF(0=LEN(ReferenceData!$BI$8),"",ReferenceData!$BI$8),"")</f>
        <v>196921</v>
      </c>
      <c r="BJ8">
        <f ca="1">IFERROR(IF(0=LEN(ReferenceData!$BJ$8),"",ReferenceData!$BJ$8),"")</f>
        <v>229541</v>
      </c>
      <c r="BK8">
        <f ca="1">IFERROR(IF(0=LEN(ReferenceData!$BK$8),"",ReferenceData!$BK$8),"")</f>
        <v>204761</v>
      </c>
      <c r="BL8">
        <f ca="1">IFERROR(IF(0=LEN(ReferenceData!$BL$8),"",ReferenceData!$BL$8),"")</f>
        <v>203958</v>
      </c>
      <c r="BM8">
        <f ca="1">IFERROR(IF(0=LEN(ReferenceData!$BM$8),"",ReferenceData!$BM$8),"")</f>
        <v>181919</v>
      </c>
    </row>
    <row r="9" spans="1:65" x14ac:dyDescent="0.25">
      <c r="A9" t="str">
        <f>IFERROR(IF(0=LEN(ReferenceData!$A$9),"",ReferenceData!$A$9),"")</f>
        <v xml:space="preserve">            India Passeger Vehicle</v>
      </c>
      <c r="B9" t="str">
        <f>IFERROR(IF(0=LEN(ReferenceData!$B$9),"",ReferenceData!$B$9),"")</f>
        <v>INVSDPAS Index</v>
      </c>
      <c r="C9" t="str">
        <f>IFERROR(IF(0=LEN(ReferenceData!$C$9),"",ReferenceData!$C$9),"")</f>
        <v>PX385</v>
      </c>
      <c r="D9" t="str">
        <f>IFERROR(IF(0=LEN(ReferenceData!$D$9),"",ReferenceData!$D$9),"")</f>
        <v>INTERVAL_SUM</v>
      </c>
      <c r="E9" t="str">
        <f>IFERROR(IF(0=LEN(ReferenceData!$E$9),"",ReferenceData!$E$9),"")</f>
        <v>Dynamic</v>
      </c>
      <c r="F9" t="str">
        <f ca="1">IFERROR(IF(0=LEN(ReferenceData!$F$9),"",ReferenceData!$F$9),"")</f>
        <v/>
      </c>
      <c r="G9" t="str">
        <f ca="1">IFERROR(IF(0=LEN(ReferenceData!$G$9),"",ReferenceData!$G$9),"")</f>
        <v/>
      </c>
      <c r="H9" t="str">
        <f ca="1">IFERROR(IF(0=LEN(ReferenceData!$H$9),"",ReferenceData!$H$9),"")</f>
        <v/>
      </c>
      <c r="I9" t="str">
        <f ca="1">IFERROR(IF(0=LEN(ReferenceData!$I$9),"",ReferenceData!$I$9),"")</f>
        <v/>
      </c>
      <c r="J9" t="str">
        <f ca="1">IFERROR(IF(0=LEN(ReferenceData!$J$9),"",ReferenceData!$J$9),"")</f>
        <v/>
      </c>
      <c r="K9" t="str">
        <f ca="1">IFERROR(IF(0=LEN(ReferenceData!$K$9),"",ReferenceData!$K$9),"")</f>
        <v/>
      </c>
      <c r="L9">
        <f ca="1">IFERROR(IF(0=LEN(ReferenceData!$L$9),"",ReferenceData!$L$9),"")</f>
        <v>391584</v>
      </c>
      <c r="M9">
        <f ca="1">IFERROR(IF(0=LEN(ReferenceData!$M$9),"",ReferenceData!$M$9),"")</f>
        <v>494313</v>
      </c>
      <c r="N9">
        <f ca="1">IFERROR(IF(0=LEN(ReferenceData!$N$9),"",ReferenceData!$N$9),"")</f>
        <v>549211</v>
      </c>
      <c r="O9">
        <f ca="1">IFERROR(IF(0=LEN(ReferenceData!$O$9),"",ReferenceData!$O$9),"")</f>
        <v>527259</v>
      </c>
      <c r="P9">
        <f ca="1">IFERROR(IF(0=LEN(ReferenceData!$P$9),"",ReferenceData!$P$9),"")</f>
        <v>550727</v>
      </c>
      <c r="Q9">
        <f ca="1">IFERROR(IF(0=LEN(ReferenceData!$Q$9),"",ReferenceData!$Q$9),"")</f>
        <v>475799</v>
      </c>
      <c r="R9">
        <f ca="1">IFERROR(IF(0=LEN(ReferenceData!$R$9),"",ReferenceData!$R$9),"")</f>
        <v>508571</v>
      </c>
      <c r="S9">
        <f ca="1">IFERROR(IF(0=LEN(ReferenceData!$S$9),"",ReferenceData!$S$9),"")</f>
        <v>539940</v>
      </c>
      <c r="T9">
        <f ca="1">IFERROR(IF(0=LEN(ReferenceData!$T$9),"",ReferenceData!$T$9),"")</f>
        <v>493972</v>
      </c>
      <c r="U9">
        <f ca="1">IFERROR(IF(0=LEN(ReferenceData!$U$9),"",ReferenceData!$U$9),"")</f>
        <v>482614</v>
      </c>
      <c r="V9">
        <f ca="1">IFERROR(IF(0=LEN(ReferenceData!$V$9),"",ReferenceData!$V$9),"")</f>
        <v>517490</v>
      </c>
      <c r="W9">
        <f ca="1">IFERROR(IF(0=LEN(ReferenceData!$W$9),"",ReferenceData!$W$9),"")</f>
        <v>469205</v>
      </c>
      <c r="X9">
        <f ca="1">IFERROR(IF(0=LEN(ReferenceData!$X$9),"",ReferenceData!$X$9),"")</f>
        <v>446601</v>
      </c>
      <c r="Y9">
        <f ca="1">IFERROR(IF(0=LEN(ReferenceData!$Y$9),"",ReferenceData!$Y$9),"")</f>
        <v>443863</v>
      </c>
      <c r="Z9">
        <f ca="1">IFERROR(IF(0=LEN(ReferenceData!$Z$9),"",ReferenceData!$Z$9),"")</f>
        <v>496357</v>
      </c>
      <c r="AA9">
        <f ca="1">IFERROR(IF(0=LEN(ReferenceData!$AA$9),"",ReferenceData!$AA$9),"")</f>
        <v>438572</v>
      </c>
      <c r="AB9">
        <f ca="1">IFERROR(IF(0=LEN(ReferenceData!$AB$9),"",ReferenceData!$AB$9),"")</f>
        <v>421264</v>
      </c>
      <c r="AC9">
        <f ca="1">IFERROR(IF(0=LEN(ReferenceData!$AC$9),"",ReferenceData!$AC$9),"")</f>
        <v>434493</v>
      </c>
      <c r="AD9">
        <f ca="1">IFERROR(IF(0=LEN(ReferenceData!$AD$9),"",ReferenceData!$AD$9),"")</f>
        <v>512636</v>
      </c>
      <c r="AE9">
        <f ca="1">IFERROR(IF(0=LEN(ReferenceData!$AE$9),"",ReferenceData!$AE$9),"")</f>
        <v>464158</v>
      </c>
      <c r="AF9">
        <f ca="1">IFERROR(IF(0=LEN(ReferenceData!$AF$9),"",ReferenceData!$AF$9),"")</f>
        <v>412235</v>
      </c>
      <c r="AG9">
        <f ca="1">IFERROR(IF(0=LEN(ReferenceData!$AG$9),"",ReferenceData!$AG$9),"")</f>
        <v>485026</v>
      </c>
      <c r="AH9">
        <f ca="1">IFERROR(IF(0=LEN(ReferenceData!$AH$9),"",ReferenceData!$AH$9),"")</f>
        <v>644592</v>
      </c>
      <c r="AI9">
        <f ca="1">IFERROR(IF(0=LEN(ReferenceData!$AI$9),"",ReferenceData!$AI$9),"")</f>
        <v>473845</v>
      </c>
      <c r="AJ9">
        <f ca="1">IFERROR(IF(0=LEN(ReferenceData!$AJ$9),"",ReferenceData!$AJ$9),"")</f>
        <v>446003</v>
      </c>
      <c r="AK9">
        <f ca="1">IFERROR(IF(0=LEN(ReferenceData!$AK$9),"",ReferenceData!$AK$9),"")</f>
        <v>465473</v>
      </c>
      <c r="AL9">
        <f ca="1">IFERROR(IF(0=LEN(ReferenceData!$AL$9),"",ReferenceData!$AL$9),"")</f>
        <v>561847</v>
      </c>
      <c r="AM9">
        <f ca="1">IFERROR(IF(0=LEN(ReferenceData!$AM$9),"",ReferenceData!$AM$9),"")</f>
        <v>488499</v>
      </c>
      <c r="AN9">
        <f ca="1">IFERROR(IF(0=LEN(ReferenceData!$AN$9),"",ReferenceData!$AN$9),"")</f>
        <v>488439</v>
      </c>
      <c r="AO9">
        <f ca="1">IFERROR(IF(0=LEN(ReferenceData!$AO$9),"",ReferenceData!$AO$9),"")</f>
        <v>433373</v>
      </c>
      <c r="AP9">
        <f ca="1">IFERROR(IF(0=LEN(ReferenceData!$AP$9),"",ReferenceData!$AP$9),"")</f>
        <v>456248</v>
      </c>
      <c r="AQ9">
        <f ca="1">IFERROR(IF(0=LEN(ReferenceData!$AQ$9),"",ReferenceData!$AQ$9),"")</f>
        <v>381655</v>
      </c>
      <c r="AR9">
        <f ca="1">IFERROR(IF(0=LEN(ReferenceData!$AR$9),"",ReferenceData!$AR$9),"")</f>
        <v>365449</v>
      </c>
      <c r="AS9">
        <f ca="1">IFERROR(IF(0=LEN(ReferenceData!$AS$9),"",ReferenceData!$AS$9),"")</f>
        <v>324657</v>
      </c>
      <c r="AT9">
        <f ca="1">IFERROR(IF(0=LEN(ReferenceData!$AT$9),"",ReferenceData!$AT$9),"")</f>
        <v>355390</v>
      </c>
      <c r="AU9">
        <f ca="1">IFERROR(IF(0=LEN(ReferenceData!$AU$9),"",ReferenceData!$AU$9),"")</f>
        <v>264347</v>
      </c>
      <c r="AV9">
        <f ca="1">IFERROR(IF(0=LEN(ReferenceData!$AV$9),"",ReferenceData!$AV$9),"")</f>
        <v>291500</v>
      </c>
      <c r="AW9">
        <f ca="1">IFERROR(IF(0=LEN(ReferenceData!$AW$9),"",ReferenceData!$AW$9),"")</f>
        <v>309238</v>
      </c>
      <c r="AX9">
        <f ca="1">IFERROR(IF(0=LEN(ReferenceData!$AX$9),"",ReferenceData!$AX$9),"")</f>
        <v>336749</v>
      </c>
      <c r="AY9">
        <f ca="1">IFERROR(IF(0=LEN(ReferenceData!$AY$9),"",ReferenceData!$AY$9),"")</f>
        <v>297180</v>
      </c>
      <c r="AZ9">
        <f ca="1">IFERROR(IF(0=LEN(ReferenceData!$AZ$9),"",ReferenceData!$AZ$9),"")</f>
        <v>293965</v>
      </c>
      <c r="BA9">
        <f ca="1">IFERROR(IF(0=LEN(ReferenceData!$BA$9),"",ReferenceData!$BA$9),"")</f>
        <v>275208</v>
      </c>
      <c r="BB9">
        <f ca="1">IFERROR(IF(0=LEN(ReferenceData!$BB$9),"",ReferenceData!$BB$9),"")</f>
        <v>311264</v>
      </c>
      <c r="BC9">
        <f ca="1">IFERROR(IF(0=LEN(ReferenceData!$BC$9),"",ReferenceData!$BC$9),"")</f>
        <v>261923</v>
      </c>
      <c r="BD9">
        <f ca="1">IFERROR(IF(0=LEN(ReferenceData!$BD$9),"",ReferenceData!$BD$9),"")</f>
        <v>259164</v>
      </c>
      <c r="BE9">
        <f ca="1">IFERROR(IF(0=LEN(ReferenceData!$BE$9),"",ReferenceData!$BE$9),"")</f>
        <v>244189</v>
      </c>
      <c r="BF9">
        <f ca="1">IFERROR(IF(0=LEN(ReferenceData!$BF$9),"",ReferenceData!$BF$9),"")</f>
        <v>258426</v>
      </c>
      <c r="BG9">
        <f ca="1">IFERROR(IF(0=LEN(ReferenceData!$BG$9),"",ReferenceData!$BG$9),"")</f>
        <v>214101</v>
      </c>
      <c r="BH9">
        <f ca="1">IFERROR(IF(0=LEN(ReferenceData!$BH$9),"",ReferenceData!$BH$9),"")</f>
        <v>212760</v>
      </c>
      <c r="BI9">
        <f ca="1">IFERROR(IF(0=LEN(ReferenceData!$BI$9),"",ReferenceData!$BI$9),"")</f>
        <v>196921</v>
      </c>
      <c r="BJ9">
        <f ca="1">IFERROR(IF(0=LEN(ReferenceData!$BJ$9),"",ReferenceData!$BJ$9),"")</f>
        <v>229541</v>
      </c>
      <c r="BK9">
        <f ca="1">IFERROR(IF(0=LEN(ReferenceData!$BK$9),"",ReferenceData!$BK$9),"")</f>
        <v>204761</v>
      </c>
      <c r="BL9">
        <f ca="1">IFERROR(IF(0=LEN(ReferenceData!$BL$9),"",ReferenceData!$BL$9),"")</f>
        <v>203958</v>
      </c>
      <c r="BM9">
        <f ca="1">IFERROR(IF(0=LEN(ReferenceData!$BM$9),"",ReferenceData!$BM$9),"")</f>
        <v>181919</v>
      </c>
    </row>
    <row r="10" spans="1:65" x14ac:dyDescent="0.25">
      <c r="A10" t="str">
        <f>IFERROR(IF(0=LEN(ReferenceData!$A$10),"",ReferenceData!$A$10),"")</f>
        <v xml:space="preserve">            India Utility Vehicle</v>
      </c>
      <c r="B10" t="str">
        <f>IFERROR(IF(0=LEN(ReferenceData!$B$10),"",ReferenceData!$B$10),"")</f>
        <v>INVSDMUT Index</v>
      </c>
      <c r="C10" t="str">
        <f>IFERROR(IF(0=LEN(ReferenceData!$C$10),"",ReferenceData!$C$10),"")</f>
        <v>PX385</v>
      </c>
      <c r="D10" t="str">
        <f>IFERROR(IF(0=LEN(ReferenceData!$D$10),"",ReferenceData!$D$10),"")</f>
        <v>INTERVAL_SUM</v>
      </c>
      <c r="E10" t="str">
        <f>IFERROR(IF(0=LEN(ReferenceData!$E$10),"",ReferenceData!$E$10),"")</f>
        <v>Dynamic</v>
      </c>
      <c r="F10" t="str">
        <f ca="1">IFERROR(IF(0=LEN(ReferenceData!$F$10),"",ReferenceData!$F$10),"")</f>
        <v/>
      </c>
      <c r="G10" t="str">
        <f ca="1">IFERROR(IF(0=LEN(ReferenceData!$G$10),"",ReferenceData!$G$10),"")</f>
        <v/>
      </c>
      <c r="H10" t="str">
        <f ca="1">IFERROR(IF(0=LEN(ReferenceData!$H$10),"",ReferenceData!$H$10),"")</f>
        <v/>
      </c>
      <c r="I10" t="str">
        <f ca="1">IFERROR(IF(0=LEN(ReferenceData!$I$10),"",ReferenceData!$I$10),"")</f>
        <v/>
      </c>
      <c r="J10" t="str">
        <f ca="1">IFERROR(IF(0=LEN(ReferenceData!$J$10),"",ReferenceData!$J$10),"")</f>
        <v/>
      </c>
      <c r="K10" t="str">
        <f ca="1">IFERROR(IF(0=LEN(ReferenceData!$K$10),"",ReferenceData!$K$10),"")</f>
        <v/>
      </c>
      <c r="L10">
        <f ca="1">IFERROR(IF(0=LEN(ReferenceData!$L$10),"",ReferenceData!$L$10),"")</f>
        <v>86874</v>
      </c>
      <c r="M10">
        <f ca="1">IFERROR(IF(0=LEN(ReferenceData!$M$10),"",ReferenceData!$M$10),"")</f>
        <v>190083</v>
      </c>
      <c r="N10">
        <f ca="1">IFERROR(IF(0=LEN(ReferenceData!$N$10),"",ReferenceData!$N$10),"")</f>
        <v>205830</v>
      </c>
      <c r="O10">
        <f ca="1">IFERROR(IF(0=LEN(ReferenceData!$O$10),"",ReferenceData!$O$10),"")</f>
        <v>182653</v>
      </c>
      <c r="P10">
        <f ca="1">IFERROR(IF(0=LEN(ReferenceData!$P$10),"",ReferenceData!$P$10),"")</f>
        <v>196701</v>
      </c>
      <c r="Q10">
        <f ca="1">IFERROR(IF(0=LEN(ReferenceData!$Q$10),"",ReferenceData!$Q$10),"")</f>
        <v>176788</v>
      </c>
      <c r="R10">
        <f ca="1">IFERROR(IF(0=LEN(ReferenceData!$R$10),"",ReferenceData!$R$10),"")</f>
        <v>168363</v>
      </c>
      <c r="S10">
        <f ca="1">IFERROR(IF(0=LEN(ReferenceData!$S$10),"",ReferenceData!$S$10),"")</f>
        <v>151874</v>
      </c>
      <c r="T10">
        <f ca="1">IFERROR(IF(0=LEN(ReferenceData!$T$10),"",ReferenceData!$T$10),"")</f>
        <v>138266</v>
      </c>
      <c r="U10">
        <f ca="1">IFERROR(IF(0=LEN(ReferenceData!$U$10),"",ReferenceData!$U$10),"")</f>
        <v>128073</v>
      </c>
      <c r="V10">
        <f ca="1">IFERROR(IF(0=LEN(ReferenceData!$V$10),"",ReferenceData!$V$10),"")</f>
        <v>146223</v>
      </c>
      <c r="W10">
        <f ca="1">IFERROR(IF(0=LEN(ReferenceData!$W$10),"",ReferenceData!$W$10),"")</f>
        <v>132030</v>
      </c>
      <c r="X10">
        <f ca="1">IFERROR(IF(0=LEN(ReferenceData!$X$10),"",ReferenceData!$X$10),"")</f>
        <v>144527</v>
      </c>
      <c r="Y10">
        <f ca="1">IFERROR(IF(0=LEN(ReferenceData!$Y$10),"",ReferenceData!$Y$10),"")</f>
        <v>128796</v>
      </c>
      <c r="Z10">
        <f ca="1">IFERROR(IF(0=LEN(ReferenceData!$Z$10),"",ReferenceData!$Z$10),"")</f>
        <v>140567</v>
      </c>
      <c r="AA10">
        <f ca="1">IFERROR(IF(0=LEN(ReferenceData!$AA$10),"",ReferenceData!$AA$10),"")</f>
        <v>141442</v>
      </c>
      <c r="AB10">
        <f ca="1">IFERROR(IF(0=LEN(ReferenceData!$AB$10),"",ReferenceData!$AB$10),"")</f>
        <v>119740</v>
      </c>
      <c r="AC10">
        <f ca="1">IFERROR(IF(0=LEN(ReferenceData!$AC$10),"",ReferenceData!$AC$10),"")</f>
        <v>123923</v>
      </c>
      <c r="AD10">
        <f ca="1">IFERROR(IF(0=LEN(ReferenceData!$AD$10),"",ReferenceData!$AD$10),"")</f>
        <v>150740</v>
      </c>
      <c r="AE10">
        <f ca="1">IFERROR(IF(0=LEN(ReferenceData!$AE$10),"",ReferenceData!$AE$10),"")</f>
        <v>147026</v>
      </c>
      <c r="AF10">
        <f ca="1">IFERROR(IF(0=LEN(ReferenceData!$AF$10),"",ReferenceData!$AF$10),"")</f>
        <v>138185</v>
      </c>
      <c r="AG10">
        <f ca="1">IFERROR(IF(0=LEN(ReferenceData!$AG$10),"",ReferenceData!$AG$10),"")</f>
        <v>117711</v>
      </c>
      <c r="AH10">
        <f ca="1">IFERROR(IF(0=LEN(ReferenceData!$AH$10),"",ReferenceData!$AH$10),"")</f>
        <v>110520</v>
      </c>
      <c r="AI10">
        <f ca="1">IFERROR(IF(0=LEN(ReferenceData!$AI$10),"",ReferenceData!$AI$10),"")</f>
        <v>89043</v>
      </c>
      <c r="AJ10">
        <f ca="1">IFERROR(IF(0=LEN(ReferenceData!$AJ$10),"",ReferenceData!$AJ$10),"")</f>
        <v>86175</v>
      </c>
      <c r="AK10">
        <f ca="1">IFERROR(IF(0=LEN(ReferenceData!$AK$10),"",ReferenceData!$AK$10),"")</f>
        <v>79013</v>
      </c>
      <c r="AL10">
        <f ca="1">IFERROR(IF(0=LEN(ReferenceData!$AL$10),"",ReferenceData!$AL$10),"")</f>
        <v>87483</v>
      </c>
      <c r="AM10">
        <f ca="1">IFERROR(IF(0=LEN(ReferenceData!$AM$10),"",ReferenceData!$AM$10),"")</f>
        <v>75520</v>
      </c>
      <c r="AN10">
        <f ca="1">IFERROR(IF(0=LEN(ReferenceData!$AN$10),"",ReferenceData!$AN$10),"")</f>
        <v>76850</v>
      </c>
      <c r="AO10">
        <f ca="1">IFERROR(IF(0=LEN(ReferenceData!$AO$10),"",ReferenceData!$AO$10),"")</f>
        <v>76347</v>
      </c>
      <c r="AP10">
        <f ca="1">IFERROR(IF(0=LEN(ReferenceData!$AP$10),"",ReferenceData!$AP$10),"")</f>
        <v>79603</v>
      </c>
      <c r="AQ10">
        <f ca="1">IFERROR(IF(0=LEN(ReferenceData!$AQ$10),"",ReferenceData!$AQ$10),"")</f>
        <v>65229</v>
      </c>
      <c r="AR10">
        <f ca="1">IFERROR(IF(0=LEN(ReferenceData!$AR$10),"",ReferenceData!$AR$10),"")</f>
        <v>66940</v>
      </c>
      <c r="AS10">
        <f ca="1">IFERROR(IF(0=LEN(ReferenceData!$AS$10),"",ReferenceData!$AS$10),"")</f>
        <v>60969</v>
      </c>
      <c r="AT10">
        <f ca="1">IFERROR(IF(0=LEN(ReferenceData!$AT$10),"",ReferenceData!$AT$10),"")</f>
        <v>62728</v>
      </c>
      <c r="AU10" t="str">
        <f ca="1">IFERROR(IF(0=LEN(ReferenceData!$AU$10),"",ReferenceData!$AU$10),"")</f>
        <v/>
      </c>
      <c r="AV10" t="str">
        <f ca="1">IFERROR(IF(0=LEN(ReferenceData!$AV$10),"",ReferenceData!$AV$10),"")</f>
        <v/>
      </c>
      <c r="AW10" t="str">
        <f ca="1">IFERROR(IF(0=LEN(ReferenceData!$AW$10),"",ReferenceData!$AW$10),"")</f>
        <v/>
      </c>
      <c r="AX10" t="str">
        <f ca="1">IFERROR(IF(0=LEN(ReferenceData!$AX$10),"",ReferenceData!$AX$10),"")</f>
        <v/>
      </c>
      <c r="AY10" t="str">
        <f ca="1">IFERROR(IF(0=LEN(ReferenceData!$AY$10),"",ReferenceData!$AY$10),"")</f>
        <v/>
      </c>
      <c r="AZ10" t="str">
        <f ca="1">IFERROR(IF(0=LEN(ReferenceData!$AZ$10),"",ReferenceData!$AZ$10),"")</f>
        <v/>
      </c>
      <c r="BA10" t="str">
        <f ca="1">IFERROR(IF(0=LEN(ReferenceData!$BA$10),"",ReferenceData!$BA$10),"")</f>
        <v/>
      </c>
      <c r="BB10" t="str">
        <f ca="1">IFERROR(IF(0=LEN(ReferenceData!$BB$10),"",ReferenceData!$BB$10),"")</f>
        <v/>
      </c>
      <c r="BC10" t="str">
        <f ca="1">IFERROR(IF(0=LEN(ReferenceData!$BC$10),"",ReferenceData!$BC$10),"")</f>
        <v/>
      </c>
      <c r="BD10" t="str">
        <f ca="1">IFERROR(IF(0=LEN(ReferenceData!$BD$10),"",ReferenceData!$BD$10),"")</f>
        <v/>
      </c>
      <c r="BE10" t="str">
        <f ca="1">IFERROR(IF(0=LEN(ReferenceData!$BE$10),"",ReferenceData!$BE$10),"")</f>
        <v/>
      </c>
      <c r="BF10" t="str">
        <f ca="1">IFERROR(IF(0=LEN(ReferenceData!$BF$10),"",ReferenceData!$BF$10),"")</f>
        <v/>
      </c>
      <c r="BG10" t="str">
        <f ca="1">IFERROR(IF(0=LEN(ReferenceData!$BG$10),"",ReferenceData!$BG$10),"")</f>
        <v/>
      </c>
      <c r="BH10" t="str">
        <f ca="1">IFERROR(IF(0=LEN(ReferenceData!$BH$10),"",ReferenceData!$BH$10),"")</f>
        <v/>
      </c>
      <c r="BI10" t="str">
        <f ca="1">IFERROR(IF(0=LEN(ReferenceData!$BI$10),"",ReferenceData!$BI$10),"")</f>
        <v/>
      </c>
      <c r="BJ10" t="str">
        <f ca="1">IFERROR(IF(0=LEN(ReferenceData!$BJ$10),"",ReferenceData!$BJ$10),"")</f>
        <v/>
      </c>
      <c r="BK10" t="str">
        <f ca="1">IFERROR(IF(0=LEN(ReferenceData!$BK$10),"",ReferenceData!$BK$10),"")</f>
        <v/>
      </c>
      <c r="BL10" t="str">
        <f ca="1">IFERROR(IF(0=LEN(ReferenceData!$BL$10),"",ReferenceData!$BL$10),"")</f>
        <v/>
      </c>
      <c r="BM10" t="str">
        <f ca="1">IFERROR(IF(0=LEN(ReferenceData!$BM$10),"",ReferenceData!$BM$10),"")</f>
        <v/>
      </c>
    </row>
    <row r="11" spans="1:65" x14ac:dyDescent="0.25">
      <c r="A11" t="str">
        <f>IFERROR(IF(0=LEN(ReferenceData!$A$11),"",ReferenceData!$A$11),"")</f>
        <v xml:space="preserve">            India Muliti Purpose Vehicle</v>
      </c>
      <c r="B11" t="str">
        <f>IFERROR(IF(0=LEN(ReferenceData!$B$11),"",ReferenceData!$B$11),"")</f>
        <v>INVSDMPV Index</v>
      </c>
      <c r="C11" t="str">
        <f>IFERROR(IF(0=LEN(ReferenceData!$C$11),"",ReferenceData!$C$11),"")</f>
        <v>PX385</v>
      </c>
      <c r="D11" t="str">
        <f>IFERROR(IF(0=LEN(ReferenceData!$D$11),"",ReferenceData!$D$11),"")</f>
        <v>INTERVAL_SUM</v>
      </c>
      <c r="E11" t="str">
        <f>IFERROR(IF(0=LEN(ReferenceData!$E$11),"",ReferenceData!$E$11),"")</f>
        <v>Dynamic</v>
      </c>
      <c r="F11" t="str">
        <f ca="1">IFERROR(IF(0=LEN(ReferenceData!$F$11),"",ReferenceData!$F$11),"")</f>
        <v/>
      </c>
      <c r="G11" t="str">
        <f ca="1">IFERROR(IF(0=LEN(ReferenceData!$G$11),"",ReferenceData!$G$11),"")</f>
        <v/>
      </c>
      <c r="H11" t="str">
        <f ca="1">IFERROR(IF(0=LEN(ReferenceData!$H$11),"",ReferenceData!$H$11),"")</f>
        <v/>
      </c>
      <c r="I11" t="str">
        <f ca="1">IFERROR(IF(0=LEN(ReferenceData!$I$11),"",ReferenceData!$I$11),"")</f>
        <v/>
      </c>
      <c r="J11" t="str">
        <f ca="1">IFERROR(IF(0=LEN(ReferenceData!$J$11),"",ReferenceData!$J$11),"")</f>
        <v/>
      </c>
      <c r="K11" t="str">
        <f ca="1">IFERROR(IF(0=LEN(ReferenceData!$K$11),"",ReferenceData!$K$11),"")</f>
        <v/>
      </c>
      <c r="L11">
        <f ca="1">IFERROR(IF(0=LEN(ReferenceData!$L$11),"",ReferenceData!$L$11),"")</f>
        <v>19350</v>
      </c>
      <c r="M11">
        <f ca="1">IFERROR(IF(0=LEN(ReferenceData!$M$11),"",ReferenceData!$M$11),"")</f>
        <v>43247</v>
      </c>
      <c r="N11">
        <f ca="1">IFERROR(IF(0=LEN(ReferenceData!$N$11),"",ReferenceData!$N$11),"")</f>
        <v>48157</v>
      </c>
      <c r="O11">
        <f ca="1">IFERROR(IF(0=LEN(ReferenceData!$O$11),"",ReferenceData!$O$11),"")</f>
        <v>39568</v>
      </c>
      <c r="P11">
        <f ca="1">IFERROR(IF(0=LEN(ReferenceData!$P$11),"",ReferenceData!$P$11),"")</f>
        <v>49442</v>
      </c>
      <c r="Q11">
        <f ca="1">IFERROR(IF(0=LEN(ReferenceData!$Q$11),"",ReferenceData!$Q$11),"")</f>
        <v>44567</v>
      </c>
      <c r="R11">
        <f ca="1">IFERROR(IF(0=LEN(ReferenceData!$R$11),"",ReferenceData!$R$11),"")</f>
        <v>46147</v>
      </c>
      <c r="S11">
        <f ca="1">IFERROR(IF(0=LEN(ReferenceData!$S$11),"",ReferenceData!$S$11),"")</f>
        <v>44440</v>
      </c>
      <c r="T11">
        <f ca="1">IFERROR(IF(0=LEN(ReferenceData!$T$11),"",ReferenceData!$T$11),"")</f>
        <v>44043</v>
      </c>
      <c r="U11">
        <f ca="1">IFERROR(IF(0=LEN(ReferenceData!$U$11),"",ReferenceData!$U$11),"")</f>
        <v>42906</v>
      </c>
      <c r="V11">
        <f ca="1">IFERROR(IF(0=LEN(ReferenceData!$V$11),"",ReferenceData!$V$11),"")</f>
        <v>41581</v>
      </c>
      <c r="W11">
        <f ca="1">IFERROR(IF(0=LEN(ReferenceData!$W$11),"",ReferenceData!$W$11),"")</f>
        <v>41451</v>
      </c>
      <c r="X11">
        <f ca="1">IFERROR(IF(0=LEN(ReferenceData!$X$11),"",ReferenceData!$X$11),"")</f>
        <v>45956</v>
      </c>
      <c r="Y11">
        <f ca="1">IFERROR(IF(0=LEN(ReferenceData!$Y$11),"",ReferenceData!$Y$11),"")</f>
        <v>42284</v>
      </c>
      <c r="Z11">
        <f ca="1">IFERROR(IF(0=LEN(ReferenceData!$Z$11),"",ReferenceData!$Z$11),"")</f>
        <v>42412</v>
      </c>
      <c r="AA11">
        <f ca="1">IFERROR(IF(0=LEN(ReferenceData!$AA$11),"",ReferenceData!$AA$11),"")</f>
        <v>46598</v>
      </c>
      <c r="AB11">
        <f ca="1">IFERROR(IF(0=LEN(ReferenceData!$AB$11),"",ReferenceData!$AB$11),"")</f>
        <v>52825</v>
      </c>
      <c r="AC11">
        <f ca="1">IFERROR(IF(0=LEN(ReferenceData!$AC$11),"",ReferenceData!$AC$11),"")</f>
        <v>49009</v>
      </c>
      <c r="AD11">
        <f ca="1">IFERROR(IF(0=LEN(ReferenceData!$AD$11),"",ReferenceData!$AD$11),"")</f>
        <v>62546</v>
      </c>
      <c r="AE11">
        <f ca="1">IFERROR(IF(0=LEN(ReferenceData!$AE$11),"",ReferenceData!$AE$11),"")</f>
        <v>61856</v>
      </c>
      <c r="AF11">
        <f ca="1">IFERROR(IF(0=LEN(ReferenceData!$AF$11),"",ReferenceData!$AF$11),"")</f>
        <v>60775</v>
      </c>
      <c r="AG11">
        <f ca="1">IFERROR(IF(0=LEN(ReferenceData!$AG$11),"",ReferenceData!$AG$11),"")</f>
        <v>52121</v>
      </c>
      <c r="AH11">
        <f ca="1">IFERROR(IF(0=LEN(ReferenceData!$AH$11),"",ReferenceData!$AH$11),"")</f>
        <v>66264</v>
      </c>
      <c r="AI11">
        <f ca="1">IFERROR(IF(0=LEN(ReferenceData!$AI$11),"",ReferenceData!$AI$11),"")</f>
        <v>49602</v>
      </c>
      <c r="AJ11">
        <f ca="1">IFERROR(IF(0=LEN(ReferenceData!$AJ$11),"",ReferenceData!$AJ$11),"")</f>
        <v>61241</v>
      </c>
      <c r="AK11">
        <f ca="1">IFERROR(IF(0=LEN(ReferenceData!$AK$11),"",ReferenceData!$AK$11),"")</f>
        <v>57654</v>
      </c>
      <c r="AL11">
        <f ca="1">IFERROR(IF(0=LEN(ReferenceData!$AL$11),"",ReferenceData!$AL$11),"")</f>
        <v>56983</v>
      </c>
      <c r="AM11">
        <f ca="1">IFERROR(IF(0=LEN(ReferenceData!$AM$11),"",ReferenceData!$AM$11),"")</f>
        <v>56726</v>
      </c>
      <c r="AN11">
        <f ca="1">IFERROR(IF(0=LEN(ReferenceData!$AN$11),"",ReferenceData!$AN$11),"")</f>
        <v>55372</v>
      </c>
      <c r="AO11">
        <f ca="1">IFERROR(IF(0=LEN(ReferenceData!$AO$11),"",ReferenceData!$AO$11),"")</f>
        <v>44493</v>
      </c>
      <c r="AP11">
        <f ca="1">IFERROR(IF(0=LEN(ReferenceData!$AP$11),"",ReferenceData!$AP$11),"")</f>
        <v>46309</v>
      </c>
      <c r="AQ11">
        <f ca="1">IFERROR(IF(0=LEN(ReferenceData!$AQ$11),"",ReferenceData!$AQ$11),"")</f>
        <v>37069</v>
      </c>
      <c r="AR11">
        <f ca="1">IFERROR(IF(0=LEN(ReferenceData!$AR$11),"",ReferenceData!$AR$11),"")</f>
        <v>34913</v>
      </c>
      <c r="AS11">
        <f ca="1">IFERROR(IF(0=LEN(ReferenceData!$AS$11),"",ReferenceData!$AS$11),"")</f>
        <v>31965</v>
      </c>
      <c r="AT11">
        <f ca="1">IFERROR(IF(0=LEN(ReferenceData!$AT$11),"",ReferenceData!$AT$11),"")</f>
        <v>29586</v>
      </c>
      <c r="AU11" t="str">
        <f ca="1">IFERROR(IF(0=LEN(ReferenceData!$AU$11),"",ReferenceData!$AU$11),"")</f>
        <v/>
      </c>
      <c r="AV11" t="str">
        <f ca="1">IFERROR(IF(0=LEN(ReferenceData!$AV$11),"",ReferenceData!$AV$11),"")</f>
        <v/>
      </c>
      <c r="AW11" t="str">
        <f ca="1">IFERROR(IF(0=LEN(ReferenceData!$AW$11),"",ReferenceData!$AW$11),"")</f>
        <v/>
      </c>
      <c r="AX11" t="str">
        <f ca="1">IFERROR(IF(0=LEN(ReferenceData!$AX$11),"",ReferenceData!$AX$11),"")</f>
        <v/>
      </c>
      <c r="AY11" t="str">
        <f ca="1">IFERROR(IF(0=LEN(ReferenceData!$AY$11),"",ReferenceData!$AY$11),"")</f>
        <v/>
      </c>
      <c r="AZ11" t="str">
        <f ca="1">IFERROR(IF(0=LEN(ReferenceData!$AZ$11),"",ReferenceData!$AZ$11),"")</f>
        <v/>
      </c>
      <c r="BA11" t="str">
        <f ca="1">IFERROR(IF(0=LEN(ReferenceData!$BA$11),"",ReferenceData!$BA$11),"")</f>
        <v/>
      </c>
      <c r="BB11" t="str">
        <f ca="1">IFERROR(IF(0=LEN(ReferenceData!$BB$11),"",ReferenceData!$BB$11),"")</f>
        <v/>
      </c>
      <c r="BC11" t="str">
        <f ca="1">IFERROR(IF(0=LEN(ReferenceData!$BC$11),"",ReferenceData!$BC$11),"")</f>
        <v/>
      </c>
      <c r="BD11" t="str">
        <f ca="1">IFERROR(IF(0=LEN(ReferenceData!$BD$11),"",ReferenceData!$BD$11),"")</f>
        <v/>
      </c>
      <c r="BE11" t="str">
        <f ca="1">IFERROR(IF(0=LEN(ReferenceData!$BE$11),"",ReferenceData!$BE$11),"")</f>
        <v/>
      </c>
      <c r="BF11" t="str">
        <f ca="1">IFERROR(IF(0=LEN(ReferenceData!$BF$11),"",ReferenceData!$BF$11),"")</f>
        <v/>
      </c>
      <c r="BG11" t="str">
        <f ca="1">IFERROR(IF(0=LEN(ReferenceData!$BG$11),"",ReferenceData!$BG$11),"")</f>
        <v/>
      </c>
      <c r="BH11" t="str">
        <f ca="1">IFERROR(IF(0=LEN(ReferenceData!$BH$11),"",ReferenceData!$BH$11),"")</f>
        <v/>
      </c>
      <c r="BI11" t="str">
        <f ca="1">IFERROR(IF(0=LEN(ReferenceData!$BI$11),"",ReferenceData!$BI$11),"")</f>
        <v/>
      </c>
      <c r="BJ11" t="str">
        <f ca="1">IFERROR(IF(0=LEN(ReferenceData!$BJ$11),"",ReferenceData!$BJ$11),"")</f>
        <v/>
      </c>
      <c r="BK11" t="str">
        <f ca="1">IFERROR(IF(0=LEN(ReferenceData!$BK$11),"",ReferenceData!$BK$11),"")</f>
        <v/>
      </c>
      <c r="BL11" t="str">
        <f ca="1">IFERROR(IF(0=LEN(ReferenceData!$BL$11),"",ReferenceData!$BL$11),"")</f>
        <v/>
      </c>
      <c r="BM11" t="str">
        <f ca="1">IFERROR(IF(0=LEN(ReferenceData!$BM$11),"",ReferenceData!$BM$11),"")</f>
        <v/>
      </c>
    </row>
    <row r="12" spans="1:65" x14ac:dyDescent="0.25">
      <c r="A12" t="str">
        <f>IFERROR(IF(0=LEN(ReferenceData!$A$12),"",ReferenceData!$A$12),"")</f>
        <v xml:space="preserve">        Indonesia</v>
      </c>
      <c r="B12" t="str">
        <f>IFERROR(IF(0=LEN(ReferenceData!$B$12),"",ReferenceData!$B$12),"")</f>
        <v>IDVHCLOC Index</v>
      </c>
      <c r="C12" t="str">
        <f>IFERROR(IF(0=LEN(ReferenceData!$C$12),"",ReferenceData!$C$12),"")</f>
        <v>PX385</v>
      </c>
      <c r="D12" t="str">
        <f>IFERROR(IF(0=LEN(ReferenceData!$D$12),"",ReferenceData!$D$12),"")</f>
        <v>INTERVAL_SUM</v>
      </c>
      <c r="E12" t="str">
        <f>IFERROR(IF(0=LEN(ReferenceData!$E$12),"",ReferenceData!$E$12),"")</f>
        <v>Dynamic</v>
      </c>
      <c r="F12">
        <f ca="1">IFERROR(IF(0=LEN(ReferenceData!$F$12),"",ReferenceData!$F$12),"")</f>
        <v>81218</v>
      </c>
      <c r="G12">
        <f ca="1">IFERROR(IF(0=LEN(ReferenceData!$G$12),"",ReferenceData!$G$12),"")</f>
        <v>294658</v>
      </c>
      <c r="H12">
        <f ca="1">IFERROR(IF(0=LEN(ReferenceData!$H$12),"",ReferenceData!$H$12),"")</f>
        <v>302729</v>
      </c>
      <c r="I12">
        <f ca="1">IFERROR(IF(0=LEN(ReferenceData!$I$12),"",ReferenceData!$I$12),"")</f>
        <v>261615</v>
      </c>
      <c r="J12">
        <f ca="1">IFERROR(IF(0=LEN(ReferenceData!$J$12),"",ReferenceData!$J$12),"")</f>
        <v>292164</v>
      </c>
      <c r="K12">
        <f ca="1">IFERROR(IF(0=LEN(ReferenceData!$K$12),"",ReferenceData!$K$12),"")</f>
        <v>275722</v>
      </c>
      <c r="L12">
        <f ca="1">IFERROR(IF(0=LEN(ReferenceData!$L$12),"",ReferenceData!$L$12),"")</f>
        <v>270306</v>
      </c>
      <c r="M12">
        <f ca="1">IFERROR(IF(0=LEN(ReferenceData!$M$12),"",ReferenceData!$M$12),"")</f>
        <v>250098</v>
      </c>
      <c r="N12">
        <f ca="1">IFERROR(IF(0=LEN(ReferenceData!$N$12),"",ReferenceData!$N$12),"")</f>
        <v>283760</v>
      </c>
      <c r="O12">
        <f ca="1">IFERROR(IF(0=LEN(ReferenceData!$O$12),"",ReferenceData!$O$12),"")</f>
        <v>279018</v>
      </c>
      <c r="P12">
        <f ca="1">IFERROR(IF(0=LEN(ReferenceData!$P$12),"",ReferenceData!$P$12),"")</f>
        <v>250714</v>
      </c>
      <c r="Q12">
        <f ca="1">IFERROR(IF(0=LEN(ReferenceData!$Q$12),"",ReferenceData!$Q$12),"")</f>
        <v>264825</v>
      </c>
      <c r="R12">
        <f ca="1">IFERROR(IF(0=LEN(ReferenceData!$R$12),"",ReferenceData!$R$12),"")</f>
        <v>267302</v>
      </c>
      <c r="S12">
        <f ca="1">IFERROR(IF(0=LEN(ReferenceData!$S$12),"",ReferenceData!$S$12),"")</f>
        <v>248610</v>
      </c>
      <c r="T12">
        <f ca="1">IFERROR(IF(0=LEN(ReferenceData!$T$12),"",ReferenceData!$T$12),"")</f>
        <v>239190</v>
      </c>
      <c r="U12">
        <f ca="1">IFERROR(IF(0=LEN(ReferenceData!$U$12),"",ReferenceData!$U$12),"")</f>
        <v>243147</v>
      </c>
      <c r="V12">
        <f ca="1">IFERROR(IF(0=LEN(ReferenceData!$V$12),"",ReferenceData!$V$12),"")</f>
        <v>282344</v>
      </c>
      <c r="W12">
        <f ca="1">IFERROR(IF(0=LEN(ReferenceData!$W$12),"",ReferenceData!$W$12),"")</f>
        <v>275351</v>
      </c>
      <c r="X12">
        <f ca="1">IFERROR(IF(0=LEN(ReferenceData!$X$12),"",ReferenceData!$X$12),"")</f>
        <v>290558</v>
      </c>
      <c r="Y12">
        <f ca="1">IFERROR(IF(0=LEN(ReferenceData!$Y$12),"",ReferenceData!$Y$12),"")</f>
        <v>313610</v>
      </c>
      <c r="Z12">
        <f ca="1">IFERROR(IF(0=LEN(ReferenceData!$Z$12),"",ReferenceData!$Z$12),"")</f>
        <v>328500</v>
      </c>
      <c r="AA12">
        <f ca="1">IFERROR(IF(0=LEN(ReferenceData!$AA$12),"",ReferenceData!$AA$12),"")</f>
        <v>321586</v>
      </c>
      <c r="AB12">
        <f ca="1">IFERROR(IF(0=LEN(ReferenceData!$AB$12),"",ReferenceData!$AB$12),"")</f>
        <v>306116</v>
      </c>
      <c r="AC12">
        <f ca="1">IFERROR(IF(0=LEN(ReferenceData!$AC$12),"",ReferenceData!$AC$12),"")</f>
        <v>306222</v>
      </c>
      <c r="AD12">
        <f ca="1">IFERROR(IF(0=LEN(ReferenceData!$AD$12),"",ReferenceData!$AD$12),"")</f>
        <v>295992</v>
      </c>
      <c r="AE12">
        <f ca="1">IFERROR(IF(0=LEN(ReferenceData!$AE$12),"",ReferenceData!$AE$12),"")</f>
        <v>299913</v>
      </c>
      <c r="AF12">
        <f ca="1">IFERROR(IF(0=LEN(ReferenceData!$AF$12),"",ReferenceData!$AF$12),"")</f>
        <v>281056</v>
      </c>
      <c r="AG12">
        <f ca="1">IFERROR(IF(0=LEN(ReferenceData!$AG$12),"",ReferenceData!$AG$12),"")</f>
        <v>284431</v>
      </c>
      <c r="AH12">
        <f ca="1">IFERROR(IF(0=LEN(ReferenceData!$AH$12),"",ReferenceData!$AH$12),"")</f>
        <v>250830</v>
      </c>
      <c r="AI12">
        <f ca="1">IFERROR(IF(0=LEN(ReferenceData!$AI$12),"",ReferenceData!$AI$12),"")</f>
        <v>234325</v>
      </c>
      <c r="AJ12">
        <f ca="1">IFERROR(IF(0=LEN(ReferenceData!$AJ$12),"",ReferenceData!$AJ$12),"")</f>
        <v>242167</v>
      </c>
      <c r="AK12">
        <f ca="1">IFERROR(IF(0=LEN(ReferenceData!$AK$12),"",ReferenceData!$AK$12),"")</f>
        <v>191933</v>
      </c>
      <c r="AL12">
        <f ca="1">IFERROR(IF(0=LEN(ReferenceData!$AL$12),"",ReferenceData!$AL$12),"")</f>
        <v>225739</v>
      </c>
      <c r="AM12">
        <f ca="1">IFERROR(IF(0=LEN(ReferenceData!$AM$12),"",ReferenceData!$AM$12),"")</f>
        <v>208470</v>
      </c>
      <c r="AN12">
        <f ca="1">IFERROR(IF(0=LEN(ReferenceData!$AN$12),"",ReferenceData!$AN$12),"")</f>
        <v>186026</v>
      </c>
      <c r="AO12">
        <f ca="1">IFERROR(IF(0=LEN(ReferenceData!$AO$12),"",ReferenceData!$AO$12),"")</f>
        <v>196140</v>
      </c>
      <c r="AP12">
        <f ca="1">IFERROR(IF(0=LEN(ReferenceData!$AP$12),"",ReferenceData!$AP$12),"")</f>
        <v>174074</v>
      </c>
      <c r="AQ12">
        <f ca="1">IFERROR(IF(0=LEN(ReferenceData!$AQ$12),"",ReferenceData!$AQ$12),"")</f>
        <v>148598</v>
      </c>
      <c r="AR12">
        <f ca="1">IFERROR(IF(0=LEN(ReferenceData!$AR$12),"",ReferenceData!$AR$12),"")</f>
        <v>127217</v>
      </c>
      <c r="AS12">
        <f ca="1">IFERROR(IF(0=LEN(ReferenceData!$AS$12),"",ReferenceData!$AS$12),"")</f>
        <v>109989</v>
      </c>
      <c r="AT12">
        <f ca="1">IFERROR(IF(0=LEN(ReferenceData!$AT$12),"",ReferenceData!$AT$12),"")</f>
        <v>100257</v>
      </c>
      <c r="AU12">
        <f ca="1">IFERROR(IF(0=LEN(ReferenceData!$AU$12),"",ReferenceData!$AU$12),"")</f>
        <v>140583</v>
      </c>
      <c r="AV12">
        <f ca="1">IFERROR(IF(0=LEN(ReferenceData!$AV$12),"",ReferenceData!$AV$12),"")</f>
        <v>174552</v>
      </c>
      <c r="AW12">
        <f ca="1">IFERROR(IF(0=LEN(ReferenceData!$AW$12),"",ReferenceData!$AW$12),"")</f>
        <v>157067</v>
      </c>
      <c r="AX12">
        <f ca="1">IFERROR(IF(0=LEN(ReferenceData!$AX$12),"",ReferenceData!$AX$12),"")</f>
        <v>135603</v>
      </c>
      <c r="AY12">
        <f ca="1">IFERROR(IF(0=LEN(ReferenceData!$AY$12),"",ReferenceData!$AY$12),"")</f>
        <v>116265</v>
      </c>
      <c r="AZ12">
        <f ca="1">IFERROR(IF(0=LEN(ReferenceData!$AZ$12),"",ReferenceData!$AZ$12),"")</f>
        <v>120892</v>
      </c>
      <c r="BA12">
        <f ca="1">IFERROR(IF(0=LEN(ReferenceData!$BA$12),"",ReferenceData!$BA$12),"")</f>
        <v>112979</v>
      </c>
      <c r="BB12">
        <f ca="1">IFERROR(IF(0=LEN(ReferenceData!$BB$12),"",ReferenceData!$BB$12),"")</f>
        <v>84337</v>
      </c>
      <c r="BC12">
        <f ca="1">IFERROR(IF(0=LEN(ReferenceData!$BC$12),"",ReferenceData!$BC$12),"")</f>
        <v>85151</v>
      </c>
      <c r="BD12">
        <f ca="1">IFERROR(IF(0=LEN(ReferenceData!$BD$12),"",ReferenceData!$BD$12),"")</f>
        <v>84119</v>
      </c>
      <c r="BE12">
        <f ca="1">IFERROR(IF(0=LEN(ReferenceData!$BE$12),"",ReferenceData!$BE$12),"")</f>
        <v>70223</v>
      </c>
      <c r="BF12">
        <f ca="1">IFERROR(IF(0=LEN(ReferenceData!$BF$12),"",ReferenceData!$BF$12),"")</f>
        <v>79412</v>
      </c>
      <c r="BG12">
        <f ca="1">IFERROR(IF(0=LEN(ReferenceData!$BG$12),"",ReferenceData!$BG$12),"")</f>
        <v>94092</v>
      </c>
      <c r="BH12">
        <f ca="1">IFERROR(IF(0=LEN(ReferenceData!$BH$12),"",ReferenceData!$BH$12),"")</f>
        <v>144039</v>
      </c>
      <c r="BI12">
        <f ca="1">IFERROR(IF(0=LEN(ReferenceData!$BI$12),"",ReferenceData!$BI$12),"")</f>
        <v>151816</v>
      </c>
      <c r="BJ12">
        <f ca="1">IFERROR(IF(0=LEN(ReferenceData!$BJ$12),"",ReferenceData!$BJ$12),"")</f>
        <v>143963</v>
      </c>
      <c r="BK12">
        <f ca="1">IFERROR(IF(0=LEN(ReferenceData!$BK$12),"",ReferenceData!$BK$12),"")</f>
        <v>134646</v>
      </c>
      <c r="BL12">
        <f ca="1">IFERROR(IF(0=LEN(ReferenceData!$BL$12),"",ReferenceData!$BL$12),"")</f>
        <v>122516</v>
      </c>
      <c r="BM12">
        <f ca="1">IFERROR(IF(0=LEN(ReferenceData!$BM$12),"",ReferenceData!$BM$12),"")</f>
        <v>122506</v>
      </c>
    </row>
    <row r="13" spans="1:65" x14ac:dyDescent="0.25">
      <c r="A13" t="str">
        <f>IFERROR(IF(0=LEN(ReferenceData!$A$13),"",ReferenceData!$A$13),"")</f>
        <v xml:space="preserve">        Japan</v>
      </c>
      <c r="B13" t="str">
        <f>IFERROR(IF(0=LEN(ReferenceData!$B$13),"",ReferenceData!$B$13),"")</f>
        <v>JNVTTOTL Index</v>
      </c>
      <c r="C13" t="str">
        <f>IFERROR(IF(0=LEN(ReferenceData!$C$13),"",ReferenceData!$C$13),"")</f>
        <v>PX385</v>
      </c>
      <c r="D13" t="str">
        <f>IFERROR(IF(0=LEN(ReferenceData!$D$13),"",ReferenceData!$D$13),"")</f>
        <v>INTERVAL_SUM</v>
      </c>
      <c r="E13" t="str">
        <f>IFERROR(IF(0=LEN(ReferenceData!$E$13),"",ReferenceData!$E$13),"")</f>
        <v>Dynamic</v>
      </c>
      <c r="F13">
        <f ca="1">IFERROR(IF(0=LEN(ReferenceData!$F$13),"",ReferenceData!$F$13),"")</f>
        <v>407975</v>
      </c>
      <c r="G13">
        <f ca="1">IFERROR(IF(0=LEN(ReferenceData!$G$13),"",ReferenceData!$G$13),"")</f>
        <v>1248461</v>
      </c>
      <c r="H13">
        <f ca="1">IFERROR(IF(0=LEN(ReferenceData!$H$13),"",ReferenceData!$H$13),"")</f>
        <v>1291129</v>
      </c>
      <c r="I13">
        <f ca="1">IFERROR(IF(0=LEN(ReferenceData!$I$13),"",ReferenceData!$I$13),"")</f>
        <v>1191785</v>
      </c>
      <c r="J13">
        <f ca="1">IFERROR(IF(0=LEN(ReferenceData!$J$13),"",ReferenceData!$J$13),"")</f>
        <v>1540693</v>
      </c>
      <c r="K13">
        <f ca="1">IFERROR(IF(0=LEN(ReferenceData!$K$13),"",ReferenceData!$K$13),"")</f>
        <v>1173582</v>
      </c>
      <c r="L13">
        <f ca="1">IFERROR(IF(0=LEN(ReferenceData!$L$13),"",ReferenceData!$L$13),"")</f>
        <v>1278042</v>
      </c>
      <c r="M13">
        <f ca="1">IFERROR(IF(0=LEN(ReferenceData!$M$13),"",ReferenceData!$M$13),"")</f>
        <v>1204792</v>
      </c>
      <c r="N13">
        <f ca="1">IFERROR(IF(0=LEN(ReferenceData!$N$13),"",ReferenceData!$N$13),"")</f>
        <v>1577749</v>
      </c>
      <c r="O13">
        <f ca="1">IFERROR(IF(0=LEN(ReferenceData!$O$13),"",ReferenceData!$O$13),"")</f>
        <v>1193874</v>
      </c>
      <c r="P13">
        <f ca="1">IFERROR(IF(0=LEN(ReferenceData!$P$13),"",ReferenceData!$P$13),"")</f>
        <v>1229035</v>
      </c>
      <c r="Q13">
        <f ca="1">IFERROR(IF(0=LEN(ReferenceData!$Q$13),"",ReferenceData!$Q$13),"")</f>
        <v>1077241</v>
      </c>
      <c r="R13">
        <f ca="1">IFERROR(IF(0=LEN(ReferenceData!$R$13),"",ReferenceData!$R$13),"")</f>
        <v>1470104</v>
      </c>
      <c r="S13">
        <f ca="1">IFERROR(IF(0=LEN(ReferenceData!$S$13),"",ReferenceData!$S$13),"")</f>
        <v>1138362</v>
      </c>
      <c r="T13">
        <f ca="1">IFERROR(IF(0=LEN(ReferenceData!$T$13),"",ReferenceData!$T$13),"")</f>
        <v>1231514</v>
      </c>
      <c r="U13">
        <f ca="1">IFERROR(IF(0=LEN(ReferenceData!$U$13),"",ReferenceData!$U$13),"")</f>
        <v>1097754</v>
      </c>
      <c r="V13">
        <f ca="1">IFERROR(IF(0=LEN(ReferenceData!$V$13),"",ReferenceData!$V$13),"")</f>
        <v>1578880</v>
      </c>
      <c r="W13">
        <f ca="1">IFERROR(IF(0=LEN(ReferenceData!$W$13),"",ReferenceData!$W$13),"")</f>
        <v>1244577</v>
      </c>
      <c r="X13">
        <f ca="1">IFERROR(IF(0=LEN(ReferenceData!$X$13),"",ReferenceData!$X$13),"")</f>
        <v>1312505</v>
      </c>
      <c r="Y13">
        <f ca="1">IFERROR(IF(0=LEN(ReferenceData!$Y$13),"",ReferenceData!$Y$13),"")</f>
        <v>1161149</v>
      </c>
      <c r="Z13">
        <f ca="1">IFERROR(IF(0=LEN(ReferenceData!$Z$13),"",ReferenceData!$Z$13),"")</f>
        <v>1844657</v>
      </c>
      <c r="AA13">
        <f ca="1">IFERROR(IF(0=LEN(ReferenceData!$AA$13),"",ReferenceData!$AA$13),"")</f>
        <v>1302248</v>
      </c>
      <c r="AB13">
        <f ca="1">IFERROR(IF(0=LEN(ReferenceData!$AB$13),"",ReferenceData!$AB$13),"")</f>
        <v>1361620</v>
      </c>
      <c r="AC13">
        <f ca="1">IFERROR(IF(0=LEN(ReferenceData!$AC$13),"",ReferenceData!$AC$13),"")</f>
        <v>1183637</v>
      </c>
      <c r="AD13">
        <f ca="1">IFERROR(IF(0=LEN(ReferenceData!$AD$13),"",ReferenceData!$AD$13),"")</f>
        <v>1528008</v>
      </c>
      <c r="AE13">
        <f ca="1">IFERROR(IF(0=LEN(ReferenceData!$AE$13),"",ReferenceData!$AE$13),"")</f>
        <v>1091777</v>
      </c>
      <c r="AF13">
        <f ca="1">IFERROR(IF(0=LEN(ReferenceData!$AF$13),"",ReferenceData!$AF$13),"")</f>
        <v>1330587</v>
      </c>
      <c r="AG13">
        <f ca="1">IFERROR(IF(0=LEN(ReferenceData!$AG$13),"",ReferenceData!$AG$13),"")</f>
        <v>1259918</v>
      </c>
      <c r="AH13">
        <f ca="1">IFERROR(IF(0=LEN(ReferenceData!$AH$13),"",ReferenceData!$AH$13),"")</f>
        <v>1687438</v>
      </c>
      <c r="AI13">
        <f ca="1">IFERROR(IF(0=LEN(ReferenceData!$AI$13),"",ReferenceData!$AI$13),"")</f>
        <v>1125883</v>
      </c>
      <c r="AJ13">
        <f ca="1">IFERROR(IF(0=LEN(ReferenceData!$AJ$13),"",ReferenceData!$AJ$13),"")</f>
        <v>1165091</v>
      </c>
      <c r="AK13">
        <f ca="1">IFERROR(IF(0=LEN(ReferenceData!$AK$13),"",ReferenceData!$AK$13),"")</f>
        <v>774861</v>
      </c>
      <c r="AL13">
        <f ca="1">IFERROR(IF(0=LEN(ReferenceData!$AL$13),"",ReferenceData!$AL$13),"")</f>
        <v>1144384</v>
      </c>
      <c r="AM13">
        <f ca="1">IFERROR(IF(0=LEN(ReferenceData!$AM$13),"",ReferenceData!$AM$13),"")</f>
        <v>915779</v>
      </c>
      <c r="AN13">
        <f ca="1">IFERROR(IF(0=LEN(ReferenceData!$AN$13),"",ReferenceData!$AN$13),"")</f>
        <v>1383544</v>
      </c>
      <c r="AO13">
        <f ca="1">IFERROR(IF(0=LEN(ReferenceData!$AO$13),"",ReferenceData!$AO$13),"")</f>
        <v>1157428</v>
      </c>
      <c r="AP13">
        <f ca="1">IFERROR(IF(0=LEN(ReferenceData!$AP$13),"",ReferenceData!$AP$13),"")</f>
        <v>1499385</v>
      </c>
      <c r="AQ13">
        <f ca="1">IFERROR(IF(0=LEN(ReferenceData!$AQ$13),"",ReferenceData!$AQ$13),"")</f>
        <v>1205190</v>
      </c>
      <c r="AR13">
        <f ca="1">IFERROR(IF(0=LEN(ReferenceData!$AR$13),"",ReferenceData!$AR$13),"")</f>
        <v>1217327</v>
      </c>
      <c r="AS13">
        <f ca="1">IFERROR(IF(0=LEN(ReferenceData!$AS$13),"",ReferenceData!$AS$13),"")</f>
        <v>958361</v>
      </c>
      <c r="AT13">
        <f ca="1">IFERROR(IF(0=LEN(ReferenceData!$AT$13),"",ReferenceData!$AT$13),"")</f>
        <v>1228377</v>
      </c>
      <c r="AU13">
        <f ca="1">IFERROR(IF(0=LEN(ReferenceData!$AU$13),"",ReferenceData!$AU$13),"")</f>
        <v>1054566</v>
      </c>
      <c r="AV13">
        <f ca="1">IFERROR(IF(0=LEN(ReferenceData!$AV$13),"",ReferenceData!$AV$13),"")</f>
        <v>1241501</v>
      </c>
      <c r="AW13">
        <f ca="1">IFERROR(IF(0=LEN(ReferenceData!$AW$13),"",ReferenceData!$AW$13),"")</f>
        <v>1176335</v>
      </c>
      <c r="AX13">
        <f ca="1">IFERROR(IF(0=LEN(ReferenceData!$AX$13),"",ReferenceData!$AX$13),"")</f>
        <v>1609833</v>
      </c>
      <c r="AY13">
        <f ca="1">IFERROR(IF(0=LEN(ReferenceData!$AY$13),"",ReferenceData!$AY$13),"")</f>
        <v>1225090</v>
      </c>
      <c r="AZ13">
        <f ca="1">IFERROR(IF(0=LEN(ReferenceData!$AZ$13),"",ReferenceData!$AZ$13),"")</f>
        <v>1286040</v>
      </c>
      <c r="BA13">
        <f ca="1">IFERROR(IF(0=LEN(ReferenceData!$BA$13),"",ReferenceData!$BA$13),"")</f>
        <v>1198657</v>
      </c>
      <c r="BB13">
        <f ca="1">IFERROR(IF(0=LEN(ReferenceData!$BB$13),"",ReferenceData!$BB$13),"")</f>
        <v>1643861</v>
      </c>
      <c r="BC13">
        <f ca="1">IFERROR(IF(0=LEN(ReferenceData!$BC$13),"",ReferenceData!$BC$13),"")</f>
        <v>1272162</v>
      </c>
      <c r="BD13">
        <f ca="1">IFERROR(IF(0=LEN(ReferenceData!$BD$13),"",ReferenceData!$BD$13),"")</f>
        <v>1396346</v>
      </c>
      <c r="BE13">
        <f ca="1">IFERROR(IF(0=LEN(ReferenceData!$BE$13),"",ReferenceData!$BE$13),"")</f>
        <v>1306176</v>
      </c>
      <c r="BF13">
        <f ca="1">IFERROR(IF(0=LEN(ReferenceData!$BF$13),"",ReferenceData!$BF$13),"")</f>
        <v>1764822</v>
      </c>
      <c r="BG13">
        <f ca="1">IFERROR(IF(0=LEN(ReferenceData!$BG$13),"",ReferenceData!$BG$13),"")</f>
        <v>1298801</v>
      </c>
      <c r="BH13">
        <f ca="1">IFERROR(IF(0=LEN(ReferenceData!$BH$13),"",ReferenceData!$BH$13),"")</f>
        <v>1450402</v>
      </c>
      <c r="BI13">
        <f ca="1">IFERROR(IF(0=LEN(ReferenceData!$BI$13),"",ReferenceData!$BI$13),"")</f>
        <v>1347520</v>
      </c>
      <c r="BJ13">
        <f ca="1">IFERROR(IF(0=LEN(ReferenceData!$BJ$13),"",ReferenceData!$BJ$13),"")</f>
        <v>1755344</v>
      </c>
      <c r="BK13">
        <f ca="1">IFERROR(IF(0=LEN(ReferenceData!$BK$13),"",ReferenceData!$BK$13),"")</f>
        <v>1361490</v>
      </c>
      <c r="BL13">
        <f ca="1">IFERROR(IF(0=LEN(ReferenceData!$BL$13),"",ReferenceData!$BL$13),"")</f>
        <v>1449457</v>
      </c>
      <c r="BM13">
        <f ca="1">IFERROR(IF(0=LEN(ReferenceData!$BM$13),"",ReferenceData!$BM$13),"")</f>
        <v>1254431</v>
      </c>
    </row>
    <row r="14" spans="1:65" x14ac:dyDescent="0.25">
      <c r="A14" t="str">
        <f>IFERROR(IF(0=LEN(ReferenceData!$A$14),"",ReferenceData!$A$14),"")</f>
        <v xml:space="preserve">        Malaysia</v>
      </c>
      <c r="B14" t="str">
        <f>IFERROR(IF(0=LEN(ReferenceData!$B$14),"",ReferenceData!$B$14),"")</f>
        <v>MAVSTTL Index</v>
      </c>
      <c r="C14" t="str">
        <f>IFERROR(IF(0=LEN(ReferenceData!$C$14),"",ReferenceData!$C$14),"")</f>
        <v>PX385</v>
      </c>
      <c r="D14" t="str">
        <f>IFERROR(IF(0=LEN(ReferenceData!$D$14),"",ReferenceData!$D$14),"")</f>
        <v>INTERVAL_SUM</v>
      </c>
      <c r="E14" t="str">
        <f>IFERROR(IF(0=LEN(ReferenceData!$E$14),"",ReferenceData!$E$14),"")</f>
        <v>Dynamic</v>
      </c>
      <c r="F14">
        <f ca="1">IFERROR(IF(0=LEN(ReferenceData!$F$14),"",ReferenceData!$F$14),"")</f>
        <v>48450</v>
      </c>
      <c r="G14">
        <f ca="1">IFERROR(IF(0=LEN(ReferenceData!$G$14),"",ReferenceData!$G$14),"")</f>
        <v>143743</v>
      </c>
      <c r="H14">
        <f ca="1">IFERROR(IF(0=LEN(ReferenceData!$H$14),"",ReferenceData!$H$14),"")</f>
        <v>165257</v>
      </c>
      <c r="I14">
        <f ca="1">IFERROR(IF(0=LEN(ReferenceData!$I$14),"",ReferenceData!$I$14),"")</f>
        <v>154574</v>
      </c>
      <c r="J14">
        <f ca="1">IFERROR(IF(0=LEN(ReferenceData!$J$14),"",ReferenceData!$J$14),"")</f>
        <v>135123</v>
      </c>
      <c r="K14">
        <f ca="1">IFERROR(IF(0=LEN(ReferenceData!$K$14),"",ReferenceData!$K$14),"")</f>
        <v>150947</v>
      </c>
      <c r="L14">
        <f ca="1">IFERROR(IF(0=LEN(ReferenceData!$L$14),"",ReferenceData!$L$14),"")</f>
        <v>141225</v>
      </c>
      <c r="M14">
        <f ca="1">IFERROR(IF(0=LEN(ReferenceData!$M$14),"",ReferenceData!$M$14),"")</f>
        <v>143613</v>
      </c>
      <c r="N14">
        <f ca="1">IFERROR(IF(0=LEN(ReferenceData!$N$14),"",ReferenceData!$N$14),"")</f>
        <v>140840</v>
      </c>
      <c r="O14">
        <f ca="1">IFERROR(IF(0=LEN(ReferenceData!$O$14),"",ReferenceData!$O$14),"")</f>
        <v>161808</v>
      </c>
      <c r="P14">
        <f ca="1">IFERROR(IF(0=LEN(ReferenceData!$P$14),"",ReferenceData!$P$14),"")</f>
        <v>142827</v>
      </c>
      <c r="Q14">
        <f ca="1">IFERROR(IF(0=LEN(ReferenceData!$Q$14),"",ReferenceData!$Q$14),"")</f>
        <v>144232</v>
      </c>
      <c r="R14">
        <f ca="1">IFERROR(IF(0=LEN(ReferenceData!$R$14),"",ReferenceData!$R$14),"")</f>
        <v>131251</v>
      </c>
      <c r="S14">
        <f ca="1">IFERROR(IF(0=LEN(ReferenceData!$S$14),"",ReferenceData!$S$14),"")</f>
        <v>181227</v>
      </c>
      <c r="T14">
        <f ca="1">IFERROR(IF(0=LEN(ReferenceData!$T$14),"",ReferenceData!$T$14),"")</f>
        <v>163235</v>
      </c>
      <c r="U14">
        <f ca="1">IFERROR(IF(0=LEN(ReferenceData!$U$14),"",ReferenceData!$U$14),"")</f>
        <v>153875</v>
      </c>
      <c r="V14">
        <f ca="1">IFERROR(IF(0=LEN(ReferenceData!$V$14),"",ReferenceData!$V$14),"")</f>
        <v>168379</v>
      </c>
      <c r="W14">
        <f ca="1">IFERROR(IF(0=LEN(ReferenceData!$W$14),"",ReferenceData!$W$14),"")</f>
        <v>174161</v>
      </c>
      <c r="X14">
        <f ca="1">IFERROR(IF(0=LEN(ReferenceData!$X$14),"",ReferenceData!$X$14),"")</f>
        <v>159166</v>
      </c>
      <c r="Y14">
        <f ca="1">IFERROR(IF(0=LEN(ReferenceData!$Y$14),"",ReferenceData!$Y$14),"")</f>
        <v>173243</v>
      </c>
      <c r="Z14">
        <f ca="1">IFERROR(IF(0=LEN(ReferenceData!$Z$14),"",ReferenceData!$Z$14),"")</f>
        <v>159915</v>
      </c>
      <c r="AA14">
        <f ca="1">IFERROR(IF(0=LEN(ReferenceData!$AA$14),"",ReferenceData!$AA$14),"")</f>
        <v>167823</v>
      </c>
      <c r="AB14">
        <f ca="1">IFERROR(IF(0=LEN(ReferenceData!$AB$14),"",ReferenceData!$AB$14),"")</f>
        <v>174480</v>
      </c>
      <c r="AC14">
        <f ca="1">IFERROR(IF(0=LEN(ReferenceData!$AC$14),"",ReferenceData!$AC$14),"")</f>
        <v>155754</v>
      </c>
      <c r="AD14">
        <f ca="1">IFERROR(IF(0=LEN(ReferenceData!$AD$14),"",ReferenceData!$AD$14),"")</f>
        <v>157734</v>
      </c>
      <c r="AE14">
        <f ca="1">IFERROR(IF(0=LEN(ReferenceData!$AE$14),"",ReferenceData!$AE$14),"")</f>
        <v>169282</v>
      </c>
      <c r="AF14">
        <f ca="1">IFERROR(IF(0=LEN(ReferenceData!$AF$14),"",ReferenceData!$AF$14),"")</f>
        <v>157202</v>
      </c>
      <c r="AG14">
        <f ca="1">IFERROR(IF(0=LEN(ReferenceData!$AG$14),"",ReferenceData!$AG$14),"")</f>
        <v>162725</v>
      </c>
      <c r="AH14">
        <f ca="1">IFERROR(IF(0=LEN(ReferenceData!$AH$14),"",ReferenceData!$AH$14),"")</f>
        <v>138544</v>
      </c>
      <c r="AI14">
        <f ca="1">IFERROR(IF(0=LEN(ReferenceData!$AI$14),"",ReferenceData!$AI$14),"")</f>
        <v>149879</v>
      </c>
      <c r="AJ14">
        <f ca="1">IFERROR(IF(0=LEN(ReferenceData!$AJ$14),"",ReferenceData!$AJ$14),"")</f>
        <v>153041</v>
      </c>
      <c r="AK14">
        <f ca="1">IFERROR(IF(0=LEN(ReferenceData!$AK$14),"",ReferenceData!$AK$14),"")</f>
        <v>138771</v>
      </c>
      <c r="AL14">
        <f ca="1">IFERROR(IF(0=LEN(ReferenceData!$AL$14),"",ReferenceData!$AL$14),"")</f>
        <v>158432</v>
      </c>
      <c r="AM14">
        <f ca="1">IFERROR(IF(0=LEN(ReferenceData!$AM$14),"",ReferenceData!$AM$14),"")</f>
        <v>151907</v>
      </c>
      <c r="AN14">
        <f ca="1">IFERROR(IF(0=LEN(ReferenceData!$AN$14),"",ReferenceData!$AN$14),"")</f>
        <v>152133</v>
      </c>
      <c r="AO14">
        <f ca="1">IFERROR(IF(0=LEN(ReferenceData!$AO$14),"",ReferenceData!$AO$14),"")</f>
        <v>153556</v>
      </c>
      <c r="AP14">
        <f ca="1">IFERROR(IF(0=LEN(ReferenceData!$AP$14),"",ReferenceData!$AP$14),"")</f>
        <v>147415</v>
      </c>
      <c r="AQ14">
        <f ca="1">IFERROR(IF(0=LEN(ReferenceData!$AQ$14),"",ReferenceData!$AQ$14),"")</f>
        <v>138960</v>
      </c>
      <c r="AR14">
        <f ca="1">IFERROR(IF(0=LEN(ReferenceData!$AR$14),"",ReferenceData!$AR$14),"")</f>
        <v>146535</v>
      </c>
      <c r="AS14">
        <f ca="1">IFERROR(IF(0=LEN(ReferenceData!$AS$14),"",ReferenceData!$AS$14),"")</f>
        <v>130290</v>
      </c>
      <c r="AT14">
        <f ca="1">IFERROR(IF(0=LEN(ReferenceData!$AT$14),"",ReferenceData!$AT$14),"")</f>
        <v>118681</v>
      </c>
      <c r="AU14">
        <f ca="1">IFERROR(IF(0=LEN(ReferenceData!$AU$14),"",ReferenceData!$AU$14),"")</f>
        <v>118202</v>
      </c>
      <c r="AV14">
        <f ca="1">IFERROR(IF(0=LEN(ReferenceData!$AV$14),"",ReferenceData!$AV$14),"")</f>
        <v>151940</v>
      </c>
      <c r="AW14">
        <f ca="1">IFERROR(IF(0=LEN(ReferenceData!$AW$14),"",ReferenceData!$AW$14),"")</f>
        <v>147122</v>
      </c>
      <c r="AX14">
        <f ca="1">IFERROR(IF(0=LEN(ReferenceData!$AX$14),"",ReferenceData!$AX$14),"")</f>
        <v>130851</v>
      </c>
      <c r="AY14">
        <f ca="1">IFERROR(IF(0=LEN(ReferenceData!$AY$14),"",ReferenceData!$AY$14),"")</f>
        <v>128942</v>
      </c>
      <c r="AZ14">
        <f ca="1">IFERROR(IF(0=LEN(ReferenceData!$AZ$14),"",ReferenceData!$AZ$14),"")</f>
        <v>137495</v>
      </c>
      <c r="BA14">
        <f ca="1">IFERROR(IF(0=LEN(ReferenceData!$BA$14),"",ReferenceData!$BA$14),"")</f>
        <v>115789</v>
      </c>
      <c r="BB14">
        <f ca="1">IFERROR(IF(0=LEN(ReferenceData!$BB$14),"",ReferenceData!$BB$14),"")</f>
        <v>104950</v>
      </c>
      <c r="BC14">
        <f ca="1">IFERROR(IF(0=LEN(ReferenceData!$BC$14),"",ReferenceData!$BC$14),"")</f>
        <v>108275</v>
      </c>
      <c r="BD14">
        <f ca="1">IFERROR(IF(0=LEN(ReferenceData!$BD$14),"",ReferenceData!$BD$14),"")</f>
        <v>133995</v>
      </c>
      <c r="BE14">
        <f ca="1">IFERROR(IF(0=LEN(ReferenceData!$BE$14),"",ReferenceData!$BE$14),"")</f>
        <v>124455</v>
      </c>
      <c r="BF14">
        <f ca="1">IFERROR(IF(0=LEN(ReferenceData!$BF$14),"",ReferenceData!$BF$14),"")</f>
        <v>123303</v>
      </c>
      <c r="BG14">
        <f ca="1">IFERROR(IF(0=LEN(ReferenceData!$BG$14),"",ReferenceData!$BG$14),"")</f>
        <v>143849</v>
      </c>
      <c r="BH14">
        <f ca="1">IFERROR(IF(0=LEN(ReferenceData!$BH$14),"",ReferenceData!$BH$14),"")</f>
        <v>146409</v>
      </c>
      <c r="BI14">
        <f ca="1">IFERROR(IF(0=LEN(ReferenceData!$BI$14),"",ReferenceData!$BI$14),"")</f>
        <v>133724</v>
      </c>
      <c r="BJ14">
        <f ca="1">IFERROR(IF(0=LEN(ReferenceData!$BJ$14),"",ReferenceData!$BJ$14),"")</f>
        <v>127115</v>
      </c>
      <c r="BK14">
        <f ca="1">IFERROR(IF(0=LEN(ReferenceData!$BK$14),"",ReferenceData!$BK$14),"")</f>
        <v>126047</v>
      </c>
      <c r="BL14">
        <f ca="1">IFERROR(IF(0=LEN(ReferenceData!$BL$14),"",ReferenceData!$BL$14),"")</f>
        <v>132591</v>
      </c>
      <c r="BM14">
        <f ca="1">IFERROR(IF(0=LEN(ReferenceData!$BM$14),"",ReferenceData!$BM$14),"")</f>
        <v>123759</v>
      </c>
    </row>
    <row r="15" spans="1:65" x14ac:dyDescent="0.25">
      <c r="A15" t="str">
        <f>IFERROR(IF(0=LEN(ReferenceData!$A$15),"",ReferenceData!$A$15),"")</f>
        <v xml:space="preserve">        Pakistan</v>
      </c>
      <c r="B15" t="str">
        <f>IFERROR(IF(0=LEN(ReferenceData!$B$15),"",ReferenceData!$B$15),"")</f>
        <v>PAVSCAR Index</v>
      </c>
      <c r="C15" t="str">
        <f>IFERROR(IF(0=LEN(ReferenceData!$C$15),"",ReferenceData!$C$15),"")</f>
        <v>PX385</v>
      </c>
      <c r="D15" t="str">
        <f>IFERROR(IF(0=LEN(ReferenceData!$D$15),"",ReferenceData!$D$15),"")</f>
        <v>INTERVAL_SUM</v>
      </c>
      <c r="E15" t="str">
        <f>IFERROR(IF(0=LEN(ReferenceData!$E$15),"",ReferenceData!$E$15),"")</f>
        <v>Dynamic</v>
      </c>
      <c r="F15" t="str">
        <f ca="1">IFERROR(IF(0=LEN(ReferenceData!$F$15),"",ReferenceData!$F$15),"")</f>
        <v/>
      </c>
      <c r="G15">
        <f ca="1">IFERROR(IF(0=LEN(ReferenceData!$G$15),"",ReferenceData!$G$15),"")</f>
        <v>52817</v>
      </c>
      <c r="H15">
        <f ca="1">IFERROR(IF(0=LEN(ReferenceData!$H$15),"",ReferenceData!$H$15),"")</f>
        <v>51221</v>
      </c>
      <c r="I15">
        <f ca="1">IFERROR(IF(0=LEN(ReferenceData!$I$15),"",ReferenceData!$I$15),"")</f>
        <v>55415</v>
      </c>
      <c r="J15">
        <f ca="1">IFERROR(IF(0=LEN(ReferenceData!$J$15),"",ReferenceData!$J$15),"")</f>
        <v>57939</v>
      </c>
      <c r="K15">
        <f ca="1">IFERROR(IF(0=LEN(ReferenceData!$K$15),"",ReferenceData!$K$15),"")</f>
        <v>52792</v>
      </c>
      <c r="L15">
        <f ca="1">IFERROR(IF(0=LEN(ReferenceData!$L$15),"",ReferenceData!$L$15),"")</f>
        <v>50640</v>
      </c>
      <c r="M15">
        <f ca="1">IFERROR(IF(0=LEN(ReferenceData!$M$15),"",ReferenceData!$M$15),"")</f>
        <v>46211</v>
      </c>
      <c r="N15">
        <f ca="1">IFERROR(IF(0=LEN(ReferenceData!$N$15),"",ReferenceData!$N$15),"")</f>
        <v>53669</v>
      </c>
      <c r="O15">
        <f ca="1">IFERROR(IF(0=LEN(ReferenceData!$O$15),"",ReferenceData!$O$15),"")</f>
        <v>44496</v>
      </c>
      <c r="P15">
        <f ca="1">IFERROR(IF(0=LEN(ReferenceData!$P$15),"",ReferenceData!$P$15),"")</f>
        <v>41405</v>
      </c>
      <c r="Q15">
        <f ca="1">IFERROR(IF(0=LEN(ReferenceData!$Q$15),"",ReferenceData!$Q$15),"")</f>
        <v>43939</v>
      </c>
      <c r="R15">
        <f ca="1">IFERROR(IF(0=LEN(ReferenceData!$R$15),"",ReferenceData!$R$15),"")</f>
        <v>47382</v>
      </c>
      <c r="S15">
        <f ca="1">IFERROR(IF(0=LEN(ReferenceData!$S$15),"",ReferenceData!$S$15),"")</f>
        <v>45452</v>
      </c>
      <c r="T15">
        <f ca="1">IFERROR(IF(0=LEN(ReferenceData!$T$15),"",ReferenceData!$T$15),"")</f>
        <v>44372</v>
      </c>
      <c r="U15">
        <f ca="1">IFERROR(IF(0=LEN(ReferenceData!$U$15),"",ReferenceData!$U$15),"")</f>
        <v>45790</v>
      </c>
      <c r="V15">
        <f ca="1">IFERROR(IF(0=LEN(ReferenceData!$V$15),"",ReferenceData!$V$15),"")</f>
        <v>46617</v>
      </c>
      <c r="W15">
        <f ca="1">IFERROR(IF(0=LEN(ReferenceData!$W$15),"",ReferenceData!$W$15),"")</f>
        <v>31097</v>
      </c>
      <c r="X15">
        <f ca="1">IFERROR(IF(0=LEN(ReferenceData!$X$15),"",ReferenceData!$X$15),"")</f>
        <v>27630</v>
      </c>
      <c r="Y15">
        <f ca="1">IFERROR(IF(0=LEN(ReferenceData!$Y$15),"",ReferenceData!$Y$15),"")</f>
        <v>31707</v>
      </c>
      <c r="Z15">
        <f ca="1">IFERROR(IF(0=LEN(ReferenceData!$Z$15),"",ReferenceData!$Z$15),"")</f>
        <v>33516</v>
      </c>
      <c r="AA15">
        <f ca="1">IFERROR(IF(0=LEN(ReferenceData!$AA$15),"",ReferenceData!$AA$15),"")</f>
        <v>24340</v>
      </c>
      <c r="AB15">
        <f ca="1">IFERROR(IF(0=LEN(ReferenceData!$AB$15),"",ReferenceData!$AB$15),"")</f>
        <v>28539</v>
      </c>
      <c r="AC15">
        <f ca="1">IFERROR(IF(0=LEN(ReferenceData!$AC$15),"",ReferenceData!$AC$15),"")</f>
        <v>33747</v>
      </c>
      <c r="AD15">
        <f ca="1">IFERROR(IF(0=LEN(ReferenceData!$AD$15),"",ReferenceData!$AD$15),"")</f>
        <v>34496</v>
      </c>
      <c r="AE15">
        <f ca="1">IFERROR(IF(0=LEN(ReferenceData!$AE$15),"",ReferenceData!$AE$15),"")</f>
        <v>23781</v>
      </c>
      <c r="AF15">
        <f ca="1">IFERROR(IF(0=LEN(ReferenceData!$AF$15),"",ReferenceData!$AF$15),"")</f>
        <v>26806</v>
      </c>
      <c r="AG15">
        <f ca="1">IFERROR(IF(0=LEN(ReferenceData!$AG$15),"",ReferenceData!$AG$15),"")</f>
        <v>44604</v>
      </c>
      <c r="AH15">
        <f ca="1">IFERROR(IF(0=LEN(ReferenceData!$AH$15),"",ReferenceData!$AH$15),"")</f>
        <v>40835</v>
      </c>
      <c r="AI15">
        <f ca="1">IFERROR(IF(0=LEN(ReferenceData!$AI$15),"",ReferenceData!$AI$15),"")</f>
        <v>33821</v>
      </c>
      <c r="AJ15">
        <f ca="1">IFERROR(IF(0=LEN(ReferenceData!$AJ$15),"",ReferenceData!$AJ$15),"")</f>
        <v>38065</v>
      </c>
      <c r="AK15">
        <f ca="1">IFERROR(IF(0=LEN(ReferenceData!$AK$15),"",ReferenceData!$AK$15),"")</f>
        <v>30140</v>
      </c>
      <c r="AL15">
        <f ca="1">IFERROR(IF(0=LEN(ReferenceData!$AL$15),"",ReferenceData!$AL$15),"")</f>
        <v>38158</v>
      </c>
      <c r="AM15">
        <f ca="1">IFERROR(IF(0=LEN(ReferenceData!$AM$15),"",ReferenceData!$AM$15),"")</f>
        <v>29616</v>
      </c>
      <c r="AN15">
        <f ca="1">IFERROR(IF(0=LEN(ReferenceData!$AN$15),"",ReferenceData!$AN$15),"")</f>
        <v>30030</v>
      </c>
      <c r="AO15">
        <f ca="1">IFERROR(IF(0=LEN(ReferenceData!$AO$15),"",ReferenceData!$AO$15),"")</f>
        <v>37474</v>
      </c>
      <c r="AP15">
        <f ca="1">IFERROR(IF(0=LEN(ReferenceData!$AP$15),"",ReferenceData!$AP$15),"")</f>
        <v>32918</v>
      </c>
      <c r="AQ15">
        <f ca="1">IFERROR(IF(0=LEN(ReferenceData!$AQ$15),"",ReferenceData!$AQ$15),"")</f>
        <v>26753</v>
      </c>
      <c r="AR15">
        <f ca="1">IFERROR(IF(0=LEN(ReferenceData!$AR$15),"",ReferenceData!$AR$15),"")</f>
        <v>26812</v>
      </c>
      <c r="AS15">
        <f ca="1">IFERROR(IF(0=LEN(ReferenceData!$AS$15),"",ReferenceData!$AS$15),"")</f>
        <v>21659</v>
      </c>
      <c r="AT15">
        <f ca="1">IFERROR(IF(0=LEN(ReferenceData!$AT$15),"",ReferenceData!$AT$15),"")</f>
        <v>19213</v>
      </c>
      <c r="AU15">
        <f ca="1">IFERROR(IF(0=LEN(ReferenceData!$AU$15),"",ReferenceData!$AU$15),"")</f>
        <v>20018</v>
      </c>
      <c r="AV15">
        <f ca="1">IFERROR(IF(0=LEN(ReferenceData!$AV$15),"",ReferenceData!$AV$15),"")</f>
        <v>21954</v>
      </c>
      <c r="AW15">
        <f ca="1">IFERROR(IF(0=LEN(ReferenceData!$AW$15),"",ReferenceData!$AW$15),"")</f>
        <v>44404</v>
      </c>
      <c r="AX15">
        <f ca="1">IFERROR(IF(0=LEN(ReferenceData!$AX$15),"",ReferenceData!$AX$15),"")</f>
        <v>41487</v>
      </c>
      <c r="AY15">
        <f ca="1">IFERROR(IF(0=LEN(ReferenceData!$AY$15),"",ReferenceData!$AY$15),"")</f>
        <v>35119</v>
      </c>
      <c r="AZ15">
        <f ca="1">IFERROR(IF(0=LEN(ReferenceData!$AZ$15),"",ReferenceData!$AZ$15),"")</f>
        <v>43640</v>
      </c>
      <c r="BA15">
        <f ca="1">IFERROR(IF(0=LEN(ReferenceData!$BA$15),"",ReferenceData!$BA$15),"")</f>
        <v>47973</v>
      </c>
      <c r="BB15">
        <f ca="1">IFERROR(IF(0=LEN(ReferenceData!$BB$15),"",ReferenceData!$BB$15),"")</f>
        <v>41526</v>
      </c>
      <c r="BC15">
        <f ca="1">IFERROR(IF(0=LEN(ReferenceData!$BC$15),"",ReferenceData!$BC$15),"")</f>
        <v>35725</v>
      </c>
      <c r="BD15">
        <f ca="1">IFERROR(IF(0=LEN(ReferenceData!$BD$15),"",ReferenceData!$BD$15),"")</f>
        <v>40044</v>
      </c>
      <c r="BE15" t="str">
        <f ca="1">IFERROR(IF(0=LEN(ReferenceData!$BE$15),"",ReferenceData!$BE$15),"")</f>
        <v/>
      </c>
      <c r="BF15" t="str">
        <f ca="1">IFERROR(IF(0=LEN(ReferenceData!$BF$15),"",ReferenceData!$BF$15),"")</f>
        <v/>
      </c>
      <c r="BG15" t="str">
        <f ca="1">IFERROR(IF(0=LEN(ReferenceData!$BG$15),"",ReferenceData!$BG$15),"")</f>
        <v/>
      </c>
      <c r="BH15" t="str">
        <f ca="1">IFERROR(IF(0=LEN(ReferenceData!$BH$15),"",ReferenceData!$BH$15),"")</f>
        <v/>
      </c>
      <c r="BI15" t="str">
        <f ca="1">IFERROR(IF(0=LEN(ReferenceData!$BI$15),"",ReferenceData!$BI$15),"")</f>
        <v/>
      </c>
      <c r="BJ15" t="str">
        <f ca="1">IFERROR(IF(0=LEN(ReferenceData!$BJ$15),"",ReferenceData!$BJ$15),"")</f>
        <v/>
      </c>
      <c r="BK15" t="str">
        <f ca="1">IFERROR(IF(0=LEN(ReferenceData!$BK$15),"",ReferenceData!$BK$15),"")</f>
        <v/>
      </c>
      <c r="BL15" t="str">
        <f ca="1">IFERROR(IF(0=LEN(ReferenceData!$BL$15),"",ReferenceData!$BL$15),"")</f>
        <v/>
      </c>
      <c r="BM15" t="str">
        <f ca="1">IFERROR(IF(0=LEN(ReferenceData!$BM$15),"",ReferenceData!$BM$15),"")</f>
        <v/>
      </c>
    </row>
    <row r="16" spans="1:65" x14ac:dyDescent="0.25">
      <c r="A16" t="str">
        <f>IFERROR(IF(0=LEN(ReferenceData!$A$16),"",ReferenceData!$A$16),"")</f>
        <v xml:space="preserve">        Philippines</v>
      </c>
      <c r="B16" t="str">
        <f>IFERROR(IF(0=LEN(ReferenceData!$B$16),"",ReferenceData!$B$16),"")</f>
        <v>PHCSTOTL Index</v>
      </c>
      <c r="C16" t="str">
        <f>IFERROR(IF(0=LEN(ReferenceData!$C$16),"",ReferenceData!$C$16),"")</f>
        <v>PX385</v>
      </c>
      <c r="D16" t="str">
        <f>IFERROR(IF(0=LEN(ReferenceData!$D$16),"",ReferenceData!$D$16),"")</f>
        <v>INTERVAL_SUM</v>
      </c>
      <c r="E16" t="str">
        <f>IFERROR(IF(0=LEN(ReferenceData!$E$16),"",ReferenceData!$E$16),"")</f>
        <v>Dynamic</v>
      </c>
      <c r="F16" t="str">
        <f ca="1">IFERROR(IF(0=LEN(ReferenceData!$F$16),"",ReferenceData!$F$16),"")</f>
        <v/>
      </c>
      <c r="G16" t="str">
        <f ca="1">IFERROR(IF(0=LEN(ReferenceData!$G$16),"",ReferenceData!$G$16),"")</f>
        <v/>
      </c>
      <c r="H16" t="str">
        <f ca="1">IFERROR(IF(0=LEN(ReferenceData!$H$16),"",ReferenceData!$H$16),"")</f>
        <v/>
      </c>
      <c r="I16" t="str">
        <f ca="1">IFERROR(IF(0=LEN(ReferenceData!$I$16),"",ReferenceData!$I$16),"")</f>
        <v/>
      </c>
      <c r="J16" t="str">
        <f ca="1">IFERROR(IF(0=LEN(ReferenceData!$J$16),"",ReferenceData!$J$16),"")</f>
        <v/>
      </c>
      <c r="K16" t="str">
        <f ca="1">IFERROR(IF(0=LEN(ReferenceData!$K$16),"",ReferenceData!$K$16),"")</f>
        <v/>
      </c>
      <c r="L16" t="str">
        <f ca="1">IFERROR(IF(0=LEN(ReferenceData!$L$16),"",ReferenceData!$L$16),"")</f>
        <v/>
      </c>
      <c r="M16">
        <f ca="1">IFERROR(IF(0=LEN(ReferenceData!$M$16),"",ReferenceData!$M$16),"")</f>
        <v>102138</v>
      </c>
      <c r="N16">
        <f ca="1">IFERROR(IF(0=LEN(ReferenceData!$N$16),"",ReferenceData!$N$16),"")</f>
        <v>94026</v>
      </c>
      <c r="O16">
        <f ca="1">IFERROR(IF(0=LEN(ReferenceData!$O$16),"",ReferenceData!$O$16),"")</f>
        <v>98202</v>
      </c>
      <c r="P16">
        <f ca="1">IFERROR(IF(0=LEN(ReferenceData!$P$16),"",ReferenceData!$P$16),"")</f>
        <v>93890</v>
      </c>
      <c r="Q16">
        <f ca="1">IFERROR(IF(0=LEN(ReferenceData!$Q$16),"",ReferenceData!$Q$16),"")</f>
        <v>91007</v>
      </c>
      <c r="R16">
        <f ca="1">IFERROR(IF(0=LEN(ReferenceData!$R$16),"",ReferenceData!$R$16),"")</f>
        <v>76479</v>
      </c>
      <c r="S16">
        <f ca="1">IFERROR(IF(0=LEN(ReferenceData!$S$16),"",ReferenceData!$S$16),"")</f>
        <v>82325</v>
      </c>
      <c r="T16">
        <f ca="1">IFERROR(IF(0=LEN(ReferenceData!$T$16),"",ReferenceData!$T$16),"")</f>
        <v>74819</v>
      </c>
      <c r="U16">
        <f ca="1">IFERROR(IF(0=LEN(ReferenceData!$U$16),"",ReferenceData!$U$16),"")</f>
        <v>68583</v>
      </c>
      <c r="V16">
        <f ca="1">IFERROR(IF(0=LEN(ReferenceData!$V$16),"",ReferenceData!$V$16),"")</f>
        <v>62882</v>
      </c>
      <c r="W16">
        <f ca="1">IFERROR(IF(0=LEN(ReferenceData!$W$16),"",ReferenceData!$W$16),"")</f>
        <v>65325</v>
      </c>
      <c r="X16">
        <f ca="1">IFERROR(IF(0=LEN(ReferenceData!$X$16),"",ReferenceData!$X$16),"")</f>
        <v>60770</v>
      </c>
      <c r="Y16">
        <f ca="1">IFERROR(IF(0=LEN(ReferenceData!$Y$16),"",ReferenceData!$Y$16),"")</f>
        <v>57235</v>
      </c>
      <c r="Z16">
        <f ca="1">IFERROR(IF(0=LEN(ReferenceData!$Z$16),"",ReferenceData!$Z$16),"")</f>
        <v>51722</v>
      </c>
      <c r="AA16">
        <f ca="1">IFERROR(IF(0=LEN(ReferenceData!$AA$16),"",ReferenceData!$AA$16),"")</f>
        <v>49902</v>
      </c>
      <c r="AB16">
        <f ca="1">IFERROR(IF(0=LEN(ReferenceData!$AB$16),"",ReferenceData!$AB$16),"")</f>
        <v>44153</v>
      </c>
      <c r="AC16">
        <f ca="1">IFERROR(IF(0=LEN(ReferenceData!$AC$16),"",ReferenceData!$AC$16),"")</f>
        <v>45194</v>
      </c>
      <c r="AD16">
        <f ca="1">IFERROR(IF(0=LEN(ReferenceData!$AD$16),"",ReferenceData!$AD$16),"")</f>
        <v>42034</v>
      </c>
      <c r="AE16">
        <f ca="1">IFERROR(IF(0=LEN(ReferenceData!$AE$16),"",ReferenceData!$AE$16),"")</f>
        <v>45067</v>
      </c>
      <c r="AF16">
        <f ca="1">IFERROR(IF(0=LEN(ReferenceData!$AF$16),"",ReferenceData!$AF$16),"")</f>
        <v>38711</v>
      </c>
      <c r="AG16">
        <f ca="1">IFERROR(IF(0=LEN(ReferenceData!$AG$16),"",ReferenceData!$AG$16),"")</f>
        <v>40263</v>
      </c>
      <c r="AH16">
        <f ca="1">IFERROR(IF(0=LEN(ReferenceData!$AH$16),"",ReferenceData!$AH$16),"")</f>
        <v>32608</v>
      </c>
      <c r="AI16">
        <f ca="1">IFERROR(IF(0=LEN(ReferenceData!$AI$16),"",ReferenceData!$AI$16),"")</f>
        <v>35953</v>
      </c>
      <c r="AJ16">
        <f ca="1">IFERROR(IF(0=LEN(ReferenceData!$AJ$16),"",ReferenceData!$AJ$16),"")</f>
        <v>35663</v>
      </c>
      <c r="AK16">
        <f ca="1">IFERROR(IF(0=LEN(ReferenceData!$AK$16),"",ReferenceData!$AK$16),"")</f>
        <v>33707</v>
      </c>
      <c r="AL16">
        <f ca="1">IFERROR(IF(0=LEN(ReferenceData!$AL$16),"",ReferenceData!$AL$16),"")</f>
        <v>36293</v>
      </c>
      <c r="AM16">
        <f ca="1">IFERROR(IF(0=LEN(ReferenceData!$AM$16),"",ReferenceData!$AM$16),"")</f>
        <v>41589</v>
      </c>
      <c r="AN16">
        <f ca="1">IFERROR(IF(0=LEN(ReferenceData!$AN$16),"",ReferenceData!$AN$16),"")</f>
        <v>44754</v>
      </c>
      <c r="AO16">
        <f ca="1">IFERROR(IF(0=LEN(ReferenceData!$AO$16),"",ReferenceData!$AO$16),"")</f>
        <v>43438</v>
      </c>
      <c r="AP16">
        <f ca="1">IFERROR(IF(0=LEN(ReferenceData!$AP$16),"",ReferenceData!$AP$16),"")</f>
        <v>38709</v>
      </c>
      <c r="AQ16">
        <f ca="1">IFERROR(IF(0=LEN(ReferenceData!$AQ$16),"",ReferenceData!$AQ$16),"")</f>
        <v>39059</v>
      </c>
      <c r="AR16">
        <f ca="1">IFERROR(IF(0=LEN(ReferenceData!$AR$16),"",ReferenceData!$AR$16),"")</f>
        <v>33476</v>
      </c>
      <c r="AS16">
        <f ca="1">IFERROR(IF(0=LEN(ReferenceData!$AS$16),"",ReferenceData!$AS$16),"")</f>
        <v>31346</v>
      </c>
      <c r="AT16">
        <f ca="1">IFERROR(IF(0=LEN(ReferenceData!$AT$16),"",ReferenceData!$AT$16),"")</f>
        <v>28563</v>
      </c>
      <c r="AU16">
        <f ca="1">IFERROR(IF(0=LEN(ReferenceData!$AU$16),"",ReferenceData!$AU$16),"")</f>
        <v>30316</v>
      </c>
      <c r="AV16">
        <f ca="1">IFERROR(IF(0=LEN(ReferenceData!$AV$16),"",ReferenceData!$AV$16),"")</f>
        <v>32478</v>
      </c>
      <c r="AW16">
        <f ca="1">IFERROR(IF(0=LEN(ReferenceData!$AW$16),"",ReferenceData!$AW$16),"")</f>
        <v>32748</v>
      </c>
      <c r="AX16">
        <f ca="1">IFERROR(IF(0=LEN(ReferenceData!$AX$16),"",ReferenceData!$AX$16),"")</f>
        <v>28907</v>
      </c>
      <c r="AY16">
        <f ca="1">IFERROR(IF(0=LEN(ReferenceData!$AY$16),"",ReferenceData!$AY$16),"")</f>
        <v>33855</v>
      </c>
      <c r="AZ16">
        <f ca="1">IFERROR(IF(0=LEN(ReferenceData!$AZ$16),"",ReferenceData!$AZ$16),"")</f>
        <v>29792</v>
      </c>
      <c r="BA16">
        <f ca="1">IFERROR(IF(0=LEN(ReferenceData!$BA$16),"",ReferenceData!$BA$16),"")</f>
        <v>28057</v>
      </c>
      <c r="BB16">
        <f ca="1">IFERROR(IF(0=LEN(ReferenceData!$BB$16),"",ReferenceData!$BB$16),"")</f>
        <v>26201</v>
      </c>
      <c r="BC16">
        <f ca="1">IFERROR(IF(0=LEN(ReferenceData!$BC$16),"",ReferenceData!$BC$16),"")</f>
        <v>27421</v>
      </c>
      <c r="BD16">
        <f ca="1">IFERROR(IF(0=LEN(ReferenceData!$BD$16),"",ReferenceData!$BD$16),"")</f>
        <v>25834</v>
      </c>
      <c r="BE16">
        <f ca="1">IFERROR(IF(0=LEN(ReferenceData!$BE$16),"",ReferenceData!$BE$16),"")</f>
        <v>24185</v>
      </c>
      <c r="BF16">
        <f ca="1">IFERROR(IF(0=LEN(ReferenceData!$BF$16),"",ReferenceData!$BF$16),"")</f>
        <v>22065</v>
      </c>
      <c r="BG16">
        <f ca="1">IFERROR(IF(0=LEN(ReferenceData!$BG$16),"",ReferenceData!$BG$16),"")</f>
        <v>25127</v>
      </c>
      <c r="BH16">
        <f ca="1">IFERROR(IF(0=LEN(ReferenceData!$BH$16),"",ReferenceData!$BH$16),"")</f>
        <v>24266</v>
      </c>
      <c r="BI16">
        <f ca="1">IFERROR(IF(0=LEN(ReferenceData!$BI$16),"",ReferenceData!$BI$16),"")</f>
        <v>25686</v>
      </c>
      <c r="BJ16">
        <f ca="1">IFERROR(IF(0=LEN(ReferenceData!$BJ$16),"",ReferenceData!$BJ$16),"")</f>
        <v>21984</v>
      </c>
      <c r="BK16">
        <f ca="1">IFERROR(IF(0=LEN(ReferenceData!$BK$16),"",ReferenceData!$BK$16),"")</f>
        <v>23504</v>
      </c>
      <c r="BL16">
        <f ca="1">IFERROR(IF(0=LEN(ReferenceData!$BL$16),"",ReferenceData!$BL$16),"")</f>
        <v>22532</v>
      </c>
      <c r="BM16">
        <f ca="1">IFERROR(IF(0=LEN(ReferenceData!$BM$16),"",ReferenceData!$BM$16),"")</f>
        <v>20611</v>
      </c>
    </row>
    <row r="17" spans="1:65" x14ac:dyDescent="0.25">
      <c r="A17" t="str">
        <f>IFERROR(IF(0=LEN(ReferenceData!$A$17),"",ReferenceData!$A$17),"")</f>
        <v xml:space="preserve">        South Korea</v>
      </c>
      <c r="B17" t="str">
        <f>IFERROR(IF(0=LEN(ReferenceData!$B$17),"",ReferenceData!$B$17),"")</f>
        <v>AUTMKRVS Index</v>
      </c>
      <c r="C17" t="str">
        <f>IFERROR(IF(0=LEN(ReferenceData!$C$17),"",ReferenceData!$C$17),"")</f>
        <v>PX385</v>
      </c>
      <c r="D17" t="str">
        <f>IFERROR(IF(0=LEN(ReferenceData!$D$17),"",ReferenceData!$D$17),"")</f>
        <v>INTERVAL_SUM</v>
      </c>
      <c r="E17" t="str">
        <f>IFERROR(IF(0=LEN(ReferenceData!$E$17),"",ReferenceData!$E$17),"")</f>
        <v>Dynamic</v>
      </c>
      <c r="F17" t="str">
        <f ca="1">IFERROR(IF(0=LEN(ReferenceData!$F$17),"",ReferenceData!$F$17),"")</f>
        <v/>
      </c>
      <c r="G17">
        <f ca="1">IFERROR(IF(0=LEN(ReferenceData!$G$17),"",ReferenceData!$G$17),"")</f>
        <v>503572</v>
      </c>
      <c r="H17">
        <f ca="1">IFERROR(IF(0=LEN(ReferenceData!$H$17),"",ReferenceData!$H$17),"")</f>
        <v>446320</v>
      </c>
      <c r="I17">
        <f ca="1">IFERROR(IF(0=LEN(ReferenceData!$I$17),"",ReferenceData!$I$17),"")</f>
        <v>484997</v>
      </c>
      <c r="J17">
        <f ca="1">IFERROR(IF(0=LEN(ReferenceData!$J$17),"",ReferenceData!$J$17),"")</f>
        <v>441053</v>
      </c>
      <c r="K17">
        <f ca="1">IFERROR(IF(0=LEN(ReferenceData!$K$17),"",ReferenceData!$K$17),"")</f>
        <v>472701</v>
      </c>
      <c r="L17">
        <f ca="1">IFERROR(IF(0=LEN(ReferenceData!$L$17),"",ReferenceData!$L$17),"")</f>
        <v>459357</v>
      </c>
      <c r="M17">
        <f ca="1">IFERROR(IF(0=LEN(ReferenceData!$M$17),"",ReferenceData!$M$17),"")</f>
        <v>490663</v>
      </c>
      <c r="N17">
        <f ca="1">IFERROR(IF(0=LEN(ReferenceData!$N$17),"",ReferenceData!$N$17),"")</f>
        <v>434719</v>
      </c>
      <c r="O17">
        <f ca="1">IFERROR(IF(0=LEN(ReferenceData!$O$17),"",ReferenceData!$O$17),"")</f>
        <v>510321</v>
      </c>
      <c r="P17">
        <f ca="1">IFERROR(IF(0=LEN(ReferenceData!$P$17),"",ReferenceData!$P$17),"")</f>
        <v>406959</v>
      </c>
      <c r="Q17">
        <f ca="1">IFERROR(IF(0=LEN(ReferenceData!$Q$17),"",ReferenceData!$Q$17),"")</f>
        <v>546039</v>
      </c>
      <c r="R17">
        <f ca="1">IFERROR(IF(0=LEN(ReferenceData!$R$17),"",ReferenceData!$R$17),"")</f>
        <v>441213</v>
      </c>
      <c r="S17">
        <f ca="1">IFERROR(IF(0=LEN(ReferenceData!$S$17),"",ReferenceData!$S$17),"")</f>
        <v>555742</v>
      </c>
      <c r="T17">
        <f ca="1">IFERROR(IF(0=LEN(ReferenceData!$T$17),"",ReferenceData!$T$17),"")</f>
        <v>472032</v>
      </c>
      <c r="U17">
        <f ca="1">IFERROR(IF(0=LEN(ReferenceData!$U$17),"",ReferenceData!$U$17),"")</f>
        <v>475426</v>
      </c>
      <c r="V17">
        <f ca="1">IFERROR(IF(0=LEN(ReferenceData!$V$17),"",ReferenceData!$V$17),"")</f>
        <v>418051</v>
      </c>
      <c r="W17">
        <f ca="1">IFERROR(IF(0=LEN(ReferenceData!$W$17),"",ReferenceData!$W$17),"")</f>
        <v>485156</v>
      </c>
      <c r="X17">
        <f ca="1">IFERROR(IF(0=LEN(ReferenceData!$X$17),"",ReferenceData!$X$17),"")</f>
        <v>412887</v>
      </c>
      <c r="Y17">
        <f ca="1">IFERROR(IF(0=LEN(ReferenceData!$Y$17),"",ReferenceData!$Y$17),"")</f>
        <v>440285</v>
      </c>
      <c r="Z17">
        <f ca="1">IFERROR(IF(0=LEN(ReferenceData!$Z$17),"",ReferenceData!$Z$17),"")</f>
        <v>391996</v>
      </c>
      <c r="AA17">
        <f ca="1">IFERROR(IF(0=LEN(ReferenceData!$AA$17),"",ReferenceData!$AA$17),"")</f>
        <v>423424</v>
      </c>
      <c r="AB17">
        <f ca="1">IFERROR(IF(0=LEN(ReferenceData!$AB$17),"",ReferenceData!$AB$17),"")</f>
        <v>392068</v>
      </c>
      <c r="AC17">
        <f ca="1">IFERROR(IF(0=LEN(ReferenceData!$AC$17),"",ReferenceData!$AC$17),"")</f>
        <v>397114</v>
      </c>
      <c r="AD17">
        <f ca="1">IFERROR(IF(0=LEN(ReferenceData!$AD$17),"",ReferenceData!$AD$17),"")</f>
        <v>361820</v>
      </c>
      <c r="AE17">
        <f ca="1">IFERROR(IF(0=LEN(ReferenceData!$AE$17),"",ReferenceData!$AE$17),"")</f>
        <v>438829</v>
      </c>
      <c r="AF17">
        <f ca="1">IFERROR(IF(0=LEN(ReferenceData!$AF$17),"",ReferenceData!$AF$17),"")</f>
        <v>364936</v>
      </c>
      <c r="AG17">
        <f ca="1">IFERROR(IF(0=LEN(ReferenceData!$AG$17),"",ReferenceData!$AG$17),"")</f>
        <v>398671</v>
      </c>
      <c r="AH17">
        <f ca="1">IFERROR(IF(0=LEN(ReferenceData!$AH$17),"",ReferenceData!$AH$17),"")</f>
        <v>362828</v>
      </c>
      <c r="AI17">
        <f ca="1">IFERROR(IF(0=LEN(ReferenceData!$AI$17),"",ReferenceData!$AI$17),"")</f>
        <v>394949</v>
      </c>
      <c r="AJ17">
        <f ca="1">IFERROR(IF(0=LEN(ReferenceData!$AJ$17),"",ReferenceData!$AJ$17),"")</f>
        <v>399140</v>
      </c>
      <c r="AK17">
        <f ca="1">IFERROR(IF(0=LEN(ReferenceData!$AK$17),"",ReferenceData!$AK$17),"")</f>
        <v>401634</v>
      </c>
      <c r="AL17">
        <f ca="1">IFERROR(IF(0=LEN(ReferenceData!$AL$17),"",ReferenceData!$AL$17),"")</f>
        <v>396132</v>
      </c>
      <c r="AM17">
        <f ca="1">IFERROR(IF(0=LEN(ReferenceData!$AM$17),"",ReferenceData!$AM$17),"")</f>
        <v>429316</v>
      </c>
      <c r="AN17">
        <f ca="1">IFERROR(IF(0=LEN(ReferenceData!$AN$17),"",ReferenceData!$AN$17),"")</f>
        <v>380451</v>
      </c>
      <c r="AO17">
        <f ca="1">IFERROR(IF(0=LEN(ReferenceData!$AO$17),"",ReferenceData!$AO$17),"")</f>
        <v>387721</v>
      </c>
      <c r="AP17">
        <f ca="1">IFERROR(IF(0=LEN(ReferenceData!$AP$17),"",ReferenceData!$AP$17),"")</f>
        <v>372915</v>
      </c>
      <c r="AQ17">
        <f ca="1">IFERROR(IF(0=LEN(ReferenceData!$AQ$17),"",ReferenceData!$AQ$17),"")</f>
        <v>447189</v>
      </c>
      <c r="AR17">
        <f ca="1">IFERROR(IF(0=LEN(ReferenceData!$AR$17),"",ReferenceData!$AR$17),"")</f>
        <v>363499</v>
      </c>
      <c r="AS17">
        <f ca="1">IFERROR(IF(0=LEN(ReferenceData!$AS$17),"",ReferenceData!$AS$17),"")</f>
        <v>381591</v>
      </c>
      <c r="AT17">
        <f ca="1">IFERROR(IF(0=LEN(ReferenceData!$AT$17),"",ReferenceData!$AT$17),"")</f>
        <v>270723</v>
      </c>
      <c r="AU17">
        <f ca="1">IFERROR(IF(0=LEN(ReferenceData!$AU$17),"",ReferenceData!$AU$17),"")</f>
        <v>284314</v>
      </c>
      <c r="AV17">
        <f ca="1">IFERROR(IF(0=LEN(ReferenceData!$AV$17),"",ReferenceData!$AV$17),"")</f>
        <v>292284</v>
      </c>
      <c r="AW17">
        <f ca="1">IFERROR(IF(0=LEN(ReferenceData!$AW$17),"",ReferenceData!$AW$17),"")</f>
        <v>339643</v>
      </c>
      <c r="AX17">
        <f ca="1">IFERROR(IF(0=LEN(ReferenceData!$AX$17),"",ReferenceData!$AX$17),"")</f>
        <v>322758</v>
      </c>
      <c r="AY17">
        <f ca="1">IFERROR(IF(0=LEN(ReferenceData!$AY$17),"",ReferenceData!$AY$17),"")</f>
        <v>346488</v>
      </c>
      <c r="AZ17">
        <f ca="1">IFERROR(IF(0=LEN(ReferenceData!$AZ$17),"",ReferenceData!$AZ$17),"")</f>
        <v>311981</v>
      </c>
      <c r="BA17">
        <f ca="1">IFERROR(IF(0=LEN(ReferenceData!$BA$17),"",ReferenceData!$BA$17),"")</f>
        <v>329413</v>
      </c>
      <c r="BB17">
        <f ca="1">IFERROR(IF(0=LEN(ReferenceData!$BB$17),"",ReferenceData!$BB$17),"")</f>
        <v>305792</v>
      </c>
      <c r="BC17">
        <f ca="1">IFERROR(IF(0=LEN(ReferenceData!$BC$17),"",ReferenceData!$BC$17),"")</f>
        <v>341599</v>
      </c>
      <c r="BD17">
        <f ca="1">IFERROR(IF(0=LEN(ReferenceData!$BD$17),"",ReferenceData!$BD$17),"")</f>
        <v>294194</v>
      </c>
      <c r="BE17">
        <f ca="1">IFERROR(IF(0=LEN(ReferenceData!$BE$17),"",ReferenceData!$BE$17),"")</f>
        <v>298539</v>
      </c>
      <c r="BF17">
        <f ca="1">IFERROR(IF(0=LEN(ReferenceData!$BF$17),"",ReferenceData!$BF$17),"")</f>
        <v>286046</v>
      </c>
      <c r="BG17">
        <f ca="1">IFERROR(IF(0=LEN(ReferenceData!$BG$17),"",ReferenceData!$BG$17),"")</f>
        <v>351525</v>
      </c>
      <c r="BH17">
        <f ca="1">IFERROR(IF(0=LEN(ReferenceData!$BH$17),"",ReferenceData!$BH$17),"")</f>
        <v>286446</v>
      </c>
      <c r="BI17">
        <f ca="1">IFERROR(IF(0=LEN(ReferenceData!$BI$17),"",ReferenceData!$BI$17),"")</f>
        <v>296504</v>
      </c>
      <c r="BJ17">
        <f ca="1">IFERROR(IF(0=LEN(ReferenceData!$BJ$17),"",ReferenceData!$BJ$17),"")</f>
        <v>254306</v>
      </c>
      <c r="BK17">
        <f ca="1">IFERROR(IF(0=LEN(ReferenceData!$BK$17),"",ReferenceData!$BK$17),"")</f>
        <v>297194</v>
      </c>
      <c r="BL17">
        <f ca="1">IFERROR(IF(0=LEN(ReferenceData!$BL$17),"",ReferenceData!$BL$17),"")</f>
        <v>269026</v>
      </c>
      <c r="BM17">
        <f ca="1">IFERROR(IF(0=LEN(ReferenceData!$BM$17),"",ReferenceData!$BM$17),"")</f>
        <v>294459</v>
      </c>
    </row>
    <row r="18" spans="1:65" x14ac:dyDescent="0.25">
      <c r="A18" t="str">
        <f>IFERROR(IF(0=LEN(ReferenceData!$A$18),"",ReferenceData!$A$18),"")</f>
        <v xml:space="preserve">        Singapore</v>
      </c>
      <c r="B18" t="str">
        <f>IFERROR(IF(0=LEN(ReferenceData!$B$18),"",ReferenceData!$B$18),"")</f>
        <v>SINVHR Index</v>
      </c>
      <c r="C18" t="str">
        <f>IFERROR(IF(0=LEN(ReferenceData!$C$18),"",ReferenceData!$C$18),"")</f>
        <v>PX385</v>
      </c>
      <c r="D18" t="str">
        <f>IFERROR(IF(0=LEN(ReferenceData!$D$18),"",ReferenceData!$D$18),"")</f>
        <v>INTERVAL_SUM</v>
      </c>
      <c r="E18" t="str">
        <f>IFERROR(IF(0=LEN(ReferenceData!$E$18),"",ReferenceData!$E$18),"")</f>
        <v>Dynamic</v>
      </c>
      <c r="F18">
        <f ca="1">IFERROR(IF(0=LEN(ReferenceData!$F$18),"",ReferenceData!$F$18),"")</f>
        <v>11782</v>
      </c>
      <c r="G18">
        <f ca="1">IFERROR(IF(0=LEN(ReferenceData!$G$18),"",ReferenceData!$G$18),"")</f>
        <v>29721</v>
      </c>
      <c r="H18">
        <f ca="1">IFERROR(IF(0=LEN(ReferenceData!$H$18),"",ReferenceData!$H$18),"")</f>
        <v>25131</v>
      </c>
      <c r="I18">
        <f ca="1">IFERROR(IF(0=LEN(ReferenceData!$I$18),"",ReferenceData!$I$18),"")</f>
        <v>31073</v>
      </c>
      <c r="J18">
        <f ca="1">IFERROR(IF(0=LEN(ReferenceData!$J$18),"",ReferenceData!$J$18),"")</f>
        <v>21371</v>
      </c>
      <c r="K18">
        <f ca="1">IFERROR(IF(0=LEN(ReferenceData!$K$18),"",ReferenceData!$K$18),"")</f>
        <v>34578</v>
      </c>
      <c r="L18">
        <f ca="1">IFERROR(IF(0=LEN(ReferenceData!$L$18),"",ReferenceData!$L$18),"")</f>
        <v>30971</v>
      </c>
      <c r="M18">
        <f ca="1">IFERROR(IF(0=LEN(ReferenceData!$M$18),"",ReferenceData!$M$18),"")</f>
        <v>31047</v>
      </c>
      <c r="N18">
        <f ca="1">IFERROR(IF(0=LEN(ReferenceData!$N$18),"",ReferenceData!$N$18),"")</f>
        <v>29192</v>
      </c>
      <c r="O18">
        <f ca="1">IFERROR(IF(0=LEN(ReferenceData!$O$18),"",ReferenceData!$O$18),"")</f>
        <v>28706</v>
      </c>
      <c r="P18">
        <f ca="1">IFERROR(IF(0=LEN(ReferenceData!$P$18),"",ReferenceData!$P$18),"")</f>
        <v>30198</v>
      </c>
      <c r="Q18">
        <f ca="1">IFERROR(IF(0=LEN(ReferenceData!$Q$18),"",ReferenceData!$Q$18),"")</f>
        <v>32225</v>
      </c>
      <c r="R18">
        <f ca="1">IFERROR(IF(0=LEN(ReferenceData!$R$18),"",ReferenceData!$R$18),"")</f>
        <v>27662</v>
      </c>
      <c r="S18">
        <f ca="1">IFERROR(IF(0=LEN(ReferenceData!$S$18),"",ReferenceData!$S$18),"")</f>
        <v>27359</v>
      </c>
      <c r="T18">
        <f ca="1">IFERROR(IF(0=LEN(ReferenceData!$T$18),"",ReferenceData!$T$18),"")</f>
        <v>20992</v>
      </c>
      <c r="U18">
        <f ca="1">IFERROR(IF(0=LEN(ReferenceData!$U$18),"",ReferenceData!$U$18),"")</f>
        <v>21676</v>
      </c>
      <c r="V18">
        <f ca="1">IFERROR(IF(0=LEN(ReferenceData!$V$18),"",ReferenceData!$V$18),"")</f>
        <v>16041</v>
      </c>
      <c r="W18">
        <f ca="1">IFERROR(IF(0=LEN(ReferenceData!$W$18),"",ReferenceData!$W$18),"")</f>
        <v>15667</v>
      </c>
      <c r="X18">
        <f ca="1">IFERROR(IF(0=LEN(ReferenceData!$X$18),"",ReferenceData!$X$18),"")</f>
        <v>16001</v>
      </c>
      <c r="Y18">
        <f ca="1">IFERROR(IF(0=LEN(ReferenceData!$Y$18),"",ReferenceData!$Y$18),"")</f>
        <v>12211</v>
      </c>
      <c r="Z18">
        <f ca="1">IFERROR(IF(0=LEN(ReferenceData!$Z$18),"",ReferenceData!$Z$18),"")</f>
        <v>11709</v>
      </c>
      <c r="AA18">
        <f ca="1">IFERROR(IF(0=LEN(ReferenceData!$AA$18),"",ReferenceData!$AA$18),"")</f>
        <v>12084</v>
      </c>
      <c r="AB18">
        <f ca="1">IFERROR(IF(0=LEN(ReferenceData!$AB$18),"",ReferenceData!$AB$18),"")</f>
        <v>11332</v>
      </c>
      <c r="AC18">
        <f ca="1">IFERROR(IF(0=LEN(ReferenceData!$AC$18),"",ReferenceData!$AC$18),"")</f>
        <v>11941</v>
      </c>
      <c r="AD18">
        <f ca="1">IFERROR(IF(0=LEN(ReferenceData!$AD$18),"",ReferenceData!$AD$18),"")</f>
        <v>10404</v>
      </c>
      <c r="AE18">
        <f ca="1">IFERROR(IF(0=LEN(ReferenceData!$AE$18),"",ReferenceData!$AE$18),"")</f>
        <v>11202</v>
      </c>
      <c r="AF18">
        <f ca="1">IFERROR(IF(0=LEN(ReferenceData!$AF$18),"",ReferenceData!$AF$18),"")</f>
        <v>11885</v>
      </c>
      <c r="AG18">
        <f ca="1">IFERROR(IF(0=LEN(ReferenceData!$AG$18),"",ReferenceData!$AG$18),"")</f>
        <v>12273</v>
      </c>
      <c r="AH18">
        <f ca="1">IFERROR(IF(0=LEN(ReferenceData!$AH$18),"",ReferenceData!$AH$18),"")</f>
        <v>12195</v>
      </c>
      <c r="AI18">
        <f ca="1">IFERROR(IF(0=LEN(ReferenceData!$AI$18),"",ReferenceData!$AI$18),"")</f>
        <v>11315</v>
      </c>
      <c r="AJ18">
        <f ca="1">IFERROR(IF(0=LEN(ReferenceData!$AJ$18),"",ReferenceData!$AJ$18),"")</f>
        <v>11586</v>
      </c>
      <c r="AK18">
        <f ca="1">IFERROR(IF(0=LEN(ReferenceData!$AK$18),"",ReferenceData!$AK$18),"")</f>
        <v>13205</v>
      </c>
      <c r="AL18">
        <f ca="1">IFERROR(IF(0=LEN(ReferenceData!$AL$18),"",ReferenceData!$AL$18),"")</f>
        <v>11749</v>
      </c>
      <c r="AM18">
        <f ca="1">IFERROR(IF(0=LEN(ReferenceData!$AM$18),"",ReferenceData!$AM$18),"")</f>
        <v>12966</v>
      </c>
      <c r="AN18">
        <f ca="1">IFERROR(IF(0=LEN(ReferenceData!$AN$18),"",ReferenceData!$AN$18),"")</f>
        <v>13718</v>
      </c>
      <c r="AO18">
        <f ca="1">IFERROR(IF(0=LEN(ReferenceData!$AO$18),"",ReferenceData!$AO$18),"")</f>
        <v>14601</v>
      </c>
      <c r="AP18">
        <f ca="1">IFERROR(IF(0=LEN(ReferenceData!$AP$18),"",ReferenceData!$AP$18),"")</f>
        <v>19733</v>
      </c>
      <c r="AQ18">
        <f ca="1">IFERROR(IF(0=LEN(ReferenceData!$AQ$18),"",ReferenceData!$AQ$18),"")</f>
        <v>19217</v>
      </c>
      <c r="AR18">
        <f ca="1">IFERROR(IF(0=LEN(ReferenceData!$AR$18),"",ReferenceData!$AR$18),"")</f>
        <v>20102</v>
      </c>
      <c r="AS18">
        <f ca="1">IFERROR(IF(0=LEN(ReferenceData!$AS$18),"",ReferenceData!$AS$18),"")</f>
        <v>23255</v>
      </c>
      <c r="AT18">
        <f ca="1">IFERROR(IF(0=LEN(ReferenceData!$AT$18),"",ReferenceData!$AT$18),"")</f>
        <v>26364</v>
      </c>
      <c r="AU18">
        <f ca="1">IFERROR(IF(0=LEN(ReferenceData!$AU$18),"",ReferenceData!$AU$18),"")</f>
        <v>27677</v>
      </c>
      <c r="AV18">
        <f ca="1">IFERROR(IF(0=LEN(ReferenceData!$AV$18),"",ReferenceData!$AV$18),"")</f>
        <v>31019</v>
      </c>
      <c r="AW18">
        <f ca="1">IFERROR(IF(0=LEN(ReferenceData!$AW$18),"",ReferenceData!$AW$18),"")</f>
        <v>32485</v>
      </c>
      <c r="AX18">
        <f ca="1">IFERROR(IF(0=LEN(ReferenceData!$AX$18),"",ReferenceData!$AX$18),"")</f>
        <v>30085</v>
      </c>
      <c r="AY18">
        <f ca="1">IFERROR(IF(0=LEN(ReferenceData!$AY$18),"",ReferenceData!$AY$18),"")</f>
        <v>30896</v>
      </c>
      <c r="AZ18">
        <f ca="1">IFERROR(IF(0=LEN(ReferenceData!$AZ$18),"",ReferenceData!$AZ$18),"")</f>
        <v>31761</v>
      </c>
      <c r="BA18">
        <f ca="1">IFERROR(IF(0=LEN(ReferenceData!$BA$18),"",ReferenceData!$BA$18),"")</f>
        <v>35129</v>
      </c>
      <c r="BB18">
        <f ca="1">IFERROR(IF(0=LEN(ReferenceData!$BB$18),"",ReferenceData!$BB$18),"")</f>
        <v>35745</v>
      </c>
      <c r="BC18">
        <f ca="1">IFERROR(IF(0=LEN(ReferenceData!$BC$18),"",ReferenceData!$BC$18),"")</f>
        <v>33740</v>
      </c>
      <c r="BD18">
        <f ca="1">IFERROR(IF(0=LEN(ReferenceData!$BD$18),"",ReferenceData!$BD$18),"")</f>
        <v>38123</v>
      </c>
      <c r="BE18">
        <f ca="1">IFERROR(IF(0=LEN(ReferenceData!$BE$18),"",ReferenceData!$BE$18),"")</f>
        <v>37518</v>
      </c>
      <c r="BF18">
        <f ca="1">IFERROR(IF(0=LEN(ReferenceData!$BF$18),"",ReferenceData!$BF$18),"")</f>
        <v>39702</v>
      </c>
      <c r="BG18">
        <f ca="1">IFERROR(IF(0=LEN(ReferenceData!$BG$18),"",ReferenceData!$BG$18),"")</f>
        <v>35669</v>
      </c>
      <c r="BH18">
        <f ca="1">IFERROR(IF(0=LEN(ReferenceData!$BH$18),"",ReferenceData!$BH$18),"")</f>
        <v>34667</v>
      </c>
      <c r="BI18">
        <f ca="1">IFERROR(IF(0=LEN(ReferenceData!$BI$18),"",ReferenceData!$BI$18),"")</f>
        <v>36610</v>
      </c>
      <c r="BJ18">
        <f ca="1">IFERROR(IF(0=LEN(ReferenceData!$BJ$18),"",ReferenceData!$BJ$18),"")</f>
        <v>38112</v>
      </c>
      <c r="BK18">
        <f ca="1">IFERROR(IF(0=LEN(ReferenceData!$BK$18),"",ReferenceData!$BK$18),"")</f>
        <v>34384</v>
      </c>
      <c r="BL18">
        <f ca="1">IFERROR(IF(0=LEN(ReferenceData!$BL$18),"",ReferenceData!$BL$18),"")</f>
        <v>32629</v>
      </c>
      <c r="BM18">
        <f ca="1">IFERROR(IF(0=LEN(ReferenceData!$BM$18),"",ReferenceData!$BM$18),"")</f>
        <v>29845</v>
      </c>
    </row>
    <row r="19" spans="1:65" x14ac:dyDescent="0.25">
      <c r="A19" t="str">
        <f>IFERROR(IF(0=LEN(ReferenceData!$A$19),"",ReferenceData!$A$19),"")</f>
        <v xml:space="preserve">        Taiwan</v>
      </c>
      <c r="B19" t="str">
        <f>IFERROR(IF(0=LEN(ReferenceData!$B$19),"",ReferenceData!$B$19),"")</f>
        <v>TWVSDOM Index</v>
      </c>
      <c r="C19" t="str">
        <f>IFERROR(IF(0=LEN(ReferenceData!$C$19),"",ReferenceData!$C$19),"")</f>
        <v>PX385</v>
      </c>
      <c r="D19" t="str">
        <f>IFERROR(IF(0=LEN(ReferenceData!$D$19),"",ReferenceData!$D$19),"")</f>
        <v>INTERVAL_SUM</v>
      </c>
      <c r="E19" t="str">
        <f>IFERROR(IF(0=LEN(ReferenceData!$E$19),"",ReferenceData!$E$19),"")</f>
        <v>Dynamic</v>
      </c>
      <c r="F19">
        <f ca="1">IFERROR(IF(0=LEN(ReferenceData!$F$19),"",ReferenceData!$F$19),"")</f>
        <v>25792</v>
      </c>
      <c r="G19">
        <f ca="1">IFERROR(IF(0=LEN(ReferenceData!$G$19),"",ReferenceData!$G$19),"")</f>
        <v>50555</v>
      </c>
      <c r="H19">
        <f ca="1">IFERROR(IF(0=LEN(ReferenceData!$H$19),"",ReferenceData!$H$19),"")</f>
        <v>50382</v>
      </c>
      <c r="I19">
        <f ca="1">IFERROR(IF(0=LEN(ReferenceData!$I$19),"",ReferenceData!$I$19),"")</f>
        <v>61565</v>
      </c>
      <c r="J19">
        <f ca="1">IFERROR(IF(0=LEN(ReferenceData!$J$19),"",ReferenceData!$J$19),"")</f>
        <v>72087</v>
      </c>
      <c r="K19">
        <f ca="1">IFERROR(IF(0=LEN(ReferenceData!$K$19),"",ReferenceData!$K$19),"")</f>
        <v>58595</v>
      </c>
      <c r="L19">
        <f ca="1">IFERROR(IF(0=LEN(ReferenceData!$L$19),"",ReferenceData!$L$19),"")</f>
        <v>56140</v>
      </c>
      <c r="M19">
        <f ca="1">IFERROR(IF(0=LEN(ReferenceData!$M$19),"",ReferenceData!$M$19),"")</f>
        <v>63297</v>
      </c>
      <c r="N19">
        <f ca="1">IFERROR(IF(0=LEN(ReferenceData!$N$19),"",ReferenceData!$N$19),"")</f>
        <v>77736</v>
      </c>
      <c r="O19">
        <f ca="1">IFERROR(IF(0=LEN(ReferenceData!$O$19),"",ReferenceData!$O$19),"")</f>
        <v>57968</v>
      </c>
      <c r="P19">
        <f ca="1">IFERROR(IF(0=LEN(ReferenceData!$P$19),"",ReferenceData!$P$19),"")</f>
        <v>55281</v>
      </c>
      <c r="Q19">
        <f ca="1">IFERROR(IF(0=LEN(ReferenceData!$Q$19),"",ReferenceData!$Q$19),"")</f>
        <v>77986</v>
      </c>
      <c r="R19">
        <f ca="1">IFERROR(IF(0=LEN(ReferenceData!$R$19),"",ReferenceData!$R$19),"")</f>
        <v>71102</v>
      </c>
      <c r="S19">
        <f ca="1">IFERROR(IF(0=LEN(ReferenceData!$S$19),"",ReferenceData!$S$19),"")</f>
        <v>54955</v>
      </c>
      <c r="T19">
        <f ca="1">IFERROR(IF(0=LEN(ReferenceData!$T$19),"",ReferenceData!$T$19),"")</f>
        <v>56754</v>
      </c>
      <c r="U19">
        <f ca="1">IFERROR(IF(0=LEN(ReferenceData!$U$19),"",ReferenceData!$U$19),"")</f>
        <v>69021</v>
      </c>
      <c r="V19">
        <f ca="1">IFERROR(IF(0=LEN(ReferenceData!$V$19),"",ReferenceData!$V$19),"")</f>
        <v>81863</v>
      </c>
      <c r="W19">
        <f ca="1">IFERROR(IF(0=LEN(ReferenceData!$W$19),"",ReferenceData!$W$19),"")</f>
        <v>65731</v>
      </c>
      <c r="X19">
        <f ca="1">IFERROR(IF(0=LEN(ReferenceData!$X$19),"",ReferenceData!$X$19),"")</f>
        <v>67667</v>
      </c>
      <c r="Y19">
        <f ca="1">IFERROR(IF(0=LEN(ReferenceData!$Y$19),"",ReferenceData!$Y$19),"")</f>
        <v>74918</v>
      </c>
      <c r="Z19">
        <f ca="1">IFERROR(IF(0=LEN(ReferenceData!$Z$19),"",ReferenceData!$Z$19),"")</f>
        <v>73814</v>
      </c>
      <c r="AA19">
        <f ca="1">IFERROR(IF(0=LEN(ReferenceData!$AA$19),"",ReferenceData!$AA$19),"")</f>
        <v>60828</v>
      </c>
      <c r="AB19">
        <f ca="1">IFERROR(IF(0=LEN(ReferenceData!$AB$19),"",ReferenceData!$AB$19),"")</f>
        <v>63278</v>
      </c>
      <c r="AC19">
        <f ca="1">IFERROR(IF(0=LEN(ReferenceData!$AC$19),"",ReferenceData!$AC$19),"")</f>
        <v>62496</v>
      </c>
      <c r="AD19">
        <f ca="1">IFERROR(IF(0=LEN(ReferenceData!$AD$19),"",ReferenceData!$AD$19),"")</f>
        <v>72151</v>
      </c>
      <c r="AE19">
        <f ca="1">IFERROR(IF(0=LEN(ReferenceData!$AE$19),"",ReferenceData!$AE$19),"")</f>
        <v>57821</v>
      </c>
      <c r="AF19">
        <f ca="1">IFERROR(IF(0=LEN(ReferenceData!$AF$19),"",ReferenceData!$AF$19),"")</f>
        <v>63130</v>
      </c>
      <c r="AG19">
        <f ca="1">IFERROR(IF(0=LEN(ReferenceData!$AG$19),"",ReferenceData!$AG$19),"")</f>
        <v>67640</v>
      </c>
      <c r="AH19">
        <f ca="1">IFERROR(IF(0=LEN(ReferenceData!$AH$19),"",ReferenceData!$AH$19),"")</f>
        <v>81487</v>
      </c>
      <c r="AI19">
        <f ca="1">IFERROR(IF(0=LEN(ReferenceData!$AI$19),"",ReferenceData!$AI$19),"")</f>
        <v>66020</v>
      </c>
      <c r="AJ19">
        <f ca="1">IFERROR(IF(0=LEN(ReferenceData!$AJ$19),"",ReferenceData!$AJ$19),"")</f>
        <v>72314</v>
      </c>
      <c r="AK19">
        <f ca="1">IFERROR(IF(0=LEN(ReferenceData!$AK$19),"",ReferenceData!$AK$19),"")</f>
        <v>60436</v>
      </c>
      <c r="AL19">
        <f ca="1">IFERROR(IF(0=LEN(ReferenceData!$AL$19),"",ReferenceData!$AL$19),"")</f>
        <v>87020</v>
      </c>
      <c r="AM19">
        <f ca="1">IFERROR(IF(0=LEN(ReferenceData!$AM$19),"",ReferenceData!$AM$19),"")</f>
        <v>66355</v>
      </c>
      <c r="AN19">
        <f ca="1">IFERROR(IF(0=LEN(ReferenceData!$AN$19),"",ReferenceData!$AN$19),"")</f>
        <v>59190</v>
      </c>
      <c r="AO19">
        <f ca="1">IFERROR(IF(0=LEN(ReferenceData!$AO$19),"",ReferenceData!$AO$19),"")</f>
        <v>63045</v>
      </c>
      <c r="AP19">
        <f ca="1">IFERROR(IF(0=LEN(ReferenceData!$AP$19),"",ReferenceData!$AP$19),"")</f>
        <v>63940</v>
      </c>
      <c r="AQ19">
        <f ca="1">IFERROR(IF(0=LEN(ReferenceData!$AQ$19),"",ReferenceData!$AQ$19),"")</f>
        <v>77633</v>
      </c>
      <c r="AR19">
        <f ca="1">IFERROR(IF(0=LEN(ReferenceData!$AR$19),"",ReferenceData!$AR$19),"")</f>
        <v>54934</v>
      </c>
      <c r="AS19">
        <f ca="1">IFERROR(IF(0=LEN(ReferenceData!$AS$19),"",ReferenceData!$AS$19),"")</f>
        <v>52595</v>
      </c>
      <c r="AT19">
        <f ca="1">IFERROR(IF(0=LEN(ReferenceData!$AT$19),"",ReferenceData!$AT$19),"")</f>
        <v>44288</v>
      </c>
      <c r="AU19">
        <f ca="1">IFERROR(IF(0=LEN(ReferenceData!$AU$19),"",ReferenceData!$AU$19),"")</f>
        <v>30011</v>
      </c>
      <c r="AV19">
        <f ca="1">IFERROR(IF(0=LEN(ReferenceData!$AV$19),"",ReferenceData!$AV$19),"")</f>
        <v>31354</v>
      </c>
      <c r="AW19">
        <f ca="1">IFERROR(IF(0=LEN(ReferenceData!$AW$19),"",ReferenceData!$AW$19),"")</f>
        <v>50272</v>
      </c>
      <c r="AX19">
        <f ca="1">IFERROR(IF(0=LEN(ReferenceData!$AX$19),"",ReferenceData!$AX$19),"")</f>
        <v>67172</v>
      </c>
      <c r="AY19">
        <f ca="1">IFERROR(IF(0=LEN(ReferenceData!$AY$19),"",ReferenceData!$AY$19),"")</f>
        <v>63594</v>
      </c>
      <c r="AZ19">
        <f ca="1">IFERROR(IF(0=LEN(ReferenceData!$AZ$19),"",ReferenceData!$AZ$19),"")</f>
        <v>64679</v>
      </c>
      <c r="BA19">
        <f ca="1">IFERROR(IF(0=LEN(ReferenceData!$BA$19),"",ReferenceData!$BA$19),"")</f>
        <v>70733</v>
      </c>
      <c r="BB19">
        <f ca="1">IFERROR(IF(0=LEN(ReferenceData!$BB$19),"",ReferenceData!$BB$19),"")</f>
        <v>72113</v>
      </c>
      <c r="BC19">
        <f ca="1">IFERROR(IF(0=LEN(ReferenceData!$BC$19),"",ReferenceData!$BC$19),"")</f>
        <v>56326</v>
      </c>
      <c r="BD19">
        <f ca="1">IFERROR(IF(0=LEN(ReferenceData!$BD$19),"",ReferenceData!$BD$19),"")</f>
        <v>54656</v>
      </c>
      <c r="BE19">
        <f ca="1">IFERROR(IF(0=LEN(ReferenceData!$BE$19),"",ReferenceData!$BE$19),"")</f>
        <v>80614</v>
      </c>
      <c r="BF19">
        <f ca="1">IFERROR(IF(0=LEN(ReferenceData!$BF$19),"",ReferenceData!$BF$19),"")</f>
        <v>114862</v>
      </c>
      <c r="BG19">
        <f ca="1">IFERROR(IF(0=LEN(ReferenceData!$BG$19),"",ReferenceData!$BG$19),"")</f>
        <v>85528</v>
      </c>
      <c r="BH19">
        <f ca="1">IFERROR(IF(0=LEN(ReferenceData!$BH$19),"",ReferenceData!$BH$19),"")</f>
        <v>104757</v>
      </c>
      <c r="BI19">
        <f ca="1">IFERROR(IF(0=LEN(ReferenceData!$BI$19),"",ReferenceData!$BI$19),"")</f>
        <v>117173</v>
      </c>
      <c r="BJ19">
        <f ca="1">IFERROR(IF(0=LEN(ReferenceData!$BJ$19),"",ReferenceData!$BJ$19),"")</f>
        <v>139019</v>
      </c>
      <c r="BK19">
        <f ca="1">IFERROR(IF(0=LEN(ReferenceData!$BK$19),"",ReferenceData!$BK$19),"")</f>
        <v>89414</v>
      </c>
      <c r="BL19">
        <f ca="1">IFERROR(IF(0=LEN(ReferenceData!$BL$19),"",ReferenceData!$BL$19),"")</f>
        <v>95969</v>
      </c>
      <c r="BM19">
        <f ca="1">IFERROR(IF(0=LEN(ReferenceData!$BM$19),"",ReferenceData!$BM$19),"")</f>
        <v>115680</v>
      </c>
    </row>
    <row r="20" spans="1:65" x14ac:dyDescent="0.25">
      <c r="A20" t="str">
        <f>IFERROR(IF(0=LEN(ReferenceData!$A$20),"",ReferenceData!$A$20),"")</f>
        <v xml:space="preserve">        Thailand</v>
      </c>
      <c r="B20" t="str">
        <f>IFERROR(IF(0=LEN(ReferenceData!$B$20),"",ReferenceData!$B$20),"")</f>
        <v>THVHSCAR Index</v>
      </c>
      <c r="C20" t="str">
        <f>IFERROR(IF(0=LEN(ReferenceData!$C$20),"",ReferenceData!$C$20),"")</f>
        <v>PX385</v>
      </c>
      <c r="D20" t="str">
        <f>IFERROR(IF(0=LEN(ReferenceData!$D$20),"",ReferenceData!$D$20),"")</f>
        <v>INTERVAL_SUM</v>
      </c>
      <c r="E20" t="str">
        <f>IFERROR(IF(0=LEN(ReferenceData!$E$20),"",ReferenceData!$E$20),"")</f>
        <v>Dynamic</v>
      </c>
      <c r="F20">
        <f ca="1">IFERROR(IF(0=LEN(ReferenceData!$F$20),"",ReferenceData!$F$20),"")</f>
        <v>78061</v>
      </c>
      <c r="G20">
        <f ca="1">IFERROR(IF(0=LEN(ReferenceData!$G$20),"",ReferenceData!$G$20),"")</f>
        <v>295155</v>
      </c>
      <c r="H20">
        <f ca="1">IFERROR(IF(0=LEN(ReferenceData!$H$20),"",ReferenceData!$H$20),"")</f>
        <v>257466</v>
      </c>
      <c r="I20">
        <f ca="1">IFERROR(IF(0=LEN(ReferenceData!$I$20),"",ReferenceData!$I$20),"")</f>
        <v>252025</v>
      </c>
      <c r="J20">
        <f ca="1">IFERROR(IF(0=LEN(ReferenceData!$J$20),"",ReferenceData!$J$20),"")</f>
        <v>237093</v>
      </c>
      <c r="K20">
        <f ca="1">IFERROR(IF(0=LEN(ReferenceData!$K$20),"",ReferenceData!$K$20),"")</f>
        <v>250935</v>
      </c>
      <c r="L20">
        <f ca="1">IFERROR(IF(0=LEN(ReferenceData!$L$20),"",ReferenceData!$L$20),"")</f>
        <v>210732</v>
      </c>
      <c r="M20">
        <f ca="1">IFERROR(IF(0=LEN(ReferenceData!$M$20),"",ReferenceData!$M$20),"")</f>
        <v>199487</v>
      </c>
      <c r="N20">
        <f ca="1">IFERROR(IF(0=LEN(ReferenceData!$N$20),"",ReferenceData!$N$20),"")</f>
        <v>210490</v>
      </c>
      <c r="O20">
        <f ca="1">IFERROR(IF(0=LEN(ReferenceData!$O$20),"",ReferenceData!$O$20),"")</f>
        <v>212263</v>
      </c>
      <c r="P20">
        <f ca="1">IFERROR(IF(0=LEN(ReferenceData!$P$20),"",ReferenceData!$P$20),"")</f>
        <v>187895</v>
      </c>
      <c r="Q20">
        <f ca="1">IFERROR(IF(0=LEN(ReferenceData!$Q$20),"",ReferenceData!$Q$20),"")</f>
        <v>187070</v>
      </c>
      <c r="R20">
        <f ca="1">IFERROR(IF(0=LEN(ReferenceData!$R$20),"",ReferenceData!$R$20),"")</f>
        <v>181560</v>
      </c>
      <c r="S20">
        <f ca="1">IFERROR(IF(0=LEN(ReferenceData!$S$20),"",ReferenceData!$S$20),"")</f>
        <v>245762</v>
      </c>
      <c r="T20">
        <f ca="1">IFERROR(IF(0=LEN(ReferenceData!$T$20),"",ReferenceData!$T$20),"")</f>
        <v>184723</v>
      </c>
      <c r="U20">
        <f ca="1">IFERROR(IF(0=LEN(ReferenceData!$U$20),"",ReferenceData!$U$20),"")</f>
        <v>171322</v>
      </c>
      <c r="V20">
        <f ca="1">IFERROR(IF(0=LEN(ReferenceData!$V$20),"",ReferenceData!$V$20),"")</f>
        <v>197787</v>
      </c>
      <c r="W20">
        <f ca="1">IFERROR(IF(0=LEN(ReferenceData!$W$20),"",ReferenceData!$W$20),"")</f>
        <v>233422</v>
      </c>
      <c r="X20">
        <f ca="1">IFERROR(IF(0=LEN(ReferenceData!$X$20),"",ReferenceData!$X$20),"")</f>
        <v>207499</v>
      </c>
      <c r="Y20">
        <f ca="1">IFERROR(IF(0=LEN(ReferenceData!$Y$20),"",ReferenceData!$Y$20),"")</f>
        <v>216740</v>
      </c>
      <c r="Z20">
        <f ca="1">IFERROR(IF(0=LEN(ReferenceData!$Z$20),"",ReferenceData!$Z$20),"")</f>
        <v>224171</v>
      </c>
      <c r="AA20">
        <f ca="1">IFERROR(IF(0=LEN(ReferenceData!$AA$20),"",ReferenceData!$AA$20),"")</f>
        <v>296389</v>
      </c>
      <c r="AB20">
        <f ca="1">IFERROR(IF(0=LEN(ReferenceData!$AB$20),"",ReferenceData!$AB$20),"")</f>
        <v>293485</v>
      </c>
      <c r="AC20">
        <f ca="1">IFERROR(IF(0=LEN(ReferenceData!$AC$20),"",ReferenceData!$AC$20),"")</f>
        <v>327539</v>
      </c>
      <c r="AD20">
        <f ca="1">IFERROR(IF(0=LEN(ReferenceData!$AD$20),"",ReferenceData!$AD$20),"")</f>
        <v>413254</v>
      </c>
      <c r="AE20">
        <f ca="1">IFERROR(IF(0=LEN(ReferenceData!$AE$20),"",ReferenceData!$AE$20),"")</f>
        <v>435758</v>
      </c>
      <c r="AF20">
        <f ca="1">IFERROR(IF(0=LEN(ReferenceData!$AF$20),"",ReferenceData!$AF$20),"")</f>
        <v>394029</v>
      </c>
      <c r="AG20">
        <f ca="1">IFERROR(IF(0=LEN(ReferenceData!$AG$20),"",ReferenceData!$AG$20),"")</f>
        <v>327202</v>
      </c>
      <c r="AH20">
        <f ca="1">IFERROR(IF(0=LEN(ReferenceData!$AH$20),"",ReferenceData!$AH$20),"")</f>
        <v>277635</v>
      </c>
      <c r="AI20">
        <f ca="1">IFERROR(IF(0=LEN(ReferenceData!$AI$20),"",ReferenceData!$AI$20),"")</f>
        <v>123112</v>
      </c>
      <c r="AJ20">
        <f ca="1">IFERROR(IF(0=LEN(ReferenceData!$AJ$20),"",ReferenceData!$AJ$20),"")</f>
        <v>238957</v>
      </c>
      <c r="AK20">
        <f ca="1">IFERROR(IF(0=LEN(ReferenceData!$AK$20),"",ReferenceData!$AK$20),"")</f>
        <v>193393</v>
      </c>
      <c r="AL20">
        <f ca="1">IFERROR(IF(0=LEN(ReferenceData!$AL$20),"",ReferenceData!$AL$20),"")</f>
        <v>238619</v>
      </c>
      <c r="AM20">
        <f ca="1">IFERROR(IF(0=LEN(ReferenceData!$AM$20),"",ReferenceData!$AM$20),"")</f>
        <v>244008</v>
      </c>
      <c r="AN20">
        <f ca="1">IFERROR(IF(0=LEN(ReferenceData!$AN$20),"",ReferenceData!$AN$20),"")</f>
        <v>199657</v>
      </c>
      <c r="AO20">
        <f ca="1">IFERROR(IF(0=LEN(ReferenceData!$AO$20),"",ReferenceData!$AO$20),"")</f>
        <v>189890</v>
      </c>
      <c r="AP20">
        <f ca="1">IFERROR(IF(0=LEN(ReferenceData!$AP$20),"",ReferenceData!$AP$20),"")</f>
        <v>166802</v>
      </c>
      <c r="AQ20">
        <f ca="1">IFERROR(IF(0=LEN(ReferenceData!$AQ$20),"",ReferenceData!$AQ$20),"")</f>
        <v>182387</v>
      </c>
      <c r="AR20">
        <f ca="1">IFERROR(IF(0=LEN(ReferenceData!$AR$20),"",ReferenceData!$AR$20),"")</f>
        <v>135056</v>
      </c>
      <c r="AS20">
        <f ca="1">IFERROR(IF(0=LEN(ReferenceData!$AS$20),"",ReferenceData!$AS$20),"")</f>
        <v>123654</v>
      </c>
      <c r="AT20">
        <f ca="1">IFERROR(IF(0=LEN(ReferenceData!$AT$20),"",ReferenceData!$AT$20),"")</f>
        <v>107774</v>
      </c>
      <c r="AU20">
        <f ca="1">IFERROR(IF(0=LEN(ReferenceData!$AU$20),"",ReferenceData!$AU$20),"")</f>
        <v>154012</v>
      </c>
      <c r="AV20">
        <f ca="1">IFERROR(IF(0=LEN(ReferenceData!$AV$20),"",ReferenceData!$AV$20),"")</f>
        <v>139783</v>
      </c>
      <c r="AW20">
        <f ca="1">IFERROR(IF(0=LEN(ReferenceData!$AW$20),"",ReferenceData!$AW$20),"")</f>
        <v>159497</v>
      </c>
      <c r="AX20">
        <f ca="1">IFERROR(IF(0=LEN(ReferenceData!$AX$20),"",ReferenceData!$AX$20),"")</f>
        <v>160794</v>
      </c>
      <c r="AY20">
        <f ca="1">IFERROR(IF(0=LEN(ReferenceData!$AY$20),"",ReferenceData!$AY$20),"")</f>
        <v>179925</v>
      </c>
      <c r="AZ20">
        <f ca="1">IFERROR(IF(0=LEN(ReferenceData!$AZ$20),"",ReferenceData!$AZ$20),"")</f>
        <v>158812</v>
      </c>
      <c r="BA20">
        <f ca="1">IFERROR(IF(0=LEN(ReferenceData!$BA$20),"",ReferenceData!$BA$20),"")</f>
        <v>154244</v>
      </c>
      <c r="BB20">
        <f ca="1">IFERROR(IF(0=LEN(ReferenceData!$BB$20),"",ReferenceData!$BB$20),"")</f>
        <v>138270</v>
      </c>
      <c r="BC20">
        <f ca="1">IFERROR(IF(0=LEN(ReferenceData!$BC$20),"",ReferenceData!$BC$20),"")</f>
        <v>193711</v>
      </c>
      <c r="BD20">
        <f ca="1">IFERROR(IF(0=LEN(ReferenceData!$BD$20),"",ReferenceData!$BD$20),"")</f>
        <v>153674</v>
      </c>
      <c r="BE20">
        <f ca="1">IFERROR(IF(0=LEN(ReferenceData!$BE$20),"",ReferenceData!$BE$20),"")</f>
        <v>164792</v>
      </c>
      <c r="BF20">
        <f ca="1">IFERROR(IF(0=LEN(ReferenceData!$BF$20),"",ReferenceData!$BF$20),"")</f>
        <v>169984</v>
      </c>
      <c r="BG20">
        <f ca="1">IFERROR(IF(0=LEN(ReferenceData!$BG$20),"",ReferenceData!$BG$20),"")</f>
        <v>198697</v>
      </c>
      <c r="BH20">
        <f ca="1">IFERROR(IF(0=LEN(ReferenceData!$BH$20),"",ReferenceData!$BH$20),"")</f>
        <v>158838</v>
      </c>
      <c r="BI20">
        <f ca="1">IFERROR(IF(0=LEN(ReferenceData!$BI$20),"",ReferenceData!$BI$20),"")</f>
        <v>196742</v>
      </c>
      <c r="BJ20">
        <f ca="1">IFERROR(IF(0=LEN(ReferenceData!$BJ$20),"",ReferenceData!$BJ$20),"")</f>
        <v>166486</v>
      </c>
      <c r="BK20">
        <f ca="1">IFERROR(IF(0=LEN(ReferenceData!$BK$20),"",ReferenceData!$BK$20),"")</f>
        <v>187170</v>
      </c>
      <c r="BL20">
        <f ca="1">IFERROR(IF(0=LEN(ReferenceData!$BL$20),"",ReferenceData!$BL$20),"")</f>
        <v>140152</v>
      </c>
      <c r="BM20">
        <f ca="1">IFERROR(IF(0=LEN(ReferenceData!$BM$20),"",ReferenceData!$BM$20),"")</f>
        <v>151081</v>
      </c>
    </row>
    <row r="21" spans="1:65" x14ac:dyDescent="0.25">
      <c r="A21" t="str">
        <f>IFERROR(IF(0=LEN(ReferenceData!$A$21),"",ReferenceData!$A$21),"")</f>
        <v xml:space="preserve">        Vietnam</v>
      </c>
      <c r="B21" t="str">
        <f>IFERROR(IF(0=LEN(ReferenceData!$B$21),"",ReferenceData!$B$21),"")</f>
        <v>AUTMVTVS Index</v>
      </c>
      <c r="C21" t="str">
        <f>IFERROR(IF(0=LEN(ReferenceData!$C$21),"",ReferenceData!$C$21),"")</f>
        <v>PX385</v>
      </c>
      <c r="D21" t="str">
        <f>IFERROR(IF(0=LEN(ReferenceData!$D$21),"",ReferenceData!$D$21),"")</f>
        <v>INTERVAL_SUM</v>
      </c>
      <c r="E21" t="str">
        <f>IFERROR(IF(0=LEN(ReferenceData!$E$21),"",ReferenceData!$E$21),"")</f>
        <v>Dynamic</v>
      </c>
      <c r="F21" t="str">
        <f ca="1">IFERROR(IF(0=LEN(ReferenceData!$F$21),"",ReferenceData!$F$21),"")</f>
        <v/>
      </c>
      <c r="G21" t="str">
        <f ca="1">IFERROR(IF(0=LEN(ReferenceData!$G$21),"",ReferenceData!$G$21),"")</f>
        <v/>
      </c>
      <c r="H21" t="str">
        <f ca="1">IFERROR(IF(0=LEN(ReferenceData!$H$21),"",ReferenceData!$H$21),"")</f>
        <v/>
      </c>
      <c r="I21" t="str">
        <f ca="1">IFERROR(IF(0=LEN(ReferenceData!$I$21),"",ReferenceData!$I$21),"")</f>
        <v/>
      </c>
      <c r="J21" t="str">
        <f ca="1">IFERROR(IF(0=LEN(ReferenceData!$J$21),"",ReferenceData!$J$21),"")</f>
        <v/>
      </c>
      <c r="K21" t="str">
        <f ca="1">IFERROR(IF(0=LEN(ReferenceData!$K$21),"",ReferenceData!$K$21),"")</f>
        <v/>
      </c>
      <c r="L21" t="str">
        <f ca="1">IFERROR(IF(0=LEN(ReferenceData!$L$21),"",ReferenceData!$L$21),"")</f>
        <v/>
      </c>
      <c r="M21" t="str">
        <f ca="1">IFERROR(IF(0=LEN(ReferenceData!$M$21),"",ReferenceData!$M$21),"")</f>
        <v/>
      </c>
      <c r="N21" t="str">
        <f ca="1">IFERROR(IF(0=LEN(ReferenceData!$N$21),"",ReferenceData!$N$21),"")</f>
        <v/>
      </c>
      <c r="O21" t="str">
        <f ca="1">IFERROR(IF(0=LEN(ReferenceData!$O$21),"",ReferenceData!$O$21),"")</f>
        <v/>
      </c>
      <c r="P21" t="str">
        <f ca="1">IFERROR(IF(0=LEN(ReferenceData!$P$21),"",ReferenceData!$P$21),"")</f>
        <v/>
      </c>
      <c r="Q21" t="str">
        <f ca="1">IFERROR(IF(0=LEN(ReferenceData!$Q$21),"",ReferenceData!$Q$21),"")</f>
        <v/>
      </c>
      <c r="R21" t="str">
        <f ca="1">IFERROR(IF(0=LEN(ReferenceData!$R$21),"",ReferenceData!$R$21),"")</f>
        <v/>
      </c>
      <c r="S21">
        <f ca="1">IFERROR(IF(0=LEN(ReferenceData!$S$21),"",ReferenceData!$S$21),"")</f>
        <v>38658</v>
      </c>
      <c r="T21">
        <f ca="1">IFERROR(IF(0=LEN(ReferenceData!$T$21),"",ReferenceData!$T$21),"")</f>
        <v>31881</v>
      </c>
      <c r="U21">
        <f ca="1">IFERROR(IF(0=LEN(ReferenceData!$U$21),"",ReferenceData!$U$21),"")</f>
        <v>31445</v>
      </c>
      <c r="V21">
        <f ca="1">IFERROR(IF(0=LEN(ReferenceData!$V$21),"",ReferenceData!$V$21),"")</f>
        <v>24164</v>
      </c>
      <c r="W21">
        <f ca="1">IFERROR(IF(0=LEN(ReferenceData!$W$21),"",ReferenceData!$W$21),"")</f>
        <v>24605</v>
      </c>
      <c r="X21">
        <f ca="1">IFERROR(IF(0=LEN(ReferenceData!$X$21),"",ReferenceData!$X$21),"")</f>
        <v>20375</v>
      </c>
      <c r="Y21">
        <f ca="1">IFERROR(IF(0=LEN(ReferenceData!$Y$21),"",ReferenceData!$Y$21),"")</f>
        <v>17252</v>
      </c>
      <c r="Z21">
        <f ca="1">IFERROR(IF(0=LEN(ReferenceData!$Z$21),"",ReferenceData!$Z$21),"")</f>
        <v>14757</v>
      </c>
      <c r="AA21">
        <f ca="1">IFERROR(IF(0=LEN(ReferenceData!$AA$21),"",ReferenceData!$AA$21),"")</f>
        <v>18379</v>
      </c>
      <c r="AB21">
        <f ca="1">IFERROR(IF(0=LEN(ReferenceData!$AB$21),"",ReferenceData!$AB$21),"")</f>
        <v>15245</v>
      </c>
      <c r="AC21">
        <f ca="1">IFERROR(IF(0=LEN(ReferenceData!$AC$21),"",ReferenceData!$AC$21),"")</f>
        <v>13699</v>
      </c>
      <c r="AD21">
        <f ca="1">IFERROR(IF(0=LEN(ReferenceData!$AD$21),"",ReferenceData!$AD$21),"")</f>
        <v>10817</v>
      </c>
      <c r="AE21">
        <f ca="1">IFERROR(IF(0=LEN(ReferenceData!$AE$21),"",ReferenceData!$AE$21),"")</f>
        <v>15122</v>
      </c>
      <c r="AF21">
        <f ca="1">IFERROR(IF(0=LEN(ReferenceData!$AF$21),"",ReferenceData!$AF$21),"")</f>
        <v>10902</v>
      </c>
      <c r="AG21">
        <f ca="1">IFERROR(IF(0=LEN(ReferenceData!$AG$21),"",ReferenceData!$AG$21),"")</f>
        <v>8427</v>
      </c>
      <c r="AH21">
        <f ca="1">IFERROR(IF(0=LEN(ReferenceData!$AH$21),"",ReferenceData!$AH$21),"")</f>
        <v>9085</v>
      </c>
      <c r="AI21">
        <f ca="1">IFERROR(IF(0=LEN(ReferenceData!$AI$21),"",ReferenceData!$AI$21),"")</f>
        <v>17443</v>
      </c>
      <c r="AJ21">
        <f ca="1">IFERROR(IF(0=LEN(ReferenceData!$AJ$21),"",ReferenceData!$AJ$21),"")</f>
        <v>17433</v>
      </c>
      <c r="AK21">
        <f ca="1">IFERROR(IF(0=LEN(ReferenceData!$AK$21),"",ReferenceData!$AK$21),"")</f>
        <v>12805</v>
      </c>
      <c r="AL21">
        <f ca="1">IFERROR(IF(0=LEN(ReferenceData!$AL$21),"",ReferenceData!$AL$21),"")</f>
        <v>16074</v>
      </c>
      <c r="AM21">
        <f ca="1">IFERROR(IF(0=LEN(ReferenceData!$AM$21),"",ReferenceData!$AM$21),"")</f>
        <v>19099</v>
      </c>
      <c r="AN21">
        <f ca="1">IFERROR(IF(0=LEN(ReferenceData!$AN$21),"",ReferenceData!$AN$21),"")</f>
        <v>13867</v>
      </c>
      <c r="AO21">
        <f ca="1">IFERROR(IF(0=LEN(ReferenceData!$AO$21),"",ReferenceData!$AO$21),"")</f>
        <v>13422</v>
      </c>
      <c r="AP21">
        <f ca="1">IFERROR(IF(0=LEN(ReferenceData!$AP$21),"",ReferenceData!$AP$21),"")</f>
        <v>11389</v>
      </c>
      <c r="AQ21">
        <f ca="1">IFERROR(IF(0=LEN(ReferenceData!$AQ$21),"",ReferenceData!$AQ$21),"")</f>
        <v>22615</v>
      </c>
      <c r="AR21">
        <f ca="1">IFERROR(IF(0=LEN(ReferenceData!$AR$21),"",ReferenceData!$AR$21),"")</f>
        <v>17257</v>
      </c>
      <c r="AS21">
        <f ca="1">IFERROR(IF(0=LEN(ReferenceData!$AS$21),"",ReferenceData!$AS$21),"")</f>
        <v>11354</v>
      </c>
      <c r="AT21">
        <f ca="1">IFERROR(IF(0=LEN(ReferenceData!$AT$21),"",ReferenceData!$AT$21),"")</f>
        <v>11873</v>
      </c>
      <c r="AU21">
        <f ca="1">IFERROR(IF(0=LEN(ReferenceData!$AU$21),"",ReferenceData!$AU$21),"")</f>
        <v>10752</v>
      </c>
      <c r="AV21">
        <f ca="1">IFERROR(IF(0=LEN(ReferenceData!$AV$21),"",ReferenceData!$AV$21),"")</f>
        <v>11329</v>
      </c>
      <c r="AW21">
        <f ca="1">IFERROR(IF(0=LEN(ReferenceData!$AW$21),"",ReferenceData!$AW$21),"")</f>
        <v>14756</v>
      </c>
      <c r="AX21">
        <f ca="1">IFERROR(IF(0=LEN(ReferenceData!$AX$21),"",ReferenceData!$AX$21),"")</f>
        <v>12535</v>
      </c>
      <c r="AY21">
        <f ca="1">IFERROR(IF(0=LEN(ReferenceData!$AY$21),"",ReferenceData!$AY$21),"")</f>
        <v>13872</v>
      </c>
      <c r="AZ21">
        <f ca="1">IFERROR(IF(0=LEN(ReferenceData!$AZ$21),"",ReferenceData!$AZ$21),"")</f>
        <v>10472</v>
      </c>
      <c r="BA21">
        <f ca="1">IFERROR(IF(0=LEN(ReferenceData!$BA$21),"",ReferenceData!$BA$21),"")</f>
        <v>8481</v>
      </c>
      <c r="BB21">
        <f ca="1">IFERROR(IF(0=LEN(ReferenceData!$BB$21),"",ReferenceData!$BB$21),"")</f>
        <v>7319</v>
      </c>
      <c r="BC21">
        <f ca="1">IFERROR(IF(0=LEN(ReferenceData!$BC$21),"",ReferenceData!$BC$21),"")</f>
        <v>8763</v>
      </c>
      <c r="BD21">
        <f ca="1">IFERROR(IF(0=LEN(ReferenceData!$BD$21),"",ReferenceData!$BD$21),"")</f>
        <v>6064</v>
      </c>
      <c r="BE21">
        <f ca="1">IFERROR(IF(0=LEN(ReferenceData!$BE$21),"",ReferenceData!$BE$21),"")</f>
        <v>5310</v>
      </c>
      <c r="BF21">
        <f ca="1">IFERROR(IF(0=LEN(ReferenceData!$BF$21),"",ReferenceData!$BF$21),"")</f>
        <v>3198</v>
      </c>
      <c r="BG21" t="str">
        <f ca="1">IFERROR(IF(0=LEN(ReferenceData!$BG$21),"",ReferenceData!$BG$21),"")</f>
        <v/>
      </c>
      <c r="BH21" t="str">
        <f ca="1">IFERROR(IF(0=LEN(ReferenceData!$BH$21),"",ReferenceData!$BH$21),"")</f>
        <v/>
      </c>
      <c r="BI21" t="str">
        <f ca="1">IFERROR(IF(0=LEN(ReferenceData!$BI$21),"",ReferenceData!$BI$21),"")</f>
        <v/>
      </c>
      <c r="BJ21" t="str">
        <f ca="1">IFERROR(IF(0=LEN(ReferenceData!$BJ$21),"",ReferenceData!$BJ$21),"")</f>
        <v/>
      </c>
      <c r="BK21" t="str">
        <f ca="1">IFERROR(IF(0=LEN(ReferenceData!$BK$21),"",ReferenceData!$BK$21),"")</f>
        <v/>
      </c>
      <c r="BL21" t="str">
        <f ca="1">IFERROR(IF(0=LEN(ReferenceData!$BL$21),"",ReferenceData!$BL$21),"")</f>
        <v/>
      </c>
      <c r="BM21" t="str">
        <f ca="1">IFERROR(IF(0=LEN(ReferenceData!$BM$21),"",ReferenceData!$BM$21),"")</f>
        <v/>
      </c>
    </row>
    <row r="22" spans="1:65" x14ac:dyDescent="0.25">
      <c r="A22" t="str">
        <f>IFERROR(IF(0=LEN(ReferenceData!$A$22),"",ReferenceData!$A$22),"")</f>
        <v xml:space="preserve">    Europe</v>
      </c>
      <c r="B22" t="str">
        <f>IFERROR(IF(0=LEN(ReferenceData!$B$22),"",ReferenceData!$B$22),"")</f>
        <v>AUTMEUVS Index</v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Sum</v>
      </c>
      <c r="F22">
        <f ca="1">IFERROR(IF(0=LEN(ReferenceData!$F$22),"",ReferenceData!$F$22),"")</f>
        <v>1340721</v>
      </c>
      <c r="G22">
        <f ca="1">IFERROR(IF(0=LEN(ReferenceData!$G$22),"",ReferenceData!$G$22),"")</f>
        <v>3971342</v>
      </c>
      <c r="H22">
        <f ca="1">IFERROR(IF(0=LEN(ReferenceData!$H$22),"",ReferenceData!$H$22),"")</f>
        <v>4158598</v>
      </c>
      <c r="I22">
        <f ca="1">IFERROR(IF(0=LEN(ReferenceData!$I$22),"",ReferenceData!$I$22),"")</f>
        <v>4995736</v>
      </c>
      <c r="J22">
        <f ca="1">IFERROR(IF(0=LEN(ReferenceData!$J$22),"",ReferenceData!$J$22),"")</f>
        <v>4770705</v>
      </c>
      <c r="K22">
        <f ca="1">IFERROR(IF(0=LEN(ReferenceData!$K$22),"",ReferenceData!$K$22),"")</f>
        <v>4402886</v>
      </c>
      <c r="L22">
        <f ca="1">IFERROR(IF(0=LEN(ReferenceData!$L$22),"",ReferenceData!$L$22),"")</f>
        <v>4197792</v>
      </c>
      <c r="M22">
        <f ca="1">IFERROR(IF(0=LEN(ReferenceData!$M$22),"",ReferenceData!$M$22),"")</f>
        <v>4769746</v>
      </c>
      <c r="N22">
        <f ca="1">IFERROR(IF(0=LEN(ReferenceData!$N$22),"",ReferenceData!$N$22),"")</f>
        <v>4684669</v>
      </c>
      <c r="O22">
        <f ca="1">IFERROR(IF(0=LEN(ReferenceData!$O$22),"",ReferenceData!$O$22),"")</f>
        <v>4187123</v>
      </c>
      <c r="P22">
        <f ca="1">IFERROR(IF(0=LEN(ReferenceData!$P$22),"",ReferenceData!$P$22),"")</f>
        <v>4007422</v>
      </c>
      <c r="Q22">
        <f ca="1">IFERROR(IF(0=LEN(ReferenceData!$Q$22),"",ReferenceData!$Q$22),"")</f>
        <v>4705774</v>
      </c>
      <c r="R22">
        <f ca="1">IFERROR(IF(0=LEN(ReferenceData!$R$22),"",ReferenceData!$R$22),"")</f>
        <v>4369576</v>
      </c>
      <c r="S22">
        <f ca="1">IFERROR(IF(0=LEN(ReferenceData!$S$22),"",ReferenceData!$S$22),"")</f>
        <v>4052644</v>
      </c>
      <c r="T22">
        <f ca="1">IFERROR(IF(0=LEN(ReferenceData!$T$22),"",ReferenceData!$T$22),"")</f>
        <v>3936716</v>
      </c>
      <c r="U22">
        <f ca="1">IFERROR(IF(0=LEN(ReferenceData!$U$22),"",ReferenceData!$U$22),"")</f>
        <v>4361549</v>
      </c>
      <c r="V22">
        <f ca="1">IFERROR(IF(0=LEN(ReferenceData!$V$22),"",ReferenceData!$V$22),"")</f>
        <v>4139920</v>
      </c>
      <c r="W22">
        <f ca="1">IFERROR(IF(0=LEN(ReferenceData!$W$22),"",ReferenceData!$W$22),"")</f>
        <v>4027584</v>
      </c>
      <c r="X22">
        <f ca="1">IFERROR(IF(0=LEN(ReferenceData!$X$22),"",ReferenceData!$X$22),"")</f>
        <v>3737206</v>
      </c>
      <c r="Y22">
        <f ca="1">IFERROR(IF(0=LEN(ReferenceData!$Y$22),"",ReferenceData!$Y$22),"")</f>
        <v>4249845</v>
      </c>
      <c r="Z22">
        <f ca="1">IFERROR(IF(0=LEN(ReferenceData!$Z$22),"",ReferenceData!$Z$22),"")</f>
        <v>4038230</v>
      </c>
      <c r="AA22">
        <f ca="1">IFERROR(IF(0=LEN(ReferenceData!$AA$22),"",ReferenceData!$AA$22),"")</f>
        <v>3911313</v>
      </c>
      <c r="AB22">
        <f ca="1">IFERROR(IF(0=LEN(ReferenceData!$AB$22),"",ReferenceData!$AB$22),"")</f>
        <v>3766514</v>
      </c>
      <c r="AC22">
        <f ca="1">IFERROR(IF(0=LEN(ReferenceData!$AC$22),"",ReferenceData!$AC$22),"")</f>
        <v>4234122</v>
      </c>
      <c r="AD22">
        <f ca="1">IFERROR(IF(0=LEN(ReferenceData!$AD$22),"",ReferenceData!$AD$22),"")</f>
        <v>3825735</v>
      </c>
      <c r="AE22">
        <f ca="1">IFERROR(IF(0=LEN(ReferenceData!$AE$22),"",ReferenceData!$AE$22),"")</f>
        <v>3747826</v>
      </c>
      <c r="AF22">
        <f ca="1">IFERROR(IF(0=LEN(ReferenceData!$AF$22),"",ReferenceData!$AF$22),"")</f>
        <v>3736537</v>
      </c>
      <c r="AG22">
        <f ca="1">IFERROR(IF(0=LEN(ReferenceData!$AG$22),"",ReferenceData!$AG$22),"")</f>
        <v>4413637</v>
      </c>
      <c r="AH22">
        <f ca="1">IFERROR(IF(0=LEN(ReferenceData!$AH$22),"",ReferenceData!$AH$22),"")</f>
        <v>4139827</v>
      </c>
      <c r="AI22">
        <f ca="1">IFERROR(IF(0=LEN(ReferenceData!$AI$22),"",ReferenceData!$AI$22),"")</f>
        <v>4028737.25</v>
      </c>
      <c r="AJ22">
        <f ca="1">IFERROR(IF(0=LEN(ReferenceData!$AJ$22),"",ReferenceData!$AJ$22),"")</f>
        <v>3918711</v>
      </c>
      <c r="AK22">
        <f ca="1">IFERROR(IF(0=LEN(ReferenceData!$AK$22),"",ReferenceData!$AK$22),"")</f>
        <v>4542075</v>
      </c>
      <c r="AL22">
        <f ca="1">IFERROR(IF(0=LEN(ReferenceData!$AL$22),"",ReferenceData!$AL$22),"")</f>
        <v>4332618</v>
      </c>
      <c r="AM22">
        <f ca="1">IFERROR(IF(0=LEN(ReferenceData!$AM$22),"",ReferenceData!$AM$22),"")</f>
        <v>3997501.75</v>
      </c>
      <c r="AN22">
        <f ca="1">IFERROR(IF(0=LEN(ReferenceData!$AN$22),"",ReferenceData!$AN$22),"")</f>
        <v>3711717</v>
      </c>
      <c r="AO22">
        <f ca="1">IFERROR(IF(0=LEN(ReferenceData!$AO$22),"",ReferenceData!$AO$22),"")</f>
        <v>4331230.25</v>
      </c>
      <c r="AP22">
        <f ca="1">IFERROR(IF(0=LEN(ReferenceData!$AP$22),"",ReferenceData!$AP$22),"")</f>
        <v>4121115.1666667</v>
      </c>
      <c r="AQ22">
        <f ca="1">IFERROR(IF(0=LEN(ReferenceData!$AQ$22),"",ReferenceData!$AQ$22),"")</f>
        <v>3964326</v>
      </c>
      <c r="AR22">
        <f ca="1">IFERROR(IF(0=LEN(ReferenceData!$AR$22),"",ReferenceData!$AR$22),"")</f>
        <v>3960407</v>
      </c>
      <c r="AS22">
        <f ca="1">IFERROR(IF(0=LEN(ReferenceData!$AS$22),"",ReferenceData!$AS$22),"")</f>
        <v>4505196</v>
      </c>
      <c r="AT22">
        <f ca="1">IFERROR(IF(0=LEN(ReferenceData!$AT$22),"",ReferenceData!$AT$22),"")</f>
        <v>3896284</v>
      </c>
      <c r="AU22">
        <f ca="1">IFERROR(IF(0=LEN(ReferenceData!$AU$22),"",ReferenceData!$AU$22),"")</f>
        <v>3386323</v>
      </c>
      <c r="AV22">
        <f ca="1">IFERROR(IF(0=LEN(ReferenceData!$AV$22),"",ReferenceData!$AV$22),"")</f>
        <v>4012942</v>
      </c>
      <c r="AW22">
        <f ca="1">IFERROR(IF(0=LEN(ReferenceData!$AW$22),"",ReferenceData!$AW$22),"")</f>
        <v>4898687</v>
      </c>
      <c r="AX22">
        <f ca="1">IFERROR(IF(0=LEN(ReferenceData!$AX$22),"",ReferenceData!$AX$22),"")</f>
        <v>4532604</v>
      </c>
      <c r="AY22">
        <f ca="1">IFERROR(IF(0=LEN(ReferenceData!$AY$22),"",ReferenceData!$AY$22),"")</f>
        <v>4353234</v>
      </c>
      <c r="AZ22">
        <f ca="1">IFERROR(IF(0=LEN(ReferenceData!$AZ$22),"",ReferenceData!$AZ$22),"")</f>
        <v>4254188</v>
      </c>
      <c r="BA22">
        <f ca="1">IFERROR(IF(0=LEN(ReferenceData!$BA$22),"",ReferenceData!$BA$22),"")</f>
        <v>4806632</v>
      </c>
      <c r="BB22">
        <f ca="1">IFERROR(IF(0=LEN(ReferenceData!$BB$22),"",ReferenceData!$BB$22),"")</f>
        <v>4491117</v>
      </c>
      <c r="BC22">
        <f ca="1">IFERROR(IF(0=LEN(ReferenceData!$BC$22),"",ReferenceData!$BC$22),"")</f>
        <v>3853176</v>
      </c>
      <c r="BD22">
        <f ca="1">IFERROR(IF(0=LEN(ReferenceData!$BD$22),"",ReferenceData!$BD$22),"")</f>
        <v>3892104</v>
      </c>
      <c r="BE22">
        <f ca="1">IFERROR(IF(0=LEN(ReferenceData!$BE$22),"",ReferenceData!$BE$22),"")</f>
        <v>4511890</v>
      </c>
      <c r="BF22">
        <f ca="1">IFERROR(IF(0=LEN(ReferenceData!$BF$22),"",ReferenceData!$BF$22),"")</f>
        <v>4311560</v>
      </c>
      <c r="BG22">
        <f ca="1">IFERROR(IF(0=LEN(ReferenceData!$BG$22),"",ReferenceData!$BG$22),"")</f>
        <v>3556297</v>
      </c>
      <c r="BH22">
        <f ca="1">IFERROR(IF(0=LEN(ReferenceData!$BH$22),"",ReferenceData!$BH$22),"")</f>
        <v>3736341</v>
      </c>
      <c r="BI22">
        <f ca="1">IFERROR(IF(0=LEN(ReferenceData!$BI$22),"",ReferenceData!$BI$22),"")</f>
        <v>4328402</v>
      </c>
      <c r="BJ22">
        <f ca="1">IFERROR(IF(0=LEN(ReferenceData!$BJ$22),"",ReferenceData!$BJ$22),"")</f>
        <v>4071653</v>
      </c>
      <c r="BK22">
        <f ca="1">IFERROR(IF(0=LEN(ReferenceData!$BK$22),"",ReferenceData!$BK$22),"")</f>
        <v>3518216</v>
      </c>
      <c r="BL22">
        <f ca="1">IFERROR(IF(0=LEN(ReferenceData!$BL$22),"",ReferenceData!$BL$22),"")</f>
        <v>3543199</v>
      </c>
      <c r="BM22">
        <f ca="1">IFERROR(IF(0=LEN(ReferenceData!$BM$22),"",ReferenceData!$BM$22),"")</f>
        <v>4163006</v>
      </c>
    </row>
    <row r="23" spans="1:65" x14ac:dyDescent="0.25">
      <c r="A23" t="str">
        <f>IFERROR(IF(0=LEN(ReferenceData!$A$23),"",ReferenceData!$A$23),"")</f>
        <v xml:space="preserve">        Western Europe</v>
      </c>
      <c r="B23" t="str">
        <f>IFERROR(IF(0=LEN(ReferenceData!$B$23),"",ReferenceData!$B$23),"")</f>
        <v/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Sum</v>
      </c>
      <c r="F23">
        <f ca="1">IFERROR(IF(0=LEN(ReferenceData!$F$23),"",ReferenceData!$F$23),"")</f>
        <v>1125778</v>
      </c>
      <c r="G23">
        <f ca="1">IFERROR(IF(0=LEN(ReferenceData!$G$23),"",ReferenceData!$G$23),"")</f>
        <v>3168363</v>
      </c>
      <c r="H23">
        <f ca="1">IFERROR(IF(0=LEN(ReferenceData!$H$23),"",ReferenceData!$H$23),"")</f>
        <v>3370953</v>
      </c>
      <c r="I23">
        <f ca="1">IFERROR(IF(0=LEN(ReferenceData!$I$23),"",ReferenceData!$I$23),"")</f>
        <v>4179332</v>
      </c>
      <c r="J23">
        <f ca="1">IFERROR(IF(0=LEN(ReferenceData!$J$23),"",ReferenceData!$J$23),"")</f>
        <v>4038843</v>
      </c>
      <c r="K23">
        <f ca="1">IFERROR(IF(0=LEN(ReferenceData!$K$23),"",ReferenceData!$K$23),"")</f>
        <v>3611322</v>
      </c>
      <c r="L23">
        <f ca="1">IFERROR(IF(0=LEN(ReferenceData!$L$23),"",ReferenceData!$L$23),"")</f>
        <v>3494890</v>
      </c>
      <c r="M23">
        <f ca="1">IFERROR(IF(0=LEN(ReferenceData!$M$23),"",ReferenceData!$M$23),"")</f>
        <v>4049557</v>
      </c>
      <c r="N23">
        <f ca="1">IFERROR(IF(0=LEN(ReferenceData!$N$23),"",ReferenceData!$N$23),"")</f>
        <v>4057733</v>
      </c>
      <c r="O23">
        <f ca="1">IFERROR(IF(0=LEN(ReferenceData!$O$23),"",ReferenceData!$O$23),"")</f>
        <v>3489139</v>
      </c>
      <c r="P23">
        <f ca="1">IFERROR(IF(0=LEN(ReferenceData!$P$23),"",ReferenceData!$P$23),"")</f>
        <v>3394447</v>
      </c>
      <c r="Q23">
        <f ca="1">IFERROR(IF(0=LEN(ReferenceData!$Q$23),"",ReferenceData!$Q$23),"")</f>
        <v>4063048</v>
      </c>
      <c r="R23">
        <f ca="1">IFERROR(IF(0=LEN(ReferenceData!$R$23),"",ReferenceData!$R$23),"")</f>
        <v>3792873</v>
      </c>
      <c r="S23">
        <f ca="1">IFERROR(IF(0=LEN(ReferenceData!$S$23),"",ReferenceData!$S$23),"")</f>
        <v>3385790</v>
      </c>
      <c r="T23">
        <f ca="1">IFERROR(IF(0=LEN(ReferenceData!$T$23),"",ReferenceData!$T$23),"")</f>
        <v>3295124</v>
      </c>
      <c r="U23">
        <f ca="1">IFERROR(IF(0=LEN(ReferenceData!$U$23),"",ReferenceData!$U$23),"")</f>
        <v>3719516</v>
      </c>
      <c r="V23">
        <f ca="1">IFERROR(IF(0=LEN(ReferenceData!$V$23),"",ReferenceData!$V$23),"")</f>
        <v>3530934</v>
      </c>
      <c r="W23">
        <f ca="1">IFERROR(IF(0=LEN(ReferenceData!$W$23),"",ReferenceData!$W$23),"")</f>
        <v>3096779</v>
      </c>
      <c r="X23">
        <f ca="1">IFERROR(IF(0=LEN(ReferenceData!$X$23),"",ReferenceData!$X$23),"")</f>
        <v>2987430</v>
      </c>
      <c r="Y23">
        <f ca="1">IFERROR(IF(0=LEN(ReferenceData!$Y$23),"",ReferenceData!$Y$23),"")</f>
        <v>3405215</v>
      </c>
      <c r="Z23">
        <f ca="1">IFERROR(IF(0=LEN(ReferenceData!$Z$23),"",ReferenceData!$Z$23),"")</f>
        <v>3220023</v>
      </c>
      <c r="AA23">
        <f ca="1">IFERROR(IF(0=LEN(ReferenceData!$AA$23),"",ReferenceData!$AA$23),"")</f>
        <v>2981421</v>
      </c>
      <c r="AB23">
        <f ca="1">IFERROR(IF(0=LEN(ReferenceData!$AB$23),"",ReferenceData!$AB$23),"")</f>
        <v>2875915</v>
      </c>
      <c r="AC23">
        <f ca="1">IFERROR(IF(0=LEN(ReferenceData!$AC$23),"",ReferenceData!$AC$23),"")</f>
        <v>3323381</v>
      </c>
      <c r="AD23">
        <f ca="1">IFERROR(IF(0=LEN(ReferenceData!$AD$23),"",ReferenceData!$AD$23),"")</f>
        <v>3032158</v>
      </c>
      <c r="AE23">
        <f ca="1">IFERROR(IF(0=LEN(ReferenceData!$AE$23),"",ReferenceData!$AE$23),"")</f>
        <v>2820167</v>
      </c>
      <c r="AF23">
        <f ca="1">IFERROR(IF(0=LEN(ReferenceData!$AF$23),"",ReferenceData!$AF$23),"")</f>
        <v>2796493</v>
      </c>
      <c r="AG23">
        <f ca="1">IFERROR(IF(0=LEN(ReferenceData!$AG$23),"",ReferenceData!$AG$23),"")</f>
        <v>3410341</v>
      </c>
      <c r="AH23">
        <f ca="1">IFERROR(IF(0=LEN(ReferenceData!$AH$23),"",ReferenceData!$AH$23),"")</f>
        <v>3332204</v>
      </c>
      <c r="AI23">
        <f ca="1">IFERROR(IF(0=LEN(ReferenceData!$AI$23),"",ReferenceData!$AI$23),"")</f>
        <v>3093589.75</v>
      </c>
      <c r="AJ23">
        <f ca="1">IFERROR(IF(0=LEN(ReferenceData!$AJ$23),"",ReferenceData!$AJ$23),"")</f>
        <v>3051945</v>
      </c>
      <c r="AK23">
        <f ca="1">IFERROR(IF(0=LEN(ReferenceData!$AK$23),"",ReferenceData!$AK$23),"")</f>
        <v>3625158</v>
      </c>
      <c r="AL23">
        <f ca="1">IFERROR(IF(0=LEN(ReferenceData!$AL$23),"",ReferenceData!$AL$23),"")</f>
        <v>3639359</v>
      </c>
      <c r="AM23">
        <f ca="1">IFERROR(IF(0=LEN(ReferenceData!$AM$23),"",ReferenceData!$AM$23),"")</f>
        <v>3182831</v>
      </c>
      <c r="AN23">
        <f ca="1">IFERROR(IF(0=LEN(ReferenceData!$AN$23),"",ReferenceData!$AN$23),"")</f>
        <v>3002157</v>
      </c>
      <c r="AO23">
        <f ca="1">IFERROR(IF(0=LEN(ReferenceData!$AO$23),"",ReferenceData!$AO$23),"")</f>
        <v>3630303</v>
      </c>
      <c r="AP23">
        <f ca="1">IFERROR(IF(0=LEN(ReferenceData!$AP$23),"",ReferenceData!$AP$23),"")</f>
        <v>3662370.6666667</v>
      </c>
      <c r="AQ23">
        <f ca="1">IFERROR(IF(0=LEN(ReferenceData!$AQ$23),"",ReferenceData!$AQ$23),"")</f>
        <v>3417860</v>
      </c>
      <c r="AR23">
        <f ca="1">IFERROR(IF(0=LEN(ReferenceData!$AR$23),"",ReferenceData!$AR$23),"")</f>
        <v>3425766</v>
      </c>
      <c r="AS23">
        <f ca="1">IFERROR(IF(0=LEN(ReferenceData!$AS$23),"",ReferenceData!$AS$23),"")</f>
        <v>3896018</v>
      </c>
      <c r="AT23">
        <f ca="1">IFERROR(IF(0=LEN(ReferenceData!$AT$23),"",ReferenceData!$AT$23),"")</f>
        <v>3298986</v>
      </c>
      <c r="AU23">
        <f ca="1">IFERROR(IF(0=LEN(ReferenceData!$AU$23),"",ReferenceData!$AU$23),"")</f>
        <v>2796241</v>
      </c>
      <c r="AV23">
        <f ca="1">IFERROR(IF(0=LEN(ReferenceData!$AV$23),"",ReferenceData!$AV$23),"")</f>
        <v>3170255</v>
      </c>
      <c r="AW23">
        <f ca="1">IFERROR(IF(0=LEN(ReferenceData!$AW$23),"",ReferenceData!$AW$23),"")</f>
        <v>3970642</v>
      </c>
      <c r="AX23">
        <f ca="1">IFERROR(IF(0=LEN(ReferenceData!$AX$23),"",ReferenceData!$AX$23),"")</f>
        <v>3929992</v>
      </c>
      <c r="AY23">
        <f ca="1">IFERROR(IF(0=LEN(ReferenceData!$AY$23),"",ReferenceData!$AY$23),"")</f>
        <v>3541977</v>
      </c>
      <c r="AZ23">
        <f ca="1">IFERROR(IF(0=LEN(ReferenceData!$AZ$23),"",ReferenceData!$AZ$23),"")</f>
        <v>3526882</v>
      </c>
      <c r="BA23">
        <f ca="1">IFERROR(IF(0=LEN(ReferenceData!$BA$23),"",ReferenceData!$BA$23),"")</f>
        <v>4065532</v>
      </c>
      <c r="BB23">
        <f ca="1">IFERROR(IF(0=LEN(ReferenceData!$BB$23),"",ReferenceData!$BB$23),"")</f>
        <v>4016717</v>
      </c>
      <c r="BC23">
        <f ca="1">IFERROR(IF(0=LEN(ReferenceData!$BC$23),"",ReferenceData!$BC$23),"")</f>
        <v>3457524</v>
      </c>
      <c r="BD23">
        <f ca="1">IFERROR(IF(0=LEN(ReferenceData!$BD$23),"",ReferenceData!$BD$23),"")</f>
        <v>3456239</v>
      </c>
      <c r="BE23">
        <f ca="1">IFERROR(IF(0=LEN(ReferenceData!$BE$23),"",ReferenceData!$BE$23),"")</f>
        <v>4147385</v>
      </c>
      <c r="BF23">
        <f ca="1">IFERROR(IF(0=LEN(ReferenceData!$BF$23),"",ReferenceData!$BF$23),"")</f>
        <v>4075084</v>
      </c>
      <c r="BG23">
        <f ca="1">IFERROR(IF(0=LEN(ReferenceData!$BG$23),"",ReferenceData!$BG$23),"")</f>
        <v>3371679</v>
      </c>
      <c r="BH23">
        <f ca="1">IFERROR(IF(0=LEN(ReferenceData!$BH$23),"",ReferenceData!$BH$23),"")</f>
        <v>3557813</v>
      </c>
      <c r="BI23">
        <f ca="1">IFERROR(IF(0=LEN(ReferenceData!$BI$23),"",ReferenceData!$BI$23),"")</f>
        <v>4119302</v>
      </c>
      <c r="BJ23">
        <f ca="1">IFERROR(IF(0=LEN(ReferenceData!$BJ$23),"",ReferenceData!$BJ$23),"")</f>
        <v>3894538</v>
      </c>
      <c r="BK23">
        <f ca="1">IFERROR(IF(0=LEN(ReferenceData!$BK$23),"",ReferenceData!$BK$23),"")</f>
        <v>3325712</v>
      </c>
      <c r="BL23">
        <f ca="1">IFERROR(IF(0=LEN(ReferenceData!$BL$23),"",ReferenceData!$BL$23),"")</f>
        <v>3362153</v>
      </c>
      <c r="BM23">
        <f ca="1">IFERROR(IF(0=LEN(ReferenceData!$BM$23),"",ReferenceData!$BM$23),"")</f>
        <v>3925099</v>
      </c>
    </row>
    <row r="24" spans="1:65" x14ac:dyDescent="0.25">
      <c r="A24" t="str">
        <f>IFERROR(IF(0=LEN(ReferenceData!$A$24),"",ReferenceData!$A$24),"")</f>
        <v xml:space="preserve">            Austria</v>
      </c>
      <c r="B24" t="str">
        <f>IFERROR(IF(0=LEN(ReferenceData!$B$24),"",ReferenceData!$B$24),"")</f>
        <v>WCARATI Index</v>
      </c>
      <c r="C24" t="str">
        <f>IFERROR(IF(0=LEN(ReferenceData!$C$24),"",ReferenceData!$C$24),"")</f>
        <v>PX385</v>
      </c>
      <c r="D24" t="str">
        <f>IFERROR(IF(0=LEN(ReferenceData!$D$24),"",ReferenceData!$D$24),"")</f>
        <v>INTERVAL_SUM</v>
      </c>
      <c r="E24" t="str">
        <f>IFERROR(IF(0=LEN(ReferenceData!$E$24),"",ReferenceData!$E$24),"")</f>
        <v>Dynamic</v>
      </c>
      <c r="F24">
        <f ca="1">IFERROR(IF(0=LEN(ReferenceData!$F$24),"",ReferenceData!$F$24),"")</f>
        <v>25257</v>
      </c>
      <c r="G24">
        <f ca="1">IFERROR(IF(0=LEN(ReferenceData!$G$24),"",ReferenceData!$G$24),"")</f>
        <v>65310</v>
      </c>
      <c r="H24">
        <f ca="1">IFERROR(IF(0=LEN(ReferenceData!$H$24),"",ReferenceData!$H$24),"")</f>
        <v>82897</v>
      </c>
      <c r="I24">
        <f ca="1">IFERROR(IF(0=LEN(ReferenceData!$I$24),"",ReferenceData!$I$24),"")</f>
        <v>102387</v>
      </c>
      <c r="J24">
        <f ca="1">IFERROR(IF(0=LEN(ReferenceData!$J$24),"",ReferenceData!$J$24),"")</f>
        <v>90474</v>
      </c>
      <c r="K24">
        <f ca="1">IFERROR(IF(0=LEN(ReferenceData!$K$24),"",ReferenceData!$K$24),"")</f>
        <v>83442</v>
      </c>
      <c r="L24">
        <f ca="1">IFERROR(IF(0=LEN(ReferenceData!$L$24),"",ReferenceData!$L$24),"")</f>
        <v>83317</v>
      </c>
      <c r="M24">
        <f ca="1">IFERROR(IF(0=LEN(ReferenceData!$M$24),"",ReferenceData!$M$24),"")</f>
        <v>98068</v>
      </c>
      <c r="N24">
        <f ca="1">IFERROR(IF(0=LEN(ReferenceData!$N$24),"",ReferenceData!$N$24),"")</f>
        <v>88493</v>
      </c>
      <c r="O24">
        <f ca="1">IFERROR(IF(0=LEN(ReferenceData!$O$24),"",ReferenceData!$O$24),"")</f>
        <v>77426</v>
      </c>
      <c r="P24">
        <f ca="1">IFERROR(IF(0=LEN(ReferenceData!$P$24),"",ReferenceData!$P$24),"")</f>
        <v>80408</v>
      </c>
      <c r="Q24">
        <f ca="1">IFERROR(IF(0=LEN(ReferenceData!$Q$24),"",ReferenceData!$Q$24),"")</f>
        <v>93315</v>
      </c>
      <c r="R24">
        <f ca="1">IFERROR(IF(0=LEN(ReferenceData!$R$24),"",ReferenceData!$R$24),"")</f>
        <v>78455</v>
      </c>
      <c r="S24">
        <f ca="1">IFERROR(IF(0=LEN(ReferenceData!$S$24),"",ReferenceData!$S$24),"")</f>
        <v>71362</v>
      </c>
      <c r="T24">
        <f ca="1">IFERROR(IF(0=LEN(ReferenceData!$T$24),"",ReferenceData!$T$24),"")</f>
        <v>75560</v>
      </c>
      <c r="U24">
        <f ca="1">IFERROR(IF(0=LEN(ReferenceData!$U$24),"",ReferenceData!$U$24),"")</f>
        <v>86479</v>
      </c>
      <c r="V24">
        <f ca="1">IFERROR(IF(0=LEN(ReferenceData!$V$24),"",ReferenceData!$V$24),"")</f>
        <v>75154</v>
      </c>
      <c r="W24">
        <f ca="1">IFERROR(IF(0=LEN(ReferenceData!$W$24),"",ReferenceData!$W$24),"")</f>
        <v>65955</v>
      </c>
      <c r="X24">
        <f ca="1">IFERROR(IF(0=LEN(ReferenceData!$X$24),"",ReferenceData!$X$24),"")</f>
        <v>70756</v>
      </c>
      <c r="Y24">
        <f ca="1">IFERROR(IF(0=LEN(ReferenceData!$Y$24),"",ReferenceData!$Y$24),"")</f>
        <v>85326</v>
      </c>
      <c r="Z24">
        <f ca="1">IFERROR(IF(0=LEN(ReferenceData!$Z$24),"",ReferenceData!$Z$24),"")</f>
        <v>81281</v>
      </c>
      <c r="AA24">
        <f ca="1">IFERROR(IF(0=LEN(ReferenceData!$AA$24),"",ReferenceData!$AA$24),"")</f>
        <v>70924</v>
      </c>
      <c r="AB24">
        <f ca="1">IFERROR(IF(0=LEN(ReferenceData!$AB$24),"",ReferenceData!$AB$24),"")</f>
        <v>76907</v>
      </c>
      <c r="AC24">
        <f ca="1">IFERROR(IF(0=LEN(ReferenceData!$AC$24),"",ReferenceData!$AC$24),"")</f>
        <v>91180</v>
      </c>
      <c r="AD24">
        <f ca="1">IFERROR(IF(0=LEN(ReferenceData!$AD$24),"",ReferenceData!$AD$24),"")</f>
        <v>80024</v>
      </c>
      <c r="AE24">
        <f ca="1">IFERROR(IF(0=LEN(ReferenceData!$AE$24),"",ReferenceData!$AE$24),"")</f>
        <v>69120</v>
      </c>
      <c r="AF24">
        <f ca="1">IFERROR(IF(0=LEN(ReferenceData!$AF$24),"",ReferenceData!$AF$24),"")</f>
        <v>79932</v>
      </c>
      <c r="AG24">
        <f ca="1">IFERROR(IF(0=LEN(ReferenceData!$AG$24),"",ReferenceData!$AG$24),"")</f>
        <v>98194</v>
      </c>
      <c r="AH24">
        <f ca="1">IFERROR(IF(0=LEN(ReferenceData!$AH$24),"",ReferenceData!$AH$24),"")</f>
        <v>88764</v>
      </c>
      <c r="AI24">
        <f ca="1">IFERROR(IF(0=LEN(ReferenceData!$AI$24),"",ReferenceData!$AI$24),"")</f>
        <v>82606</v>
      </c>
      <c r="AJ24">
        <f ca="1">IFERROR(IF(0=LEN(ReferenceData!$AJ$24),"",ReferenceData!$AJ$24),"")</f>
        <v>85946</v>
      </c>
      <c r="AK24">
        <f ca="1">IFERROR(IF(0=LEN(ReferenceData!$AK$24),"",ReferenceData!$AK$24),"")</f>
        <v>99728</v>
      </c>
      <c r="AL24">
        <f ca="1">IFERROR(IF(0=LEN(ReferenceData!$AL$24),"",ReferenceData!$AL$24),"")</f>
        <v>87865</v>
      </c>
      <c r="AM24">
        <f ca="1">IFERROR(IF(0=LEN(ReferenceData!$AM$24),"",ReferenceData!$AM$24),"")</f>
        <v>77103</v>
      </c>
      <c r="AN24">
        <f ca="1">IFERROR(IF(0=LEN(ReferenceData!$AN$24),"",ReferenceData!$AN$24),"")</f>
        <v>81785</v>
      </c>
      <c r="AO24">
        <f ca="1">IFERROR(IF(0=LEN(ReferenceData!$AO$24),"",ReferenceData!$AO$24),"")</f>
        <v>93737</v>
      </c>
      <c r="AP24">
        <f ca="1">IFERROR(IF(0=LEN(ReferenceData!$AP$24),"",ReferenceData!$AP$24),"")</f>
        <v>75938</v>
      </c>
      <c r="AQ24">
        <f ca="1">IFERROR(IF(0=LEN(ReferenceData!$AQ$24),"",ReferenceData!$AQ$24),"")</f>
        <v>71728</v>
      </c>
      <c r="AR24">
        <f ca="1">IFERROR(IF(0=LEN(ReferenceData!$AR$24),"",ReferenceData!$AR$24),"")</f>
        <v>81659</v>
      </c>
      <c r="AS24">
        <f ca="1">IFERROR(IF(0=LEN(ReferenceData!$AS$24),"",ReferenceData!$AS$24),"")</f>
        <v>101720</v>
      </c>
      <c r="AT24">
        <f ca="1">IFERROR(IF(0=LEN(ReferenceData!$AT$24),"",ReferenceData!$AT$24),"")</f>
        <v>64296</v>
      </c>
      <c r="AU24">
        <f ca="1">IFERROR(IF(0=LEN(ReferenceData!$AU$24),"",ReferenceData!$AU$24),"")</f>
        <v>61540</v>
      </c>
      <c r="AV24">
        <f ca="1">IFERROR(IF(0=LEN(ReferenceData!$AV$24),"",ReferenceData!$AV$24),"")</f>
        <v>63489</v>
      </c>
      <c r="AW24">
        <f ca="1">IFERROR(IF(0=LEN(ReferenceData!$AW$24),"",ReferenceData!$AW$24),"")</f>
        <v>94890</v>
      </c>
      <c r="AX24">
        <f ca="1">IFERROR(IF(0=LEN(ReferenceData!$AX$24),"",ReferenceData!$AX$24),"")</f>
        <v>73778</v>
      </c>
      <c r="AY24">
        <f ca="1">IFERROR(IF(0=LEN(ReferenceData!$AY$24),"",ReferenceData!$AY$24),"")</f>
        <v>66641</v>
      </c>
      <c r="AZ24">
        <f ca="1">IFERROR(IF(0=LEN(ReferenceData!$AZ$24),"",ReferenceData!$AZ$24),"")</f>
        <v>66960</v>
      </c>
      <c r="BA24">
        <f ca="1">IFERROR(IF(0=LEN(ReferenceData!$BA$24),"",ReferenceData!$BA$24),"")</f>
        <v>89262</v>
      </c>
      <c r="BB24">
        <f ca="1">IFERROR(IF(0=LEN(ReferenceData!$BB$24),"",ReferenceData!$BB$24),"")</f>
        <v>75319</v>
      </c>
      <c r="BC24">
        <f ca="1">IFERROR(IF(0=LEN(ReferenceData!$BC$24),"",ReferenceData!$BC$24),"")</f>
        <v>66549</v>
      </c>
      <c r="BD24">
        <f ca="1">IFERROR(IF(0=LEN(ReferenceData!$BD$24),"",ReferenceData!$BD$24),"")</f>
        <v>72699</v>
      </c>
      <c r="BE24">
        <f ca="1">IFERROR(IF(0=LEN(ReferenceData!$BE$24),"",ReferenceData!$BE$24),"")</f>
        <v>91347</v>
      </c>
      <c r="BF24">
        <f ca="1">IFERROR(IF(0=LEN(ReferenceData!$BF$24),"",ReferenceData!$BF$24),"")</f>
        <v>77999</v>
      </c>
      <c r="BG24">
        <f ca="1">IFERROR(IF(0=LEN(ReferenceData!$BG$24),"",ReferenceData!$BG$24),"")</f>
        <v>63640</v>
      </c>
      <c r="BH24">
        <f ca="1">IFERROR(IF(0=LEN(ReferenceData!$BH$24),"",ReferenceData!$BH$24),"")</f>
        <v>73064</v>
      </c>
      <c r="BI24">
        <f ca="1">IFERROR(IF(0=LEN(ReferenceData!$BI$24),"",ReferenceData!$BI$24),"")</f>
        <v>96617</v>
      </c>
      <c r="BJ24">
        <f ca="1">IFERROR(IF(0=LEN(ReferenceData!$BJ$24),"",ReferenceData!$BJ$24),"")</f>
        <v>74594</v>
      </c>
      <c r="BK24">
        <f ca="1">IFERROR(IF(0=LEN(ReferenceData!$BK$24),"",ReferenceData!$BK$24),"")</f>
        <v>67363</v>
      </c>
      <c r="BL24">
        <f ca="1">IFERROR(IF(0=LEN(ReferenceData!$BL$24),"",ReferenceData!$BL$24),"")</f>
        <v>74016</v>
      </c>
      <c r="BM24">
        <f ca="1">IFERROR(IF(0=LEN(ReferenceData!$BM$24),"",ReferenceData!$BM$24),"")</f>
        <v>94297</v>
      </c>
    </row>
    <row r="25" spans="1:65" x14ac:dyDescent="0.25">
      <c r="A25" t="str">
        <f>IFERROR(IF(0=LEN(ReferenceData!$A$25),"",ReferenceData!$A$25),"")</f>
        <v xml:space="preserve">            Belgium</v>
      </c>
      <c r="B25" t="str">
        <f>IFERROR(IF(0=LEN(ReferenceData!$B$25),"",ReferenceData!$B$25),"")</f>
        <v>WCARBEI Index</v>
      </c>
      <c r="C25" t="str">
        <f>IFERROR(IF(0=LEN(ReferenceData!$C$25),"",ReferenceData!$C$25),"")</f>
        <v>PX385</v>
      </c>
      <c r="D25" t="str">
        <f>IFERROR(IF(0=LEN(ReferenceData!$D$25),"",ReferenceData!$D$25),"")</f>
        <v>INTERVAL_SUM</v>
      </c>
      <c r="E25" t="str">
        <f>IFERROR(IF(0=LEN(ReferenceData!$E$25),"",ReferenceData!$E$25),"")</f>
        <v>Dynamic</v>
      </c>
      <c r="F25">
        <f ca="1">IFERROR(IF(0=LEN(ReferenceData!$F$25),"",ReferenceData!$F$25),"")</f>
        <v>51074</v>
      </c>
      <c r="G25">
        <f ca="1">IFERROR(IF(0=LEN(ReferenceData!$G$25),"",ReferenceData!$G$25),"")</f>
        <v>93910</v>
      </c>
      <c r="H25">
        <f ca="1">IFERROR(IF(0=LEN(ReferenceData!$H$25),"",ReferenceData!$H$25),"")</f>
        <v>124353</v>
      </c>
      <c r="I25">
        <f ca="1">IFERROR(IF(0=LEN(ReferenceData!$I$25),"",ReferenceData!$I$25),"")</f>
        <v>165812</v>
      </c>
      <c r="J25">
        <f ca="1">IFERROR(IF(0=LEN(ReferenceData!$J$25),"",ReferenceData!$J$25),"")</f>
        <v>165557</v>
      </c>
      <c r="K25">
        <f ca="1">IFERROR(IF(0=LEN(ReferenceData!$K$25),"",ReferenceData!$K$25),"")</f>
        <v>111217</v>
      </c>
      <c r="L25">
        <f ca="1">IFERROR(IF(0=LEN(ReferenceData!$L$25),"",ReferenceData!$L$25),"")</f>
        <v>113039</v>
      </c>
      <c r="M25">
        <f ca="1">IFERROR(IF(0=LEN(ReferenceData!$M$25),"",ReferenceData!$M$25),"")</f>
        <v>157593</v>
      </c>
      <c r="N25">
        <f ca="1">IFERROR(IF(0=LEN(ReferenceData!$N$25),"",ReferenceData!$N$25),"")</f>
        <v>164709</v>
      </c>
      <c r="O25">
        <f ca="1">IFERROR(IF(0=LEN(ReferenceData!$O$25),"",ReferenceData!$O$25),"")</f>
        <v>115137</v>
      </c>
      <c r="P25">
        <f ca="1">IFERROR(IF(0=LEN(ReferenceData!$P$25),"",ReferenceData!$P$25),"")</f>
        <v>114776</v>
      </c>
      <c r="Q25">
        <f ca="1">IFERROR(IF(0=LEN(ReferenceData!$Q$25),"",ReferenceData!$Q$25),"")</f>
        <v>159150</v>
      </c>
      <c r="R25">
        <f ca="1">IFERROR(IF(0=LEN(ReferenceData!$R$25),"",ReferenceData!$R$25),"")</f>
        <v>150456</v>
      </c>
      <c r="S25">
        <f ca="1">IFERROR(IF(0=LEN(ReferenceData!$S$25),"",ReferenceData!$S$25),"")</f>
        <v>108544</v>
      </c>
      <c r="T25">
        <f ca="1">IFERROR(IF(0=LEN(ReferenceData!$T$25),"",ReferenceData!$T$25),"")</f>
        <v>104098</v>
      </c>
      <c r="U25">
        <f ca="1">IFERROR(IF(0=LEN(ReferenceData!$U$25),"",ReferenceData!$U$25),"")</f>
        <v>141351</v>
      </c>
      <c r="V25">
        <f ca="1">IFERROR(IF(0=LEN(ReferenceData!$V$25),"",ReferenceData!$V$25),"")</f>
        <v>147073</v>
      </c>
      <c r="W25">
        <f ca="1">IFERROR(IF(0=LEN(ReferenceData!$W$25),"",ReferenceData!$W$25),"")</f>
        <v>94844</v>
      </c>
      <c r="X25">
        <f ca="1">IFERROR(IF(0=LEN(ReferenceData!$X$25),"",ReferenceData!$X$25),"")</f>
        <v>100271</v>
      </c>
      <c r="Y25">
        <f ca="1">IFERROR(IF(0=LEN(ReferenceData!$Y$25),"",ReferenceData!$Y$25),"")</f>
        <v>139292</v>
      </c>
      <c r="Z25">
        <f ca="1">IFERROR(IF(0=LEN(ReferenceData!$Z$25),"",ReferenceData!$Z$25),"")</f>
        <v>148532</v>
      </c>
      <c r="AA25">
        <f ca="1">IFERROR(IF(0=LEN(ReferenceData!$AA$25),"",ReferenceData!$AA$25),"")</f>
        <v>96594</v>
      </c>
      <c r="AB25">
        <f ca="1">IFERROR(IF(0=LEN(ReferenceData!$AB$25),"",ReferenceData!$AB$25),"")</f>
        <v>99598</v>
      </c>
      <c r="AC25">
        <f ca="1">IFERROR(IF(0=LEN(ReferenceData!$AC$25),"",ReferenceData!$AC$25),"")</f>
        <v>140713</v>
      </c>
      <c r="AD25">
        <f ca="1">IFERROR(IF(0=LEN(ReferenceData!$AD$25),"",ReferenceData!$AD$25),"")</f>
        <v>149160</v>
      </c>
      <c r="AE25">
        <f ca="1">IFERROR(IF(0=LEN(ReferenceData!$AE$25),"",ReferenceData!$AE$25),"")</f>
        <v>100004</v>
      </c>
      <c r="AF25">
        <f ca="1">IFERROR(IF(0=LEN(ReferenceData!$AF$25),"",ReferenceData!$AF$25),"")</f>
        <v>101617</v>
      </c>
      <c r="AG25">
        <f ca="1">IFERROR(IF(0=LEN(ReferenceData!$AG$25),"",ReferenceData!$AG$25),"")</f>
        <v>136753</v>
      </c>
      <c r="AH25">
        <f ca="1">IFERROR(IF(0=LEN(ReferenceData!$AH$25),"",ReferenceData!$AH$25),"")</f>
        <v>148363</v>
      </c>
      <c r="AI25">
        <f ca="1">IFERROR(IF(0=LEN(ReferenceData!$AI$25),"",ReferenceData!$AI$25),"")</f>
        <v>131665</v>
      </c>
      <c r="AJ25">
        <f ca="1">IFERROR(IF(0=LEN(ReferenceData!$AJ$25),"",ReferenceData!$AJ$25),"")</f>
        <v>114101</v>
      </c>
      <c r="AK25">
        <f ca="1">IFERROR(IF(0=LEN(ReferenceData!$AK$25),"",ReferenceData!$AK$25),"")</f>
        <v>156541</v>
      </c>
      <c r="AL25">
        <f ca="1">IFERROR(IF(0=LEN(ReferenceData!$AL$25),"",ReferenceData!$AL$25),"")</f>
        <v>169904</v>
      </c>
      <c r="AM25">
        <f ca="1">IFERROR(IF(0=LEN(ReferenceData!$AM$25),"",ReferenceData!$AM$25),"")</f>
        <v>113350</v>
      </c>
      <c r="AN25">
        <f ca="1">IFERROR(IF(0=LEN(ReferenceData!$AN$25),"",ReferenceData!$AN$25),"")</f>
        <v>113794</v>
      </c>
      <c r="AO25">
        <f ca="1">IFERROR(IF(0=LEN(ReferenceData!$AO$25),"",ReferenceData!$AO$25),"")</f>
        <v>158906</v>
      </c>
      <c r="AP25">
        <f ca="1">IFERROR(IF(0=LEN(ReferenceData!$AP$25),"",ReferenceData!$AP$25),"")</f>
        <v>161290</v>
      </c>
      <c r="AQ25">
        <f ca="1">IFERROR(IF(0=LEN(ReferenceData!$AQ$25),"",ReferenceData!$AQ$25),"")</f>
        <v>101311</v>
      </c>
      <c r="AR25">
        <f ca="1">IFERROR(IF(0=LEN(ReferenceData!$AR$25),"",ReferenceData!$AR$25),"")</f>
        <v>101678</v>
      </c>
      <c r="AS25">
        <f ca="1">IFERROR(IF(0=LEN(ReferenceData!$AS$25),"",ReferenceData!$AS$25),"")</f>
        <v>129353</v>
      </c>
      <c r="AT25">
        <f ca="1">IFERROR(IF(0=LEN(ReferenceData!$AT$25),"",ReferenceData!$AT$25),"")</f>
        <v>143852</v>
      </c>
      <c r="AU25">
        <f ca="1">IFERROR(IF(0=LEN(ReferenceData!$AU$25),"",ReferenceData!$AU$25),"")</f>
        <v>95216</v>
      </c>
      <c r="AV25">
        <f ca="1">IFERROR(IF(0=LEN(ReferenceData!$AV$25),"",ReferenceData!$AV$25),"")</f>
        <v>110034</v>
      </c>
      <c r="AW25">
        <f ca="1">IFERROR(IF(0=LEN(ReferenceData!$AW$25),"",ReferenceData!$AW$25),"")</f>
        <v>160833</v>
      </c>
      <c r="AX25">
        <f ca="1">IFERROR(IF(0=LEN(ReferenceData!$AX$25),"",ReferenceData!$AX$25),"")</f>
        <v>169864</v>
      </c>
      <c r="AY25">
        <f ca="1">IFERROR(IF(0=LEN(ReferenceData!$AY$25),"",ReferenceData!$AY$25),"")</f>
        <v>106196</v>
      </c>
      <c r="AZ25">
        <f ca="1">IFERROR(IF(0=LEN(ReferenceData!$AZ$25),"",ReferenceData!$AZ$25),"")</f>
        <v>110090</v>
      </c>
      <c r="BA25">
        <f ca="1">IFERROR(IF(0=LEN(ReferenceData!$BA$25),"",ReferenceData!$BA$25),"")</f>
        <v>144651</v>
      </c>
      <c r="BB25">
        <f ca="1">IFERROR(IF(0=LEN(ReferenceData!$BB$25),"",ReferenceData!$BB$25),"")</f>
        <v>163858</v>
      </c>
      <c r="BC25">
        <f ca="1">IFERROR(IF(0=LEN(ReferenceData!$BC$25),"",ReferenceData!$BC$25),"")</f>
        <v>97164</v>
      </c>
      <c r="BD25">
        <f ca="1">IFERROR(IF(0=LEN(ReferenceData!$BD$25),"",ReferenceData!$BD$25),"")</f>
        <v>103366</v>
      </c>
      <c r="BE25">
        <f ca="1">IFERROR(IF(0=LEN(ReferenceData!$BE$25),"",ReferenceData!$BE$25),"")</f>
        <v>147966</v>
      </c>
      <c r="BF25">
        <f ca="1">IFERROR(IF(0=LEN(ReferenceData!$BF$25),"",ReferenceData!$BF$25),"")</f>
        <v>177645</v>
      </c>
      <c r="BG25">
        <f ca="1">IFERROR(IF(0=LEN(ReferenceData!$BG$25),"",ReferenceData!$BG$25),"")</f>
        <v>92853</v>
      </c>
      <c r="BH25">
        <f ca="1">IFERROR(IF(0=LEN(ReferenceData!$BH$25),"",ReferenceData!$BH$25),"")</f>
        <v>100838</v>
      </c>
      <c r="BI25">
        <f ca="1">IFERROR(IF(0=LEN(ReferenceData!$BI$25),"",ReferenceData!$BI$25),"")</f>
        <v>138399</v>
      </c>
      <c r="BJ25">
        <f ca="1">IFERROR(IF(0=LEN(ReferenceData!$BJ$25),"",ReferenceData!$BJ$25),"")</f>
        <v>147998</v>
      </c>
      <c r="BK25">
        <f ca="1">IFERROR(IF(0=LEN(ReferenceData!$BK$25),"",ReferenceData!$BK$25),"")</f>
        <v>97158</v>
      </c>
      <c r="BL25">
        <f ca="1">IFERROR(IF(0=LEN(ReferenceData!$BL$25),"",ReferenceData!$BL$25),"")</f>
        <v>94328</v>
      </c>
      <c r="BM25">
        <f ca="1">IFERROR(IF(0=LEN(ReferenceData!$BM$25),"",ReferenceData!$BM$25),"")</f>
        <v>135594</v>
      </c>
    </row>
    <row r="26" spans="1:65" x14ac:dyDescent="0.25">
      <c r="A26" t="str">
        <f>IFERROR(IF(0=LEN(ReferenceData!$A$26),"",ReferenceData!$A$26),"")</f>
        <v xml:space="preserve">            Cyprus</v>
      </c>
      <c r="B26" t="str">
        <f>IFERROR(IF(0=LEN(ReferenceData!$B$26),"",ReferenceData!$B$26),"")</f>
        <v>WCARCYI Index</v>
      </c>
      <c r="C26" t="str">
        <f>IFERROR(IF(0=LEN(ReferenceData!$C$26),"",ReferenceData!$C$26),"")</f>
        <v>PX385</v>
      </c>
      <c r="D26" t="str">
        <f>IFERROR(IF(0=LEN(ReferenceData!$D$26),"",ReferenceData!$D$26),"")</f>
        <v>INTERVAL_SUM</v>
      </c>
      <c r="E26" t="str">
        <f>IFERROR(IF(0=LEN(ReferenceData!$E$26),"",ReferenceData!$E$26),"")</f>
        <v>Dynamic</v>
      </c>
      <c r="F26">
        <f ca="1">IFERROR(IF(0=LEN(ReferenceData!$F$26),"",ReferenceData!$F$26),"")</f>
        <v>1021</v>
      </c>
      <c r="G26">
        <f ca="1">IFERROR(IF(0=LEN(ReferenceData!$G$26),"",ReferenceData!$G$26),"")</f>
        <v>2560</v>
      </c>
      <c r="H26">
        <f ca="1">IFERROR(IF(0=LEN(ReferenceData!$H$26),"",ReferenceData!$H$26),"")</f>
        <v>2745</v>
      </c>
      <c r="I26">
        <f ca="1">IFERROR(IF(0=LEN(ReferenceData!$I$26),"",ReferenceData!$I$26),"")</f>
        <v>3462</v>
      </c>
      <c r="J26">
        <f ca="1">IFERROR(IF(0=LEN(ReferenceData!$J$26),"",ReferenceData!$J$26),"")</f>
        <v>4189</v>
      </c>
      <c r="K26">
        <f ca="1">IFERROR(IF(0=LEN(ReferenceData!$K$26),"",ReferenceData!$K$26),"")</f>
        <v>2747</v>
      </c>
      <c r="L26">
        <f ca="1">IFERROR(IF(0=LEN(ReferenceData!$L$26),"",ReferenceData!$L$26),"")</f>
        <v>2791</v>
      </c>
      <c r="M26">
        <f ca="1">IFERROR(IF(0=LEN(ReferenceData!$M$26),"",ReferenceData!$M$26),"")</f>
        <v>3902</v>
      </c>
      <c r="N26">
        <f ca="1">IFERROR(IF(0=LEN(ReferenceData!$N$26),"",ReferenceData!$N$26),"")</f>
        <v>3640</v>
      </c>
      <c r="O26">
        <f ca="1">IFERROR(IF(0=LEN(ReferenceData!$O$26),"",ReferenceData!$O$26),"")</f>
        <v>2906</v>
      </c>
      <c r="P26">
        <f ca="1">IFERROR(IF(0=LEN(ReferenceData!$P$26),"",ReferenceData!$P$26),"")</f>
        <v>2972</v>
      </c>
      <c r="Q26">
        <f ca="1">IFERROR(IF(0=LEN(ReferenceData!$Q$26),"",ReferenceData!$Q$26),"")</f>
        <v>3525</v>
      </c>
      <c r="R26">
        <f ca="1">IFERROR(IF(0=LEN(ReferenceData!$R$26),"",ReferenceData!$R$26),"")</f>
        <v>3268</v>
      </c>
      <c r="S26">
        <f ca="1">IFERROR(IF(0=LEN(ReferenceData!$S$26),"",ReferenceData!$S$26),"")</f>
        <v>2785</v>
      </c>
      <c r="T26">
        <f ca="1">IFERROR(IF(0=LEN(ReferenceData!$T$26),"",ReferenceData!$T$26),"")</f>
        <v>2717</v>
      </c>
      <c r="U26">
        <f ca="1">IFERROR(IF(0=LEN(ReferenceData!$U$26),"",ReferenceData!$U$26),"")</f>
        <v>2408</v>
      </c>
      <c r="V26">
        <f ca="1">IFERROR(IF(0=LEN(ReferenceData!$V$26),"",ReferenceData!$V$26),"")</f>
        <v>2434</v>
      </c>
      <c r="W26">
        <f ca="1">IFERROR(IF(0=LEN(ReferenceData!$W$26),"",ReferenceData!$W$26),"")</f>
        <v>1933</v>
      </c>
      <c r="X26">
        <f ca="1">IFERROR(IF(0=LEN(ReferenceData!$X$26),"",ReferenceData!$X$26),"")</f>
        <v>2045</v>
      </c>
      <c r="Y26">
        <f ca="1">IFERROR(IF(0=LEN(ReferenceData!$Y$26),"",ReferenceData!$Y$26),"")</f>
        <v>2206</v>
      </c>
      <c r="Z26">
        <f ca="1">IFERROR(IF(0=LEN(ReferenceData!$Z$26),"",ReferenceData!$Z$26),"")</f>
        <v>2092</v>
      </c>
      <c r="AA26">
        <f ca="1">IFERROR(IF(0=LEN(ReferenceData!$AA$26),"",ReferenceData!$AA$26),"")</f>
        <v>1665</v>
      </c>
      <c r="AB26">
        <f ca="1">IFERROR(IF(0=LEN(ReferenceData!$AB$26),"",ReferenceData!$AB$26),"")</f>
        <v>1758</v>
      </c>
      <c r="AC26">
        <f ca="1">IFERROR(IF(0=LEN(ReferenceData!$AC$26),"",ReferenceData!$AC$26),"")</f>
        <v>1810</v>
      </c>
      <c r="AD26">
        <f ca="1">IFERROR(IF(0=LEN(ReferenceData!$AD$26),"",ReferenceData!$AD$26),"")</f>
        <v>1869</v>
      </c>
      <c r="AE26">
        <f ca="1">IFERROR(IF(0=LEN(ReferenceData!$AE$26),"",ReferenceData!$AE$26),"")</f>
        <v>2075</v>
      </c>
      <c r="AF26">
        <f ca="1">IFERROR(IF(0=LEN(ReferenceData!$AF$26),"",ReferenceData!$AF$26),"")</f>
        <v>2466</v>
      </c>
      <c r="AG26">
        <f ca="1">IFERROR(IF(0=LEN(ReferenceData!$AG$26),"",ReferenceData!$AG$26),"")</f>
        <v>3224</v>
      </c>
      <c r="AH26">
        <f ca="1">IFERROR(IF(0=LEN(ReferenceData!$AH$26),"",ReferenceData!$AH$26),"")</f>
        <v>3202</v>
      </c>
      <c r="AI26">
        <f ca="1">IFERROR(IF(0=LEN(ReferenceData!$AI$26),"",ReferenceData!$AI$26),"")</f>
        <v>3380</v>
      </c>
      <c r="AJ26">
        <f ca="1">IFERROR(IF(0=LEN(ReferenceData!$AJ$26),"",ReferenceData!$AJ$26),"")</f>
        <v>2895</v>
      </c>
      <c r="AK26">
        <f ca="1">IFERROR(IF(0=LEN(ReferenceData!$AK$26),"",ReferenceData!$AK$26),"")</f>
        <v>4084</v>
      </c>
      <c r="AL26">
        <f ca="1">IFERROR(IF(0=LEN(ReferenceData!$AL$26),"",ReferenceData!$AL$26),"")</f>
        <v>4014</v>
      </c>
      <c r="AM26" t="str">
        <f ca="1">IFERROR(IF(0=LEN(ReferenceData!$AM$26),"",ReferenceData!$AM$26),"")</f>
        <v/>
      </c>
      <c r="AN26" t="str">
        <f ca="1">IFERROR(IF(0=LEN(ReferenceData!$AN$26),"",ReferenceData!$AN$26),"")</f>
        <v/>
      </c>
      <c r="AO26" t="str">
        <f ca="1">IFERROR(IF(0=LEN(ReferenceData!$AO$26),"",ReferenceData!$AO$26),"")</f>
        <v/>
      </c>
      <c r="AP26" t="str">
        <f ca="1">IFERROR(IF(0=LEN(ReferenceData!$AP$26),"",ReferenceData!$AP$26),"")</f>
        <v/>
      </c>
      <c r="AQ26" t="str">
        <f ca="1">IFERROR(IF(0=LEN(ReferenceData!$AQ$26),"",ReferenceData!$AQ$26),"")</f>
        <v/>
      </c>
      <c r="AR26" t="str">
        <f ca="1">IFERROR(IF(0=LEN(ReferenceData!$AR$26),"",ReferenceData!$AR$26),"")</f>
        <v/>
      </c>
      <c r="AS26" t="str">
        <f ca="1">IFERROR(IF(0=LEN(ReferenceData!$AS$26),"",ReferenceData!$AS$26),"")</f>
        <v/>
      </c>
      <c r="AT26" t="str">
        <f ca="1">IFERROR(IF(0=LEN(ReferenceData!$AT$26),"",ReferenceData!$AT$26),"")</f>
        <v/>
      </c>
      <c r="AU26" t="str">
        <f ca="1">IFERROR(IF(0=LEN(ReferenceData!$AU$26),"",ReferenceData!$AU$26),"")</f>
        <v/>
      </c>
      <c r="AV26" t="str">
        <f ca="1">IFERROR(IF(0=LEN(ReferenceData!$AV$26),"",ReferenceData!$AV$26),"")</f>
        <v/>
      </c>
      <c r="AW26" t="str">
        <f ca="1">IFERROR(IF(0=LEN(ReferenceData!$AW$26),"",ReferenceData!$AW$26),"")</f>
        <v/>
      </c>
      <c r="AX26" t="str">
        <f ca="1">IFERROR(IF(0=LEN(ReferenceData!$AX$26),"",ReferenceData!$AX$26),"")</f>
        <v/>
      </c>
      <c r="AY26" t="str">
        <f ca="1">IFERROR(IF(0=LEN(ReferenceData!$AY$26),"",ReferenceData!$AY$26),"")</f>
        <v/>
      </c>
      <c r="AZ26" t="str">
        <f ca="1">IFERROR(IF(0=LEN(ReferenceData!$AZ$26),"",ReferenceData!$AZ$26),"")</f>
        <v/>
      </c>
      <c r="BA26" t="str">
        <f ca="1">IFERROR(IF(0=LEN(ReferenceData!$BA$26),"",ReferenceData!$BA$26),"")</f>
        <v/>
      </c>
      <c r="BB26" t="str">
        <f ca="1">IFERROR(IF(0=LEN(ReferenceData!$BB$26),"",ReferenceData!$BB$26),"")</f>
        <v/>
      </c>
      <c r="BC26" t="str">
        <f ca="1">IFERROR(IF(0=LEN(ReferenceData!$BC$26),"",ReferenceData!$BC$26),"")</f>
        <v/>
      </c>
      <c r="BD26" t="str">
        <f ca="1">IFERROR(IF(0=LEN(ReferenceData!$BD$26),"",ReferenceData!$BD$26),"")</f>
        <v/>
      </c>
      <c r="BE26" t="str">
        <f ca="1">IFERROR(IF(0=LEN(ReferenceData!$BE$26),"",ReferenceData!$BE$26),"")</f>
        <v/>
      </c>
      <c r="BF26" t="str">
        <f ca="1">IFERROR(IF(0=LEN(ReferenceData!$BF$26),"",ReferenceData!$BF$26),"")</f>
        <v/>
      </c>
      <c r="BG26" t="str">
        <f ca="1">IFERROR(IF(0=LEN(ReferenceData!$BG$26),"",ReferenceData!$BG$26),"")</f>
        <v/>
      </c>
      <c r="BH26" t="str">
        <f ca="1">IFERROR(IF(0=LEN(ReferenceData!$BH$26),"",ReferenceData!$BH$26),"")</f>
        <v/>
      </c>
      <c r="BI26" t="str">
        <f ca="1">IFERROR(IF(0=LEN(ReferenceData!$BI$26),"",ReferenceData!$BI$26),"")</f>
        <v/>
      </c>
      <c r="BJ26" t="str">
        <f ca="1">IFERROR(IF(0=LEN(ReferenceData!$BJ$26),"",ReferenceData!$BJ$26),"")</f>
        <v/>
      </c>
      <c r="BK26" t="str">
        <f ca="1">IFERROR(IF(0=LEN(ReferenceData!$BK$26),"",ReferenceData!$BK$26),"")</f>
        <v/>
      </c>
      <c r="BL26" t="str">
        <f ca="1">IFERROR(IF(0=LEN(ReferenceData!$BL$26),"",ReferenceData!$BL$26),"")</f>
        <v/>
      </c>
      <c r="BM26" t="str">
        <f ca="1">IFERROR(IF(0=LEN(ReferenceData!$BM$26),"",ReferenceData!$BM$26),"")</f>
        <v/>
      </c>
    </row>
    <row r="27" spans="1:65" x14ac:dyDescent="0.25">
      <c r="A27" t="str">
        <f>IFERROR(IF(0=LEN(ReferenceData!$A$27),"",ReferenceData!$A$27),"")</f>
        <v xml:space="preserve">            Denmark</v>
      </c>
      <c r="B27" t="str">
        <f>IFERROR(IF(0=LEN(ReferenceData!$B$27),"",ReferenceData!$B$27),"")</f>
        <v>WCARDKI Index</v>
      </c>
      <c r="C27" t="str">
        <f>IFERROR(IF(0=LEN(ReferenceData!$C$27),"",ReferenceData!$C$27),"")</f>
        <v>PX385</v>
      </c>
      <c r="D27" t="str">
        <f>IFERROR(IF(0=LEN(ReferenceData!$D$27),"",ReferenceData!$D$27),"")</f>
        <v>INTERVAL_SUM</v>
      </c>
      <c r="E27" t="str">
        <f>IFERROR(IF(0=LEN(ReferenceData!$E$27),"",ReferenceData!$E$27),"")</f>
        <v>Dynamic</v>
      </c>
      <c r="F27">
        <f ca="1">IFERROR(IF(0=LEN(ReferenceData!$F$27),"",ReferenceData!$F$27),"")</f>
        <v>21313</v>
      </c>
      <c r="G27">
        <f ca="1">IFERROR(IF(0=LEN(ReferenceData!$G$27),"",ReferenceData!$G$27),"")</f>
        <v>48518</v>
      </c>
      <c r="H27">
        <f ca="1">IFERROR(IF(0=LEN(ReferenceData!$H$27),"",ReferenceData!$H$27),"")</f>
        <v>49261</v>
      </c>
      <c r="I27">
        <f ca="1">IFERROR(IF(0=LEN(ReferenceData!$I$27),"",ReferenceData!$I$27),"")</f>
        <v>63792</v>
      </c>
      <c r="J27">
        <f ca="1">IFERROR(IF(0=LEN(ReferenceData!$J$27),"",ReferenceData!$J$27),"")</f>
        <v>56956</v>
      </c>
      <c r="K27">
        <f ca="1">IFERROR(IF(0=LEN(ReferenceData!$K$27),"",ReferenceData!$K$27),"")</f>
        <v>53125</v>
      </c>
      <c r="L27">
        <f ca="1">IFERROR(IF(0=LEN(ReferenceData!$L$27),"",ReferenceData!$L$27),"")</f>
        <v>44892</v>
      </c>
      <c r="M27">
        <f ca="1">IFERROR(IF(0=LEN(ReferenceData!$M$27),"",ReferenceData!$M$27),"")</f>
        <v>63879</v>
      </c>
      <c r="N27">
        <f ca="1">IFERROR(IF(0=LEN(ReferenceData!$N$27),"",ReferenceData!$N$27),"")</f>
        <v>59923</v>
      </c>
      <c r="O27">
        <f ca="1">IFERROR(IF(0=LEN(ReferenceData!$O$27),"",ReferenceData!$O$27),"")</f>
        <v>54449</v>
      </c>
      <c r="P27">
        <f ca="1">IFERROR(IF(0=LEN(ReferenceData!$P$27),"",ReferenceData!$P$27),"")</f>
        <v>51619</v>
      </c>
      <c r="Q27">
        <f ca="1">IFERROR(IF(0=LEN(ReferenceData!$Q$27),"",ReferenceData!$Q$27),"")</f>
        <v>64638</v>
      </c>
      <c r="R27">
        <f ca="1">IFERROR(IF(0=LEN(ReferenceData!$R$27),"",ReferenceData!$R$27),"")</f>
        <v>50537</v>
      </c>
      <c r="S27">
        <f ca="1">IFERROR(IF(0=LEN(ReferenceData!$S$27),"",ReferenceData!$S$27),"")</f>
        <v>52431</v>
      </c>
      <c r="T27">
        <f ca="1">IFERROR(IF(0=LEN(ReferenceData!$T$27),"",ReferenceData!$T$27),"")</f>
        <v>50221</v>
      </c>
      <c r="U27">
        <f ca="1">IFERROR(IF(0=LEN(ReferenceData!$U$27),"",ReferenceData!$U$27),"")</f>
        <v>55319</v>
      </c>
      <c r="V27">
        <f ca="1">IFERROR(IF(0=LEN(ReferenceData!$V$27),"",ReferenceData!$V$27),"")</f>
        <v>49236</v>
      </c>
      <c r="W27">
        <f ca="1">IFERROR(IF(0=LEN(ReferenceData!$W$27),"",ReferenceData!$W$27),"")</f>
        <v>46931</v>
      </c>
      <c r="X27">
        <f ca="1">IFERROR(IF(0=LEN(ReferenceData!$X$27),"",ReferenceData!$X$27),"")</f>
        <v>43273</v>
      </c>
      <c r="Y27">
        <f ca="1">IFERROR(IF(0=LEN(ReferenceData!$Y$27),"",ReferenceData!$Y$27),"")</f>
        <v>50890</v>
      </c>
      <c r="Z27">
        <f ca="1">IFERROR(IF(0=LEN(ReferenceData!$Z$27),"",ReferenceData!$Z$27),"")</f>
        <v>47828</v>
      </c>
      <c r="AA27">
        <f ca="1">IFERROR(IF(0=LEN(ReferenceData!$AA$27),"",ReferenceData!$AA$27),"")</f>
        <v>47024</v>
      </c>
      <c r="AB27">
        <f ca="1">IFERROR(IF(0=LEN(ReferenceData!$AB$27),"",ReferenceData!$AB$27),"")</f>
        <v>43204</v>
      </c>
      <c r="AC27">
        <f ca="1">IFERROR(IF(0=LEN(ReferenceData!$AC$27),"",ReferenceData!$AC$27),"")</f>
        <v>50009</v>
      </c>
      <c r="AD27">
        <f ca="1">IFERROR(IF(0=LEN(ReferenceData!$AD$27),"",ReferenceData!$AD$27),"")</f>
        <v>41950</v>
      </c>
      <c r="AE27">
        <f ca="1">IFERROR(IF(0=LEN(ReferenceData!$AE$27),"",ReferenceData!$AE$27),"")</f>
        <v>42258</v>
      </c>
      <c r="AF27">
        <f ca="1">IFERROR(IF(0=LEN(ReferenceData!$AF$27),"",ReferenceData!$AF$27),"")</f>
        <v>44212</v>
      </c>
      <c r="AG27">
        <f ca="1">IFERROR(IF(0=LEN(ReferenceData!$AG$27),"",ReferenceData!$AG$27),"")</f>
        <v>43551</v>
      </c>
      <c r="AH27">
        <f ca="1">IFERROR(IF(0=LEN(ReferenceData!$AH$27),"",ReferenceData!$AH$27),"")</f>
        <v>40052</v>
      </c>
      <c r="AI27">
        <f ca="1">IFERROR(IF(0=LEN(ReferenceData!$AI$27),"",ReferenceData!$AI$27),"")</f>
        <v>40928</v>
      </c>
      <c r="AJ27">
        <f ca="1">IFERROR(IF(0=LEN(ReferenceData!$AJ$27),"",ReferenceData!$AJ$27),"")</f>
        <v>39406</v>
      </c>
      <c r="AK27">
        <f ca="1">IFERROR(IF(0=LEN(ReferenceData!$AK$27),"",ReferenceData!$AK$27),"")</f>
        <v>43970</v>
      </c>
      <c r="AL27">
        <f ca="1">IFERROR(IF(0=LEN(ReferenceData!$AL$27),"",ReferenceData!$AL$27),"")</f>
        <v>38698</v>
      </c>
      <c r="AM27">
        <f ca="1">IFERROR(IF(0=LEN(ReferenceData!$AM$27),"",ReferenceData!$AM$27),"")</f>
        <v>39697</v>
      </c>
      <c r="AN27">
        <f ca="1">IFERROR(IF(0=LEN(ReferenceData!$AN$27),"",ReferenceData!$AN$27),"")</f>
        <v>36782</v>
      </c>
      <c r="AO27">
        <f ca="1">IFERROR(IF(0=LEN(ReferenceData!$AO$27),"",ReferenceData!$AO$27),"")</f>
        <v>36574</v>
      </c>
      <c r="AP27">
        <f ca="1">IFERROR(IF(0=LEN(ReferenceData!$AP$27),"",ReferenceData!$AP$27),"")</f>
        <v>30545</v>
      </c>
      <c r="AQ27">
        <f ca="1">IFERROR(IF(0=LEN(ReferenceData!$AQ$27),"",ReferenceData!$AQ$27),"")</f>
        <v>30868</v>
      </c>
      <c r="AR27">
        <f ca="1">IFERROR(IF(0=LEN(ReferenceData!$AR$27),"",ReferenceData!$AR$27),"")</f>
        <v>26790</v>
      </c>
      <c r="AS27">
        <f ca="1">IFERROR(IF(0=LEN(ReferenceData!$AS$27),"",ReferenceData!$AS$27),"")</f>
        <v>29687</v>
      </c>
      <c r="AT27">
        <f ca="1">IFERROR(IF(0=LEN(ReferenceData!$AT$27),"",ReferenceData!$AT$27),"")</f>
        <v>25095</v>
      </c>
      <c r="AU27">
        <f ca="1">IFERROR(IF(0=LEN(ReferenceData!$AU$27),"",ReferenceData!$AU$27),"")</f>
        <v>28258</v>
      </c>
      <c r="AV27">
        <f ca="1">IFERROR(IF(0=LEN(ReferenceData!$AV$27),"",ReferenceData!$AV$27),"")</f>
        <v>36303</v>
      </c>
      <c r="AW27">
        <f ca="1">IFERROR(IF(0=LEN(ReferenceData!$AW$27),"",ReferenceData!$AW$27),"")</f>
        <v>45994</v>
      </c>
      <c r="AX27">
        <f ca="1">IFERROR(IF(0=LEN(ReferenceData!$AX$27),"",ReferenceData!$AX$27),"")</f>
        <v>39590</v>
      </c>
      <c r="AY27">
        <f ca="1">IFERROR(IF(0=LEN(ReferenceData!$AY$27),"",ReferenceData!$AY$27),"")</f>
        <v>42929</v>
      </c>
      <c r="AZ27">
        <f ca="1">IFERROR(IF(0=LEN(ReferenceData!$AZ$27),"",ReferenceData!$AZ$27),"")</f>
        <v>39516</v>
      </c>
      <c r="BA27">
        <f ca="1">IFERROR(IF(0=LEN(ReferenceData!$BA$27),"",ReferenceData!$BA$27),"")</f>
        <v>40742</v>
      </c>
      <c r="BB27">
        <f ca="1">IFERROR(IF(0=LEN(ReferenceData!$BB$27),"",ReferenceData!$BB$27),"")</f>
        <v>36160</v>
      </c>
      <c r="BC27">
        <f ca="1">IFERROR(IF(0=LEN(ReferenceData!$BC$27),"",ReferenceData!$BC$27),"")</f>
        <v>37423</v>
      </c>
      <c r="BD27">
        <f ca="1">IFERROR(IF(0=LEN(ReferenceData!$BD$27),"",ReferenceData!$BD$27),"")</f>
        <v>35399</v>
      </c>
      <c r="BE27">
        <f ca="1">IFERROR(IF(0=LEN(ReferenceData!$BE$27),"",ReferenceData!$BE$27),"")</f>
        <v>45651</v>
      </c>
      <c r="BF27">
        <f ca="1">IFERROR(IF(0=LEN(ReferenceData!$BF$27),"",ReferenceData!$BF$27),"")</f>
        <v>35912</v>
      </c>
      <c r="BG27">
        <f ca="1">IFERROR(IF(0=LEN(ReferenceData!$BG$27),"",ReferenceData!$BG$27),"")</f>
        <v>37125</v>
      </c>
      <c r="BH27">
        <f ca="1">IFERROR(IF(0=LEN(ReferenceData!$BH$27),"",ReferenceData!$BH$27),"")</f>
        <v>35991</v>
      </c>
      <c r="BI27">
        <f ca="1">IFERROR(IF(0=LEN(ReferenceData!$BI$27),"",ReferenceData!$BI$27),"")</f>
        <v>41817</v>
      </c>
      <c r="BJ27">
        <f ca="1">IFERROR(IF(0=LEN(ReferenceData!$BJ$27),"",ReferenceData!$BJ$27),"")</f>
        <v>31952</v>
      </c>
      <c r="BK27">
        <f ca="1">IFERROR(IF(0=LEN(ReferenceData!$BK$27),"",ReferenceData!$BK$27),"")</f>
        <v>34217</v>
      </c>
      <c r="BL27">
        <f ca="1">IFERROR(IF(0=LEN(ReferenceData!$BL$27),"",ReferenceData!$BL$27),"")</f>
        <v>28746</v>
      </c>
      <c r="BM27">
        <f ca="1">IFERROR(IF(0=LEN(ReferenceData!$BM$27),"",ReferenceData!$BM$27),"")</f>
        <v>32983</v>
      </c>
    </row>
    <row r="28" spans="1:65" x14ac:dyDescent="0.25">
      <c r="A28" t="str">
        <f>IFERROR(IF(0=LEN(ReferenceData!$A$28),"",ReferenceData!$A$28),"")</f>
        <v xml:space="preserve">            Finland</v>
      </c>
      <c r="B28" t="str">
        <f>IFERROR(IF(0=LEN(ReferenceData!$B$28),"",ReferenceData!$B$28),"")</f>
        <v>WCARFII Index</v>
      </c>
      <c r="C28" t="str">
        <f>IFERROR(IF(0=LEN(ReferenceData!$C$28),"",ReferenceData!$C$28),"")</f>
        <v>PX385</v>
      </c>
      <c r="D28" t="str">
        <f>IFERROR(IF(0=LEN(ReferenceData!$D$28),"",ReferenceData!$D$28),"")</f>
        <v>INTERVAL_SUM</v>
      </c>
      <c r="E28" t="str">
        <f>IFERROR(IF(0=LEN(ReferenceData!$E$28),"",ReferenceData!$E$28),"")</f>
        <v>Dynamic</v>
      </c>
      <c r="F28">
        <f ca="1">IFERROR(IF(0=LEN(ReferenceData!$F$28),"",ReferenceData!$F$28),"")</f>
        <v>11732</v>
      </c>
      <c r="G28">
        <f ca="1">IFERROR(IF(0=LEN(ReferenceData!$G$28),"",ReferenceData!$G$28),"")</f>
        <v>22756</v>
      </c>
      <c r="H28">
        <f ca="1">IFERROR(IF(0=LEN(ReferenceData!$H$28),"",ReferenceData!$H$28),"")</f>
        <v>28115</v>
      </c>
      <c r="I28">
        <f ca="1">IFERROR(IF(0=LEN(ReferenceData!$I$28),"",ReferenceData!$I$28),"")</f>
        <v>35178</v>
      </c>
      <c r="J28">
        <f ca="1">IFERROR(IF(0=LEN(ReferenceData!$J$28),"",ReferenceData!$J$28),"")</f>
        <v>34411</v>
      </c>
      <c r="K28">
        <f ca="1">IFERROR(IF(0=LEN(ReferenceData!$K$28),"",ReferenceData!$K$28),"")</f>
        <v>26491</v>
      </c>
      <c r="L28">
        <f ca="1">IFERROR(IF(0=LEN(ReferenceData!$L$28),"",ReferenceData!$L$28),"")</f>
        <v>27645</v>
      </c>
      <c r="M28">
        <f ca="1">IFERROR(IF(0=LEN(ReferenceData!$M$28),"",ReferenceData!$M$28),"")</f>
        <v>31325</v>
      </c>
      <c r="N28">
        <f ca="1">IFERROR(IF(0=LEN(ReferenceData!$N$28),"",ReferenceData!$N$28),"")</f>
        <v>33126</v>
      </c>
      <c r="O28">
        <f ca="1">IFERROR(IF(0=LEN(ReferenceData!$O$28),"",ReferenceData!$O$28),"")</f>
        <v>26325</v>
      </c>
      <c r="P28">
        <f ca="1">IFERROR(IF(0=LEN(ReferenceData!$P$28),"",ReferenceData!$P$28),"")</f>
        <v>27197</v>
      </c>
      <c r="Q28">
        <f ca="1">IFERROR(IF(0=LEN(ReferenceData!$Q$28),"",ReferenceData!$Q$28),"")</f>
        <v>32364</v>
      </c>
      <c r="R28">
        <f ca="1">IFERROR(IF(0=LEN(ReferenceData!$R$28),"",ReferenceData!$R$28),"")</f>
        <v>33114</v>
      </c>
      <c r="S28">
        <f ca="1">IFERROR(IF(0=LEN(ReferenceData!$S$28),"",ReferenceData!$S$28),"")</f>
        <v>26078</v>
      </c>
      <c r="T28">
        <f ca="1">IFERROR(IF(0=LEN(ReferenceData!$T$28),"",ReferenceData!$T$28),"")</f>
        <v>25636</v>
      </c>
      <c r="U28">
        <f ca="1">IFERROR(IF(0=LEN(ReferenceData!$U$28),"",ReferenceData!$U$28),"")</f>
        <v>27723</v>
      </c>
      <c r="V28">
        <f ca="1">IFERROR(IF(0=LEN(ReferenceData!$V$28),"",ReferenceData!$V$28),"")</f>
        <v>29353</v>
      </c>
      <c r="W28">
        <f ca="1">IFERROR(IF(0=LEN(ReferenceData!$W$28),"",ReferenceData!$W$28),"")</f>
        <v>23150</v>
      </c>
      <c r="X28">
        <f ca="1">IFERROR(IF(0=LEN(ReferenceData!$X$28),"",ReferenceData!$X$28),"")</f>
        <v>23944</v>
      </c>
      <c r="Y28">
        <f ca="1">IFERROR(IF(0=LEN(ReferenceData!$Y$28),"",ReferenceData!$Y$28),"")</f>
        <v>28640</v>
      </c>
      <c r="Z28">
        <f ca="1">IFERROR(IF(0=LEN(ReferenceData!$Z$28),"",ReferenceData!$Z$28),"")</f>
        <v>30503</v>
      </c>
      <c r="AA28">
        <f ca="1">IFERROR(IF(0=LEN(ReferenceData!$AA$28),"",ReferenceData!$AA$28),"")</f>
        <v>22479</v>
      </c>
      <c r="AB28">
        <f ca="1">IFERROR(IF(0=LEN(ReferenceData!$AB$28),"",ReferenceData!$AB$28),"")</f>
        <v>24391</v>
      </c>
      <c r="AC28">
        <f ca="1">IFERROR(IF(0=LEN(ReferenceData!$AC$28),"",ReferenceData!$AC$28),"")</f>
        <v>28887</v>
      </c>
      <c r="AD28">
        <f ca="1">IFERROR(IF(0=LEN(ReferenceData!$AD$28),"",ReferenceData!$AD$28),"")</f>
        <v>27628</v>
      </c>
      <c r="AE28">
        <f ca="1">IFERROR(IF(0=LEN(ReferenceData!$AE$28),"",ReferenceData!$AE$28),"")</f>
        <v>22320</v>
      </c>
      <c r="AF28">
        <f ca="1">IFERROR(IF(0=LEN(ReferenceData!$AF$28),"",ReferenceData!$AF$28),"")</f>
        <v>22004</v>
      </c>
      <c r="AG28">
        <f ca="1">IFERROR(IF(0=LEN(ReferenceData!$AG$28),"",ReferenceData!$AG$28),"")</f>
        <v>19100</v>
      </c>
      <c r="AH28">
        <f ca="1">IFERROR(IF(0=LEN(ReferenceData!$AH$28),"",ReferenceData!$AH$28),"")</f>
        <v>47834</v>
      </c>
      <c r="AI28">
        <f ca="1">IFERROR(IF(0=LEN(ReferenceData!$AI$28),"",ReferenceData!$AI$28),"")</f>
        <v>26002</v>
      </c>
      <c r="AJ28">
        <f ca="1">IFERROR(IF(0=LEN(ReferenceData!$AJ$28),"",ReferenceData!$AJ$28),"")</f>
        <v>28725</v>
      </c>
      <c r="AK28">
        <f ca="1">IFERROR(IF(0=LEN(ReferenceData!$AK$28),"",ReferenceData!$AK$28),"")</f>
        <v>35628</v>
      </c>
      <c r="AL28">
        <f ca="1">IFERROR(IF(0=LEN(ReferenceData!$AL$28),"",ReferenceData!$AL$28),"")</f>
        <v>35660</v>
      </c>
      <c r="AM28">
        <f ca="1">IFERROR(IF(0=LEN(ReferenceData!$AM$28),"",ReferenceData!$AM$28),"")</f>
        <v>23900</v>
      </c>
      <c r="AN28">
        <f ca="1">IFERROR(IF(0=LEN(ReferenceData!$AN$28),"",ReferenceData!$AN$28),"")</f>
        <v>25598</v>
      </c>
      <c r="AO28">
        <f ca="1">IFERROR(IF(0=LEN(ReferenceData!$AO$28),"",ReferenceData!$AO$28),"")</f>
        <v>33337</v>
      </c>
      <c r="AP28">
        <f ca="1">IFERROR(IF(0=LEN(ReferenceData!$AP$28),"",ReferenceData!$AP$28),"")</f>
        <v>29043</v>
      </c>
      <c r="AQ28">
        <f ca="1">IFERROR(IF(0=LEN(ReferenceData!$AQ$28),"",ReferenceData!$AQ$28),"")</f>
        <v>17965</v>
      </c>
      <c r="AR28">
        <f ca="1">IFERROR(IF(0=LEN(ReferenceData!$AR$28),"",ReferenceData!$AR$28),"")</f>
        <v>20320</v>
      </c>
      <c r="AS28">
        <f ca="1">IFERROR(IF(0=LEN(ReferenceData!$AS$28),"",ReferenceData!$AS$28),"")</f>
        <v>22595</v>
      </c>
      <c r="AT28">
        <f ca="1">IFERROR(IF(0=LEN(ReferenceData!$AT$28),"",ReferenceData!$AT$28),"")</f>
        <v>29493</v>
      </c>
      <c r="AU28">
        <f ca="1">IFERROR(IF(0=LEN(ReferenceData!$AU$28),"",ReferenceData!$AU$28),"")</f>
        <v>21062</v>
      </c>
      <c r="AV28">
        <f ca="1">IFERROR(IF(0=LEN(ReferenceData!$AV$28),"",ReferenceData!$AV$28),"")</f>
        <v>30465</v>
      </c>
      <c r="AW28">
        <f ca="1">IFERROR(IF(0=LEN(ReferenceData!$AW$28),"",ReferenceData!$AW$28),"")</f>
        <v>41854</v>
      </c>
      <c r="AX28">
        <f ca="1">IFERROR(IF(0=LEN(ReferenceData!$AX$28),"",ReferenceData!$AX$28),"")</f>
        <v>46230</v>
      </c>
      <c r="AY28">
        <f ca="1">IFERROR(IF(0=LEN(ReferenceData!$AY$28),"",ReferenceData!$AY$28),"")</f>
        <v>16574</v>
      </c>
      <c r="AZ28">
        <f ca="1">IFERROR(IF(0=LEN(ReferenceData!$AZ$28),"",ReferenceData!$AZ$28),"")</f>
        <v>31295</v>
      </c>
      <c r="BA28">
        <f ca="1">IFERROR(IF(0=LEN(ReferenceData!$BA$28),"",ReferenceData!$BA$28),"")</f>
        <v>37228</v>
      </c>
      <c r="BB28">
        <f ca="1">IFERROR(IF(0=LEN(ReferenceData!$BB$28),"",ReferenceData!$BB$28),"")</f>
        <v>40188</v>
      </c>
      <c r="BC28">
        <f ca="1">IFERROR(IF(0=LEN(ReferenceData!$BC$28),"",ReferenceData!$BC$28),"")</f>
        <v>25944</v>
      </c>
      <c r="BD28">
        <f ca="1">IFERROR(IF(0=LEN(ReferenceData!$BD$28),"",ReferenceData!$BD$28),"")</f>
        <v>33445</v>
      </c>
      <c r="BE28">
        <f ca="1">IFERROR(IF(0=LEN(ReferenceData!$BE$28),"",ReferenceData!$BE$28),"")</f>
        <v>42504</v>
      </c>
      <c r="BF28">
        <f ca="1">IFERROR(IF(0=LEN(ReferenceData!$BF$28),"",ReferenceData!$BF$28),"")</f>
        <v>43796</v>
      </c>
      <c r="BG28">
        <f ca="1">IFERROR(IF(0=LEN(ReferenceData!$BG$28),"",ReferenceData!$BG$28),"")</f>
        <v>26940</v>
      </c>
      <c r="BH28">
        <f ca="1">IFERROR(IF(0=LEN(ReferenceData!$BH$28),"",ReferenceData!$BH$28),"")</f>
        <v>34822</v>
      </c>
      <c r="BI28">
        <f ca="1">IFERROR(IF(0=LEN(ReferenceData!$BI$28),"",ReferenceData!$BI$28),"")</f>
        <v>43949</v>
      </c>
      <c r="BJ28">
        <f ca="1">IFERROR(IF(0=LEN(ReferenceData!$BJ$28),"",ReferenceData!$BJ$28),"")</f>
        <v>42238</v>
      </c>
      <c r="BK28">
        <f ca="1">IFERROR(IF(0=LEN(ReferenceData!$BK$28),"",ReferenceData!$BK$28),"")</f>
        <v>27127</v>
      </c>
      <c r="BL28">
        <f ca="1">IFERROR(IF(0=LEN(ReferenceData!$BL$28),"",ReferenceData!$BL$28),"")</f>
        <v>31794</v>
      </c>
      <c r="BM28">
        <f ca="1">IFERROR(IF(0=LEN(ReferenceData!$BM$28),"",ReferenceData!$BM$28),"")</f>
        <v>40528</v>
      </c>
    </row>
    <row r="29" spans="1:65" x14ac:dyDescent="0.25">
      <c r="A29" t="str">
        <f>IFERROR(IF(0=LEN(ReferenceData!$A$29),"",ReferenceData!$A$29),"")</f>
        <v xml:space="preserve">            France</v>
      </c>
      <c r="B29" t="str">
        <f>IFERROR(IF(0=LEN(ReferenceData!$B$29),"",ReferenceData!$B$29),"")</f>
        <v>WCARFRI Index</v>
      </c>
      <c r="C29" t="str">
        <f>IFERROR(IF(0=LEN(ReferenceData!$C$29),"",ReferenceData!$C$29),"")</f>
        <v>PX385</v>
      </c>
      <c r="D29" t="str">
        <f>IFERROR(IF(0=LEN(ReferenceData!$D$29),"",ReferenceData!$D$29),"")</f>
        <v>INTERVAL_SUM</v>
      </c>
      <c r="E29" t="str">
        <f>IFERROR(IF(0=LEN(ReferenceData!$E$29),"",ReferenceData!$E$29),"")</f>
        <v>Dynamic</v>
      </c>
      <c r="F29">
        <f ca="1">IFERROR(IF(0=LEN(ReferenceData!$F$29),"",ReferenceData!$F$29),"")</f>
        <v>155079</v>
      </c>
      <c r="G29">
        <f ca="1">IFERROR(IF(0=LEN(ReferenceData!$G$29),"",ReferenceData!$G$29),"")</f>
        <v>510799</v>
      </c>
      <c r="H29">
        <f ca="1">IFERROR(IF(0=LEN(ReferenceData!$H$29),"",ReferenceData!$H$29),"")</f>
        <v>474532</v>
      </c>
      <c r="I29">
        <f ca="1">IFERROR(IF(0=LEN(ReferenceData!$I$29),"",ReferenceData!$I$29),"")</f>
        <v>631308</v>
      </c>
      <c r="J29">
        <f ca="1">IFERROR(IF(0=LEN(ReferenceData!$J$29),"",ReferenceData!$J$29),"")</f>
        <v>556842</v>
      </c>
      <c r="K29">
        <f ca="1">IFERROR(IF(0=LEN(ReferenceData!$K$29),"",ReferenceData!$K$29),"")</f>
        <v>549869</v>
      </c>
      <c r="L29">
        <f ca="1">IFERROR(IF(0=LEN(ReferenceData!$L$29),"",ReferenceData!$L$29),"")</f>
        <v>425612</v>
      </c>
      <c r="M29">
        <f ca="1">IFERROR(IF(0=LEN(ReferenceData!$M$29),"",ReferenceData!$M$29),"")</f>
        <v>594213</v>
      </c>
      <c r="N29">
        <f ca="1">IFERROR(IF(0=LEN(ReferenceData!$N$29),"",ReferenceData!$N$29),"")</f>
        <v>541054</v>
      </c>
      <c r="O29">
        <f ca="1">IFERROR(IF(0=LEN(ReferenceData!$O$29),"",ReferenceData!$O$29),"")</f>
        <v>512727</v>
      </c>
      <c r="P29">
        <f ca="1">IFERROR(IF(0=LEN(ReferenceData!$P$29),"",ReferenceData!$P$29),"")</f>
        <v>400021</v>
      </c>
      <c r="Q29">
        <f ca="1">IFERROR(IF(0=LEN(ReferenceData!$Q$29),"",ReferenceData!$Q$29),"")</f>
        <v>586047</v>
      </c>
      <c r="R29">
        <f ca="1">IFERROR(IF(0=LEN(ReferenceData!$R$29),"",ReferenceData!$R$29),"")</f>
        <v>516382</v>
      </c>
      <c r="S29">
        <f ca="1">IFERROR(IF(0=LEN(ReferenceData!$S$29),"",ReferenceData!$S$29),"")</f>
        <v>495791</v>
      </c>
      <c r="T29">
        <f ca="1">IFERROR(IF(0=LEN(ReferenceData!$T$29),"",ReferenceData!$T$29),"")</f>
        <v>403942</v>
      </c>
      <c r="U29">
        <f ca="1">IFERROR(IF(0=LEN(ReferenceData!$U$29),"",ReferenceData!$U$29),"")</f>
        <v>540174</v>
      </c>
      <c r="V29">
        <f ca="1">IFERROR(IF(0=LEN(ReferenceData!$V$29),"",ReferenceData!$V$29),"")</f>
        <v>477319</v>
      </c>
      <c r="W29">
        <f ca="1">IFERROR(IF(0=LEN(ReferenceData!$W$29),"",ReferenceData!$W$29),"")</f>
        <v>458570</v>
      </c>
      <c r="X29">
        <f ca="1">IFERROR(IF(0=LEN(ReferenceData!$X$29),"",ReferenceData!$X$29),"")</f>
        <v>378563</v>
      </c>
      <c r="Y29">
        <f ca="1">IFERROR(IF(0=LEN(ReferenceData!$Y$29),"",ReferenceData!$Y$29),"")</f>
        <v>512143</v>
      </c>
      <c r="Z29">
        <f ca="1">IFERROR(IF(0=LEN(ReferenceData!$Z$29),"",ReferenceData!$Z$29),"")</f>
        <v>446609</v>
      </c>
      <c r="AA29">
        <f ca="1">IFERROR(IF(0=LEN(ReferenceData!$AA$29),"",ReferenceData!$AA$29),"")</f>
        <v>480643</v>
      </c>
      <c r="AB29">
        <f ca="1">IFERROR(IF(0=LEN(ReferenceData!$AB$29),"",ReferenceData!$AB$29),"")</f>
        <v>378337</v>
      </c>
      <c r="AC29">
        <f ca="1">IFERROR(IF(0=LEN(ReferenceData!$AC$29),"",ReferenceData!$AC$29),"")</f>
        <v>497594</v>
      </c>
      <c r="AD29">
        <f ca="1">IFERROR(IF(0=LEN(ReferenceData!$AD$29),"",ReferenceData!$AD$29),"")</f>
        <v>433882</v>
      </c>
      <c r="AE29">
        <f ca="1">IFERROR(IF(0=LEN(ReferenceData!$AE$29),"",ReferenceData!$AE$29),"")</f>
        <v>467251</v>
      </c>
      <c r="AF29">
        <f ca="1">IFERROR(IF(0=LEN(ReferenceData!$AF$29),"",ReferenceData!$AF$29),"")</f>
        <v>382527</v>
      </c>
      <c r="AG29">
        <f ca="1">IFERROR(IF(0=LEN(ReferenceData!$AG$29),"",ReferenceData!$AG$29),"")</f>
        <v>541152</v>
      </c>
      <c r="AH29">
        <f ca="1">IFERROR(IF(0=LEN(ReferenceData!$AH$29),"",ReferenceData!$AH$29),"")</f>
        <v>507830</v>
      </c>
      <c r="AI29">
        <f ca="1">IFERROR(IF(0=LEN(ReferenceData!$AI$29),"",ReferenceData!$AI$29),"")</f>
        <v>542958</v>
      </c>
      <c r="AJ29">
        <f ca="1">IFERROR(IF(0=LEN(ReferenceData!$AJ$29),"",ReferenceData!$AJ$29),"")</f>
        <v>436187</v>
      </c>
      <c r="AK29">
        <f ca="1">IFERROR(IF(0=LEN(ReferenceData!$AK$29),"",ReferenceData!$AK$29),"")</f>
        <v>577630</v>
      </c>
      <c r="AL29">
        <f ca="1">IFERROR(IF(0=LEN(ReferenceData!$AL$29),"",ReferenceData!$AL$29),"")</f>
        <v>647454</v>
      </c>
      <c r="AM29">
        <f ca="1">IFERROR(IF(0=LEN(ReferenceData!$AM$29),"",ReferenceData!$AM$29),"")</f>
        <v>594179</v>
      </c>
      <c r="AN29">
        <f ca="1">IFERROR(IF(0=LEN(ReferenceData!$AN$29),"",ReferenceData!$AN$29),"")</f>
        <v>445054</v>
      </c>
      <c r="AO29">
        <f ca="1">IFERROR(IF(0=LEN(ReferenceData!$AO$29),"",ReferenceData!$AO$29),"")</f>
        <v>617716</v>
      </c>
      <c r="AP29">
        <f ca="1">IFERROR(IF(0=LEN(ReferenceData!$AP$29),"",ReferenceData!$AP$29),"")</f>
        <v>594720</v>
      </c>
      <c r="AQ29">
        <f ca="1">IFERROR(IF(0=LEN(ReferenceData!$AQ$29),"",ReferenceData!$AQ$29),"")</f>
        <v>658376</v>
      </c>
      <c r="AR29">
        <f ca="1">IFERROR(IF(0=LEN(ReferenceData!$AR$29),"",ReferenceData!$AR$29),"")</f>
        <v>494041</v>
      </c>
      <c r="AS29">
        <f ca="1">IFERROR(IF(0=LEN(ReferenceData!$AS$29),"",ReferenceData!$AS$29),"")</f>
        <v>641422</v>
      </c>
      <c r="AT29">
        <f ca="1">IFERROR(IF(0=LEN(ReferenceData!$AT$29),"",ReferenceData!$AT$29),"")</f>
        <v>508559</v>
      </c>
      <c r="AU29">
        <f ca="1">IFERROR(IF(0=LEN(ReferenceData!$AU$29),"",ReferenceData!$AU$29),"")</f>
        <v>474518</v>
      </c>
      <c r="AV29">
        <f ca="1">IFERROR(IF(0=LEN(ReferenceData!$AV$29),"",ReferenceData!$AV$29),"")</f>
        <v>446869</v>
      </c>
      <c r="AW29">
        <f ca="1">IFERROR(IF(0=LEN(ReferenceData!$AW$29),"",ReferenceData!$AW$29),"")</f>
        <v>602774</v>
      </c>
      <c r="AX29">
        <f ca="1">IFERROR(IF(0=LEN(ReferenceData!$AX$29),"",ReferenceData!$AX$29),"")</f>
        <v>526121</v>
      </c>
      <c r="AY29">
        <f ca="1">IFERROR(IF(0=LEN(ReferenceData!$AY$29),"",ReferenceData!$AY$29),"")</f>
        <v>541182</v>
      </c>
      <c r="AZ29">
        <f ca="1">IFERROR(IF(0=LEN(ReferenceData!$AZ$29),"",ReferenceData!$AZ$29),"")</f>
        <v>442753</v>
      </c>
      <c r="BA29">
        <f ca="1">IFERROR(IF(0=LEN(ReferenceData!$BA$29),"",ReferenceData!$BA$29),"")</f>
        <v>561417</v>
      </c>
      <c r="BB29">
        <f ca="1">IFERROR(IF(0=LEN(ReferenceData!$BB$29),"",ReferenceData!$BB$29),"")</f>
        <v>519191</v>
      </c>
      <c r="BC29">
        <f ca="1">IFERROR(IF(0=LEN(ReferenceData!$BC$29),"",ReferenceData!$BC$29),"")</f>
        <v>482182</v>
      </c>
      <c r="BD29">
        <f ca="1">IFERROR(IF(0=LEN(ReferenceData!$BD$29),"",ReferenceData!$BD$29),"")</f>
        <v>409138</v>
      </c>
      <c r="BE29">
        <f ca="1">IFERROR(IF(0=LEN(ReferenceData!$BE$29),"",ReferenceData!$BE$29),"")</f>
        <v>582727</v>
      </c>
      <c r="BF29">
        <f ca="1">IFERROR(IF(0=LEN(ReferenceData!$BF$29),"",ReferenceData!$BF$29),"")</f>
        <v>526502</v>
      </c>
      <c r="BG29">
        <f ca="1">IFERROR(IF(0=LEN(ReferenceData!$BG$29),"",ReferenceData!$BG$29),"")</f>
        <v>501040</v>
      </c>
      <c r="BH29">
        <f ca="1">IFERROR(IF(0=LEN(ReferenceData!$BH$29),"",ReferenceData!$BH$29),"")</f>
        <v>439006</v>
      </c>
      <c r="BI29">
        <f ca="1">IFERROR(IF(0=LEN(ReferenceData!$BI$29),"",ReferenceData!$BI$29),"")</f>
        <v>601510</v>
      </c>
      <c r="BJ29">
        <f ca="1">IFERROR(IF(0=LEN(ReferenceData!$BJ$29),"",ReferenceData!$BJ$29),"")</f>
        <v>526233</v>
      </c>
      <c r="BK29">
        <f ca="1">IFERROR(IF(0=LEN(ReferenceData!$BK$29),"",ReferenceData!$BK$29),"")</f>
        <v>517371</v>
      </c>
      <c r="BL29">
        <f ca="1">IFERROR(IF(0=LEN(ReferenceData!$BL$29),"",ReferenceData!$BL$29),"")</f>
        <v>428531</v>
      </c>
      <c r="BM29">
        <f ca="1">IFERROR(IF(0=LEN(ReferenceData!$BM$29),"",ReferenceData!$BM$29),"")</f>
        <v>560923</v>
      </c>
    </row>
    <row r="30" spans="1:65" x14ac:dyDescent="0.25">
      <c r="A30" t="str">
        <f>IFERROR(IF(0=LEN(ReferenceData!$A$30),"",ReferenceData!$A$30),"")</f>
        <v xml:space="preserve">            Germany</v>
      </c>
      <c r="B30" t="str">
        <f>IFERROR(IF(0=LEN(ReferenceData!$B$30),"",ReferenceData!$B$30),"")</f>
        <v>WCARDEI Index</v>
      </c>
      <c r="C30" t="str">
        <f>IFERROR(IF(0=LEN(ReferenceData!$C$30),"",ReferenceData!$C$30),"")</f>
        <v>PX385</v>
      </c>
      <c r="D30" t="str">
        <f>IFERROR(IF(0=LEN(ReferenceData!$D$30),"",ReferenceData!$D$30),"")</f>
        <v>INTERVAL_SUM</v>
      </c>
      <c r="E30" t="str">
        <f>IFERROR(IF(0=LEN(ReferenceData!$E$30),"",ReferenceData!$E$30),"")</f>
        <v>Dynamic</v>
      </c>
      <c r="F30">
        <f ca="1">IFERROR(IF(0=LEN(ReferenceData!$F$30),"",ReferenceData!$F$30),"")</f>
        <v>265702</v>
      </c>
      <c r="G30">
        <f ca="1">IFERROR(IF(0=LEN(ReferenceData!$G$30),"",ReferenceData!$G$30),"")</f>
        <v>762360</v>
      </c>
      <c r="H30">
        <f ca="1">IFERROR(IF(0=LEN(ReferenceData!$H$30),"",ReferenceData!$H$30),"")</f>
        <v>834387</v>
      </c>
      <c r="I30">
        <f ca="1">IFERROR(IF(0=LEN(ReferenceData!$I$30),"",ReferenceData!$I$30),"")</f>
        <v>960420</v>
      </c>
      <c r="J30">
        <f ca="1">IFERROR(IF(0=LEN(ReferenceData!$J$30),"",ReferenceData!$J$30),"")</f>
        <v>878611</v>
      </c>
      <c r="K30">
        <f ca="1">IFERROR(IF(0=LEN(ReferenceData!$K$30),"",ReferenceData!$K$30),"")</f>
        <v>829441</v>
      </c>
      <c r="L30">
        <f ca="1">IFERROR(IF(0=LEN(ReferenceData!$L$30),"",ReferenceData!$L$30),"")</f>
        <v>824795</v>
      </c>
      <c r="M30">
        <f ca="1">IFERROR(IF(0=LEN(ReferenceData!$M$30),"",ReferenceData!$M$30),"")</f>
        <v>942342</v>
      </c>
      <c r="N30">
        <f ca="1">IFERROR(IF(0=LEN(ReferenceData!$N$30),"",ReferenceData!$N$30),"")</f>
        <v>844684</v>
      </c>
      <c r="O30">
        <f ca="1">IFERROR(IF(0=LEN(ReferenceData!$O$30),"",ReferenceData!$O$30),"")</f>
        <v>795824</v>
      </c>
      <c r="P30">
        <f ca="1">IFERROR(IF(0=LEN(ReferenceData!$P$30),"",ReferenceData!$P$30),"")</f>
        <v>821944</v>
      </c>
      <c r="Q30">
        <f ca="1">IFERROR(IF(0=LEN(ReferenceData!$Q$30),"",ReferenceData!$Q$30),"")</f>
        <v>942415</v>
      </c>
      <c r="R30">
        <f ca="1">IFERROR(IF(0=LEN(ReferenceData!$R$30),"",ReferenceData!$R$30),"")</f>
        <v>791424</v>
      </c>
      <c r="S30">
        <f ca="1">IFERROR(IF(0=LEN(ReferenceData!$S$30),"",ReferenceData!$S$30),"")</f>
        <v>798104</v>
      </c>
      <c r="T30">
        <f ca="1">IFERROR(IF(0=LEN(ReferenceData!$T$30),"",ReferenceData!$T$30),"")</f>
        <v>788989</v>
      </c>
      <c r="U30">
        <f ca="1">IFERROR(IF(0=LEN(ReferenceData!$U$30),"",ReferenceData!$U$30),"")</f>
        <v>861319</v>
      </c>
      <c r="V30">
        <f ca="1">IFERROR(IF(0=LEN(ReferenceData!$V$30),"",ReferenceData!$V$30),"")</f>
        <v>757630</v>
      </c>
      <c r="W30">
        <f ca="1">IFERROR(IF(0=LEN(ReferenceData!$W$30),"",ReferenceData!$W$30),"")</f>
        <v>755102</v>
      </c>
      <c r="X30">
        <f ca="1">IFERROR(IF(0=LEN(ReferenceData!$X$30),"",ReferenceData!$X$30),"")</f>
        <v>743403</v>
      </c>
      <c r="Y30">
        <f ca="1">IFERROR(IF(0=LEN(ReferenceData!$Y$30),"",ReferenceData!$Y$30),"")</f>
        <v>826515</v>
      </c>
      <c r="Z30">
        <f ca="1">IFERROR(IF(0=LEN(ReferenceData!$Z$30),"",ReferenceData!$Z$30),"")</f>
        <v>711753</v>
      </c>
      <c r="AA30">
        <f ca="1">IFERROR(IF(0=LEN(ReferenceData!$AA$30),"",ReferenceData!$AA$30),"")</f>
        <v>735412</v>
      </c>
      <c r="AB30">
        <f ca="1">IFERROR(IF(0=LEN(ReferenceData!$AB$30),"",ReferenceData!$AB$30),"")</f>
        <v>714389</v>
      </c>
      <c r="AC30">
        <f ca="1">IFERROR(IF(0=LEN(ReferenceData!$AC$30),"",ReferenceData!$AC$30),"")</f>
        <v>828673</v>
      </c>
      <c r="AD30">
        <f ca="1">IFERROR(IF(0=LEN(ReferenceData!$AD$30),"",ReferenceData!$AD$30),"")</f>
        <v>673957</v>
      </c>
      <c r="AE30">
        <f ca="1">IFERROR(IF(0=LEN(ReferenceData!$AE$30),"",ReferenceData!$AE$30),"")</f>
        <v>723706</v>
      </c>
      <c r="AF30">
        <f ca="1">IFERROR(IF(0=LEN(ReferenceData!$AF$30),"",ReferenceData!$AF$30),"")</f>
        <v>724397</v>
      </c>
      <c r="AG30">
        <f ca="1">IFERROR(IF(0=LEN(ReferenceData!$AG$30),"",ReferenceData!$AG$30),"")</f>
        <v>860765</v>
      </c>
      <c r="AH30">
        <f ca="1">IFERROR(IF(0=LEN(ReferenceData!$AH$30),"",ReferenceData!$AH$30),"")</f>
        <v>773636</v>
      </c>
      <c r="AI30">
        <f ca="1">IFERROR(IF(0=LEN(ReferenceData!$AI$30),"",ReferenceData!$AI$30),"")</f>
        <v>771898</v>
      </c>
      <c r="AJ30">
        <f ca="1">IFERROR(IF(0=LEN(ReferenceData!$AJ$30),"",ReferenceData!$AJ$30),"")</f>
        <v>779157</v>
      </c>
      <c r="AK30">
        <f ca="1">IFERROR(IF(0=LEN(ReferenceData!$AK$30),"",ReferenceData!$AK$30),"")</f>
        <v>859176</v>
      </c>
      <c r="AL30">
        <f ca="1">IFERROR(IF(0=LEN(ReferenceData!$AL$30),"",ReferenceData!$AL$30),"")</f>
        <v>763403</v>
      </c>
      <c r="AM30">
        <f ca="1">IFERROR(IF(0=LEN(ReferenceData!$AM$30),"",ReferenceData!$AM$30),"")</f>
        <v>749408</v>
      </c>
      <c r="AN30">
        <f ca="1">IFERROR(IF(0=LEN(ReferenceData!$AN$30),"",ReferenceData!$AN$30),"")</f>
        <v>698061</v>
      </c>
      <c r="AO30">
        <f ca="1">IFERROR(IF(0=LEN(ReferenceData!$AO$30),"",ReferenceData!$AO$30),"")</f>
        <v>798381</v>
      </c>
      <c r="AP30">
        <f ca="1">IFERROR(IF(0=LEN(ReferenceData!$AP$30),"",ReferenceData!$AP$30),"")</f>
        <v>670410</v>
      </c>
      <c r="AQ30">
        <f ca="1">IFERROR(IF(0=LEN(ReferenceData!$AQ$30),"",ReferenceData!$AQ$30),"")</f>
        <v>816409</v>
      </c>
      <c r="AR30">
        <f ca="1">IFERROR(IF(0=LEN(ReferenceData!$AR$30),"",ReferenceData!$AR$30),"")</f>
        <v>931361</v>
      </c>
      <c r="AS30">
        <f ca="1">IFERROR(IF(0=LEN(ReferenceData!$AS$30),"",ReferenceData!$AS$30),"")</f>
        <v>1191315</v>
      </c>
      <c r="AT30">
        <f ca="1">IFERROR(IF(0=LEN(ReferenceData!$AT$30),"",ReferenceData!$AT$30),"")</f>
        <v>868090</v>
      </c>
      <c r="AU30">
        <f ca="1">IFERROR(IF(0=LEN(ReferenceData!$AU$30),"",ReferenceData!$AU$30),"")</f>
        <v>718567</v>
      </c>
      <c r="AV30">
        <f ca="1">IFERROR(IF(0=LEN(ReferenceData!$AV$30),"",ReferenceData!$AV$30),"")</f>
        <v>738304</v>
      </c>
      <c r="AW30">
        <f ca="1">IFERROR(IF(0=LEN(ReferenceData!$AW$30),"",ReferenceData!$AW$30),"")</f>
        <v>897255</v>
      </c>
      <c r="AX30">
        <f ca="1">IFERROR(IF(0=LEN(ReferenceData!$AX$30),"",ReferenceData!$AX$30),"")</f>
        <v>735914</v>
      </c>
      <c r="AY30">
        <f ca="1">IFERROR(IF(0=LEN(ReferenceData!$AY$30),"",ReferenceData!$AY$30),"")</f>
        <v>807671</v>
      </c>
      <c r="AZ30">
        <f ca="1">IFERROR(IF(0=LEN(ReferenceData!$AZ$30),"",ReferenceData!$AZ$30),"")</f>
        <v>763493</v>
      </c>
      <c r="BA30">
        <f ca="1">IFERROR(IF(0=LEN(ReferenceData!$BA$30),"",ReferenceData!$BA$30),"")</f>
        <v>859463</v>
      </c>
      <c r="BB30">
        <f ca="1">IFERROR(IF(0=LEN(ReferenceData!$BB$30),"",ReferenceData!$BB$30),"")</f>
        <v>717536</v>
      </c>
      <c r="BC30">
        <f ca="1">IFERROR(IF(0=LEN(ReferenceData!$BC$30),"",ReferenceData!$BC$30),"")</f>
        <v>923286</v>
      </c>
      <c r="BD30">
        <f ca="1">IFERROR(IF(0=LEN(ReferenceData!$BD$30),"",ReferenceData!$BD$30),"")</f>
        <v>808781</v>
      </c>
      <c r="BE30">
        <f ca="1">IFERROR(IF(0=LEN(ReferenceData!$BE$30),"",ReferenceData!$BE$30),"")</f>
        <v>938751</v>
      </c>
      <c r="BF30">
        <f ca="1">IFERROR(IF(0=LEN(ReferenceData!$BF$30),"",ReferenceData!$BF$30),"")</f>
        <v>797143</v>
      </c>
      <c r="BG30">
        <f ca="1">IFERROR(IF(0=LEN(ReferenceData!$BG$30),"",ReferenceData!$BG$30),"")</f>
        <v>820688</v>
      </c>
      <c r="BH30">
        <f ca="1">IFERROR(IF(0=LEN(ReferenceData!$BH$30),"",ReferenceData!$BH$30),"")</f>
        <v>801774</v>
      </c>
      <c r="BI30">
        <f ca="1">IFERROR(IF(0=LEN(ReferenceData!$BI$30),"",ReferenceData!$BI$30),"")</f>
        <v>945999</v>
      </c>
      <c r="BJ30">
        <f ca="1">IFERROR(IF(0=LEN(ReferenceData!$BJ$30),"",ReferenceData!$BJ$30),"")</f>
        <v>750798</v>
      </c>
      <c r="BK30">
        <f ca="1">IFERROR(IF(0=LEN(ReferenceData!$BK$30),"",ReferenceData!$BK$30),"")</f>
        <v>847689</v>
      </c>
      <c r="BL30">
        <f ca="1">IFERROR(IF(0=LEN(ReferenceData!$BL$30),"",ReferenceData!$BL$30),"")</f>
        <v>763020</v>
      </c>
      <c r="BM30">
        <f ca="1">IFERROR(IF(0=LEN(ReferenceData!$BM$30),"",ReferenceData!$BM$30),"")</f>
        <v>890850</v>
      </c>
    </row>
    <row r="31" spans="1:65" x14ac:dyDescent="0.25">
      <c r="A31" t="str">
        <f>IFERROR(IF(0=LEN(ReferenceData!$A$31),"",ReferenceData!$A$31),"")</f>
        <v xml:space="preserve">            Greece</v>
      </c>
      <c r="B31" t="str">
        <f>IFERROR(IF(0=LEN(ReferenceData!$B$31),"",ReferenceData!$B$31),"")</f>
        <v>WCARGRI Index</v>
      </c>
      <c r="C31" t="str">
        <f>IFERROR(IF(0=LEN(ReferenceData!$C$31),"",ReferenceData!$C$31),"")</f>
        <v>PX385</v>
      </c>
      <c r="D31" t="str">
        <f>IFERROR(IF(0=LEN(ReferenceData!$D$31),"",ReferenceData!$D$31),"")</f>
        <v>INTERVAL_SUM</v>
      </c>
      <c r="E31" t="str">
        <f>IFERROR(IF(0=LEN(ReferenceData!$E$31),"",ReferenceData!$E$31),"")</f>
        <v>Dynamic</v>
      </c>
      <c r="F31">
        <f ca="1">IFERROR(IF(0=LEN(ReferenceData!$F$31),"",ReferenceData!$F$31),"")</f>
        <v>9210</v>
      </c>
      <c r="G31">
        <f ca="1">IFERROR(IF(0=LEN(ReferenceData!$G$31),"",ReferenceData!$G$31),"")</f>
        <v>19355</v>
      </c>
      <c r="H31">
        <f ca="1">IFERROR(IF(0=LEN(ReferenceData!$H$31),"",ReferenceData!$H$31),"")</f>
        <v>21764</v>
      </c>
      <c r="I31">
        <f ca="1">IFERROR(IF(0=LEN(ReferenceData!$I$31),"",ReferenceData!$I$31),"")</f>
        <v>35536</v>
      </c>
      <c r="J31">
        <f ca="1">IFERROR(IF(0=LEN(ReferenceData!$J$31),"",ReferenceData!$J$31),"")</f>
        <v>26781</v>
      </c>
      <c r="K31">
        <f ca="1">IFERROR(IF(0=LEN(ReferenceData!$K$31),"",ReferenceData!$K$31),"")</f>
        <v>18225</v>
      </c>
      <c r="L31">
        <f ca="1">IFERROR(IF(0=LEN(ReferenceData!$L$31),"",ReferenceData!$L$31),"")</f>
        <v>19502</v>
      </c>
      <c r="M31">
        <f ca="1">IFERROR(IF(0=LEN(ReferenceData!$M$31),"",ReferenceData!$M$31),"")</f>
        <v>29259</v>
      </c>
      <c r="N31">
        <f ca="1">IFERROR(IF(0=LEN(ReferenceData!$N$31),"",ReferenceData!$N$31),"")</f>
        <v>21097</v>
      </c>
      <c r="O31">
        <f ca="1">IFERROR(IF(0=LEN(ReferenceData!$O$31),"",ReferenceData!$O$31),"")</f>
        <v>15657</v>
      </c>
      <c r="P31">
        <f ca="1">IFERROR(IF(0=LEN(ReferenceData!$P$31),"",ReferenceData!$P$31),"")</f>
        <v>15803</v>
      </c>
      <c r="Q31">
        <f ca="1">IFERROR(IF(0=LEN(ReferenceData!$Q$31),"",ReferenceData!$Q$31),"")</f>
        <v>32087</v>
      </c>
      <c r="R31">
        <f ca="1">IFERROR(IF(0=LEN(ReferenceData!$R$31),"",ReferenceData!$R$31),"")</f>
        <v>15326</v>
      </c>
      <c r="S31">
        <f ca="1">IFERROR(IF(0=LEN(ReferenceData!$S$31),"",ReferenceData!$S$31),"")</f>
        <v>17621</v>
      </c>
      <c r="T31">
        <f ca="1">IFERROR(IF(0=LEN(ReferenceData!$T$31),"",ReferenceData!$T$31),"")</f>
        <v>15042</v>
      </c>
      <c r="U31">
        <f ca="1">IFERROR(IF(0=LEN(ReferenceData!$U$31),"",ReferenceData!$U$31),"")</f>
        <v>25870</v>
      </c>
      <c r="V31">
        <f ca="1">IFERROR(IF(0=LEN(ReferenceData!$V$31),"",ReferenceData!$V$31),"")</f>
        <v>17271</v>
      </c>
      <c r="W31">
        <f ca="1">IFERROR(IF(0=LEN(ReferenceData!$W$31),"",ReferenceData!$W$31),"")</f>
        <v>17373</v>
      </c>
      <c r="X31">
        <f ca="1">IFERROR(IF(0=LEN(ReferenceData!$X$31),"",ReferenceData!$X$31),"")</f>
        <v>16376</v>
      </c>
      <c r="Y31">
        <f ca="1">IFERROR(IF(0=LEN(ReferenceData!$Y$31),"",ReferenceData!$Y$31),"")</f>
        <v>20867</v>
      </c>
      <c r="Z31">
        <f ca="1">IFERROR(IF(0=LEN(ReferenceData!$Z$31),"",ReferenceData!$Z$31),"")</f>
        <v>16602</v>
      </c>
      <c r="AA31">
        <f ca="1">IFERROR(IF(0=LEN(ReferenceData!$AA$31),"",ReferenceData!$AA$31),"")</f>
        <v>14683</v>
      </c>
      <c r="AB31">
        <f ca="1">IFERROR(IF(0=LEN(ReferenceData!$AB$31),"",ReferenceData!$AB$31),"")</f>
        <v>13649</v>
      </c>
      <c r="AC31">
        <f ca="1">IFERROR(IF(0=LEN(ReferenceData!$AC$31),"",ReferenceData!$AC$31),"")</f>
        <v>16222</v>
      </c>
      <c r="AD31">
        <f ca="1">IFERROR(IF(0=LEN(ReferenceData!$AD$31),"",ReferenceData!$AD$31),"")</f>
        <v>14142</v>
      </c>
      <c r="AE31">
        <f ca="1">IFERROR(IF(0=LEN(ReferenceData!$AE$31),"",ReferenceData!$AE$31),"")</f>
        <v>12944</v>
      </c>
      <c r="AF31">
        <f ca="1">IFERROR(IF(0=LEN(ReferenceData!$AF$31),"",ReferenceData!$AF$31),"")</f>
        <v>13107</v>
      </c>
      <c r="AG31">
        <f ca="1">IFERROR(IF(0=LEN(ReferenceData!$AG$31),"",ReferenceData!$AG$31),"")</f>
        <v>15251</v>
      </c>
      <c r="AH31">
        <f ca="1">IFERROR(IF(0=LEN(ReferenceData!$AH$31),"",ReferenceData!$AH$31),"")</f>
        <v>17180</v>
      </c>
      <c r="AI31">
        <f ca="1">IFERROR(IF(0=LEN(ReferenceData!$AI$31),"",ReferenceData!$AI$31),"")</f>
        <v>18451</v>
      </c>
      <c r="AJ31">
        <f ca="1">IFERROR(IF(0=LEN(ReferenceData!$AJ$31),"",ReferenceData!$AJ$31),"")</f>
        <v>23955</v>
      </c>
      <c r="AK31">
        <f ca="1">IFERROR(IF(0=LEN(ReferenceData!$AK$31),"",ReferenceData!$AK$31),"")</f>
        <v>30007</v>
      </c>
      <c r="AL31">
        <f ca="1">IFERROR(IF(0=LEN(ReferenceData!$AL$31),"",ReferenceData!$AL$31),"")</f>
        <v>25267</v>
      </c>
      <c r="AM31">
        <f ca="1">IFERROR(IF(0=LEN(ReferenceData!$AM$31),"",ReferenceData!$AM$31),"")</f>
        <v>18269</v>
      </c>
      <c r="AN31">
        <f ca="1">IFERROR(IF(0=LEN(ReferenceData!$AN$31),"",ReferenceData!$AN$31),"")</f>
        <v>24700</v>
      </c>
      <c r="AO31">
        <f ca="1">IFERROR(IF(0=LEN(ReferenceData!$AO$31),"",ReferenceData!$AO$31),"")</f>
        <v>39166</v>
      </c>
      <c r="AP31">
        <f ca="1">IFERROR(IF(0=LEN(ReferenceData!$AP$31),"",ReferenceData!$AP$31),"")</f>
        <v>59365</v>
      </c>
      <c r="AQ31">
        <f ca="1">IFERROR(IF(0=LEN(ReferenceData!$AQ$31),"",ReferenceData!$AQ$31),"")</f>
        <v>39504</v>
      </c>
      <c r="AR31">
        <f ca="1">IFERROR(IF(0=LEN(ReferenceData!$AR$31),"",ReferenceData!$AR$31),"")</f>
        <v>67094</v>
      </c>
      <c r="AS31">
        <f ca="1">IFERROR(IF(0=LEN(ReferenceData!$AS$31),"",ReferenceData!$AS$31),"")</f>
        <v>64739</v>
      </c>
      <c r="AT31">
        <f ca="1">IFERROR(IF(0=LEN(ReferenceData!$AT$31),"",ReferenceData!$AT$31),"")</f>
        <v>49211</v>
      </c>
      <c r="AU31">
        <f ca="1">IFERROR(IF(0=LEN(ReferenceData!$AU$31),"",ReferenceData!$AU$31),"")</f>
        <v>41006</v>
      </c>
      <c r="AV31">
        <f ca="1">IFERROR(IF(0=LEN(ReferenceData!$AV$31),"",ReferenceData!$AV$31),"")</f>
        <v>67690</v>
      </c>
      <c r="AW31">
        <f ca="1">IFERROR(IF(0=LEN(ReferenceData!$AW$31),"",ReferenceData!$AW$31),"")</f>
        <v>79328</v>
      </c>
      <c r="AX31">
        <f ca="1">IFERROR(IF(0=LEN(ReferenceData!$AX$31),"",ReferenceData!$AX$31),"")</f>
        <v>79271</v>
      </c>
      <c r="AY31">
        <f ca="1">IFERROR(IF(0=LEN(ReferenceData!$AY$31),"",ReferenceData!$AY$31),"")</f>
        <v>51478</v>
      </c>
      <c r="AZ31">
        <f ca="1">IFERROR(IF(0=LEN(ReferenceData!$AZ$31),"",ReferenceData!$AZ$31),"")</f>
        <v>68761</v>
      </c>
      <c r="BA31">
        <f ca="1">IFERROR(IF(0=LEN(ReferenceData!$BA$31),"",ReferenceData!$BA$31),"")</f>
        <v>80193</v>
      </c>
      <c r="BB31">
        <f ca="1">IFERROR(IF(0=LEN(ReferenceData!$BB$31),"",ReferenceData!$BB$31),"")</f>
        <v>79313</v>
      </c>
      <c r="BC31">
        <f ca="1">IFERROR(IF(0=LEN(ReferenceData!$BC$31),"",ReferenceData!$BC$31),"")</f>
        <v>50742</v>
      </c>
      <c r="BD31">
        <f ca="1">IFERROR(IF(0=LEN(ReferenceData!$BD$31),"",ReferenceData!$BD$31),"")</f>
        <v>64269</v>
      </c>
      <c r="BE31">
        <f ca="1">IFERROR(IF(0=LEN(ReferenceData!$BE$31),"",ReferenceData!$BE$31),"")</f>
        <v>76599</v>
      </c>
      <c r="BF31">
        <f ca="1">IFERROR(IF(0=LEN(ReferenceData!$BF$31),"",ReferenceData!$BF$31),"")</f>
        <v>76059</v>
      </c>
      <c r="BG31">
        <f ca="1">IFERROR(IF(0=LEN(ReferenceData!$BG$31),"",ReferenceData!$BG$31),"")</f>
        <v>49670</v>
      </c>
      <c r="BH31">
        <f ca="1">IFERROR(IF(0=LEN(ReferenceData!$BH$31),"",ReferenceData!$BH$31),"")</f>
        <v>66615</v>
      </c>
      <c r="BI31">
        <f ca="1">IFERROR(IF(0=LEN(ReferenceData!$BI$31),"",ReferenceData!$BI$31),"")</f>
        <v>75605</v>
      </c>
      <c r="BJ31">
        <f ca="1">IFERROR(IF(0=LEN(ReferenceData!$BJ$31),"",ReferenceData!$BJ$31),"")</f>
        <v>77838</v>
      </c>
      <c r="BK31">
        <f ca="1">IFERROR(IF(0=LEN(ReferenceData!$BK$31),"",ReferenceData!$BK$31),"")</f>
        <v>56078</v>
      </c>
      <c r="BL31">
        <f ca="1">IFERROR(IF(0=LEN(ReferenceData!$BL$31),"",ReferenceData!$BL$31),"")</f>
        <v>66868</v>
      </c>
      <c r="BM31">
        <f ca="1">IFERROR(IF(0=LEN(ReferenceData!$BM$31),"",ReferenceData!$BM$31),"")</f>
        <v>85368</v>
      </c>
    </row>
    <row r="32" spans="1:65" x14ac:dyDescent="0.25">
      <c r="A32" t="str">
        <f>IFERROR(IF(0=LEN(ReferenceData!$A$32),"",ReferenceData!$A$32),"")</f>
        <v xml:space="preserve">            Iceland</v>
      </c>
      <c r="B32" t="str">
        <f>IFERROR(IF(0=LEN(ReferenceData!$B$32),"",ReferenceData!$B$32),"")</f>
        <v>WCARIC Index</v>
      </c>
      <c r="C32" t="str">
        <f>IFERROR(IF(0=LEN(ReferenceData!$C$32),"",ReferenceData!$C$32),"")</f>
        <v>PX385</v>
      </c>
      <c r="D32" t="str">
        <f>IFERROR(IF(0=LEN(ReferenceData!$D$32),"",ReferenceData!$D$32),"")</f>
        <v>INTERVAL_SUM</v>
      </c>
      <c r="E32" t="str">
        <f>IFERROR(IF(0=LEN(ReferenceData!$E$32),"",ReferenceData!$E$32),"")</f>
        <v>Dynamic</v>
      </c>
      <c r="F32">
        <f ca="1">IFERROR(IF(0=LEN(ReferenceData!$F$32),"",ReferenceData!$F$32),"")</f>
        <v>846</v>
      </c>
      <c r="G32">
        <f ca="1">IFERROR(IF(0=LEN(ReferenceData!$G$32),"",ReferenceData!$G$32),"")</f>
        <v>2007</v>
      </c>
      <c r="H32">
        <f ca="1">IFERROR(IF(0=LEN(ReferenceData!$H$32),"",ReferenceData!$H$32),"")</f>
        <v>4088</v>
      </c>
      <c r="I32">
        <f ca="1">IFERROR(IF(0=LEN(ReferenceData!$I$32),"",ReferenceData!$I$32),"")</f>
        <v>7267</v>
      </c>
      <c r="J32">
        <f ca="1">IFERROR(IF(0=LEN(ReferenceData!$J$32),"",ReferenceData!$J$32),"")</f>
        <v>4617</v>
      </c>
      <c r="K32">
        <f ca="1">IFERROR(IF(0=LEN(ReferenceData!$K$32),"",ReferenceData!$K$32),"")</f>
        <v>3027</v>
      </c>
      <c r="L32">
        <f ca="1">IFERROR(IF(0=LEN(ReferenceData!$L$32),"",ReferenceData!$L$32),"")</f>
        <v>4579</v>
      </c>
      <c r="M32">
        <f ca="1">IFERROR(IF(0=LEN(ReferenceData!$M$32),"",ReferenceData!$M$32),"")</f>
        <v>9048</v>
      </c>
      <c r="N32">
        <f ca="1">IFERROR(IF(0=LEN(ReferenceData!$N$32),"",ReferenceData!$N$32),"")</f>
        <v>4650</v>
      </c>
      <c r="O32">
        <f ca="1">IFERROR(IF(0=LEN(ReferenceData!$O$32),"",ReferenceData!$O$32),"")</f>
        <v>2557</v>
      </c>
      <c r="P32">
        <f ca="1">IFERROR(IF(0=LEN(ReferenceData!$P$32),"",ReferenceData!$P$32),"")</f>
        <v>3820</v>
      </c>
      <c r="Q32">
        <f ca="1">IFERROR(IF(0=LEN(ReferenceData!$Q$32),"",ReferenceData!$Q$32),"")</f>
        <v>8520</v>
      </c>
      <c r="R32">
        <f ca="1">IFERROR(IF(0=LEN(ReferenceData!$R$32),"",ReferenceData!$R$32),"")</f>
        <v>3595</v>
      </c>
      <c r="S32">
        <f ca="1">IFERROR(IF(0=LEN(ReferenceData!$S$32),"",ReferenceData!$S$32),"")</f>
        <v>2443</v>
      </c>
      <c r="T32">
        <f ca="1">IFERROR(IF(0=LEN(ReferenceData!$T$32),"",ReferenceData!$T$32),"")</f>
        <v>2802</v>
      </c>
      <c r="U32">
        <f ca="1">IFERROR(IF(0=LEN(ReferenceData!$U$32),"",ReferenceData!$U$32),"")</f>
        <v>6495</v>
      </c>
      <c r="V32">
        <f ca="1">IFERROR(IF(0=LEN(ReferenceData!$V$32),"",ReferenceData!$V$32),"")</f>
        <v>2289</v>
      </c>
      <c r="W32">
        <f ca="1">IFERROR(IF(0=LEN(ReferenceData!$W$32),"",ReferenceData!$W$32),"")</f>
        <v>1367</v>
      </c>
      <c r="X32">
        <f ca="1">IFERROR(IF(0=LEN(ReferenceData!$X$32),"",ReferenceData!$X$32),"")</f>
        <v>1792</v>
      </c>
      <c r="Y32">
        <f ca="1">IFERROR(IF(0=LEN(ReferenceData!$Y$32),"",ReferenceData!$Y$32),"")</f>
        <v>4804</v>
      </c>
      <c r="Z32">
        <f ca="1">IFERROR(IF(0=LEN(ReferenceData!$Z$32),"",ReferenceData!$Z$32),"")</f>
        <v>1574</v>
      </c>
      <c r="AA32">
        <f ca="1">IFERROR(IF(0=LEN(ReferenceData!$AA$32),"",ReferenceData!$AA$32),"")</f>
        <v>1056</v>
      </c>
      <c r="AB32">
        <f ca="1">IFERROR(IF(0=LEN(ReferenceData!$AB$32),"",ReferenceData!$AB$32),"")</f>
        <v>1414</v>
      </c>
      <c r="AC32">
        <f ca="1">IFERROR(IF(0=LEN(ReferenceData!$AC$32),"",ReferenceData!$AC$32),"")</f>
        <v>3471</v>
      </c>
      <c r="AD32">
        <f ca="1">IFERROR(IF(0=LEN(ReferenceData!$AD$32),"",ReferenceData!$AD$32),"")</f>
        <v>1333</v>
      </c>
      <c r="AE32">
        <f ca="1">IFERROR(IF(0=LEN(ReferenceData!$AE$32),"",ReferenceData!$AE$32),"")</f>
        <v>1559</v>
      </c>
      <c r="AF32">
        <f ca="1">IFERROR(IF(0=LEN(ReferenceData!$AF$32),"",ReferenceData!$AF$32),"")</f>
        <v>1517</v>
      </c>
      <c r="AG32">
        <f ca="1">IFERROR(IF(0=LEN(ReferenceData!$AG$32),"",ReferenceData!$AG$32),"")</f>
        <v>3778</v>
      </c>
      <c r="AH32">
        <f ca="1">IFERROR(IF(0=LEN(ReferenceData!$AH$32),"",ReferenceData!$AH$32),"")</f>
        <v>1076</v>
      </c>
      <c r="AI32">
        <f ca="1">IFERROR(IF(0=LEN(ReferenceData!$AI$32),"",ReferenceData!$AI$32),"")</f>
        <v>955.75</v>
      </c>
      <c r="AJ32">
        <f ca="1">IFERROR(IF(0=LEN(ReferenceData!$AJ$32),"",ReferenceData!$AJ$32),"")</f>
        <v>1026</v>
      </c>
      <c r="AK32">
        <f ca="1">IFERROR(IF(0=LEN(ReferenceData!$AK$32),"",ReferenceData!$AK$32),"")</f>
        <v>2521</v>
      </c>
      <c r="AL32">
        <f ca="1">IFERROR(IF(0=LEN(ReferenceData!$AL$32),"",ReferenceData!$AL$32),"")</f>
        <v>535</v>
      </c>
      <c r="AM32">
        <f ca="1">IFERROR(IF(0=LEN(ReferenceData!$AM$32),"",ReferenceData!$AM$32),"")</f>
        <v>534</v>
      </c>
      <c r="AN32">
        <f ca="1">IFERROR(IF(0=LEN(ReferenceData!$AN$32),"",ReferenceData!$AN$32),"")</f>
        <v>647</v>
      </c>
      <c r="AO32">
        <f ca="1">IFERROR(IF(0=LEN(ReferenceData!$AO$32),"",ReferenceData!$AO$32),"")</f>
        <v>1604</v>
      </c>
      <c r="AP32">
        <f ca="1">IFERROR(IF(0=LEN(ReferenceData!$AP$32),"",ReferenceData!$AP$32),"")</f>
        <v>317.66666670000001</v>
      </c>
      <c r="AQ32">
        <f ca="1">IFERROR(IF(0=LEN(ReferenceData!$AQ$32),"",ReferenceData!$AQ$32),"")</f>
        <v>241</v>
      </c>
      <c r="AR32">
        <f ca="1">IFERROR(IF(0=LEN(ReferenceData!$AR$32),"",ReferenceData!$AR$32),"")</f>
        <v>604</v>
      </c>
      <c r="AS32">
        <f ca="1">IFERROR(IF(0=LEN(ReferenceData!$AS$32),"",ReferenceData!$AS$32),"")</f>
        <v>938</v>
      </c>
      <c r="AT32">
        <f ca="1">IFERROR(IF(0=LEN(ReferenceData!$AT$32),"",ReferenceData!$AT$32),"")</f>
        <v>290</v>
      </c>
      <c r="AU32">
        <f ca="1">IFERROR(IF(0=LEN(ReferenceData!$AU$32),"",ReferenceData!$AU$32),"")</f>
        <v>301</v>
      </c>
      <c r="AV32">
        <f ca="1">IFERROR(IF(0=LEN(ReferenceData!$AV$32),"",ReferenceData!$AV$32),"")</f>
        <v>1591</v>
      </c>
      <c r="AW32">
        <f ca="1">IFERROR(IF(0=LEN(ReferenceData!$AW$32),"",ReferenceData!$AW$32),"")</f>
        <v>3819</v>
      </c>
      <c r="AX32">
        <f ca="1">IFERROR(IF(0=LEN(ReferenceData!$AX$32),"",ReferenceData!$AX$32),"")</f>
        <v>3322</v>
      </c>
      <c r="AY32">
        <f ca="1">IFERROR(IF(0=LEN(ReferenceData!$AY$32),"",ReferenceData!$AY$32),"")</f>
        <v>3494</v>
      </c>
      <c r="AZ32">
        <f ca="1">IFERROR(IF(0=LEN(ReferenceData!$AZ$32),"",ReferenceData!$AZ$32),"")</f>
        <v>3961</v>
      </c>
      <c r="BA32">
        <f ca="1">IFERROR(IF(0=LEN(ReferenceData!$BA$32),"",ReferenceData!$BA$32),"")</f>
        <v>5384</v>
      </c>
      <c r="BB32">
        <f ca="1">IFERROR(IF(0=LEN(ReferenceData!$BB$32),"",ReferenceData!$BB$32),"")</f>
        <v>3103</v>
      </c>
      <c r="BC32">
        <f ca="1">IFERROR(IF(0=LEN(ReferenceData!$BC$32),"",ReferenceData!$BC$32),"")</f>
        <v>2530</v>
      </c>
      <c r="BD32">
        <f ca="1">IFERROR(IF(0=LEN(ReferenceData!$BD$32),"",ReferenceData!$BD$32),"")</f>
        <v>3613</v>
      </c>
      <c r="BE32">
        <f ca="1">IFERROR(IF(0=LEN(ReferenceData!$BE$32),"",ReferenceData!$BE$32),"")</f>
        <v>5652</v>
      </c>
      <c r="BF32">
        <f ca="1">IFERROR(IF(0=LEN(ReferenceData!$BF$32),"",ReferenceData!$BF$32),"")</f>
        <v>5334</v>
      </c>
      <c r="BG32">
        <f ca="1">IFERROR(IF(0=LEN(ReferenceData!$BG$32),"",ReferenceData!$BG$32),"")</f>
        <v>3789</v>
      </c>
      <c r="BH32">
        <f ca="1">IFERROR(IF(0=LEN(ReferenceData!$BH$32),"",ReferenceData!$BH$32),"")</f>
        <v>4585</v>
      </c>
      <c r="BI32">
        <f ca="1">IFERROR(IF(0=LEN(ReferenceData!$BI$32),"",ReferenceData!$BI$32),"")</f>
        <v>6112</v>
      </c>
      <c r="BJ32">
        <f ca="1">IFERROR(IF(0=LEN(ReferenceData!$BJ$32),"",ReferenceData!$BJ$32),"")</f>
        <v>3574</v>
      </c>
      <c r="BK32">
        <f ca="1">IFERROR(IF(0=LEN(ReferenceData!$BK$32),"",ReferenceData!$BK$32),"")</f>
        <v>2613</v>
      </c>
      <c r="BL32">
        <f ca="1">IFERROR(IF(0=LEN(ReferenceData!$BL$32),"",ReferenceData!$BL$32),"")</f>
        <v>2946</v>
      </c>
      <c r="BM32">
        <f ca="1">IFERROR(IF(0=LEN(ReferenceData!$BM$32),"",ReferenceData!$BM$32),"")</f>
        <v>3983</v>
      </c>
    </row>
    <row r="33" spans="1:65" x14ac:dyDescent="0.25">
      <c r="A33" t="str">
        <f>IFERROR(IF(0=LEN(ReferenceData!$A$33),"",ReferenceData!$A$33),"")</f>
        <v xml:space="preserve">            Ireland</v>
      </c>
      <c r="B33" t="str">
        <f>IFERROR(IF(0=LEN(ReferenceData!$B$33),"",ReferenceData!$B$33),"")</f>
        <v>WCARIEI Index</v>
      </c>
      <c r="C33" t="str">
        <f>IFERROR(IF(0=LEN(ReferenceData!$C$33),"",ReferenceData!$C$33),"")</f>
        <v>PX385</v>
      </c>
      <c r="D33" t="str">
        <f>IFERROR(IF(0=LEN(ReferenceData!$D$33),"",ReferenceData!$D$33),"")</f>
        <v>INTERVAL_SUM</v>
      </c>
      <c r="E33" t="str">
        <f>IFERROR(IF(0=LEN(ReferenceData!$E$33),"",ReferenceData!$E$33),"")</f>
        <v>Dynamic</v>
      </c>
      <c r="F33">
        <f ca="1">IFERROR(IF(0=LEN(ReferenceData!$F$33),"",ReferenceData!$F$33),"")</f>
        <v>32343</v>
      </c>
      <c r="G33">
        <f ca="1">IFERROR(IF(0=LEN(ReferenceData!$G$33),"",ReferenceData!$G$33),"")</f>
        <v>2485</v>
      </c>
      <c r="H33">
        <f ca="1">IFERROR(IF(0=LEN(ReferenceData!$H$33),"",ReferenceData!$H$33),"")</f>
        <v>36000</v>
      </c>
      <c r="I33">
        <f ca="1">IFERROR(IF(0=LEN(ReferenceData!$I$33),"",ReferenceData!$I$33),"")</f>
        <v>15398</v>
      </c>
      <c r="J33">
        <f ca="1">IFERROR(IF(0=LEN(ReferenceData!$J$33),"",ReferenceData!$J$33),"")</f>
        <v>71856</v>
      </c>
      <c r="K33">
        <f ca="1">IFERROR(IF(0=LEN(ReferenceData!$K$33),"",ReferenceData!$K$33),"")</f>
        <v>2784</v>
      </c>
      <c r="L33">
        <f ca="1">IFERROR(IF(0=LEN(ReferenceData!$L$33),"",ReferenceData!$L$33),"")</f>
        <v>37333</v>
      </c>
      <c r="M33">
        <f ca="1">IFERROR(IF(0=LEN(ReferenceData!$M$33),"",ReferenceData!$M$33),"")</f>
        <v>15233</v>
      </c>
      <c r="N33">
        <f ca="1">IFERROR(IF(0=LEN(ReferenceData!$N$33),"",ReferenceData!$N$33),"")</f>
        <v>75982</v>
      </c>
      <c r="O33">
        <f ca="1">IFERROR(IF(0=LEN(ReferenceData!$O$33),"",ReferenceData!$O$33),"")</f>
        <v>3445</v>
      </c>
      <c r="P33">
        <f ca="1">IFERROR(IF(0=LEN(ReferenceData!$P$33),"",ReferenceData!$P$33),"")</f>
        <v>41884</v>
      </c>
      <c r="Q33">
        <f ca="1">IFERROR(IF(0=LEN(ReferenceData!$Q$33),"",ReferenceData!$Q$33),"")</f>
        <v>18503</v>
      </c>
      <c r="R33">
        <f ca="1">IFERROR(IF(0=LEN(ReferenceData!$R$33),"",ReferenceData!$R$33),"")</f>
        <v>82829</v>
      </c>
      <c r="S33">
        <f ca="1">IFERROR(IF(0=LEN(ReferenceData!$S$33),"",ReferenceData!$S$33),"")</f>
        <v>3852</v>
      </c>
      <c r="T33">
        <f ca="1">IFERROR(IF(0=LEN(ReferenceData!$T$33),"",ReferenceData!$T$33),"")</f>
        <v>38776</v>
      </c>
      <c r="U33">
        <f ca="1">IFERROR(IF(0=LEN(ReferenceData!$U$33),"",ReferenceData!$U$33),"")</f>
        <v>17829</v>
      </c>
      <c r="V33">
        <f ca="1">IFERROR(IF(0=LEN(ReferenceData!$V$33),"",ReferenceData!$V$33),"")</f>
        <v>64704</v>
      </c>
      <c r="W33">
        <f ca="1">IFERROR(IF(0=LEN(ReferenceData!$W$33),"",ReferenceData!$W$33),"")</f>
        <v>3129</v>
      </c>
      <c r="X33">
        <f ca="1">IFERROR(IF(0=LEN(ReferenceData!$X$33),"",ReferenceData!$X$33),"")</f>
        <v>27474</v>
      </c>
      <c r="Y33">
        <f ca="1">IFERROR(IF(0=LEN(ReferenceData!$Y$33),"",ReferenceData!$Y$33),"")</f>
        <v>15778</v>
      </c>
      <c r="Z33">
        <f ca="1">IFERROR(IF(0=LEN(ReferenceData!$Z$33),"",ReferenceData!$Z$33),"")</f>
        <v>49901</v>
      </c>
      <c r="AA33">
        <f ca="1">IFERROR(IF(0=LEN(ReferenceData!$AA$33),"",ReferenceData!$AA$33),"")</f>
        <v>2610</v>
      </c>
      <c r="AB33">
        <f ca="1">IFERROR(IF(0=LEN(ReferenceData!$AB$33),"",ReferenceData!$AB$33),"")</f>
        <v>18513</v>
      </c>
      <c r="AC33">
        <f ca="1">IFERROR(IF(0=LEN(ReferenceData!$AC$33),"",ReferenceData!$AC$33),"")</f>
        <v>13809</v>
      </c>
      <c r="AD33">
        <f ca="1">IFERROR(IF(0=LEN(ReferenceData!$AD$33),"",ReferenceData!$AD$33),"")</f>
        <v>39605</v>
      </c>
      <c r="AE33">
        <f ca="1">IFERROR(IF(0=LEN(ReferenceData!$AE$33),"",ReferenceData!$AE$33),"")</f>
        <v>2857</v>
      </c>
      <c r="AF33">
        <f ca="1">IFERROR(IF(0=LEN(ReferenceData!$AF$33),"",ReferenceData!$AF$33),"")</f>
        <v>9999</v>
      </c>
      <c r="AG33">
        <f ca="1">IFERROR(IF(0=LEN(ReferenceData!$AG$33),"",ReferenceData!$AG$33),"")</f>
        <v>20859</v>
      </c>
      <c r="AH33">
        <f ca="1">IFERROR(IF(0=LEN(ReferenceData!$AH$33),"",ReferenceData!$AH$33),"")</f>
        <v>45840</v>
      </c>
      <c r="AI33">
        <f ca="1">IFERROR(IF(0=LEN(ReferenceData!$AI$33),"",ReferenceData!$AI$33),"")</f>
        <v>2719</v>
      </c>
      <c r="AJ33">
        <f ca="1">IFERROR(IF(0=LEN(ReferenceData!$AJ$33),"",ReferenceData!$AJ$33),"")</f>
        <v>10089</v>
      </c>
      <c r="AK33">
        <f ca="1">IFERROR(IF(0=LEN(ReferenceData!$AK$33),"",ReferenceData!$AK$33),"")</f>
        <v>29210</v>
      </c>
      <c r="AL33">
        <f ca="1">IFERROR(IF(0=LEN(ReferenceData!$AL$33),"",ReferenceData!$AL$33),"")</f>
        <v>48113</v>
      </c>
      <c r="AM33">
        <f ca="1">IFERROR(IF(0=LEN(ReferenceData!$AM$33),"",ReferenceData!$AM$33),"")</f>
        <v>5213</v>
      </c>
      <c r="AN33">
        <f ca="1">IFERROR(IF(0=LEN(ReferenceData!$AN$33),"",ReferenceData!$AN$33),"")</f>
        <v>15698</v>
      </c>
      <c r="AO33">
        <f ca="1">IFERROR(IF(0=LEN(ReferenceData!$AO$33),"",ReferenceData!$AO$33),"")</f>
        <v>25673</v>
      </c>
      <c r="AP33">
        <f ca="1">IFERROR(IF(0=LEN(ReferenceData!$AP$33),"",ReferenceData!$AP$33),"")</f>
        <v>42714</v>
      </c>
      <c r="AQ33">
        <f ca="1">IFERROR(IF(0=LEN(ReferenceData!$AQ$33),"",ReferenceData!$AQ$33),"")</f>
        <v>2355</v>
      </c>
      <c r="AR33">
        <f ca="1">IFERROR(IF(0=LEN(ReferenceData!$AR$33),"",ReferenceData!$AR$33),"")</f>
        <v>8381</v>
      </c>
      <c r="AS33">
        <f ca="1">IFERROR(IF(0=LEN(ReferenceData!$AS$33),"",ReferenceData!$AS$33),"")</f>
        <v>14268</v>
      </c>
      <c r="AT33">
        <f ca="1">IFERROR(IF(0=LEN(ReferenceData!$AT$33),"",ReferenceData!$AT$33),"")</f>
        <v>32446</v>
      </c>
      <c r="AU33">
        <f ca="1">IFERROR(IF(0=LEN(ReferenceData!$AU$33),"",ReferenceData!$AU$33),"")</f>
        <v>2573</v>
      </c>
      <c r="AV33">
        <f ca="1">IFERROR(IF(0=LEN(ReferenceData!$AV$33),"",ReferenceData!$AV$33),"")</f>
        <v>25039</v>
      </c>
      <c r="AW33">
        <f ca="1">IFERROR(IF(0=LEN(ReferenceData!$AW$33),"",ReferenceData!$AW$33),"")</f>
        <v>31282</v>
      </c>
      <c r="AX33">
        <f ca="1">IFERROR(IF(0=LEN(ReferenceData!$AX$33),"",ReferenceData!$AX$33),"")</f>
        <v>92713</v>
      </c>
      <c r="AY33">
        <f ca="1">IFERROR(IF(0=LEN(ReferenceData!$AY$33),"",ReferenceData!$AY$33),"")</f>
        <v>5747</v>
      </c>
      <c r="AZ33">
        <f ca="1">IFERROR(IF(0=LEN(ReferenceData!$AZ$33),"",ReferenceData!$AZ$33),"")</f>
        <v>27652</v>
      </c>
      <c r="BA33">
        <f ca="1">IFERROR(IF(0=LEN(ReferenceData!$BA$33),"",ReferenceData!$BA$33),"")</f>
        <v>52633</v>
      </c>
      <c r="BB33">
        <f ca="1">IFERROR(IF(0=LEN(ReferenceData!$BB$33),"",ReferenceData!$BB$33),"")</f>
        <v>100293</v>
      </c>
      <c r="BC33">
        <f ca="1">IFERROR(IF(0=LEN(ReferenceData!$BC$33),"",ReferenceData!$BC$33),"")</f>
        <v>6707</v>
      </c>
      <c r="BD33">
        <f ca="1">IFERROR(IF(0=LEN(ReferenceData!$BD$33),"",ReferenceData!$BD$33),"")</f>
        <v>27292</v>
      </c>
      <c r="BE33">
        <f ca="1">IFERROR(IF(0=LEN(ReferenceData!$BE$33),"",ReferenceData!$BE$33),"")</f>
        <v>50256</v>
      </c>
      <c r="BF33">
        <f ca="1">IFERROR(IF(0=LEN(ReferenceData!$BF$33),"",ReferenceData!$BF$33),"")</f>
        <v>94229</v>
      </c>
      <c r="BG33">
        <f ca="1">IFERROR(IF(0=LEN(ReferenceData!$BG$33),"",ReferenceData!$BG$33),"")</f>
        <v>6540</v>
      </c>
      <c r="BH33">
        <f ca="1">IFERROR(IF(0=LEN(ReferenceData!$BH$33),"",ReferenceData!$BH$33),"")</f>
        <v>28271</v>
      </c>
      <c r="BI33">
        <f ca="1">IFERROR(IF(0=LEN(ReferenceData!$BI$33),"",ReferenceData!$BI$33),"")</f>
        <v>49296</v>
      </c>
      <c r="BJ33">
        <f ca="1">IFERROR(IF(0=LEN(ReferenceData!$BJ$33),"",ReferenceData!$BJ$33),"")</f>
        <v>87635</v>
      </c>
      <c r="BK33">
        <f ca="1">IFERROR(IF(0=LEN(ReferenceData!$BK$33),"",ReferenceData!$BK$33),"")</f>
        <v>6885</v>
      </c>
      <c r="BL33">
        <f ca="1">IFERROR(IF(0=LEN(ReferenceData!$BL$33),"",ReferenceData!$BL$33),"")</f>
        <v>25767</v>
      </c>
      <c r="BM33">
        <f ca="1">IFERROR(IF(0=LEN(ReferenceData!$BM$33),"",ReferenceData!$BM$33),"")</f>
        <v>44552</v>
      </c>
    </row>
    <row r="34" spans="1:65" x14ac:dyDescent="0.25">
      <c r="A34" t="str">
        <f>IFERROR(IF(0=LEN(ReferenceData!$A$34),"",ReferenceData!$A$34),"")</f>
        <v xml:space="preserve">            Italy</v>
      </c>
      <c r="B34" t="str">
        <f>IFERROR(IF(0=LEN(ReferenceData!$B$34),"",ReferenceData!$B$34),"")</f>
        <v>WCARITI Index</v>
      </c>
      <c r="C34" t="str">
        <f>IFERROR(IF(0=LEN(ReferenceData!$C$34),"",ReferenceData!$C$34),"")</f>
        <v>PX385</v>
      </c>
      <c r="D34" t="str">
        <f>IFERROR(IF(0=LEN(ReferenceData!$D$34),"",ReferenceData!$D$34),"")</f>
        <v>INTERVAL_SUM</v>
      </c>
      <c r="E34" t="str">
        <f>IFERROR(IF(0=LEN(ReferenceData!$E$34),"",ReferenceData!$E$34),"")</f>
        <v>Dynamic</v>
      </c>
      <c r="F34">
        <f ca="1">IFERROR(IF(0=LEN(ReferenceData!$F$34),"",ReferenceData!$F$34),"")</f>
        <v>164864</v>
      </c>
      <c r="G34">
        <f ca="1">IFERROR(IF(0=LEN(ReferenceData!$G$34),"",ReferenceData!$G$34),"")</f>
        <v>417724</v>
      </c>
      <c r="H34">
        <f ca="1">IFERROR(IF(0=LEN(ReferenceData!$H$34),"",ReferenceData!$H$34),"")</f>
        <v>369306</v>
      </c>
      <c r="I34">
        <f ca="1">IFERROR(IF(0=LEN(ReferenceData!$I$34),"",ReferenceData!$I$34),"")</f>
        <v>545194</v>
      </c>
      <c r="J34">
        <f ca="1">IFERROR(IF(0=LEN(ReferenceData!$J$34),"",ReferenceData!$J$34),"")</f>
        <v>573791</v>
      </c>
      <c r="K34">
        <f ca="1">IFERROR(IF(0=LEN(ReferenceData!$K$34),"",ReferenceData!$K$34),"")</f>
        <v>436992</v>
      </c>
      <c r="L34">
        <f ca="1">IFERROR(IF(0=LEN(ReferenceData!$L$34),"",ReferenceData!$L$34),"")</f>
        <v>397049</v>
      </c>
      <c r="M34">
        <f ca="1">IFERROR(IF(0=LEN(ReferenceData!$M$34),"",ReferenceData!$M$34),"")</f>
        <v>554139</v>
      </c>
      <c r="N34">
        <f ca="1">IFERROR(IF(0=LEN(ReferenceData!$N$34),"",ReferenceData!$N$34),"")</f>
        <v>583164</v>
      </c>
      <c r="O34">
        <f ca="1">IFERROR(IF(0=LEN(ReferenceData!$O$34),"",ReferenceData!$O$34),"")</f>
        <v>418894</v>
      </c>
      <c r="P34">
        <f ca="1">IFERROR(IF(0=LEN(ReferenceData!$P$34),"",ReferenceData!$P$34),"")</f>
        <v>363631</v>
      </c>
      <c r="Q34">
        <f ca="1">IFERROR(IF(0=LEN(ReferenceData!$Q$34),"",ReferenceData!$Q$34),"")</f>
        <v>523026</v>
      </c>
      <c r="R34">
        <f ca="1">IFERROR(IF(0=LEN(ReferenceData!$R$34),"",ReferenceData!$R$34),"")</f>
        <v>520360</v>
      </c>
      <c r="S34">
        <f ca="1">IFERROR(IF(0=LEN(ReferenceData!$S$34),"",ReferenceData!$S$34),"")</f>
        <v>376345</v>
      </c>
      <c r="T34">
        <f ca="1">IFERROR(IF(0=LEN(ReferenceData!$T$34),"",ReferenceData!$T$34),"")</f>
        <v>321370</v>
      </c>
      <c r="U34">
        <f ca="1">IFERROR(IF(0=LEN(ReferenceData!$U$34),"",ReferenceData!$U$34),"")</f>
        <v>442071</v>
      </c>
      <c r="V34">
        <f ca="1">IFERROR(IF(0=LEN(ReferenceData!$V$34),"",ReferenceData!$V$34),"")</f>
        <v>427385</v>
      </c>
      <c r="W34">
        <f ca="1">IFERROR(IF(0=LEN(ReferenceData!$W$34),"",ReferenceData!$W$34),"")</f>
        <v>323190</v>
      </c>
      <c r="X34">
        <f ca="1">IFERROR(IF(0=LEN(ReferenceData!$X$34),"",ReferenceData!$X$34),"")</f>
        <v>279326</v>
      </c>
      <c r="Y34">
        <f ca="1">IFERROR(IF(0=LEN(ReferenceData!$Y$34),"",ReferenceData!$Y$34),"")</f>
        <v>380434</v>
      </c>
      <c r="Z34">
        <f ca="1">IFERROR(IF(0=LEN(ReferenceData!$Z$34),"",ReferenceData!$Z$34),"")</f>
        <v>377630</v>
      </c>
      <c r="AA34">
        <f ca="1">IFERROR(IF(0=LEN(ReferenceData!$AA$34),"",ReferenceData!$AA$34),"")</f>
        <v>301747</v>
      </c>
      <c r="AB34">
        <f ca="1">IFERROR(IF(0=LEN(ReferenceData!$AB$34),"",ReferenceData!$AB$34),"")</f>
        <v>267203</v>
      </c>
      <c r="AC34">
        <f ca="1">IFERROR(IF(0=LEN(ReferenceData!$AC$34),"",ReferenceData!$AC$34),"")</f>
        <v>374346</v>
      </c>
      <c r="AD34">
        <f ca="1">IFERROR(IF(0=LEN(ReferenceData!$AD$34),"",ReferenceData!$AD$34),"")</f>
        <v>353964</v>
      </c>
      <c r="AE34">
        <f ca="1">IFERROR(IF(0=LEN(ReferenceData!$AE$34),"",ReferenceData!$AE$34),"")</f>
        <v>311935</v>
      </c>
      <c r="AF34">
        <f ca="1">IFERROR(IF(0=LEN(ReferenceData!$AF$34),"",ReferenceData!$AF$34),"")</f>
        <v>275875</v>
      </c>
      <c r="AG34">
        <f ca="1">IFERROR(IF(0=LEN(ReferenceData!$AG$34),"",ReferenceData!$AG$34),"")</f>
        <v>407381</v>
      </c>
      <c r="AH34">
        <f ca="1">IFERROR(IF(0=LEN(ReferenceData!$AH$34),"",ReferenceData!$AH$34),"")</f>
        <v>407832</v>
      </c>
      <c r="AI34">
        <f ca="1">IFERROR(IF(0=LEN(ReferenceData!$AI$34),"",ReferenceData!$AI$34),"")</f>
        <v>376494</v>
      </c>
      <c r="AJ34">
        <f ca="1">IFERROR(IF(0=LEN(ReferenceData!$AJ$34),"",ReferenceData!$AJ$34),"")</f>
        <v>355258</v>
      </c>
      <c r="AK34">
        <f ca="1">IFERROR(IF(0=LEN(ReferenceData!$AK$34),"",ReferenceData!$AK$34),"")</f>
        <v>496744</v>
      </c>
      <c r="AL34">
        <f ca="1">IFERROR(IF(0=LEN(ReferenceData!$AL$34),"",ReferenceData!$AL$34),"")</f>
        <v>512372</v>
      </c>
      <c r="AM34">
        <f ca="1">IFERROR(IF(0=LEN(ReferenceData!$AM$34),"",ReferenceData!$AM$34),"")</f>
        <v>415257</v>
      </c>
      <c r="AN34">
        <f ca="1">IFERROR(IF(0=LEN(ReferenceData!$AN$34),"",ReferenceData!$AN$34),"")</f>
        <v>376896</v>
      </c>
      <c r="AO34">
        <f ca="1">IFERROR(IF(0=LEN(ReferenceData!$AO$34),"",ReferenceData!$AO$34),"")</f>
        <v>494296</v>
      </c>
      <c r="AP34">
        <f ca="1">IFERROR(IF(0=LEN(ReferenceData!$AP$34),"",ReferenceData!$AP$34),"")</f>
        <v>664595</v>
      </c>
      <c r="AQ34">
        <f ca="1">IFERROR(IF(0=LEN(ReferenceData!$AQ$34),"",ReferenceData!$AQ$34),"")</f>
        <v>546883</v>
      </c>
      <c r="AR34">
        <f ca="1">IFERROR(IF(0=LEN(ReferenceData!$AR$34),"",ReferenceData!$AR$34),"")</f>
        <v>481847</v>
      </c>
      <c r="AS34">
        <f ca="1">IFERROR(IF(0=LEN(ReferenceData!$AS$34),"",ReferenceData!$AS$34),"")</f>
        <v>590511</v>
      </c>
      <c r="AT34">
        <f ca="1">IFERROR(IF(0=LEN(ReferenceData!$AT$34),"",ReferenceData!$AT$34),"")</f>
        <v>540220</v>
      </c>
      <c r="AU34">
        <f ca="1">IFERROR(IF(0=LEN(ReferenceData!$AU$34),"",ReferenceData!$AU$34),"")</f>
        <v>450160</v>
      </c>
      <c r="AV34">
        <f ca="1">IFERROR(IF(0=LEN(ReferenceData!$AV$34),"",ReferenceData!$AV$34),"")</f>
        <v>448389</v>
      </c>
      <c r="AW34">
        <f ca="1">IFERROR(IF(0=LEN(ReferenceData!$AW$34),"",ReferenceData!$AW$34),"")</f>
        <v>596412</v>
      </c>
      <c r="AX34">
        <f ca="1">IFERROR(IF(0=LEN(ReferenceData!$AX$34),"",ReferenceData!$AX$34),"")</f>
        <v>666721</v>
      </c>
      <c r="AY34">
        <f ca="1">IFERROR(IF(0=LEN(ReferenceData!$AY$34),"",ReferenceData!$AY$34),"")</f>
        <v>565397</v>
      </c>
      <c r="AZ34">
        <f ca="1">IFERROR(IF(0=LEN(ReferenceData!$AZ$34),"",ReferenceData!$AZ$34),"")</f>
        <v>505435</v>
      </c>
      <c r="BA34">
        <f ca="1">IFERROR(IF(0=LEN(ReferenceData!$BA$34),"",ReferenceData!$BA$34),"")</f>
        <v>684897</v>
      </c>
      <c r="BB34">
        <f ca="1">IFERROR(IF(0=LEN(ReferenceData!$BB$34),"",ReferenceData!$BB$34),"")</f>
        <v>737377</v>
      </c>
      <c r="BC34">
        <f ca="1">IFERROR(IF(0=LEN(ReferenceData!$BC$34),"",ReferenceData!$BC$34),"")</f>
        <v>522862</v>
      </c>
      <c r="BD34">
        <f ca="1">IFERROR(IF(0=LEN(ReferenceData!$BD$34),"",ReferenceData!$BD$34),"")</f>
        <v>473657</v>
      </c>
      <c r="BE34">
        <f ca="1">IFERROR(IF(0=LEN(ReferenceData!$BE$34),"",ReferenceData!$BE$34),"")</f>
        <v>625416</v>
      </c>
      <c r="BF34">
        <f ca="1">IFERROR(IF(0=LEN(ReferenceData!$BF$34),"",ReferenceData!$BF$34),"")</f>
        <v>704114</v>
      </c>
      <c r="BG34">
        <f ca="1">IFERROR(IF(0=LEN(ReferenceData!$BG$34),"",ReferenceData!$BG$34),"")</f>
        <v>508975</v>
      </c>
      <c r="BH34">
        <f ca="1">IFERROR(IF(0=LEN(ReferenceData!$BH$34),"",ReferenceData!$BH$34),"")</f>
        <v>500638</v>
      </c>
      <c r="BI34">
        <f ca="1">IFERROR(IF(0=LEN(ReferenceData!$BI$34),"",ReferenceData!$BI$34),"")</f>
        <v>585336</v>
      </c>
      <c r="BJ34">
        <f ca="1">IFERROR(IF(0=LEN(ReferenceData!$BJ$34),"",ReferenceData!$BJ$34),"")</f>
        <v>642495</v>
      </c>
      <c r="BK34">
        <f ca="1">IFERROR(IF(0=LEN(ReferenceData!$BK$34),"",ReferenceData!$BK$34),"")</f>
        <v>497778</v>
      </c>
      <c r="BL34">
        <f ca="1">IFERROR(IF(0=LEN(ReferenceData!$BL$34),"",ReferenceData!$BL$34),"")</f>
        <v>475359</v>
      </c>
      <c r="BM34">
        <f ca="1">IFERROR(IF(0=LEN(ReferenceData!$BM$34),"",ReferenceData!$BM$34),"")</f>
        <v>614063</v>
      </c>
    </row>
    <row r="35" spans="1:65" x14ac:dyDescent="0.25">
      <c r="A35" t="str">
        <f>IFERROR(IF(0=LEN(ReferenceData!$A$35),"",ReferenceData!$A$35),"")</f>
        <v xml:space="preserve">            Luxembourg</v>
      </c>
      <c r="B35" t="str">
        <f>IFERROR(IF(0=LEN(ReferenceData!$B$35),"",ReferenceData!$B$35),"")</f>
        <v>WCARLUI Index</v>
      </c>
      <c r="C35" t="str">
        <f>IFERROR(IF(0=LEN(ReferenceData!$C$35),"",ReferenceData!$C$35),"")</f>
        <v>PX385</v>
      </c>
      <c r="D35" t="str">
        <f>IFERROR(IF(0=LEN(ReferenceData!$D$35),"",ReferenceData!$D$35),"")</f>
        <v>INTERVAL_SUM</v>
      </c>
      <c r="E35" t="str">
        <f>IFERROR(IF(0=LEN(ReferenceData!$E$35),"",ReferenceData!$E$35),"")</f>
        <v>Dynamic</v>
      </c>
      <c r="F35">
        <f ca="1">IFERROR(IF(0=LEN(ReferenceData!$F$35),"",ReferenceData!$F$35),"")</f>
        <v>4205</v>
      </c>
      <c r="G35">
        <f ca="1">IFERROR(IF(0=LEN(ReferenceData!$G$35),"",ReferenceData!$G$35),"")</f>
        <v>10442</v>
      </c>
      <c r="H35">
        <f ca="1">IFERROR(IF(0=LEN(ReferenceData!$H$35),"",ReferenceData!$H$35),"")</f>
        <v>11714</v>
      </c>
      <c r="I35">
        <f ca="1">IFERROR(IF(0=LEN(ReferenceData!$I$35),"",ReferenceData!$I$35),"")</f>
        <v>16359</v>
      </c>
      <c r="J35">
        <f ca="1">IFERROR(IF(0=LEN(ReferenceData!$J$35),"",ReferenceData!$J$35),"")</f>
        <v>14296</v>
      </c>
      <c r="K35">
        <f ca="1">IFERROR(IF(0=LEN(ReferenceData!$K$35),"",ReferenceData!$K$35),"")</f>
        <v>11903</v>
      </c>
      <c r="L35">
        <f ca="1">IFERROR(IF(0=LEN(ReferenceData!$L$35),"",ReferenceData!$L$35),"")</f>
        <v>11926</v>
      </c>
      <c r="M35">
        <f ca="1">IFERROR(IF(0=LEN(ReferenceData!$M$35),"",ReferenceData!$M$35),"")</f>
        <v>15605</v>
      </c>
      <c r="N35">
        <f ca="1">IFERROR(IF(0=LEN(ReferenceData!$N$35),"",ReferenceData!$N$35),"")</f>
        <v>13341</v>
      </c>
      <c r="O35">
        <f ca="1">IFERROR(IF(0=LEN(ReferenceData!$O$35),"",ReferenceData!$O$35),"")</f>
        <v>11178</v>
      </c>
      <c r="P35">
        <f ca="1">IFERROR(IF(0=LEN(ReferenceData!$P$35),"",ReferenceData!$P$35),"")</f>
        <v>11068</v>
      </c>
      <c r="Q35">
        <f ca="1">IFERROR(IF(0=LEN(ReferenceData!$Q$35),"",ReferenceData!$Q$35),"")</f>
        <v>15350</v>
      </c>
      <c r="R35">
        <f ca="1">IFERROR(IF(0=LEN(ReferenceData!$R$35),"",ReferenceData!$R$35),"")</f>
        <v>12965</v>
      </c>
      <c r="S35">
        <f ca="1">IFERROR(IF(0=LEN(ReferenceData!$S$35),"",ReferenceData!$S$35),"")</f>
        <v>10446</v>
      </c>
      <c r="T35">
        <f ca="1">IFERROR(IF(0=LEN(ReferenceData!$T$35),"",ReferenceData!$T$35),"")</f>
        <v>10346</v>
      </c>
      <c r="U35">
        <f ca="1">IFERROR(IF(0=LEN(ReferenceData!$U$35),"",ReferenceData!$U$35),"")</f>
        <v>13825</v>
      </c>
      <c r="V35">
        <f ca="1">IFERROR(IF(0=LEN(ReferenceData!$V$35),"",ReferenceData!$V$35),"")</f>
        <v>11856</v>
      </c>
      <c r="W35">
        <f ca="1">IFERROR(IF(0=LEN(ReferenceData!$W$35),"",ReferenceData!$W$35),"")</f>
        <v>11646</v>
      </c>
      <c r="X35">
        <f ca="1">IFERROR(IF(0=LEN(ReferenceData!$X$35),"",ReferenceData!$X$35),"")</f>
        <v>11002</v>
      </c>
      <c r="Y35">
        <f ca="1">IFERROR(IF(0=LEN(ReferenceData!$Y$35),"",ReferenceData!$Y$35),"")</f>
        <v>14834</v>
      </c>
      <c r="Z35">
        <f ca="1">IFERROR(IF(0=LEN(ReferenceData!$Z$35),"",ReferenceData!$Z$35),"")</f>
        <v>12311</v>
      </c>
      <c r="AA35">
        <f ca="1">IFERROR(IF(0=LEN(ReferenceData!$AA$35),"",ReferenceData!$AA$35),"")</f>
        <v>10598</v>
      </c>
      <c r="AB35">
        <f ca="1">IFERROR(IF(0=LEN(ReferenceData!$AB$35),"",ReferenceData!$AB$35),"")</f>
        <v>9617</v>
      </c>
      <c r="AC35">
        <f ca="1">IFERROR(IF(0=LEN(ReferenceData!$AC$35),"",ReferenceData!$AC$35),"")</f>
        <v>14094</v>
      </c>
      <c r="AD35">
        <f ca="1">IFERROR(IF(0=LEN(ReferenceData!$AD$35),"",ReferenceData!$AD$35),"")</f>
        <v>12315</v>
      </c>
      <c r="AE35">
        <f ca="1">IFERROR(IF(0=LEN(ReferenceData!$AE$35),"",ReferenceData!$AE$35),"")</f>
        <v>11308</v>
      </c>
      <c r="AF35">
        <f ca="1">IFERROR(IF(0=LEN(ReferenceData!$AF$35),"",ReferenceData!$AF$35),"")</f>
        <v>10434</v>
      </c>
      <c r="AG35">
        <f ca="1">IFERROR(IF(0=LEN(ReferenceData!$AG$35),"",ReferenceData!$AG$35),"")</f>
        <v>15145</v>
      </c>
      <c r="AH35">
        <f ca="1">IFERROR(IF(0=LEN(ReferenceData!$AH$35),"",ReferenceData!$AH$35),"")</f>
        <v>13511</v>
      </c>
      <c r="AI35">
        <f ca="1">IFERROR(IF(0=LEN(ReferenceData!$AI$35),"",ReferenceData!$AI$35),"")</f>
        <v>10272</v>
      </c>
      <c r="AJ35">
        <f ca="1">IFERROR(IF(0=LEN(ReferenceData!$AJ$35),"",ReferenceData!$AJ$35),"")</f>
        <v>11013</v>
      </c>
      <c r="AK35">
        <f ca="1">IFERROR(IF(0=LEN(ReferenceData!$AK$35),"",ReferenceData!$AK$35),"")</f>
        <v>15173</v>
      </c>
      <c r="AL35">
        <f ca="1">IFERROR(IF(0=LEN(ReferenceData!$AL$35),"",ReferenceData!$AL$35),"")</f>
        <v>13423</v>
      </c>
      <c r="AM35">
        <f ca="1">IFERROR(IF(0=LEN(ReferenceData!$AM$35),"",ReferenceData!$AM$35),"")</f>
        <v>9780</v>
      </c>
      <c r="AN35">
        <f ca="1">IFERROR(IF(0=LEN(ReferenceData!$AN$35),"",ReferenceData!$AN$35),"")</f>
        <v>10269</v>
      </c>
      <c r="AO35">
        <f ca="1">IFERROR(IF(0=LEN(ReferenceData!$AO$35),"",ReferenceData!$AO$35),"")</f>
        <v>16254</v>
      </c>
      <c r="AP35">
        <f ca="1">IFERROR(IF(0=LEN(ReferenceData!$AP$35),"",ReferenceData!$AP$35),"")</f>
        <v>13423</v>
      </c>
      <c r="AQ35">
        <f ca="1">IFERROR(IF(0=LEN(ReferenceData!$AQ$35),"",ReferenceData!$AQ$35),"")</f>
        <v>10403</v>
      </c>
      <c r="AR35">
        <f ca="1">IFERROR(IF(0=LEN(ReferenceData!$AR$35),"",ReferenceData!$AR$35),"")</f>
        <v>10390</v>
      </c>
      <c r="AS35">
        <f ca="1">IFERROR(IF(0=LEN(ReferenceData!$AS$35),"",ReferenceData!$AS$35),"")</f>
        <v>14382</v>
      </c>
      <c r="AT35">
        <f ca="1">IFERROR(IF(0=LEN(ReferenceData!$AT$35),"",ReferenceData!$AT$35),"")</f>
        <v>12090</v>
      </c>
      <c r="AU35">
        <f ca="1">IFERROR(IF(0=LEN(ReferenceData!$AU$35),"",ReferenceData!$AU$35),"")</f>
        <v>10675</v>
      </c>
      <c r="AV35">
        <f ca="1">IFERROR(IF(0=LEN(ReferenceData!$AV$35),"",ReferenceData!$AV$35),"")</f>
        <v>11782</v>
      </c>
      <c r="AW35">
        <f ca="1">IFERROR(IF(0=LEN(ReferenceData!$AW$35),"",ReferenceData!$AW$35),"")</f>
        <v>16413</v>
      </c>
      <c r="AX35">
        <f ca="1">IFERROR(IF(0=LEN(ReferenceData!$AX$35),"",ReferenceData!$AX$35),"")</f>
        <v>13489</v>
      </c>
      <c r="AY35">
        <f ca="1">IFERROR(IF(0=LEN(ReferenceData!$AY$35),"",ReferenceData!$AY$35),"")</f>
        <v>11437</v>
      </c>
      <c r="AZ35">
        <f ca="1">IFERROR(IF(0=LEN(ReferenceData!$AZ$35),"",ReferenceData!$AZ$35),"")</f>
        <v>10643</v>
      </c>
      <c r="BA35">
        <f ca="1">IFERROR(IF(0=LEN(ReferenceData!$BA$35),"",ReferenceData!$BA$35),"")</f>
        <v>14831</v>
      </c>
      <c r="BB35">
        <f ca="1">IFERROR(IF(0=LEN(ReferenceData!$BB$35),"",ReferenceData!$BB$35),"")</f>
        <v>14421</v>
      </c>
      <c r="BC35">
        <f ca="1">IFERROR(IF(0=LEN(ReferenceData!$BC$35),"",ReferenceData!$BC$35),"")</f>
        <v>10269</v>
      </c>
      <c r="BD35">
        <f ca="1">IFERROR(IF(0=LEN(ReferenceData!$BD$35),"",ReferenceData!$BD$35),"")</f>
        <v>10101</v>
      </c>
      <c r="BE35">
        <f ca="1">IFERROR(IF(0=LEN(ReferenceData!$BE$35),"",ReferenceData!$BE$35),"")</f>
        <v>16245</v>
      </c>
      <c r="BF35">
        <f ca="1">IFERROR(IF(0=LEN(ReferenceData!$BF$35),"",ReferenceData!$BF$35),"")</f>
        <v>14222</v>
      </c>
      <c r="BG35">
        <f ca="1">IFERROR(IF(0=LEN(ReferenceData!$BG$35),"",ReferenceData!$BG$35),"")</f>
        <v>9662</v>
      </c>
      <c r="BH35">
        <f ca="1">IFERROR(IF(0=LEN(ReferenceData!$BH$35),"",ReferenceData!$BH$35),"")</f>
        <v>10184</v>
      </c>
      <c r="BI35">
        <f ca="1">IFERROR(IF(0=LEN(ReferenceData!$BI$35),"",ReferenceData!$BI$35),"")</f>
        <v>14059</v>
      </c>
      <c r="BJ35">
        <f ca="1">IFERROR(IF(0=LEN(ReferenceData!$BJ$35),"",ReferenceData!$BJ$35),"")</f>
        <v>14612</v>
      </c>
      <c r="BK35">
        <f ca="1">IFERROR(IF(0=LEN(ReferenceData!$BK$35),"",ReferenceData!$BK$35),"")</f>
        <v>10021</v>
      </c>
      <c r="BL35">
        <f ca="1">IFERROR(IF(0=LEN(ReferenceData!$BL$35),"",ReferenceData!$BL$35),"")</f>
        <v>9742</v>
      </c>
      <c r="BM35">
        <f ca="1">IFERROR(IF(0=LEN(ReferenceData!$BM$35),"",ReferenceData!$BM$35),"")</f>
        <v>14538</v>
      </c>
    </row>
    <row r="36" spans="1:65" x14ac:dyDescent="0.25">
      <c r="A36" t="str">
        <f>IFERROR(IF(0=LEN(ReferenceData!$A$36),"",ReferenceData!$A$36),"")</f>
        <v xml:space="preserve">            Netherlands</v>
      </c>
      <c r="B36" t="str">
        <f>IFERROR(IF(0=LEN(ReferenceData!$B$36),"",ReferenceData!$B$36),"")</f>
        <v>WCARNLI Index</v>
      </c>
      <c r="C36" t="str">
        <f>IFERROR(IF(0=LEN(ReferenceData!$C$36),"",ReferenceData!$C$36),"")</f>
        <v>PX385</v>
      </c>
      <c r="D36" t="str">
        <f>IFERROR(IF(0=LEN(ReferenceData!$D$36),"",ReferenceData!$D$36),"")</f>
        <v>INTERVAL_SUM</v>
      </c>
      <c r="E36" t="str">
        <f>IFERROR(IF(0=LEN(ReferenceData!$E$36),"",ReferenceData!$E$36),"")</f>
        <v>Dynamic</v>
      </c>
      <c r="F36">
        <f ca="1">IFERROR(IF(0=LEN(ReferenceData!$F$36),"",ReferenceData!$F$36),"")</f>
        <v>47701</v>
      </c>
      <c r="G36">
        <f ca="1">IFERROR(IF(0=LEN(ReferenceData!$G$36),"",ReferenceData!$G$36),"")</f>
        <v>84892</v>
      </c>
      <c r="H36">
        <f ca="1">IFERROR(IF(0=LEN(ReferenceData!$H$36),"",ReferenceData!$H$36),"")</f>
        <v>107145</v>
      </c>
      <c r="I36">
        <f ca="1">IFERROR(IF(0=LEN(ReferenceData!$I$36),"",ReferenceData!$I$36),"")</f>
        <v>118359</v>
      </c>
      <c r="J36">
        <f ca="1">IFERROR(IF(0=LEN(ReferenceData!$J$36),"",ReferenceData!$J$36),"")</f>
        <v>136349</v>
      </c>
      <c r="K36">
        <f ca="1">IFERROR(IF(0=LEN(ReferenceData!$K$36),"",ReferenceData!$K$36),"")</f>
        <v>91377</v>
      </c>
      <c r="L36">
        <f ca="1">IFERROR(IF(0=LEN(ReferenceData!$L$36),"",ReferenceData!$L$36),"")</f>
        <v>96956</v>
      </c>
      <c r="M36">
        <f ca="1">IFERROR(IF(0=LEN(ReferenceData!$M$36),"",ReferenceData!$M$36),"")</f>
        <v>106278</v>
      </c>
      <c r="N36">
        <f ca="1">IFERROR(IF(0=LEN(ReferenceData!$N$36),"",ReferenceData!$N$36),"")</f>
        <v>119697</v>
      </c>
      <c r="O36">
        <f ca="1">IFERROR(IF(0=LEN(ReferenceData!$O$36),"",ReferenceData!$O$36),"")</f>
        <v>96771</v>
      </c>
      <c r="P36">
        <f ca="1">IFERROR(IF(0=LEN(ReferenceData!$P$36),"",ReferenceData!$P$36),"")</f>
        <v>91199</v>
      </c>
      <c r="Q36">
        <f ca="1">IFERROR(IF(0=LEN(ReferenceData!$Q$36),"",ReferenceData!$Q$36),"")</f>
        <v>95650</v>
      </c>
      <c r="R36">
        <f ca="1">IFERROR(IF(0=LEN(ReferenceData!$R$36),"",ReferenceData!$R$36),"")</f>
        <v>98265</v>
      </c>
      <c r="S36">
        <f ca="1">IFERROR(IF(0=LEN(ReferenceData!$S$36),"",ReferenceData!$S$36),"")</f>
        <v>148681</v>
      </c>
      <c r="T36">
        <f ca="1">IFERROR(IF(0=LEN(ReferenceData!$T$36),"",ReferenceData!$T$36),"")</f>
        <v>100410</v>
      </c>
      <c r="U36">
        <f ca="1">IFERROR(IF(0=LEN(ReferenceData!$U$36),"",ReferenceData!$U$36),"")</f>
        <v>92196</v>
      </c>
      <c r="V36">
        <f ca="1">IFERROR(IF(0=LEN(ReferenceData!$V$36),"",ReferenceData!$V$36),"")</f>
        <v>110920</v>
      </c>
      <c r="W36">
        <f ca="1">IFERROR(IF(0=LEN(ReferenceData!$W$36),"",ReferenceData!$W$36),"")</f>
        <v>103518</v>
      </c>
      <c r="X36">
        <f ca="1">IFERROR(IF(0=LEN(ReferenceData!$X$36),"",ReferenceData!$X$36),"")</f>
        <v>85093</v>
      </c>
      <c r="Y36">
        <f ca="1">IFERROR(IF(0=LEN(ReferenceData!$Y$36),"",ReferenceData!$Y$36),"")</f>
        <v>91923</v>
      </c>
      <c r="Z36">
        <f ca="1">IFERROR(IF(0=LEN(ReferenceData!$Z$36),"",ReferenceData!$Z$36),"")</f>
        <v>107031</v>
      </c>
      <c r="AA36">
        <f ca="1">IFERROR(IF(0=LEN(ReferenceData!$AA$36),"",ReferenceData!$AA$36),"")</f>
        <v>116597</v>
      </c>
      <c r="AB36">
        <f ca="1">IFERROR(IF(0=LEN(ReferenceData!$AB$36),"",ReferenceData!$AB$36),"")</f>
        <v>90793</v>
      </c>
      <c r="AC36">
        <f ca="1">IFERROR(IF(0=LEN(ReferenceData!$AC$36),"",ReferenceData!$AC$36),"")</f>
        <v>95732</v>
      </c>
      <c r="AD36">
        <f ca="1">IFERROR(IF(0=LEN(ReferenceData!$AD$36),"",ReferenceData!$AD$36),"")</f>
        <v>116335</v>
      </c>
      <c r="AE36">
        <f ca="1">IFERROR(IF(0=LEN(ReferenceData!$AE$36),"",ReferenceData!$AE$36),"")</f>
        <v>75257</v>
      </c>
      <c r="AF36">
        <f ca="1">IFERROR(IF(0=LEN(ReferenceData!$AF$36),"",ReferenceData!$AF$36),"")</f>
        <v>95864</v>
      </c>
      <c r="AG36">
        <f ca="1">IFERROR(IF(0=LEN(ReferenceData!$AG$36),"",ReferenceData!$AG$36),"")</f>
        <v>164908</v>
      </c>
      <c r="AH36">
        <f ca="1">IFERROR(IF(0=LEN(ReferenceData!$AH$36),"",ReferenceData!$AH$36),"")</f>
        <v>166450</v>
      </c>
      <c r="AI36">
        <f ca="1">IFERROR(IF(0=LEN(ReferenceData!$AI$36),"",ReferenceData!$AI$36),"")</f>
        <v>102685</v>
      </c>
      <c r="AJ36">
        <f ca="1">IFERROR(IF(0=LEN(ReferenceData!$AJ$36),"",ReferenceData!$AJ$36),"")</f>
        <v>125798</v>
      </c>
      <c r="AK36">
        <f ca="1">IFERROR(IF(0=LEN(ReferenceData!$AK$36),"",ReferenceData!$AK$36),"")</f>
        <v>148652</v>
      </c>
      <c r="AL36">
        <f ca="1">IFERROR(IF(0=LEN(ReferenceData!$AL$36),"",ReferenceData!$AL$36),"")</f>
        <v>181278</v>
      </c>
      <c r="AM36">
        <f ca="1">IFERROR(IF(0=LEN(ReferenceData!$AM$36),"",ReferenceData!$AM$36),"")</f>
        <v>93263</v>
      </c>
      <c r="AN36">
        <f ca="1">IFERROR(IF(0=LEN(ReferenceData!$AN$36),"",ReferenceData!$AN$36),"")</f>
        <v>120903</v>
      </c>
      <c r="AO36">
        <f ca="1">IFERROR(IF(0=LEN(ReferenceData!$AO$36),"",ReferenceData!$AO$36),"")</f>
        <v>125860</v>
      </c>
      <c r="AP36">
        <f ca="1">IFERROR(IF(0=LEN(ReferenceData!$AP$36),"",ReferenceData!$AP$36),"")</f>
        <v>145901</v>
      </c>
      <c r="AQ36">
        <f ca="1">IFERROR(IF(0=LEN(ReferenceData!$AQ$36),"",ReferenceData!$AQ$36),"")</f>
        <v>70969</v>
      </c>
      <c r="AR36">
        <f ca="1">IFERROR(IF(0=LEN(ReferenceData!$AR$36),"",ReferenceData!$AR$36),"")</f>
        <v>94973</v>
      </c>
      <c r="AS36">
        <f ca="1">IFERROR(IF(0=LEN(ReferenceData!$AS$36),"",ReferenceData!$AS$36),"")</f>
        <v>96570</v>
      </c>
      <c r="AT36">
        <f ca="1">IFERROR(IF(0=LEN(ReferenceData!$AT$36),"",ReferenceData!$AT$36),"")</f>
        <v>124634</v>
      </c>
      <c r="AU36">
        <f ca="1">IFERROR(IF(0=LEN(ReferenceData!$AU$36),"",ReferenceData!$AU$36),"")</f>
        <v>78855</v>
      </c>
      <c r="AV36">
        <f ca="1">IFERROR(IF(0=LEN(ReferenceData!$AV$36),"",ReferenceData!$AV$36),"")</f>
        <v>120950</v>
      </c>
      <c r="AW36">
        <f ca="1">IFERROR(IF(0=LEN(ReferenceData!$AW$36),"",ReferenceData!$AW$36),"")</f>
        <v>136276</v>
      </c>
      <c r="AX36">
        <f ca="1">IFERROR(IF(0=LEN(ReferenceData!$AX$36),"",ReferenceData!$AX$36),"")</f>
        <v>163837</v>
      </c>
      <c r="AY36">
        <f ca="1">IFERROR(IF(0=LEN(ReferenceData!$AY$36),"",ReferenceData!$AY$36),"")</f>
        <v>89365</v>
      </c>
      <c r="AZ36">
        <f ca="1">IFERROR(IF(0=LEN(ReferenceData!$AZ$36),"",ReferenceData!$AZ$36),"")</f>
        <v>121069</v>
      </c>
      <c r="BA36">
        <f ca="1">IFERROR(IF(0=LEN(ReferenceData!$BA$36),"",ReferenceData!$BA$36),"")</f>
        <v>133735</v>
      </c>
      <c r="BB36">
        <f ca="1">IFERROR(IF(0=LEN(ReferenceData!$BB$36),"",ReferenceData!$BB$36),"")</f>
        <v>161369</v>
      </c>
      <c r="BC36">
        <f ca="1">IFERROR(IF(0=LEN(ReferenceData!$BC$36),"",ReferenceData!$BC$36),"")</f>
        <v>87062</v>
      </c>
      <c r="BD36">
        <f ca="1">IFERROR(IF(0=LEN(ReferenceData!$BD$36),"",ReferenceData!$BD$36),"")</f>
        <v>110050</v>
      </c>
      <c r="BE36">
        <f ca="1">IFERROR(IF(0=LEN(ReferenceData!$BE$36),"",ReferenceData!$BE$36),"")</f>
        <v>126830</v>
      </c>
      <c r="BF36">
        <f ca="1">IFERROR(IF(0=LEN(ReferenceData!$BF$36),"",ReferenceData!$BF$36),"")</f>
        <v>160028</v>
      </c>
      <c r="BG36">
        <f ca="1">IFERROR(IF(0=LEN(ReferenceData!$BG$36),"",ReferenceData!$BG$36),"")</f>
        <v>76897</v>
      </c>
      <c r="BH36">
        <f ca="1">IFERROR(IF(0=LEN(ReferenceData!$BH$36),"",ReferenceData!$BH$36),"")</f>
        <v>114389</v>
      </c>
      <c r="BI36">
        <f ca="1">IFERROR(IF(0=LEN(ReferenceData!$BI$36),"",ReferenceData!$BI$36),"")</f>
        <v>123173</v>
      </c>
      <c r="BJ36">
        <f ca="1">IFERROR(IF(0=LEN(ReferenceData!$BJ$36),"",ReferenceData!$BJ$36),"")</f>
        <v>150693</v>
      </c>
      <c r="BK36">
        <f ca="1">IFERROR(IF(0=LEN(ReferenceData!$BK$36),"",ReferenceData!$BK$36),"")</f>
        <v>86647</v>
      </c>
      <c r="BL36">
        <f ca="1">IFERROR(IF(0=LEN(ReferenceData!$BL$36),"",ReferenceData!$BL$36),"")</f>
        <v>111895</v>
      </c>
      <c r="BM36">
        <f ca="1">IFERROR(IF(0=LEN(ReferenceData!$BM$36),"",ReferenceData!$BM$36),"")</f>
        <v>129358</v>
      </c>
    </row>
    <row r="37" spans="1:65" x14ac:dyDescent="0.25">
      <c r="A37" t="str">
        <f>IFERROR(IF(0=LEN(ReferenceData!$A$37),"",ReferenceData!$A$37),"")</f>
        <v xml:space="preserve">            Norway</v>
      </c>
      <c r="B37" t="str">
        <f>IFERROR(IF(0=LEN(ReferenceData!$B$37),"",ReferenceData!$B$37),"")</f>
        <v>WCARNOI Index</v>
      </c>
      <c r="C37" t="str">
        <f>IFERROR(IF(0=LEN(ReferenceData!$C$37),"",ReferenceData!$C$37),"")</f>
        <v>PX385</v>
      </c>
      <c r="D37" t="str">
        <f>IFERROR(IF(0=LEN(ReferenceData!$D$37),"",ReferenceData!$D$37),"")</f>
        <v>INTERVAL_SUM</v>
      </c>
      <c r="E37" t="str">
        <f>IFERROR(IF(0=LEN(ReferenceData!$E$37),"",ReferenceData!$E$37),"")</f>
        <v>Dynamic</v>
      </c>
      <c r="F37">
        <f ca="1">IFERROR(IF(0=LEN(ReferenceData!$F$37),"",ReferenceData!$F$37),"")</f>
        <v>9004</v>
      </c>
      <c r="G37">
        <f ca="1">IFERROR(IF(0=LEN(ReferenceData!$G$37),"",ReferenceData!$G$37),"")</f>
        <v>36429</v>
      </c>
      <c r="H37">
        <f ca="1">IFERROR(IF(0=LEN(ReferenceData!$H$37),"",ReferenceData!$H$37),"")</f>
        <v>34755</v>
      </c>
      <c r="I37">
        <f ca="1">IFERROR(IF(0=LEN(ReferenceData!$I$37),"",ReferenceData!$I$37),"")</f>
        <v>42946</v>
      </c>
      <c r="J37">
        <f ca="1">IFERROR(IF(0=LEN(ReferenceData!$J$37),"",ReferenceData!$J$37),"")</f>
        <v>33799</v>
      </c>
      <c r="K37">
        <f ca="1">IFERROR(IF(0=LEN(ReferenceData!$K$37),"",ReferenceData!$K$37),"")</f>
        <v>42292</v>
      </c>
      <c r="L37">
        <f ca="1">IFERROR(IF(0=LEN(ReferenceData!$L$37),"",ReferenceData!$L$37),"")</f>
        <v>38375</v>
      </c>
      <c r="M37">
        <f ca="1">IFERROR(IF(0=LEN(ReferenceData!$M$37),"",ReferenceData!$M$37),"")</f>
        <v>39742</v>
      </c>
      <c r="N37">
        <f ca="1">IFERROR(IF(0=LEN(ReferenceData!$N$37),"",ReferenceData!$N$37),"")</f>
        <v>38241</v>
      </c>
      <c r="O37">
        <f ca="1">IFERROR(IF(0=LEN(ReferenceData!$O$37),"",ReferenceData!$O$37),"")</f>
        <v>38728</v>
      </c>
      <c r="P37">
        <f ca="1">IFERROR(IF(0=LEN(ReferenceData!$P$37),"",ReferenceData!$P$37),"")</f>
        <v>38126</v>
      </c>
      <c r="Q37">
        <f ca="1">IFERROR(IF(0=LEN(ReferenceData!$Q$37),"",ReferenceData!$Q$37),"")</f>
        <v>40661</v>
      </c>
      <c r="R37">
        <f ca="1">IFERROR(IF(0=LEN(ReferenceData!$R$37),"",ReferenceData!$R$37),"")</f>
        <v>37088</v>
      </c>
      <c r="S37">
        <f ca="1">IFERROR(IF(0=LEN(ReferenceData!$S$37),"",ReferenceData!$S$37),"")</f>
        <v>38875</v>
      </c>
      <c r="T37">
        <f ca="1">IFERROR(IF(0=LEN(ReferenceData!$T$37),"",ReferenceData!$T$37),"")</f>
        <v>37419</v>
      </c>
      <c r="U37">
        <f ca="1">IFERROR(IF(0=LEN(ReferenceData!$U$37),"",ReferenceData!$U$37),"")</f>
        <v>39025</v>
      </c>
      <c r="V37">
        <f ca="1">IFERROR(IF(0=LEN(ReferenceData!$V$37),"",ReferenceData!$V$37),"")</f>
        <v>35367</v>
      </c>
      <c r="W37">
        <f ca="1">IFERROR(IF(0=LEN(ReferenceData!$W$37),"",ReferenceData!$W$37),"")</f>
        <v>37098</v>
      </c>
      <c r="X37">
        <f ca="1">IFERROR(IF(0=LEN(ReferenceData!$X$37),"",ReferenceData!$X$37),"")</f>
        <v>34719</v>
      </c>
      <c r="Y37">
        <f ca="1">IFERROR(IF(0=LEN(ReferenceData!$Y$37),"",ReferenceData!$Y$37),"")</f>
        <v>35893</v>
      </c>
      <c r="Z37">
        <f ca="1">IFERROR(IF(0=LEN(ReferenceData!$Z$37),"",ReferenceData!$Z$37),"")</f>
        <v>36492</v>
      </c>
      <c r="AA37">
        <f ca="1">IFERROR(IF(0=LEN(ReferenceData!$AA$37),"",ReferenceData!$AA$37),"")</f>
        <v>36367</v>
      </c>
      <c r="AB37">
        <f ca="1">IFERROR(IF(0=LEN(ReferenceData!$AB$37),"",ReferenceData!$AB$37),"")</f>
        <v>35140</v>
      </c>
      <c r="AC37">
        <f ca="1">IFERROR(IF(0=LEN(ReferenceData!$AC$37),"",ReferenceData!$AC$37),"")</f>
        <v>36948</v>
      </c>
      <c r="AD37">
        <f ca="1">IFERROR(IF(0=LEN(ReferenceData!$AD$37),"",ReferenceData!$AD$37),"")</f>
        <v>33696</v>
      </c>
      <c r="AE37">
        <f ca="1">IFERROR(IF(0=LEN(ReferenceData!$AE$37),"",ReferenceData!$AE$37),"")</f>
        <v>33768</v>
      </c>
      <c r="AF37">
        <f ca="1">IFERROR(IF(0=LEN(ReferenceData!$AF$37),"",ReferenceData!$AF$37),"")</f>
        <v>34844</v>
      </c>
      <c r="AG37">
        <f ca="1">IFERROR(IF(0=LEN(ReferenceData!$AG$37),"",ReferenceData!$AG$37),"")</f>
        <v>34541</v>
      </c>
      <c r="AH37">
        <f ca="1">IFERROR(IF(0=LEN(ReferenceData!$AH$37),"",ReferenceData!$AH$37),"")</f>
        <v>34814</v>
      </c>
      <c r="AI37">
        <f ca="1">IFERROR(IF(0=LEN(ReferenceData!$AI$37),"",ReferenceData!$AI$37),"")</f>
        <v>35450</v>
      </c>
      <c r="AJ37">
        <f ca="1">IFERROR(IF(0=LEN(ReferenceData!$AJ$37),"",ReferenceData!$AJ$37),"")</f>
        <v>34390</v>
      </c>
      <c r="AK37">
        <f ca="1">IFERROR(IF(0=LEN(ReferenceData!$AK$37),"",ReferenceData!$AK$37),"")</f>
        <v>34689</v>
      </c>
      <c r="AL37">
        <f ca="1">IFERROR(IF(0=LEN(ReferenceData!$AL$37),"",ReferenceData!$AL$37),"")</f>
        <v>33816</v>
      </c>
      <c r="AM37">
        <f ca="1">IFERROR(IF(0=LEN(ReferenceData!$AM$37),"",ReferenceData!$AM$37),"")</f>
        <v>32727</v>
      </c>
      <c r="AN37">
        <f ca="1">IFERROR(IF(0=LEN(ReferenceData!$AN$37),"",ReferenceData!$AN$37),"")</f>
        <v>33058</v>
      </c>
      <c r="AO37">
        <f ca="1">IFERROR(IF(0=LEN(ReferenceData!$AO$37),"",ReferenceData!$AO$37),"")</f>
        <v>31692</v>
      </c>
      <c r="AP37">
        <f ca="1">IFERROR(IF(0=LEN(ReferenceData!$AP$37),"",ReferenceData!$AP$37),"")</f>
        <v>30277</v>
      </c>
      <c r="AQ37">
        <f ca="1">IFERROR(IF(0=LEN(ReferenceData!$AQ$37),"",ReferenceData!$AQ$37),"")</f>
        <v>30037</v>
      </c>
      <c r="AR37">
        <f ca="1">IFERROR(IF(0=LEN(ReferenceData!$AR$37),"",ReferenceData!$AR$37),"")</f>
        <v>26891</v>
      </c>
      <c r="AS37">
        <f ca="1">IFERROR(IF(0=LEN(ReferenceData!$AS$37),"",ReferenceData!$AS$37),"")</f>
        <v>22506</v>
      </c>
      <c r="AT37">
        <f ca="1">IFERROR(IF(0=LEN(ReferenceData!$AT$37),"",ReferenceData!$AT$37),"")</f>
        <v>19241</v>
      </c>
      <c r="AU37">
        <f ca="1">IFERROR(IF(0=LEN(ReferenceData!$AU$37),"",ReferenceData!$AU$37),"")</f>
        <v>23161</v>
      </c>
      <c r="AV37">
        <f ca="1">IFERROR(IF(0=LEN(ReferenceData!$AV$37),"",ReferenceData!$AV$37),"")</f>
        <v>25891</v>
      </c>
      <c r="AW37">
        <f ca="1">IFERROR(IF(0=LEN(ReferenceData!$AW$37),"",ReferenceData!$AW$37),"")</f>
        <v>31591</v>
      </c>
      <c r="AX37">
        <f ca="1">IFERROR(IF(0=LEN(ReferenceData!$AX$37),"",ReferenceData!$AX$37),"")</f>
        <v>29974</v>
      </c>
      <c r="AY37">
        <f ca="1">IFERROR(IF(0=LEN(ReferenceData!$AY$37),"",ReferenceData!$AY$37),"")</f>
        <v>31321</v>
      </c>
      <c r="AZ37">
        <f ca="1">IFERROR(IF(0=LEN(ReferenceData!$AZ$37),"",ReferenceData!$AZ$37),"")</f>
        <v>32188</v>
      </c>
      <c r="BA37">
        <f ca="1">IFERROR(IF(0=LEN(ReferenceData!$BA$37),"",ReferenceData!$BA$37),"")</f>
        <v>31944</v>
      </c>
      <c r="BB37">
        <f ca="1">IFERROR(IF(0=LEN(ReferenceData!$BB$37),"",ReferenceData!$BB$37),"")</f>
        <v>33742</v>
      </c>
      <c r="BC37">
        <f ca="1">IFERROR(IF(0=LEN(ReferenceData!$BC$37),"",ReferenceData!$BC$37),"")</f>
        <v>28450</v>
      </c>
      <c r="BD37">
        <f ca="1">IFERROR(IF(0=LEN(ReferenceData!$BD$37),"",ReferenceData!$BD$37),"")</f>
        <v>27789</v>
      </c>
      <c r="BE37">
        <f ca="1">IFERROR(IF(0=LEN(ReferenceData!$BE$37),"",ReferenceData!$BE$37),"")</f>
        <v>28303</v>
      </c>
      <c r="BF37">
        <f ca="1">IFERROR(IF(0=LEN(ReferenceData!$BF$37),"",ReferenceData!$BF$37),"")</f>
        <v>24622</v>
      </c>
      <c r="BG37">
        <f ca="1">IFERROR(IF(0=LEN(ReferenceData!$BG$37),"",ReferenceData!$BG$37),"")</f>
        <v>28003</v>
      </c>
      <c r="BH37">
        <f ca="1">IFERROR(IF(0=LEN(ReferenceData!$BH$37),"",ReferenceData!$BH$37),"")</f>
        <v>27029</v>
      </c>
      <c r="BI37">
        <f ca="1">IFERROR(IF(0=LEN(ReferenceData!$BI$37),"",ReferenceData!$BI$37),"")</f>
        <v>29682</v>
      </c>
      <c r="BJ37">
        <f ca="1">IFERROR(IF(0=LEN(ReferenceData!$BJ$37),"",ReferenceData!$BJ$37),"")</f>
        <v>25193</v>
      </c>
      <c r="BK37">
        <f ca="1">IFERROR(IF(0=LEN(ReferenceData!$BK$37),"",ReferenceData!$BK$37),"")</f>
        <v>32862</v>
      </c>
      <c r="BL37">
        <f ca="1">IFERROR(IF(0=LEN(ReferenceData!$BL$37),"",ReferenceData!$BL$37),"")</f>
        <v>27466</v>
      </c>
      <c r="BM37">
        <f ca="1">IFERROR(IF(0=LEN(ReferenceData!$BM$37),"",ReferenceData!$BM$37),"")</f>
        <v>27828</v>
      </c>
    </row>
    <row r="38" spans="1:65" x14ac:dyDescent="0.25">
      <c r="A38" t="str">
        <f>IFERROR(IF(0=LEN(ReferenceData!$A$38),"",ReferenceData!$A$38),"")</f>
        <v xml:space="preserve">            Portugal</v>
      </c>
      <c r="B38" t="str">
        <f>IFERROR(IF(0=LEN(ReferenceData!$B$38),"",ReferenceData!$B$38),"")</f>
        <v>WCARPTI Index</v>
      </c>
      <c r="C38" t="str">
        <f>IFERROR(IF(0=LEN(ReferenceData!$C$38),"",ReferenceData!$C$38),"")</f>
        <v>PX385</v>
      </c>
      <c r="D38" t="str">
        <f>IFERROR(IF(0=LEN(ReferenceData!$D$38),"",ReferenceData!$D$38),"")</f>
        <v>INTERVAL_SUM</v>
      </c>
      <c r="E38" t="str">
        <f>IFERROR(IF(0=LEN(ReferenceData!$E$38),"",ReferenceData!$E$38),"")</f>
        <v>Dynamic</v>
      </c>
      <c r="F38">
        <f ca="1">IFERROR(IF(0=LEN(ReferenceData!$F$38),"",ReferenceData!$F$38),"")</f>
        <v>15684</v>
      </c>
      <c r="G38">
        <f ca="1">IFERROR(IF(0=LEN(ReferenceData!$G$38),"",ReferenceData!$G$38),"")</f>
        <v>45579</v>
      </c>
      <c r="H38">
        <f ca="1">IFERROR(IF(0=LEN(ReferenceData!$H$38),"",ReferenceData!$H$38),"")</f>
        <v>48013</v>
      </c>
      <c r="I38">
        <f ca="1">IFERROR(IF(0=LEN(ReferenceData!$I$38),"",ReferenceData!$I$38),"")</f>
        <v>71168</v>
      </c>
      <c r="J38">
        <f ca="1">IFERROR(IF(0=LEN(ReferenceData!$J$38),"",ReferenceData!$J$38),"")</f>
        <v>63078</v>
      </c>
      <c r="K38">
        <f ca="1">IFERROR(IF(0=LEN(ReferenceData!$K$38),"",ReferenceData!$K$38),"")</f>
        <v>50577</v>
      </c>
      <c r="L38">
        <f ca="1">IFERROR(IF(0=LEN(ReferenceData!$L$38),"",ReferenceData!$L$38),"")</f>
        <v>44366</v>
      </c>
      <c r="M38">
        <f ca="1">IFERROR(IF(0=LEN(ReferenceData!$M$38),"",ReferenceData!$M$38),"")</f>
        <v>67317</v>
      </c>
      <c r="N38">
        <f ca="1">IFERROR(IF(0=LEN(ReferenceData!$N$38),"",ReferenceData!$N$38),"")</f>
        <v>59869</v>
      </c>
      <c r="O38">
        <f ca="1">IFERROR(IF(0=LEN(ReferenceData!$O$38),"",ReferenceData!$O$38),"")</f>
        <v>48404</v>
      </c>
      <c r="P38">
        <f ca="1">IFERROR(IF(0=LEN(ReferenceData!$P$38),"",ReferenceData!$P$38),"")</f>
        <v>40300</v>
      </c>
      <c r="Q38">
        <f ca="1">IFERROR(IF(0=LEN(ReferenceData!$Q$38),"",ReferenceData!$Q$38),"")</f>
        <v>60198</v>
      </c>
      <c r="R38">
        <f ca="1">IFERROR(IF(0=LEN(ReferenceData!$R$38),"",ReferenceData!$R$38),"")</f>
        <v>58428</v>
      </c>
      <c r="S38">
        <f ca="1">IFERROR(IF(0=LEN(ReferenceData!$S$38),"",ReferenceData!$S$38),"")</f>
        <v>40165</v>
      </c>
      <c r="T38">
        <f ca="1">IFERROR(IF(0=LEN(ReferenceData!$T$38),"",ReferenceData!$T$38),"")</f>
        <v>37609</v>
      </c>
      <c r="U38">
        <f ca="1">IFERROR(IF(0=LEN(ReferenceData!$U$38),"",ReferenceData!$U$38),"")</f>
        <v>54424</v>
      </c>
      <c r="V38">
        <f ca="1">IFERROR(IF(0=LEN(ReferenceData!$V$38),"",ReferenceData!$V$38),"")</f>
        <v>46222</v>
      </c>
      <c r="W38">
        <f ca="1">IFERROR(IF(0=LEN(ReferenceData!$W$38),"",ReferenceData!$W$38),"")</f>
        <v>35418</v>
      </c>
      <c r="X38">
        <f ca="1">IFERROR(IF(0=LEN(ReferenceData!$X$38),"",ReferenceData!$X$38),"")</f>
        <v>31617</v>
      </c>
      <c r="Y38">
        <f ca="1">IFERROR(IF(0=LEN(ReferenceData!$Y$38),"",ReferenceData!$Y$38),"")</f>
        <v>41831</v>
      </c>
      <c r="Z38">
        <f ca="1">IFERROR(IF(0=LEN(ReferenceData!$Z$38),"",ReferenceData!$Z$38),"")</f>
        <v>33960</v>
      </c>
      <c r="AA38">
        <f ca="1">IFERROR(IF(0=LEN(ReferenceData!$AA$38),"",ReferenceData!$AA$38),"")</f>
        <v>26491</v>
      </c>
      <c r="AB38">
        <f ca="1">IFERROR(IF(0=LEN(ReferenceData!$AB$38),"",ReferenceData!$AB$38),"")</f>
        <v>24363</v>
      </c>
      <c r="AC38">
        <f ca="1">IFERROR(IF(0=LEN(ReferenceData!$AC$38),"",ReferenceData!$AC$38),"")</f>
        <v>30799</v>
      </c>
      <c r="AD38">
        <f ca="1">IFERROR(IF(0=LEN(ReferenceData!$AD$38),"",ReferenceData!$AD$38),"")</f>
        <v>24120</v>
      </c>
      <c r="AE38">
        <f ca="1">IFERROR(IF(0=LEN(ReferenceData!$AE$38),"",ReferenceData!$AE$38),"")</f>
        <v>20879</v>
      </c>
      <c r="AF38">
        <f ca="1">IFERROR(IF(0=LEN(ReferenceData!$AF$38),"",ReferenceData!$AF$38),"")</f>
        <v>21055</v>
      </c>
      <c r="AG38">
        <f ca="1">IFERROR(IF(0=LEN(ReferenceData!$AG$38),"",ReferenceData!$AG$38),"")</f>
        <v>29871</v>
      </c>
      <c r="AH38">
        <f ca="1">IFERROR(IF(0=LEN(ReferenceData!$AH$38),"",ReferenceData!$AH$38),"")</f>
        <v>23504</v>
      </c>
      <c r="AI38">
        <f ca="1">IFERROR(IF(0=LEN(ReferenceData!$AI$38),"",ReferenceData!$AI$38),"")</f>
        <v>29852</v>
      </c>
      <c r="AJ38">
        <f ca="1">IFERROR(IF(0=LEN(ReferenceData!$AJ$38),"",ReferenceData!$AJ$38),"")</f>
        <v>31620</v>
      </c>
      <c r="AK38">
        <f ca="1">IFERROR(IF(0=LEN(ReferenceData!$AK$38),"",ReferenceData!$AK$38),"")</f>
        <v>46290</v>
      </c>
      <c r="AL38">
        <f ca="1">IFERROR(IF(0=LEN(ReferenceData!$AL$38),"",ReferenceData!$AL$38),"")</f>
        <v>45561</v>
      </c>
      <c r="AM38">
        <f ca="1">IFERROR(IF(0=LEN(ReferenceData!$AM$38),"",ReferenceData!$AM$38),"")</f>
        <v>62068</v>
      </c>
      <c r="AN38">
        <f ca="1">IFERROR(IF(0=LEN(ReferenceData!$AN$38),"",ReferenceData!$AN$38),"")</f>
        <v>46145</v>
      </c>
      <c r="AO38">
        <f ca="1">IFERROR(IF(0=LEN(ReferenceData!$AO$38),"",ReferenceData!$AO$38),"")</f>
        <v>61463</v>
      </c>
      <c r="AP38">
        <f ca="1">IFERROR(IF(0=LEN(ReferenceData!$AP$38),"",ReferenceData!$AP$38),"")</f>
        <v>53765</v>
      </c>
      <c r="AQ38">
        <f ca="1">IFERROR(IF(0=LEN(ReferenceData!$AQ$38),"",ReferenceData!$AQ$38),"")</f>
        <v>48156</v>
      </c>
      <c r="AR38">
        <f ca="1">IFERROR(IF(0=LEN(ReferenceData!$AR$38),"",ReferenceData!$AR$38),"")</f>
        <v>39757</v>
      </c>
      <c r="AS38">
        <f ca="1">IFERROR(IF(0=LEN(ReferenceData!$AS$38),"",ReferenceData!$AS$38),"")</f>
        <v>41317</v>
      </c>
      <c r="AT38">
        <f ca="1">IFERROR(IF(0=LEN(ReferenceData!$AT$38),"",ReferenceData!$AT$38),"")</f>
        <v>31783</v>
      </c>
      <c r="AU38">
        <f ca="1">IFERROR(IF(0=LEN(ReferenceData!$AU$38),"",ReferenceData!$AU$38),"")</f>
        <v>51224</v>
      </c>
      <c r="AV38">
        <f ca="1">IFERROR(IF(0=LEN(ReferenceData!$AV$38),"",ReferenceData!$AV$38),"")</f>
        <v>47751</v>
      </c>
      <c r="AW38">
        <f ca="1">IFERROR(IF(0=LEN(ReferenceData!$AW$38),"",ReferenceData!$AW$38),"")</f>
        <v>59185</v>
      </c>
      <c r="AX38">
        <f ca="1">IFERROR(IF(0=LEN(ReferenceData!$AX$38),"",ReferenceData!$AX$38),"")</f>
        <v>55229</v>
      </c>
      <c r="AY38">
        <f ca="1">IFERROR(IF(0=LEN(ReferenceData!$AY$38),"",ReferenceData!$AY$38),"")</f>
        <v>46944</v>
      </c>
      <c r="AZ38">
        <f ca="1">IFERROR(IF(0=LEN(ReferenceData!$AZ$38),"",ReferenceData!$AZ$38),"")</f>
        <v>47334</v>
      </c>
      <c r="BA38">
        <f ca="1">IFERROR(IF(0=LEN(ReferenceData!$BA$38),"",ReferenceData!$BA$38),"")</f>
        <v>58090</v>
      </c>
      <c r="BB38">
        <f ca="1">IFERROR(IF(0=LEN(ReferenceData!$BB$38),"",ReferenceData!$BB$38),"")</f>
        <v>49448</v>
      </c>
      <c r="BC38">
        <f ca="1">IFERROR(IF(0=LEN(ReferenceData!$BC$38),"",ReferenceData!$BC$38),"")</f>
        <v>42544</v>
      </c>
      <c r="BD38">
        <f ca="1">IFERROR(IF(0=LEN(ReferenceData!$BD$38),"",ReferenceData!$BD$38),"")</f>
        <v>42496</v>
      </c>
      <c r="BE38">
        <f ca="1">IFERROR(IF(0=LEN(ReferenceData!$BE$38),"",ReferenceData!$BE$38),"")</f>
        <v>57699</v>
      </c>
      <c r="BF38">
        <f ca="1">IFERROR(IF(0=LEN(ReferenceData!$BF$38),"",ReferenceData!$BF$38),"")</f>
        <v>51963</v>
      </c>
      <c r="BG38">
        <f ca="1">IFERROR(IF(0=LEN(ReferenceData!$BG$38),"",ReferenceData!$BG$38),"")</f>
        <v>45812</v>
      </c>
      <c r="BH38">
        <f ca="1">IFERROR(IF(0=LEN(ReferenceData!$BH$38),"",ReferenceData!$BH$38),"")</f>
        <v>43930</v>
      </c>
      <c r="BI38">
        <f ca="1">IFERROR(IF(0=LEN(ReferenceData!$BI$38),"",ReferenceData!$BI$38),"")</f>
        <v>63563</v>
      </c>
      <c r="BJ38">
        <f ca="1">IFERROR(IF(0=LEN(ReferenceData!$BJ$38),"",ReferenceData!$BJ$38),"")</f>
        <v>53183</v>
      </c>
      <c r="BK38">
        <f ca="1">IFERROR(IF(0=LEN(ReferenceData!$BK$38),"",ReferenceData!$BK$38),"")</f>
        <v>46742</v>
      </c>
      <c r="BL38">
        <f ca="1">IFERROR(IF(0=LEN(ReferenceData!$BL$38),"",ReferenceData!$BL$38),"")</f>
        <v>44938</v>
      </c>
      <c r="BM38">
        <f ca="1">IFERROR(IF(0=LEN(ReferenceData!$BM$38),"",ReferenceData!$BM$38),"")</f>
        <v>55824</v>
      </c>
    </row>
    <row r="39" spans="1:65" x14ac:dyDescent="0.25">
      <c r="A39" t="str">
        <f>IFERROR(IF(0=LEN(ReferenceData!$A$39),"",ReferenceData!$A$39),"")</f>
        <v xml:space="preserve">            Spain</v>
      </c>
      <c r="B39" t="str">
        <f>IFERROR(IF(0=LEN(ReferenceData!$B$39),"",ReferenceData!$B$39),"")</f>
        <v>WCARESI Index</v>
      </c>
      <c r="C39" t="str">
        <f>IFERROR(IF(0=LEN(ReferenceData!$C$39),"",ReferenceData!$C$39),"")</f>
        <v>PX385</v>
      </c>
      <c r="D39" t="str">
        <f>IFERROR(IF(0=LEN(ReferenceData!$D$39),"",ReferenceData!$D$39),"")</f>
        <v>INTERVAL_SUM</v>
      </c>
      <c r="E39" t="str">
        <f>IFERROR(IF(0=LEN(ReferenceData!$E$39),"",ReferenceData!$E$39),"")</f>
        <v>Dynamic</v>
      </c>
      <c r="F39">
        <f ca="1">IFERROR(IF(0=LEN(ReferenceData!$F$39),"",ReferenceData!$F$39),"")</f>
        <v>93546</v>
      </c>
      <c r="G39">
        <f ca="1">IFERROR(IF(0=LEN(ReferenceData!$G$39),"",ReferenceData!$G$39),"")</f>
        <v>278764</v>
      </c>
      <c r="H39">
        <f ca="1">IFERROR(IF(0=LEN(ReferenceData!$H$39),"",ReferenceData!$H$39),"")</f>
        <v>308002</v>
      </c>
      <c r="I39">
        <f ca="1">IFERROR(IF(0=LEN(ReferenceData!$I$39),"",ReferenceData!$I$39),"")</f>
        <v>391714</v>
      </c>
      <c r="J39">
        <f ca="1">IFERROR(IF(0=LEN(ReferenceData!$J$39),"",ReferenceData!$J$39),"")</f>
        <v>340310</v>
      </c>
      <c r="K39">
        <f ca="1">IFERROR(IF(0=LEN(ReferenceData!$K$39),"",ReferenceData!$K$39),"")</f>
        <v>301790</v>
      </c>
      <c r="L39">
        <f ca="1">IFERROR(IF(0=LEN(ReferenceData!$L$39),"",ReferenceData!$L$39),"")</f>
        <v>265648</v>
      </c>
      <c r="M39">
        <f ca="1">IFERROR(IF(0=LEN(ReferenceData!$M$39),"",ReferenceData!$M$39),"")</f>
        <v>359583</v>
      </c>
      <c r="N39">
        <f ca="1">IFERROR(IF(0=LEN(ReferenceData!$N$39),"",ReferenceData!$N$39),"")</f>
        <v>307911</v>
      </c>
      <c r="O39">
        <f ca="1">IFERROR(IF(0=LEN(ReferenceData!$O$39),"",ReferenceData!$O$39),"")</f>
        <v>272789</v>
      </c>
      <c r="P39">
        <f ca="1">IFERROR(IF(0=LEN(ReferenceData!$P$39),"",ReferenceData!$P$39),"")</f>
        <v>250986</v>
      </c>
      <c r="Q39">
        <f ca="1">IFERROR(IF(0=LEN(ReferenceData!$Q$39),"",ReferenceData!$Q$39),"")</f>
        <v>337740</v>
      </c>
      <c r="R39">
        <f ca="1">IFERROR(IF(0=LEN(ReferenceData!$R$39),"",ReferenceData!$R$39),"")</f>
        <v>285494</v>
      </c>
      <c r="S39">
        <f ca="1">IFERROR(IF(0=LEN(ReferenceData!$S$39),"",ReferenceData!$S$39),"")</f>
        <v>250314</v>
      </c>
      <c r="T39">
        <f ca="1">IFERROR(IF(0=LEN(ReferenceData!$T$39),"",ReferenceData!$T$39),"")</f>
        <v>228666</v>
      </c>
      <c r="U39">
        <f ca="1">IFERROR(IF(0=LEN(ReferenceData!$U$39),"",ReferenceData!$U$39),"")</f>
        <v>288078</v>
      </c>
      <c r="V39">
        <f ca="1">IFERROR(IF(0=LEN(ReferenceData!$V$39),"",ReferenceData!$V$39),"")</f>
        <v>267134</v>
      </c>
      <c r="W39">
        <f ca="1">IFERROR(IF(0=LEN(ReferenceData!$W$39),"",ReferenceData!$W$39),"")</f>
        <v>214635</v>
      </c>
      <c r="X39">
        <f ca="1">IFERROR(IF(0=LEN(ReferenceData!$X$39),"",ReferenceData!$X$39),"")</f>
        <v>185730</v>
      </c>
      <c r="Y39">
        <f ca="1">IFERROR(IF(0=LEN(ReferenceData!$Y$39),"",ReferenceData!$Y$39),"")</f>
        <v>252816</v>
      </c>
      <c r="Z39">
        <f ca="1">IFERROR(IF(0=LEN(ReferenceData!$Z$39),"",ReferenceData!$Z$39),"")</f>
        <v>202127</v>
      </c>
      <c r="AA39">
        <f ca="1">IFERROR(IF(0=LEN(ReferenceData!$AA$39),"",ReferenceData!$AA$39),"")</f>
        <v>176264</v>
      </c>
      <c r="AB39">
        <f ca="1">IFERROR(IF(0=LEN(ReferenceData!$AB$39),"",ReferenceData!$AB$39),"")</f>
        <v>160074</v>
      </c>
      <c r="AC39">
        <f ca="1">IFERROR(IF(0=LEN(ReferenceData!$AC$39),"",ReferenceData!$AC$39),"")</f>
        <v>205617</v>
      </c>
      <c r="AD39">
        <f ca="1">IFERROR(IF(0=LEN(ReferenceData!$AD$39),"",ReferenceData!$AD$39),"")</f>
        <v>180721</v>
      </c>
      <c r="AE39">
        <f ca="1">IFERROR(IF(0=LEN(ReferenceData!$AE$39),"",ReferenceData!$AE$39),"")</f>
        <v>144225</v>
      </c>
      <c r="AF39">
        <f ca="1">IFERROR(IF(0=LEN(ReferenceData!$AF$39),"",ReferenceData!$AF$39),"")</f>
        <v>149293</v>
      </c>
      <c r="AG39">
        <f ca="1">IFERROR(IF(0=LEN(ReferenceData!$AG$39),"",ReferenceData!$AG$39),"")</f>
        <v>201953</v>
      </c>
      <c r="AH39">
        <f ca="1">IFERROR(IF(0=LEN(ReferenceData!$AH$39),"",ReferenceData!$AH$39),"")</f>
        <v>204118</v>
      </c>
      <c r="AI39">
        <f ca="1">IFERROR(IF(0=LEN(ReferenceData!$AI$39),"",ReferenceData!$AI$39),"")</f>
        <v>184131</v>
      </c>
      <c r="AJ39">
        <f ca="1">IFERROR(IF(0=LEN(ReferenceData!$AJ$39),"",ReferenceData!$AJ$39),"")</f>
        <v>181708</v>
      </c>
      <c r="AK39">
        <f ca="1">IFERROR(IF(0=LEN(ReferenceData!$AK$39),"",ReferenceData!$AK$39),"")</f>
        <v>234063</v>
      </c>
      <c r="AL39">
        <f ca="1">IFERROR(IF(0=LEN(ReferenceData!$AL$39),"",ReferenceData!$AL$39),"")</f>
        <v>208148</v>
      </c>
      <c r="AM39">
        <f ca="1">IFERROR(IF(0=LEN(ReferenceData!$AM$39),"",ReferenceData!$AM$39),"")</f>
        <v>194823</v>
      </c>
      <c r="AN39">
        <f ca="1">IFERROR(IF(0=LEN(ReferenceData!$AN$39),"",ReferenceData!$AN$39),"")</f>
        <v>183025</v>
      </c>
      <c r="AO39">
        <f ca="1">IFERROR(IF(0=LEN(ReferenceData!$AO$39),"",ReferenceData!$AO$39),"")</f>
        <v>317993</v>
      </c>
      <c r="AP39">
        <f ca="1">IFERROR(IF(0=LEN(ReferenceData!$AP$39),"",ReferenceData!$AP$39),"")</f>
        <v>286167</v>
      </c>
      <c r="AQ39">
        <f ca="1">IFERROR(IF(0=LEN(ReferenceData!$AQ$39),"",ReferenceData!$AQ$39),"")</f>
        <v>275596</v>
      </c>
      <c r="AR39">
        <f ca="1">IFERROR(IF(0=LEN(ReferenceData!$AR$39),"",ReferenceData!$AR$39),"")</f>
        <v>244103</v>
      </c>
      <c r="AS39">
        <f ca="1">IFERROR(IF(0=LEN(ReferenceData!$AS$39),"",ReferenceData!$AS$39),"")</f>
        <v>235080</v>
      </c>
      <c r="AT39">
        <f ca="1">IFERROR(IF(0=LEN(ReferenceData!$AT$39),"",ReferenceData!$AT$39),"")</f>
        <v>197993</v>
      </c>
      <c r="AU39">
        <f ca="1">IFERROR(IF(0=LEN(ReferenceData!$AU$39),"",ReferenceData!$AU$39),"")</f>
        <v>213185</v>
      </c>
      <c r="AV39">
        <f ca="1">IFERROR(IF(0=LEN(ReferenceData!$AV$39),"",ReferenceData!$AV$39),"")</f>
        <v>245620</v>
      </c>
      <c r="AW39">
        <f ca="1">IFERROR(IF(0=LEN(ReferenceData!$AW$39),"",ReferenceData!$AW$39),"")</f>
        <v>354633</v>
      </c>
      <c r="AX39">
        <f ca="1">IFERROR(IF(0=LEN(ReferenceData!$AX$39),"",ReferenceData!$AX$39),"")</f>
        <v>347738</v>
      </c>
      <c r="AY39">
        <f ca="1">IFERROR(IF(0=LEN(ReferenceData!$AY$39),"",ReferenceData!$AY$39),"")</f>
        <v>399031</v>
      </c>
      <c r="AZ39">
        <f ca="1">IFERROR(IF(0=LEN(ReferenceData!$AZ$39),"",ReferenceData!$AZ$39),"")</f>
        <v>363844</v>
      </c>
      <c r="BA39">
        <f ca="1">IFERROR(IF(0=LEN(ReferenceData!$BA$39),"",ReferenceData!$BA$39),"")</f>
        <v>441299</v>
      </c>
      <c r="BB39">
        <f ca="1">IFERROR(IF(0=LEN(ReferenceData!$BB$39),"",ReferenceData!$BB$39),"")</f>
        <v>410661</v>
      </c>
      <c r="BC39">
        <f ca="1">IFERROR(IF(0=LEN(ReferenceData!$BC$39),"",ReferenceData!$BC$39),"")</f>
        <v>393996</v>
      </c>
      <c r="BD39">
        <f ca="1">IFERROR(IF(0=LEN(ReferenceData!$BD$39),"",ReferenceData!$BD$39),"")</f>
        <v>374610</v>
      </c>
      <c r="BE39">
        <f ca="1">IFERROR(IF(0=LEN(ReferenceData!$BE$39),"",ReferenceData!$BE$39),"")</f>
        <v>452376</v>
      </c>
      <c r="BF39">
        <f ca="1">IFERROR(IF(0=LEN(ReferenceData!$BF$39),"",ReferenceData!$BF$39),"")</f>
        <v>413626</v>
      </c>
      <c r="BG39">
        <f ca="1">IFERROR(IF(0=LEN(ReferenceData!$BG$39),"",ReferenceData!$BG$39),"")</f>
        <v>356522</v>
      </c>
      <c r="BH39">
        <f ca="1">IFERROR(IF(0=LEN(ReferenceData!$BH$39),"",ReferenceData!$BH$39),"")</f>
        <v>362626</v>
      </c>
      <c r="BI39">
        <f ca="1">IFERROR(IF(0=LEN(ReferenceData!$BI$39),"",ReferenceData!$BI$39),"")</f>
        <v>435820</v>
      </c>
      <c r="BJ39">
        <f ca="1">IFERROR(IF(0=LEN(ReferenceData!$BJ$39),"",ReferenceData!$BJ$39),"")</f>
        <v>373909</v>
      </c>
      <c r="BK39">
        <f ca="1">IFERROR(IF(0=LEN(ReferenceData!$BK$39),"",ReferenceData!$BK$39),"")</f>
        <v>373413</v>
      </c>
      <c r="BL39">
        <f ca="1">IFERROR(IF(0=LEN(ReferenceData!$BL$39),"",ReferenceData!$BL$39),"")</f>
        <v>354354</v>
      </c>
      <c r="BM39">
        <f ca="1">IFERROR(IF(0=LEN(ReferenceData!$BM$39),"",ReferenceData!$BM$39),"")</f>
        <v>415455</v>
      </c>
    </row>
    <row r="40" spans="1:65" x14ac:dyDescent="0.25">
      <c r="A40" t="str">
        <f>IFERROR(IF(0=LEN(ReferenceData!$A$40),"",ReferenceData!$A$40),"")</f>
        <v xml:space="preserve">            Sweden</v>
      </c>
      <c r="B40" t="str">
        <f>IFERROR(IF(0=LEN(ReferenceData!$B$40),"",ReferenceData!$B$40),"")</f>
        <v>WCARSEI Index</v>
      </c>
      <c r="C40" t="str">
        <f>IFERROR(IF(0=LEN(ReferenceData!$C$40),"",ReferenceData!$C$40),"")</f>
        <v>PX385</v>
      </c>
      <c r="D40" t="str">
        <f>IFERROR(IF(0=LEN(ReferenceData!$D$40),"",ReferenceData!$D$40),"")</f>
        <v>INTERVAL_SUM</v>
      </c>
      <c r="E40" t="str">
        <f>IFERROR(IF(0=LEN(ReferenceData!$E$40),"",ReferenceData!$E$40),"")</f>
        <v>Dynamic</v>
      </c>
      <c r="F40">
        <f ca="1">IFERROR(IF(0=LEN(ReferenceData!$F$40),"",ReferenceData!$F$40),"")</f>
        <v>20478</v>
      </c>
      <c r="G40">
        <f ca="1">IFERROR(IF(0=LEN(ReferenceData!$G$40),"",ReferenceData!$G$40),"")</f>
        <v>71901</v>
      </c>
      <c r="H40">
        <f ca="1">IFERROR(IF(0=LEN(ReferenceData!$H$40),"",ReferenceData!$H$40),"")</f>
        <v>56285</v>
      </c>
      <c r="I40">
        <f ca="1">IFERROR(IF(0=LEN(ReferenceData!$I$40),"",ReferenceData!$I$40),"")</f>
        <v>138146</v>
      </c>
      <c r="J40">
        <f ca="1">IFERROR(IF(0=LEN(ReferenceData!$J$40),"",ReferenceData!$J$40),"")</f>
        <v>87397</v>
      </c>
      <c r="K40">
        <f ca="1">IFERROR(IF(0=LEN(ReferenceData!$K$40),"",ReferenceData!$K$40),"")</f>
        <v>99554</v>
      </c>
      <c r="L40">
        <f ca="1">IFERROR(IF(0=LEN(ReferenceData!$L$40),"",ReferenceData!$L$40),"")</f>
        <v>86309</v>
      </c>
      <c r="M40">
        <f ca="1">IFERROR(IF(0=LEN(ReferenceData!$M$40),"",ReferenceData!$M$40),"")</f>
        <v>104126</v>
      </c>
      <c r="N40">
        <f ca="1">IFERROR(IF(0=LEN(ReferenceData!$N$40),"",ReferenceData!$N$40),"")</f>
        <v>89404</v>
      </c>
      <c r="O40">
        <f ca="1">IFERROR(IF(0=LEN(ReferenceData!$O$40),"",ReferenceData!$O$40),"")</f>
        <v>100922</v>
      </c>
      <c r="P40">
        <f ca="1">IFERROR(IF(0=LEN(ReferenceData!$P$40),"",ReferenceData!$P$40),"")</f>
        <v>83805</v>
      </c>
      <c r="Q40">
        <f ca="1">IFERROR(IF(0=LEN(ReferenceData!$Q$40),"",ReferenceData!$Q$40),"")</f>
        <v>104362</v>
      </c>
      <c r="R40">
        <f ca="1">IFERROR(IF(0=LEN(ReferenceData!$R$40),"",ReferenceData!$R$40),"")</f>
        <v>83229</v>
      </c>
      <c r="S40">
        <f ca="1">IFERROR(IF(0=LEN(ReferenceData!$S$40),"",ReferenceData!$S$40),"")</f>
        <v>96455</v>
      </c>
      <c r="T40">
        <f ca="1">IFERROR(IF(0=LEN(ReferenceData!$T$40),"",ReferenceData!$T$40),"")</f>
        <v>80669</v>
      </c>
      <c r="U40">
        <f ca="1">IFERROR(IF(0=LEN(ReferenceData!$U$40),"",ReferenceData!$U$40),"")</f>
        <v>92251</v>
      </c>
      <c r="V40">
        <f ca="1">IFERROR(IF(0=LEN(ReferenceData!$V$40),"",ReferenceData!$V$40),"")</f>
        <v>75733</v>
      </c>
      <c r="W40">
        <f ca="1">IFERROR(IF(0=LEN(ReferenceData!$W$40),"",ReferenceData!$W$40),"")</f>
        <v>81312</v>
      </c>
      <c r="X40">
        <f ca="1">IFERROR(IF(0=LEN(ReferenceData!$X$40),"",ReferenceData!$X$40),"")</f>
        <v>70889</v>
      </c>
      <c r="Y40">
        <f ca="1">IFERROR(IF(0=LEN(ReferenceData!$Y$40),"",ReferenceData!$Y$40),"")</f>
        <v>83944</v>
      </c>
      <c r="Z40">
        <f ca="1">IFERROR(IF(0=LEN(ReferenceData!$Z$40),"",ReferenceData!$Z$40),"")</f>
        <v>67803</v>
      </c>
      <c r="AA40">
        <f ca="1">IFERROR(IF(0=LEN(ReferenceData!$AA$40),"",ReferenceData!$AA$40),"")</f>
        <v>76534</v>
      </c>
      <c r="AB40">
        <f ca="1">IFERROR(IF(0=LEN(ReferenceData!$AB$40),"",ReferenceData!$AB$40),"")</f>
        <v>64165</v>
      </c>
      <c r="AC40">
        <f ca="1">IFERROR(IF(0=LEN(ReferenceData!$AC$40),"",ReferenceData!$AC$40),"")</f>
        <v>72826</v>
      </c>
      <c r="AD40">
        <f ca="1">IFERROR(IF(0=LEN(ReferenceData!$AD$40),"",ReferenceData!$AD$40),"")</f>
        <v>56074</v>
      </c>
      <c r="AE40">
        <f ca="1">IFERROR(IF(0=LEN(ReferenceData!$AE$40),"",ReferenceData!$AE$40),"")</f>
        <v>76188</v>
      </c>
      <c r="AF40">
        <f ca="1">IFERROR(IF(0=LEN(ReferenceData!$AF$40),"",ReferenceData!$AF$40),"")</f>
        <v>61078</v>
      </c>
      <c r="AG40">
        <f ca="1">IFERROR(IF(0=LEN(ReferenceData!$AG$40),"",ReferenceData!$AG$40),"")</f>
        <v>74657</v>
      </c>
      <c r="AH40">
        <f ca="1">IFERROR(IF(0=LEN(ReferenceData!$AH$40),"",ReferenceData!$AH$40),"")</f>
        <v>67976</v>
      </c>
      <c r="AI40">
        <f ca="1">IFERROR(IF(0=LEN(ReferenceData!$AI$40),"",ReferenceData!$AI$40),"")</f>
        <v>77348</v>
      </c>
      <c r="AJ40">
        <f ca="1">IFERROR(IF(0=LEN(ReferenceData!$AJ$40),"",ReferenceData!$AJ$40),"")</f>
        <v>70594</v>
      </c>
      <c r="AK40">
        <f ca="1">IFERROR(IF(0=LEN(ReferenceData!$AK$40),"",ReferenceData!$AK$40),"")</f>
        <v>87278</v>
      </c>
      <c r="AL40">
        <f ca="1">IFERROR(IF(0=LEN(ReferenceData!$AL$40),"",ReferenceData!$AL$40),"")</f>
        <v>69764</v>
      </c>
      <c r="AM40">
        <f ca="1">IFERROR(IF(0=LEN(ReferenceData!$AM$40),"",ReferenceData!$AM$40),"")</f>
        <v>82942</v>
      </c>
      <c r="AN40">
        <f ca="1">IFERROR(IF(0=LEN(ReferenceData!$AN$40),"",ReferenceData!$AN$40),"")</f>
        <v>68663</v>
      </c>
      <c r="AO40">
        <f ca="1">IFERROR(IF(0=LEN(ReferenceData!$AO$40),"",ReferenceData!$AO$40),"")</f>
        <v>78932</v>
      </c>
      <c r="AP40">
        <f ca="1">IFERROR(IF(0=LEN(ReferenceData!$AP$40),"",ReferenceData!$AP$40),"")</f>
        <v>59147</v>
      </c>
      <c r="AQ40">
        <f ca="1">IFERROR(IF(0=LEN(ReferenceData!$AQ$40),"",ReferenceData!$AQ$40),"")</f>
        <v>61277</v>
      </c>
      <c r="AR40">
        <f ca="1">IFERROR(IF(0=LEN(ReferenceData!$AR$40),"",ReferenceData!$AR$40),"")</f>
        <v>49337</v>
      </c>
      <c r="AS40">
        <f ca="1">IFERROR(IF(0=LEN(ReferenceData!$AS$40),"",ReferenceData!$AS$40),"")</f>
        <v>58857</v>
      </c>
      <c r="AT40">
        <f ca="1">IFERROR(IF(0=LEN(ReferenceData!$AT$40),"",ReferenceData!$AT$40),"")</f>
        <v>43937</v>
      </c>
      <c r="AU40">
        <f ca="1">IFERROR(IF(0=LEN(ReferenceData!$AU$40),"",ReferenceData!$AU$40),"")</f>
        <v>57071</v>
      </c>
      <c r="AV40">
        <f ca="1">IFERROR(IF(0=LEN(ReferenceData!$AV$40),"",ReferenceData!$AV$40),"")</f>
        <v>57400</v>
      </c>
      <c r="AW40">
        <f ca="1">IFERROR(IF(0=LEN(ReferenceData!$AW$40),"",ReferenceData!$AW$40),"")</f>
        <v>77688</v>
      </c>
      <c r="AX40">
        <f ca="1">IFERROR(IF(0=LEN(ReferenceData!$AX$40),"",ReferenceData!$AX$40),"")</f>
        <v>61823</v>
      </c>
      <c r="AY40">
        <f ca="1">IFERROR(IF(0=LEN(ReferenceData!$AY$40),"",ReferenceData!$AY$40),"")</f>
        <v>87294</v>
      </c>
      <c r="AZ40">
        <f ca="1">IFERROR(IF(0=LEN(ReferenceData!$AZ$40),"",ReferenceData!$AZ$40),"")</f>
        <v>67456</v>
      </c>
      <c r="BA40">
        <f ca="1">IFERROR(IF(0=LEN(ReferenceData!$BA$40),"",ReferenceData!$BA$40),"")</f>
        <v>83647</v>
      </c>
      <c r="BB40">
        <f ca="1">IFERROR(IF(0=LEN(ReferenceData!$BB$40),"",ReferenceData!$BB$40),"")</f>
        <v>68402</v>
      </c>
      <c r="BC40">
        <f ca="1">IFERROR(IF(0=LEN(ReferenceData!$BC$40),"",ReferenceData!$BC$40),"")</f>
        <v>72946</v>
      </c>
      <c r="BD40">
        <f ca="1">IFERROR(IF(0=LEN(ReferenceData!$BD$40),"",ReferenceData!$BD$40),"")</f>
        <v>65608</v>
      </c>
      <c r="BE40">
        <f ca="1">IFERROR(IF(0=LEN(ReferenceData!$BE$40),"",ReferenceData!$BE$40),"")</f>
        <v>82956</v>
      </c>
      <c r="BF40">
        <f ca="1">IFERROR(IF(0=LEN(ReferenceData!$BF$40),"",ReferenceData!$BF$40),"")</f>
        <v>61256</v>
      </c>
      <c r="BG40">
        <f ca="1">IFERROR(IF(0=LEN(ReferenceData!$BG$40),"",ReferenceData!$BG$40),"")</f>
        <v>74512</v>
      </c>
      <c r="BH40">
        <f ca="1">IFERROR(IF(0=LEN(ReferenceData!$BH$40),"",ReferenceData!$BH$40),"")</f>
        <v>62623</v>
      </c>
      <c r="BI40">
        <f ca="1">IFERROR(IF(0=LEN(ReferenceData!$BI$40),"",ReferenceData!$BI$40),"")</f>
        <v>77610</v>
      </c>
      <c r="BJ40">
        <f ca="1">IFERROR(IF(0=LEN(ReferenceData!$BJ$40),"",ReferenceData!$BJ$40),"")</f>
        <v>59556</v>
      </c>
      <c r="BK40">
        <f ca="1">IFERROR(IF(0=LEN(ReferenceData!$BK$40),"",ReferenceData!$BK$40),"")</f>
        <v>71751</v>
      </c>
      <c r="BL40">
        <f ca="1">IFERROR(IF(0=LEN(ReferenceData!$BL$40),"",ReferenceData!$BL$40),"")</f>
        <v>57000</v>
      </c>
      <c r="BM40">
        <f ca="1">IFERROR(IF(0=LEN(ReferenceData!$BM$40),"",ReferenceData!$BM$40),"")</f>
        <v>76608</v>
      </c>
    </row>
    <row r="41" spans="1:65" x14ac:dyDescent="0.25">
      <c r="A41" t="str">
        <f>IFERROR(IF(0=LEN(ReferenceData!$A$41),"",ReferenceData!$A$41),"")</f>
        <v xml:space="preserve">            Switzerland</v>
      </c>
      <c r="B41" t="str">
        <f>IFERROR(IF(0=LEN(ReferenceData!$B$41),"",ReferenceData!$B$41),"")</f>
        <v>WCARCHI Index</v>
      </c>
      <c r="C41" t="str">
        <f>IFERROR(IF(0=LEN(ReferenceData!$C$41),"",ReferenceData!$C$41),"")</f>
        <v>PX385</v>
      </c>
      <c r="D41" t="str">
        <f>IFERROR(IF(0=LEN(ReferenceData!$D$41),"",ReferenceData!$D$41),"")</f>
        <v>INTERVAL_SUM</v>
      </c>
      <c r="E41" t="str">
        <f>IFERROR(IF(0=LEN(ReferenceData!$E$41),"",ReferenceData!$E$41),"")</f>
        <v>Dynamic</v>
      </c>
      <c r="F41">
        <f ca="1">IFERROR(IF(0=LEN(ReferenceData!$F$41),"",ReferenceData!$F$41),"")</f>
        <v>20931</v>
      </c>
      <c r="G41">
        <f ca="1">IFERROR(IF(0=LEN(ReferenceData!$G$41),"",ReferenceData!$G$41),"")</f>
        <v>74430</v>
      </c>
      <c r="H41">
        <f ca="1">IFERROR(IF(0=LEN(ReferenceData!$H$41),"",ReferenceData!$H$41),"")</f>
        <v>67376</v>
      </c>
      <c r="I41">
        <f ca="1">IFERROR(IF(0=LEN(ReferenceData!$I$41),"",ReferenceData!$I$41),"")</f>
        <v>85821</v>
      </c>
      <c r="J41">
        <f ca="1">IFERROR(IF(0=LEN(ReferenceData!$J$41),"",ReferenceData!$J$41),"")</f>
        <v>72089</v>
      </c>
      <c r="K41">
        <f ca="1">IFERROR(IF(0=LEN(ReferenceData!$K$41),"",ReferenceData!$K$41),"")</f>
        <v>82545</v>
      </c>
      <c r="L41">
        <f ca="1">IFERROR(IF(0=LEN(ReferenceData!$L$41),"",ReferenceData!$L$41),"")</f>
        <v>72565</v>
      </c>
      <c r="M41">
        <f ca="1">IFERROR(IF(0=LEN(ReferenceData!$M$41),"",ReferenceData!$M$41),"")</f>
        <v>86149</v>
      </c>
      <c r="N41">
        <f ca="1">IFERROR(IF(0=LEN(ReferenceData!$N$41),"",ReferenceData!$N$41),"")</f>
        <v>72769</v>
      </c>
      <c r="O41">
        <f ca="1">IFERROR(IF(0=LEN(ReferenceData!$O$41),"",ReferenceData!$O$41),"")</f>
        <v>85136</v>
      </c>
      <c r="P41">
        <f ca="1">IFERROR(IF(0=LEN(ReferenceData!$P$41),"",ReferenceData!$P$41),"")</f>
        <v>74146</v>
      </c>
      <c r="Q41">
        <f ca="1">IFERROR(IF(0=LEN(ReferenceData!$Q$41),"",ReferenceData!$Q$41),"")</f>
        <v>86080</v>
      </c>
      <c r="R41">
        <f ca="1">IFERROR(IF(0=LEN(ReferenceData!$R$41),"",ReferenceData!$R$41),"")</f>
        <v>71957</v>
      </c>
      <c r="S41">
        <f ca="1">IFERROR(IF(0=LEN(ReferenceData!$S$41),"",ReferenceData!$S$41),"")</f>
        <v>84190</v>
      </c>
      <c r="T41">
        <f ca="1">IFERROR(IF(0=LEN(ReferenceData!$T$41),"",ReferenceData!$T$41),"")</f>
        <v>77796</v>
      </c>
      <c r="U41">
        <f ca="1">IFERROR(IF(0=LEN(ReferenceData!$U$41),"",ReferenceData!$U$41),"")</f>
        <v>89523</v>
      </c>
      <c r="V41">
        <f ca="1">IFERROR(IF(0=LEN(ReferenceData!$V$41),"",ReferenceData!$V$41),"")</f>
        <v>72275</v>
      </c>
      <c r="W41">
        <f ca="1">IFERROR(IF(0=LEN(ReferenceData!$W$41),"",ReferenceData!$W$41),"")</f>
        <v>82806</v>
      </c>
      <c r="X41">
        <f ca="1">IFERROR(IF(0=LEN(ReferenceData!$X$41),"",ReferenceData!$X$41),"")</f>
        <v>69231</v>
      </c>
      <c r="Y41">
        <f ca="1">IFERROR(IF(0=LEN(ReferenceData!$Y$41),"",ReferenceData!$Y$41),"")</f>
        <v>81510</v>
      </c>
      <c r="Z41">
        <f ca="1">IFERROR(IF(0=LEN(ReferenceData!$Z$41),"",ReferenceData!$Z$41),"")</f>
        <v>68395</v>
      </c>
      <c r="AA41">
        <f ca="1">IFERROR(IF(0=LEN(ReferenceData!$AA$41),"",ReferenceData!$AA$41),"")</f>
        <v>81619</v>
      </c>
      <c r="AB41">
        <f ca="1">IFERROR(IF(0=LEN(ReferenceData!$AB$41),"",ReferenceData!$AB$41),"")</f>
        <v>69961</v>
      </c>
      <c r="AC41">
        <f ca="1">IFERROR(IF(0=LEN(ReferenceData!$AC$41),"",ReferenceData!$AC$41),"")</f>
        <v>84554</v>
      </c>
      <c r="AD41">
        <f ca="1">IFERROR(IF(0=LEN(ReferenceData!$AD$41),"",ReferenceData!$AD$41),"")</f>
        <v>71751</v>
      </c>
      <c r="AE41">
        <f ca="1">IFERROR(IF(0=LEN(ReferenceData!$AE$41),"",ReferenceData!$AE$41),"")</f>
        <v>82613</v>
      </c>
      <c r="AF41">
        <f ca="1">IFERROR(IF(0=LEN(ReferenceData!$AF$41),"",ReferenceData!$AF$41),"")</f>
        <v>68216</v>
      </c>
      <c r="AG41">
        <f ca="1">IFERROR(IF(0=LEN(ReferenceData!$AG$41),"",ReferenceData!$AG$41),"")</f>
        <v>98180</v>
      </c>
      <c r="AH41">
        <f ca="1">IFERROR(IF(0=LEN(ReferenceData!$AH$41),"",ReferenceData!$AH$41),"")</f>
        <v>79130</v>
      </c>
      <c r="AI41">
        <f ca="1">IFERROR(IF(0=LEN(ReferenceData!$AI$41),"",ReferenceData!$AI$41),"")</f>
        <v>86220</v>
      </c>
      <c r="AJ41">
        <f ca="1">IFERROR(IF(0=LEN(ReferenceData!$AJ$41),"",ReferenceData!$AJ$41),"")</f>
        <v>74264</v>
      </c>
      <c r="AK41">
        <f ca="1">IFERROR(IF(0=LEN(ReferenceData!$AK$41),"",ReferenceData!$AK$41),"")</f>
        <v>85621</v>
      </c>
      <c r="AL41">
        <f ca="1">IFERROR(IF(0=LEN(ReferenceData!$AL$41),"",ReferenceData!$AL$41),"")</f>
        <v>72853</v>
      </c>
      <c r="AM41">
        <f ca="1">IFERROR(IF(0=LEN(ReferenceData!$AM$41),"",ReferenceData!$AM$41),"")</f>
        <v>77750</v>
      </c>
      <c r="AN41">
        <f ca="1">IFERROR(IF(0=LEN(ReferenceData!$AN$41),"",ReferenceData!$AN$41),"")</f>
        <v>67984</v>
      </c>
      <c r="AO41">
        <f ca="1">IFERROR(IF(0=LEN(ReferenceData!$AO$41),"",ReferenceData!$AO$41),"")</f>
        <v>82503</v>
      </c>
      <c r="AP41">
        <f ca="1">IFERROR(IF(0=LEN(ReferenceData!$AP$41),"",ReferenceData!$AP$41),"")</f>
        <v>66002</v>
      </c>
      <c r="AQ41">
        <f ca="1">IFERROR(IF(0=LEN(ReferenceData!$AQ$41),"",ReferenceData!$AQ$41),"")</f>
        <v>69035</v>
      </c>
      <c r="AR41">
        <f ca="1">IFERROR(IF(0=LEN(ReferenceData!$AR$41),"",ReferenceData!$AR$41),"")</f>
        <v>63120</v>
      </c>
      <c r="AS41">
        <f ca="1">IFERROR(IF(0=LEN(ReferenceData!$AS$41),"",ReferenceData!$AS$41),"")</f>
        <v>74752</v>
      </c>
      <c r="AT41">
        <f ca="1">IFERROR(IF(0=LEN(ReferenceData!$AT$41),"",ReferenceData!$AT$41),"")</f>
        <v>59111</v>
      </c>
      <c r="AU41">
        <f ca="1">IFERROR(IF(0=LEN(ReferenceData!$AU$41),"",ReferenceData!$AU$41),"")</f>
        <v>68625</v>
      </c>
      <c r="AV41">
        <f ca="1">IFERROR(IF(0=LEN(ReferenceData!$AV$41),"",ReferenceData!$AV$41),"")</f>
        <v>67063</v>
      </c>
      <c r="AW41">
        <f ca="1">IFERROR(IF(0=LEN(ReferenceData!$AW$41),"",ReferenceData!$AW$41),"")</f>
        <v>85771</v>
      </c>
      <c r="AX41">
        <f ca="1">IFERROR(IF(0=LEN(ReferenceData!$AX$41),"",ReferenceData!$AX$41),"")</f>
        <v>67098</v>
      </c>
      <c r="AY41">
        <f ca="1">IFERROR(IF(0=LEN(ReferenceData!$AY$41),"",ReferenceData!$AY$41),"")</f>
        <v>71827</v>
      </c>
      <c r="AZ41">
        <f ca="1">IFERROR(IF(0=LEN(ReferenceData!$AZ$41),"",ReferenceData!$AZ$41),"")</f>
        <v>66839</v>
      </c>
      <c r="BA41">
        <f ca="1">IFERROR(IF(0=LEN(ReferenceData!$BA$41),"",ReferenceData!$BA$41),"")</f>
        <v>82896</v>
      </c>
      <c r="BB41">
        <f ca="1">IFERROR(IF(0=LEN(ReferenceData!$BB$41),"",ReferenceData!$BB$41),"")</f>
        <v>63126</v>
      </c>
      <c r="BC41">
        <f ca="1">IFERROR(IF(0=LEN(ReferenceData!$BC$41),"",ReferenceData!$BC$41),"")</f>
        <v>65827</v>
      </c>
      <c r="BD41">
        <f ca="1">IFERROR(IF(0=LEN(ReferenceData!$BD$41),"",ReferenceData!$BD$41),"")</f>
        <v>58916</v>
      </c>
      <c r="BE41">
        <f ca="1">IFERROR(IF(0=LEN(ReferenceData!$BE$41),"",ReferenceData!$BE$41),"")</f>
        <v>81712</v>
      </c>
      <c r="BF41">
        <f ca="1">IFERROR(IF(0=LEN(ReferenceData!$BF$41),"",ReferenceData!$BF$41),"")</f>
        <v>62997</v>
      </c>
      <c r="BG41">
        <f ca="1">IFERROR(IF(0=LEN(ReferenceData!$BG$41),"",ReferenceData!$BG$41),"")</f>
        <v>62926</v>
      </c>
      <c r="BH41">
        <f ca="1">IFERROR(IF(0=LEN(ReferenceData!$BH$41),"",ReferenceData!$BH$41),"")</f>
        <v>62006</v>
      </c>
      <c r="BI41">
        <f ca="1">IFERROR(IF(0=LEN(ReferenceData!$BI$41),"",ReferenceData!$BI$41),"")</f>
        <v>80213</v>
      </c>
      <c r="BJ41">
        <f ca="1">IFERROR(IF(0=LEN(ReferenceData!$BJ$41),"",ReferenceData!$BJ$41),"")</f>
        <v>59796</v>
      </c>
      <c r="BK41">
        <f ca="1">IFERROR(IF(0=LEN(ReferenceData!$BK$41),"",ReferenceData!$BK$41),"")</f>
        <v>62684</v>
      </c>
      <c r="BL41">
        <f ca="1">IFERROR(IF(0=LEN(ReferenceData!$BL$41),"",ReferenceData!$BL$41),"")</f>
        <v>61992</v>
      </c>
      <c r="BM41">
        <f ca="1">IFERROR(IF(0=LEN(ReferenceData!$BM$41),"",ReferenceData!$BM$41),"")</f>
        <v>81787</v>
      </c>
    </row>
    <row r="42" spans="1:65" x14ac:dyDescent="0.25">
      <c r="A42" t="str">
        <f>IFERROR(IF(0=LEN(ReferenceData!$A$42),"",ReferenceData!$A$42),"")</f>
        <v xml:space="preserve">            Turkey</v>
      </c>
      <c r="B42" t="str">
        <f>IFERROR(IF(0=LEN(ReferenceData!$B$42),"",ReferenceData!$B$42),"")</f>
        <v>TUCSMP Index</v>
      </c>
      <c r="C42" t="str">
        <f>IFERROR(IF(0=LEN(ReferenceData!$C$42),"",ReferenceData!$C$42),"")</f>
        <v>PX385</v>
      </c>
      <c r="D42" t="str">
        <f>IFERROR(IF(0=LEN(ReferenceData!$D$42),"",ReferenceData!$D$42),"")</f>
        <v>INTERVAL_SUM</v>
      </c>
      <c r="E42" t="str">
        <f>IFERROR(IF(0=LEN(ReferenceData!$E$42),"",ReferenceData!$E$42),"")</f>
        <v>Dynamic</v>
      </c>
      <c r="F42">
        <f ca="1">IFERROR(IF(0=LEN(ReferenceData!$F$42),"",ReferenceData!$F$42),"")</f>
        <v>14775</v>
      </c>
      <c r="G42">
        <f ca="1">IFERROR(IF(0=LEN(ReferenceData!$G$42),"",ReferenceData!$G$42),"")</f>
        <v>161815</v>
      </c>
      <c r="H42">
        <f ca="1">IFERROR(IF(0=LEN(ReferenceData!$H$42),"",ReferenceData!$H$42),"")</f>
        <v>113389</v>
      </c>
      <c r="I42">
        <f ca="1">IFERROR(IF(0=LEN(ReferenceData!$I$42),"",ReferenceData!$I$42),"")</f>
        <v>153560</v>
      </c>
      <c r="J42">
        <f ca="1">IFERROR(IF(0=LEN(ReferenceData!$J$42),"",ReferenceData!$J$42),"")</f>
        <v>108951</v>
      </c>
      <c r="K42">
        <f ca="1">IFERROR(IF(0=LEN(ReferenceData!$K$42),"",ReferenceData!$K$42),"")</f>
        <v>339718</v>
      </c>
      <c r="L42">
        <f ca="1">IFERROR(IF(0=LEN(ReferenceData!$L$42),"",ReferenceData!$L$42),"")</f>
        <v>233591</v>
      </c>
      <c r="M42">
        <f ca="1">IFERROR(IF(0=LEN(ReferenceData!$M$42),"",ReferenceData!$M$42),"")</f>
        <v>189961</v>
      </c>
      <c r="N42">
        <f ca="1">IFERROR(IF(0=LEN(ReferenceData!$N$42),"",ReferenceData!$N$42),"")</f>
        <v>115963</v>
      </c>
      <c r="O42">
        <f ca="1">IFERROR(IF(0=LEN(ReferenceData!$O$42),"",ReferenceData!$O$42),"")</f>
        <v>267573</v>
      </c>
      <c r="P42">
        <f ca="1">IFERROR(IF(0=LEN(ReferenceData!$P$42),"",ReferenceData!$P$42),"")</f>
        <v>150883</v>
      </c>
      <c r="Q42">
        <f ca="1">IFERROR(IF(0=LEN(ReferenceData!$Q$42),"",ReferenceData!$Q$42),"")</f>
        <v>210561</v>
      </c>
      <c r="R42">
        <f ca="1">IFERROR(IF(0=LEN(ReferenceData!$R$42),"",ReferenceData!$R$42),"")</f>
        <v>127921</v>
      </c>
      <c r="S42">
        <f ca="1">IFERROR(IF(0=LEN(ReferenceData!$S$42),"",ReferenceData!$S$42),"")</f>
        <v>224691</v>
      </c>
      <c r="T42">
        <f ca="1">IFERROR(IF(0=LEN(ReferenceData!$T$42),"",ReferenceData!$T$42),"")</f>
        <v>173059</v>
      </c>
      <c r="U42">
        <f ca="1">IFERROR(IF(0=LEN(ReferenceData!$U$42),"",ReferenceData!$U$42),"")</f>
        <v>200855</v>
      </c>
      <c r="V42">
        <f ca="1">IFERROR(IF(0=LEN(ReferenceData!$V$42),"",ReferenceData!$V$42),"")</f>
        <v>126991</v>
      </c>
      <c r="W42">
        <f ca="1">IFERROR(IF(0=LEN(ReferenceData!$W$42),"",ReferenceData!$W$42),"")</f>
        <v>220563</v>
      </c>
      <c r="X42">
        <f ca="1">IFERROR(IF(0=LEN(ReferenceData!$X$42),"",ReferenceData!$X$42),"")</f>
        <v>140995</v>
      </c>
      <c r="Y42">
        <f ca="1">IFERROR(IF(0=LEN(ReferenceData!$Y$42),"",ReferenceData!$Y$42),"")</f>
        <v>136426</v>
      </c>
      <c r="Z42">
        <f ca="1">IFERROR(IF(0=LEN(ReferenceData!$Z$42),"",ReferenceData!$Z$42),"")</f>
        <v>89477</v>
      </c>
      <c r="AA42">
        <f ca="1">IFERROR(IF(0=LEN(ReferenceData!$AA$42),"",ReferenceData!$AA$42),"")</f>
        <v>212301</v>
      </c>
      <c r="AB42">
        <f ca="1">IFERROR(IF(0=LEN(ReferenceData!$AB$42),"",ReferenceData!$AB$42),"")</f>
        <v>151138</v>
      </c>
      <c r="AC42">
        <f ca="1">IFERROR(IF(0=LEN(ReferenceData!$AC$42),"",ReferenceData!$AC$42),"")</f>
        <v>177672</v>
      </c>
      <c r="AD42">
        <f ca="1">IFERROR(IF(0=LEN(ReferenceData!$AD$42),"",ReferenceData!$AD$42),"")</f>
        <v>114434</v>
      </c>
      <c r="AE42">
        <f ca="1">IFERROR(IF(0=LEN(ReferenceData!$AE$42),"",ReferenceData!$AE$42),"")</f>
        <v>195900</v>
      </c>
      <c r="AF42">
        <f ca="1">IFERROR(IF(0=LEN(ReferenceData!$AF$42),"",ReferenceData!$AF$42),"")</f>
        <v>135127</v>
      </c>
      <c r="AG42">
        <f ca="1">IFERROR(IF(0=LEN(ReferenceData!$AG$42),"",ReferenceData!$AG$42),"")</f>
        <v>146954</v>
      </c>
      <c r="AH42">
        <f ca="1">IFERROR(IF(0=LEN(ReferenceData!$AH$42),"",ReferenceData!$AH$42),"")</f>
        <v>97536</v>
      </c>
      <c r="AI42">
        <f ca="1">IFERROR(IF(0=LEN(ReferenceData!$AI$42),"",ReferenceData!$AI$42),"")</f>
        <v>181416</v>
      </c>
      <c r="AJ42">
        <f ca="1">IFERROR(IF(0=LEN(ReferenceData!$AJ$42),"",ReferenceData!$AJ$42),"")</f>
        <v>122357</v>
      </c>
      <c r="AK42">
        <f ca="1">IFERROR(IF(0=LEN(ReferenceData!$AK$42),"",ReferenceData!$AK$42),"")</f>
        <v>166851</v>
      </c>
      <c r="AL42">
        <f ca="1">IFERROR(IF(0=LEN(ReferenceData!$AL$42),"",ReferenceData!$AL$42),"")</f>
        <v>122895</v>
      </c>
      <c r="AM42">
        <f ca="1">IFERROR(IF(0=LEN(ReferenceData!$AM$42),"",ReferenceData!$AM$42),"")</f>
        <v>197381</v>
      </c>
      <c r="AN42">
        <f ca="1">IFERROR(IF(0=LEN(ReferenceData!$AN$42),"",ReferenceData!$AN$42),"")</f>
        <v>126098</v>
      </c>
      <c r="AO42">
        <f ca="1">IFERROR(IF(0=LEN(ReferenceData!$AO$42),"",ReferenceData!$AO$42),"")</f>
        <v>119102</v>
      </c>
      <c r="AP42">
        <f ca="1">IFERROR(IF(0=LEN(ReferenceData!$AP$42),"",ReferenceData!$AP$42),"")</f>
        <v>67203</v>
      </c>
      <c r="AQ42">
        <f ca="1">IFERROR(IF(0=LEN(ReferenceData!$AQ$42),"",ReferenceData!$AQ$42),"")</f>
        <v>88787</v>
      </c>
      <c r="AR42">
        <f ca="1">IFERROR(IF(0=LEN(ReferenceData!$AR$42),"",ReferenceData!$AR$42),"")</f>
        <v>91336</v>
      </c>
      <c r="AS42">
        <f ca="1">IFERROR(IF(0=LEN(ReferenceData!$AS$42),"",ReferenceData!$AS$42),"")</f>
        <v>121409</v>
      </c>
      <c r="AT42">
        <f ca="1">IFERROR(IF(0=LEN(ReferenceData!$AT$42),"",ReferenceData!$AT$42),"")</f>
        <v>68287</v>
      </c>
      <c r="AU42">
        <f ca="1">IFERROR(IF(0=LEN(ReferenceData!$AU$42),"",ReferenceData!$AU$42),"")</f>
        <v>62868</v>
      </c>
      <c r="AV42">
        <f ca="1">IFERROR(IF(0=LEN(ReferenceData!$AV$42),"",ReferenceData!$AV$42),"")</f>
        <v>78685</v>
      </c>
      <c r="AW42">
        <f ca="1">IFERROR(IF(0=LEN(ReferenceData!$AW$42),"",ReferenceData!$AW$42),"")</f>
        <v>90514</v>
      </c>
      <c r="AX42">
        <f ca="1">IFERROR(IF(0=LEN(ReferenceData!$AX$42),"",ReferenceData!$AX$42),"")</f>
        <v>73931</v>
      </c>
      <c r="AY42">
        <f ca="1">IFERROR(IF(0=LEN(ReferenceData!$AY$42),"",ReferenceData!$AY$42),"")</f>
        <v>133957</v>
      </c>
      <c r="AZ42">
        <f ca="1">IFERROR(IF(0=LEN(ReferenceData!$AZ$42),"",ReferenceData!$AZ$42),"")</f>
        <v>84377</v>
      </c>
      <c r="BA42">
        <f ca="1">IFERROR(IF(0=LEN(ReferenceData!$BA$42),"",ReferenceData!$BA$42),"")</f>
        <v>84397</v>
      </c>
      <c r="BB42">
        <f ca="1">IFERROR(IF(0=LEN(ReferenceData!$BB$42),"",ReferenceData!$BB$42),"")</f>
        <v>54734</v>
      </c>
      <c r="BC42">
        <f ca="1">IFERROR(IF(0=LEN(ReferenceData!$BC$42),"",ReferenceData!$BC$42),"")</f>
        <v>98065</v>
      </c>
      <c r="BD42">
        <f ca="1">IFERROR(IF(0=LEN(ReferenceData!$BD$42),"",ReferenceData!$BD$42),"")</f>
        <v>75043</v>
      </c>
      <c r="BE42">
        <f ca="1">IFERROR(IF(0=LEN(ReferenceData!$BE$42),"",ReferenceData!$BE$42),"")</f>
        <v>121680</v>
      </c>
      <c r="BF42">
        <f ca="1">IFERROR(IF(0=LEN(ReferenceData!$BF$42),"",ReferenceData!$BF$42),"")</f>
        <v>78431</v>
      </c>
      <c r="BG42">
        <f ca="1">IFERROR(IF(0=LEN(ReferenceData!$BG$42),"",ReferenceData!$BG$42),"")</f>
        <v>138248</v>
      </c>
      <c r="BH42">
        <f ca="1">IFERROR(IF(0=LEN(ReferenceData!$BH$42),"",ReferenceData!$BH$42),"")</f>
        <v>114027</v>
      </c>
      <c r="BI42">
        <f ca="1">IFERROR(IF(0=LEN(ReferenceData!$BI$42),"",ReferenceData!$BI$42),"")</f>
        <v>115562</v>
      </c>
      <c r="BJ42">
        <f ca="1">IFERROR(IF(0=LEN(ReferenceData!$BJ$42),"",ReferenceData!$BJ$42),"")</f>
        <v>70736</v>
      </c>
      <c r="BK42" t="str">
        <f ca="1">IFERROR(IF(0=LEN(ReferenceData!$BK$42),"",ReferenceData!$BK$42),"")</f>
        <v/>
      </c>
      <c r="BL42" t="str">
        <f ca="1">IFERROR(IF(0=LEN(ReferenceData!$BL$42),"",ReferenceData!$BL$42),"")</f>
        <v/>
      </c>
      <c r="BM42" t="str">
        <f ca="1">IFERROR(IF(0=LEN(ReferenceData!$BM$42),"",ReferenceData!$BM$42),"")</f>
        <v/>
      </c>
    </row>
    <row r="43" spans="1:65" x14ac:dyDescent="0.25">
      <c r="A43" t="str">
        <f>IFERROR(IF(0=LEN(ReferenceData!$A$43),"",ReferenceData!$A$43),"")</f>
        <v xml:space="preserve">            United Kingdom</v>
      </c>
      <c r="B43" t="str">
        <f>IFERROR(IF(0=LEN(ReferenceData!$B$43),"",ReferenceData!$B$43),"")</f>
        <v>WCARUKI Index</v>
      </c>
      <c r="C43" t="str">
        <f>IFERROR(IF(0=LEN(ReferenceData!$C$43),"",ReferenceData!$C$43),"")</f>
        <v>PX385</v>
      </c>
      <c r="D43" t="str">
        <f>IFERROR(IF(0=LEN(ReferenceData!$D$43),"",ReferenceData!$D$43),"")</f>
        <v>INTERVAL_SUM</v>
      </c>
      <c r="E43" t="str">
        <f>IFERROR(IF(0=LEN(ReferenceData!$E$43),"",ReferenceData!$E$43),"")</f>
        <v>Dynamic</v>
      </c>
      <c r="F43">
        <f ca="1">IFERROR(IF(0=LEN(ReferenceData!$F$43),"",ReferenceData!$F$43),"")</f>
        <v>161013</v>
      </c>
      <c r="G43">
        <f ca="1">IFERROR(IF(0=LEN(ReferenceData!$G$43),"",ReferenceData!$G$43),"")</f>
        <v>456327</v>
      </c>
      <c r="H43">
        <f ca="1">IFERROR(IF(0=LEN(ReferenceData!$H$43),"",ReferenceData!$H$43),"")</f>
        <v>596826</v>
      </c>
      <c r="I43">
        <f ca="1">IFERROR(IF(0=LEN(ReferenceData!$I$43),"",ReferenceData!$I$43),"")</f>
        <v>595505</v>
      </c>
      <c r="J43">
        <f ca="1">IFERROR(IF(0=LEN(ReferenceData!$J$43),"",ReferenceData!$J$43),"")</f>
        <v>718489</v>
      </c>
      <c r="K43">
        <f ca="1">IFERROR(IF(0=LEN(ReferenceData!$K$43),"",ReferenceData!$K$43),"")</f>
        <v>474206</v>
      </c>
      <c r="L43">
        <f ca="1">IFERROR(IF(0=LEN(ReferenceData!$L$43),"",ReferenceData!$L$43),"")</f>
        <v>664600</v>
      </c>
      <c r="M43">
        <f ca="1">IFERROR(IF(0=LEN(ReferenceData!$M$43),"",ReferenceData!$M$43),"")</f>
        <v>581795</v>
      </c>
      <c r="N43">
        <f ca="1">IFERROR(IF(0=LEN(ReferenceData!$N$43),"",ReferenceData!$N$43),"")</f>
        <v>820016</v>
      </c>
      <c r="O43">
        <f ca="1">IFERROR(IF(0=LEN(ReferenceData!$O$43),"",ReferenceData!$O$43),"")</f>
        <v>542291</v>
      </c>
      <c r="P43">
        <f ca="1">IFERROR(IF(0=LEN(ReferenceData!$P$43),"",ReferenceData!$P$43),"")</f>
        <v>729859</v>
      </c>
      <c r="Q43">
        <f ca="1">IFERROR(IF(0=LEN(ReferenceData!$Q$43),"",ReferenceData!$Q$43),"")</f>
        <v>648856</v>
      </c>
      <c r="R43">
        <f ca="1">IFERROR(IF(0=LEN(ReferenceData!$R$43),"",ReferenceData!$R$43),"")</f>
        <v>771780</v>
      </c>
      <c r="S43">
        <f ca="1">IFERROR(IF(0=LEN(ReferenceData!$S$43),"",ReferenceData!$S$43),"")</f>
        <v>536617</v>
      </c>
      <c r="T43">
        <f ca="1">IFERROR(IF(0=LEN(ReferenceData!$T$43),"",ReferenceData!$T$43),"")</f>
        <v>719997</v>
      </c>
      <c r="U43">
        <f ca="1">IFERROR(IF(0=LEN(ReferenceData!$U$43),"",ReferenceData!$U$43),"")</f>
        <v>642301</v>
      </c>
      <c r="V43">
        <f ca="1">IFERROR(IF(0=LEN(ReferenceData!$V$43),"",ReferenceData!$V$43),"")</f>
        <v>734588</v>
      </c>
      <c r="W43">
        <f ca="1">IFERROR(IF(0=LEN(ReferenceData!$W$43),"",ReferenceData!$W$43),"")</f>
        <v>518239</v>
      </c>
      <c r="X43">
        <f ca="1">IFERROR(IF(0=LEN(ReferenceData!$X$43),"",ReferenceData!$X$43),"")</f>
        <v>670931</v>
      </c>
      <c r="Y43">
        <f ca="1">IFERROR(IF(0=LEN(ReferenceData!$Y$43),"",ReferenceData!$Y$43),"")</f>
        <v>599143</v>
      </c>
      <c r="Z43">
        <f ca="1">IFERROR(IF(0=LEN(ReferenceData!$Z$43),"",ReferenceData!$Z$43),"")</f>
        <v>688122</v>
      </c>
      <c r="AA43">
        <f ca="1">IFERROR(IF(0=LEN(ReferenceData!$AA$43),"",ReferenceData!$AA$43),"")</f>
        <v>469813</v>
      </c>
      <c r="AB43">
        <f ca="1">IFERROR(IF(0=LEN(ReferenceData!$AB$43),"",ReferenceData!$AB$43),"")</f>
        <v>631301</v>
      </c>
      <c r="AC43">
        <f ca="1">IFERROR(IF(0=LEN(ReferenceData!$AC$43),"",ReferenceData!$AC$43),"")</f>
        <v>558425</v>
      </c>
      <c r="AD43">
        <f ca="1">IFERROR(IF(0=LEN(ReferenceData!$AD$43),"",ReferenceData!$AD$43),"")</f>
        <v>605198</v>
      </c>
      <c r="AE43">
        <f ca="1">IFERROR(IF(0=LEN(ReferenceData!$AE$43),"",ReferenceData!$AE$43),"")</f>
        <v>424000</v>
      </c>
      <c r="AF43">
        <f ca="1">IFERROR(IF(0=LEN(ReferenceData!$AF$43),"",ReferenceData!$AF$43),"")</f>
        <v>562929</v>
      </c>
      <c r="AG43">
        <f ca="1">IFERROR(IF(0=LEN(ReferenceData!$AG$43),"",ReferenceData!$AG$43),"")</f>
        <v>494124</v>
      </c>
      <c r="AH43">
        <f ca="1">IFERROR(IF(0=LEN(ReferenceData!$AH$43),"",ReferenceData!$AH$43),"")</f>
        <v>563556</v>
      </c>
      <c r="AI43">
        <f ca="1">IFERROR(IF(0=LEN(ReferenceData!$AI$43),"",ReferenceData!$AI$43),"")</f>
        <v>388159</v>
      </c>
      <c r="AJ43">
        <f ca="1">IFERROR(IF(0=LEN(ReferenceData!$AJ$43),"",ReferenceData!$AJ$43),"")</f>
        <v>523456</v>
      </c>
      <c r="AK43">
        <f ca="1">IFERROR(IF(0=LEN(ReferenceData!$AK$43),"",ReferenceData!$AK$43),"")</f>
        <v>471302</v>
      </c>
      <c r="AL43">
        <f ca="1">IFERROR(IF(0=LEN(ReferenceData!$AL$43),"",ReferenceData!$AL$43),"")</f>
        <v>558336</v>
      </c>
      <c r="AM43">
        <f ca="1">IFERROR(IF(0=LEN(ReferenceData!$AM$43),"",ReferenceData!$AM$43),"")</f>
        <v>395187</v>
      </c>
      <c r="AN43">
        <f ca="1">IFERROR(IF(0=LEN(ReferenceData!$AN$43),"",ReferenceData!$AN$43),"")</f>
        <v>526997</v>
      </c>
      <c r="AO43">
        <f ca="1">IFERROR(IF(0=LEN(ReferenceData!$AO$43),"",ReferenceData!$AO$43),"")</f>
        <v>497114</v>
      </c>
      <c r="AP43">
        <f ca="1">IFERROR(IF(0=LEN(ReferenceData!$AP$43),"",ReferenceData!$AP$43),"")</f>
        <v>611548</v>
      </c>
      <c r="AQ43">
        <f ca="1">IFERROR(IF(0=LEN(ReferenceData!$AQ$43),"",ReferenceData!$AQ$43),"")</f>
        <v>477960</v>
      </c>
      <c r="AR43">
        <f ca="1">IFERROR(IF(0=LEN(ReferenceData!$AR$43),"",ReferenceData!$AR$43),"")</f>
        <v>592084</v>
      </c>
      <c r="AS43">
        <f ca="1">IFERROR(IF(0=LEN(ReferenceData!$AS$43),"",ReferenceData!$AS$43),"")</f>
        <v>444597</v>
      </c>
      <c r="AT43">
        <f ca="1">IFERROR(IF(0=LEN(ReferenceData!$AT$43),"",ReferenceData!$AT$43),"")</f>
        <v>480358</v>
      </c>
      <c r="AU43">
        <f ca="1">IFERROR(IF(0=LEN(ReferenceData!$AU$43),"",ReferenceData!$AU$43),"")</f>
        <v>337376</v>
      </c>
      <c r="AV43">
        <f ca="1">IFERROR(IF(0=LEN(ReferenceData!$AV$43),"",ReferenceData!$AV$43),"")</f>
        <v>546940</v>
      </c>
      <c r="AW43">
        <f ca="1">IFERROR(IF(0=LEN(ReferenceData!$AW$43),"",ReferenceData!$AW$43),"")</f>
        <v>564130</v>
      </c>
      <c r="AX43">
        <f ca="1">IFERROR(IF(0=LEN(ReferenceData!$AX$43),"",ReferenceData!$AX$43),"")</f>
        <v>683349</v>
      </c>
      <c r="AY43">
        <f ca="1">IFERROR(IF(0=LEN(ReferenceData!$AY$43),"",ReferenceData!$AY$43),"")</f>
        <v>463492</v>
      </c>
      <c r="AZ43">
        <f ca="1">IFERROR(IF(0=LEN(ReferenceData!$AZ$43),"",ReferenceData!$AZ$43),"")</f>
        <v>673216</v>
      </c>
      <c r="BA43">
        <f ca="1">IFERROR(IF(0=LEN(ReferenceData!$BA$43),"",ReferenceData!$BA$43),"")</f>
        <v>578823</v>
      </c>
      <c r="BB43">
        <f ca="1">IFERROR(IF(0=LEN(ReferenceData!$BB$43),"",ReferenceData!$BB$43),"")</f>
        <v>688476</v>
      </c>
      <c r="BC43">
        <f ca="1">IFERROR(IF(0=LEN(ReferenceData!$BC$43),"",ReferenceData!$BC$43),"")</f>
        <v>442976</v>
      </c>
      <c r="BD43">
        <f ca="1">IFERROR(IF(0=LEN(ReferenceData!$BD$43),"",ReferenceData!$BD$43),"")</f>
        <v>659967</v>
      </c>
      <c r="BE43">
        <f ca="1">IFERROR(IF(0=LEN(ReferenceData!$BE$43),"",ReferenceData!$BE$43),"")</f>
        <v>572715</v>
      </c>
      <c r="BF43">
        <f ca="1">IFERROR(IF(0=LEN(ReferenceData!$BF$43),"",ReferenceData!$BF$43),"")</f>
        <v>669206</v>
      </c>
      <c r="BG43">
        <f ca="1">IFERROR(IF(0=LEN(ReferenceData!$BG$43),"",ReferenceData!$BG$43),"")</f>
        <v>467837</v>
      </c>
      <c r="BH43">
        <f ca="1">IFERROR(IF(0=LEN(ReferenceData!$BH$43),"",ReferenceData!$BH$43),"")</f>
        <v>675395</v>
      </c>
      <c r="BI43">
        <f ca="1">IFERROR(IF(0=LEN(ReferenceData!$BI$43),"",ReferenceData!$BI$43),"")</f>
        <v>594980</v>
      </c>
      <c r="BJ43">
        <f ca="1">IFERROR(IF(0=LEN(ReferenceData!$BJ$43),"",ReferenceData!$BJ$43),"")</f>
        <v>701505</v>
      </c>
      <c r="BK43">
        <f ca="1">IFERROR(IF(0=LEN(ReferenceData!$BK$43),"",ReferenceData!$BK$43),"")</f>
        <v>487313</v>
      </c>
      <c r="BL43">
        <f ca="1">IFERROR(IF(0=LEN(ReferenceData!$BL$43),"",ReferenceData!$BL$43),"")</f>
        <v>703391</v>
      </c>
      <c r="BM43">
        <f ca="1">IFERROR(IF(0=LEN(ReferenceData!$BM$43),"",ReferenceData!$BM$43),"")</f>
        <v>620560</v>
      </c>
    </row>
    <row r="44" spans="1:65" x14ac:dyDescent="0.25">
      <c r="A44" t="str">
        <f>IFERROR(IF(0=LEN(ReferenceData!$A$44),"",ReferenceData!$A$44),"")</f>
        <v xml:space="preserve">        Eastern Europe</v>
      </c>
      <c r="B44" t="str">
        <f>IFERROR(IF(0=LEN(ReferenceData!$B$44),"",ReferenceData!$B$44),"")</f>
        <v/>
      </c>
      <c r="C44" t="str">
        <f>IFERROR(IF(0=LEN(ReferenceData!$C$44),"",ReferenceData!$C$44),"")</f>
        <v/>
      </c>
      <c r="D44" t="str">
        <f>IFERROR(IF(0=LEN(ReferenceData!$D$44),"",ReferenceData!$D$44),"")</f>
        <v/>
      </c>
      <c r="E44" t="str">
        <f>IFERROR(IF(0=LEN(ReferenceData!$E$44),"",ReferenceData!$E$44),"")</f>
        <v>Sum</v>
      </c>
      <c r="F44">
        <f ca="1">IFERROR(IF(0=LEN(ReferenceData!$F$44),"",ReferenceData!$F$44),"")</f>
        <v>214943</v>
      </c>
      <c r="G44">
        <f ca="1">IFERROR(IF(0=LEN(ReferenceData!$G$44),"",ReferenceData!$G$44),"")</f>
        <v>802979</v>
      </c>
      <c r="H44">
        <f ca="1">IFERROR(IF(0=LEN(ReferenceData!$H$44),"",ReferenceData!$H$44),"")</f>
        <v>787645</v>
      </c>
      <c r="I44">
        <f ca="1">IFERROR(IF(0=LEN(ReferenceData!$I$44),"",ReferenceData!$I$44),"")</f>
        <v>816404</v>
      </c>
      <c r="J44">
        <f ca="1">IFERROR(IF(0=LEN(ReferenceData!$J$44),"",ReferenceData!$J$44),"")</f>
        <v>731862</v>
      </c>
      <c r="K44">
        <f ca="1">IFERROR(IF(0=LEN(ReferenceData!$K$44),"",ReferenceData!$K$44),"")</f>
        <v>791564</v>
      </c>
      <c r="L44">
        <f ca="1">IFERROR(IF(0=LEN(ReferenceData!$L$44),"",ReferenceData!$L$44),"")</f>
        <v>702902</v>
      </c>
      <c r="M44">
        <f ca="1">IFERROR(IF(0=LEN(ReferenceData!$M$44),"",ReferenceData!$M$44),"")</f>
        <v>720189</v>
      </c>
      <c r="N44">
        <f ca="1">IFERROR(IF(0=LEN(ReferenceData!$N$44),"",ReferenceData!$N$44),"")</f>
        <v>626936</v>
      </c>
      <c r="O44">
        <f ca="1">IFERROR(IF(0=LEN(ReferenceData!$O$44),"",ReferenceData!$O$44),"")</f>
        <v>697984</v>
      </c>
      <c r="P44">
        <f ca="1">IFERROR(IF(0=LEN(ReferenceData!$P$44),"",ReferenceData!$P$44),"")</f>
        <v>612975</v>
      </c>
      <c r="Q44">
        <f ca="1">IFERROR(IF(0=LEN(ReferenceData!$Q$44),"",ReferenceData!$Q$44),"")</f>
        <v>642726</v>
      </c>
      <c r="R44">
        <f ca="1">IFERROR(IF(0=LEN(ReferenceData!$R$44),"",ReferenceData!$R$44),"")</f>
        <v>576703</v>
      </c>
      <c r="S44">
        <f ca="1">IFERROR(IF(0=LEN(ReferenceData!$S$44),"",ReferenceData!$S$44),"")</f>
        <v>666854</v>
      </c>
      <c r="T44">
        <f ca="1">IFERROR(IF(0=LEN(ReferenceData!$T$44),"",ReferenceData!$T$44),"")</f>
        <v>641592</v>
      </c>
      <c r="U44">
        <f ca="1">IFERROR(IF(0=LEN(ReferenceData!$U$44),"",ReferenceData!$U$44),"")</f>
        <v>642033</v>
      </c>
      <c r="V44">
        <f ca="1">IFERROR(IF(0=LEN(ReferenceData!$V$44),"",ReferenceData!$V$44),"")</f>
        <v>608986</v>
      </c>
      <c r="W44">
        <f ca="1">IFERROR(IF(0=LEN(ReferenceData!$W$44),"",ReferenceData!$W$44),"")</f>
        <v>930805</v>
      </c>
      <c r="X44">
        <f ca="1">IFERROR(IF(0=LEN(ReferenceData!$X$44),"",ReferenceData!$X$44),"")</f>
        <v>749776</v>
      </c>
      <c r="Y44">
        <f ca="1">IFERROR(IF(0=LEN(ReferenceData!$Y$44),"",ReferenceData!$Y$44),"")</f>
        <v>844630</v>
      </c>
      <c r="Z44">
        <f ca="1">IFERROR(IF(0=LEN(ReferenceData!$Z$44),"",ReferenceData!$Z$44),"")</f>
        <v>818207</v>
      </c>
      <c r="AA44">
        <f ca="1">IFERROR(IF(0=LEN(ReferenceData!$AA$44),"",ReferenceData!$AA$44),"")</f>
        <v>929892</v>
      </c>
      <c r="AB44">
        <f ca="1">IFERROR(IF(0=LEN(ReferenceData!$AB$44),"",ReferenceData!$AB$44),"")</f>
        <v>890599</v>
      </c>
      <c r="AC44">
        <f ca="1">IFERROR(IF(0=LEN(ReferenceData!$AC$44),"",ReferenceData!$AC$44),"")</f>
        <v>910741</v>
      </c>
      <c r="AD44">
        <f ca="1">IFERROR(IF(0=LEN(ReferenceData!$AD$44),"",ReferenceData!$AD$44),"")</f>
        <v>793577</v>
      </c>
      <c r="AE44">
        <f ca="1">IFERROR(IF(0=LEN(ReferenceData!$AE$44),"",ReferenceData!$AE$44),"")</f>
        <v>927659</v>
      </c>
      <c r="AF44">
        <f ca="1">IFERROR(IF(0=LEN(ReferenceData!$AF$44),"",ReferenceData!$AF$44),"")</f>
        <v>940044</v>
      </c>
      <c r="AG44">
        <f ca="1">IFERROR(IF(0=LEN(ReferenceData!$AG$44),"",ReferenceData!$AG$44),"")</f>
        <v>1003296</v>
      </c>
      <c r="AH44">
        <f ca="1">IFERROR(IF(0=LEN(ReferenceData!$AH$44),"",ReferenceData!$AH$44),"")</f>
        <v>807623</v>
      </c>
      <c r="AI44">
        <f ca="1">IFERROR(IF(0=LEN(ReferenceData!$AI$44),"",ReferenceData!$AI$44),"")</f>
        <v>935147.5</v>
      </c>
      <c r="AJ44">
        <f ca="1">IFERROR(IF(0=LEN(ReferenceData!$AJ$44),"",ReferenceData!$AJ$44),"")</f>
        <v>866766</v>
      </c>
      <c r="AK44">
        <f ca="1">IFERROR(IF(0=LEN(ReferenceData!$AK$44),"",ReferenceData!$AK$44),"")</f>
        <v>916917</v>
      </c>
      <c r="AL44">
        <f ca="1">IFERROR(IF(0=LEN(ReferenceData!$AL$44),"",ReferenceData!$AL$44),"")</f>
        <v>693259</v>
      </c>
      <c r="AM44">
        <f ca="1">IFERROR(IF(0=LEN(ReferenceData!$AM$44),"",ReferenceData!$AM$44),"")</f>
        <v>814670.75</v>
      </c>
      <c r="AN44">
        <f ca="1">IFERROR(IF(0=LEN(ReferenceData!$AN$44),"",ReferenceData!$AN$44),"")</f>
        <v>709560</v>
      </c>
      <c r="AO44">
        <f ca="1">IFERROR(IF(0=LEN(ReferenceData!$AO$44),"",ReferenceData!$AO$44),"")</f>
        <v>700927.25</v>
      </c>
      <c r="AP44">
        <f ca="1">IFERROR(IF(0=LEN(ReferenceData!$AP$44),"",ReferenceData!$AP$44),"")</f>
        <v>458744.5</v>
      </c>
      <c r="AQ44">
        <f ca="1">IFERROR(IF(0=LEN(ReferenceData!$AQ$44),"",ReferenceData!$AQ$44),"")</f>
        <v>546466</v>
      </c>
      <c r="AR44">
        <f ca="1">IFERROR(IF(0=LEN(ReferenceData!$AR$44),"",ReferenceData!$AR$44),"")</f>
        <v>534641</v>
      </c>
      <c r="AS44">
        <f ca="1">IFERROR(IF(0=LEN(ReferenceData!$AS$44),"",ReferenceData!$AS$44),"")</f>
        <v>609178</v>
      </c>
      <c r="AT44">
        <f ca="1">IFERROR(IF(0=LEN(ReferenceData!$AT$44),"",ReferenceData!$AT$44),"")</f>
        <v>597298</v>
      </c>
      <c r="AU44">
        <f ca="1">IFERROR(IF(0=LEN(ReferenceData!$AU$44),"",ReferenceData!$AU$44),"")</f>
        <v>590082</v>
      </c>
      <c r="AV44">
        <f ca="1">IFERROR(IF(0=LEN(ReferenceData!$AV$44),"",ReferenceData!$AV$44),"")</f>
        <v>842687</v>
      </c>
      <c r="AW44">
        <f ca="1">IFERROR(IF(0=LEN(ReferenceData!$AW$44),"",ReferenceData!$AW$44),"")</f>
        <v>928045</v>
      </c>
      <c r="AX44">
        <f ca="1">IFERROR(IF(0=LEN(ReferenceData!$AX$44),"",ReferenceData!$AX$44),"")</f>
        <v>602612</v>
      </c>
      <c r="AY44">
        <f ca="1">IFERROR(IF(0=LEN(ReferenceData!$AY$44),"",ReferenceData!$AY$44),"")</f>
        <v>811257</v>
      </c>
      <c r="AZ44">
        <f ca="1">IFERROR(IF(0=LEN(ReferenceData!$AZ$44),"",ReferenceData!$AZ$44),"")</f>
        <v>727306</v>
      </c>
      <c r="BA44">
        <f ca="1">IFERROR(IF(0=LEN(ReferenceData!$BA$44),"",ReferenceData!$BA$44),"")</f>
        <v>741100</v>
      </c>
      <c r="BB44">
        <f ca="1">IFERROR(IF(0=LEN(ReferenceData!$BB$44),"",ReferenceData!$BB$44),"")</f>
        <v>474400</v>
      </c>
      <c r="BC44">
        <f ca="1">IFERROR(IF(0=LEN(ReferenceData!$BC$44),"",ReferenceData!$BC$44),"")</f>
        <v>395652</v>
      </c>
      <c r="BD44">
        <f ca="1">IFERROR(IF(0=LEN(ReferenceData!$BD$44),"",ReferenceData!$BD$44),"")</f>
        <v>435865</v>
      </c>
      <c r="BE44">
        <f ca="1">IFERROR(IF(0=LEN(ReferenceData!$BE$44),"",ReferenceData!$BE$44),"")</f>
        <v>364505</v>
      </c>
      <c r="BF44">
        <f ca="1">IFERROR(IF(0=LEN(ReferenceData!$BF$44),"",ReferenceData!$BF$44),"")</f>
        <v>236476</v>
      </c>
      <c r="BG44">
        <f ca="1">IFERROR(IF(0=LEN(ReferenceData!$BG$44),"",ReferenceData!$BG$44),"")</f>
        <v>184618</v>
      </c>
      <c r="BH44">
        <f ca="1">IFERROR(IF(0=LEN(ReferenceData!$BH$44),"",ReferenceData!$BH$44),"")</f>
        <v>178528</v>
      </c>
      <c r="BI44">
        <f ca="1">IFERROR(IF(0=LEN(ReferenceData!$BI$44),"",ReferenceData!$BI$44),"")</f>
        <v>209100</v>
      </c>
      <c r="BJ44">
        <f ca="1">IFERROR(IF(0=LEN(ReferenceData!$BJ$44),"",ReferenceData!$BJ$44),"")</f>
        <v>177115</v>
      </c>
      <c r="BK44">
        <f ca="1">IFERROR(IF(0=LEN(ReferenceData!$BK$44),"",ReferenceData!$BK$44),"")</f>
        <v>192504</v>
      </c>
      <c r="BL44">
        <f ca="1">IFERROR(IF(0=LEN(ReferenceData!$BL$44),"",ReferenceData!$BL$44),"")</f>
        <v>181046</v>
      </c>
      <c r="BM44">
        <f ca="1">IFERROR(IF(0=LEN(ReferenceData!$BM$44),"",ReferenceData!$BM$44),"")</f>
        <v>237907</v>
      </c>
    </row>
    <row r="45" spans="1:65" x14ac:dyDescent="0.25">
      <c r="A45" t="str">
        <f>IFERROR(IF(0=LEN(ReferenceData!$A$45),"",ReferenceData!$A$45),"")</f>
        <v xml:space="preserve">            Bulgaria</v>
      </c>
      <c r="B45" t="str">
        <f>IFERROR(IF(0=LEN(ReferenceData!$B$45),"",ReferenceData!$B$45),"")</f>
        <v>WCARBG Index</v>
      </c>
      <c r="C45" t="str">
        <f>IFERROR(IF(0=LEN(ReferenceData!$C$45),"",ReferenceData!$C$45),"")</f>
        <v>PX385</v>
      </c>
      <c r="D45" t="str">
        <f>IFERROR(IF(0=LEN(ReferenceData!$D$45),"",ReferenceData!$D$45),"")</f>
        <v>INTERVAL_SUM</v>
      </c>
      <c r="E45" t="str">
        <f>IFERROR(IF(0=LEN(ReferenceData!$E$45),"",ReferenceData!$E$45),"")</f>
        <v>Dynamic</v>
      </c>
      <c r="F45">
        <f ca="1">IFERROR(IF(0=LEN(ReferenceData!$F$45),"",ReferenceData!$F$45),"")</f>
        <v>2344</v>
      </c>
      <c r="G45">
        <f ca="1">IFERROR(IF(0=LEN(ReferenceData!$G$45),"",ReferenceData!$G$45),"")</f>
        <v>7889</v>
      </c>
      <c r="H45">
        <f ca="1">IFERROR(IF(0=LEN(ReferenceData!$H$45),"",ReferenceData!$H$45),"")</f>
        <v>8361</v>
      </c>
      <c r="I45">
        <f ca="1">IFERROR(IF(0=LEN(ReferenceData!$I$45),"",ReferenceData!$I$45),"")</f>
        <v>9746</v>
      </c>
      <c r="J45">
        <f ca="1">IFERROR(IF(0=LEN(ReferenceData!$J$45),"",ReferenceData!$J$45),"")</f>
        <v>8336</v>
      </c>
      <c r="K45">
        <f ca="1">IFERROR(IF(0=LEN(ReferenceData!$K$45),"",ReferenceData!$K$45),"")</f>
        <v>9146</v>
      </c>
      <c r="L45">
        <f ca="1">IFERROR(IF(0=LEN(ReferenceData!$L$45),"",ReferenceData!$L$45),"")</f>
        <v>7349</v>
      </c>
      <c r="M45">
        <f ca="1">IFERROR(IF(0=LEN(ReferenceData!$M$45),"",ReferenceData!$M$45),"")</f>
        <v>8142</v>
      </c>
      <c r="N45">
        <f ca="1">IFERROR(IF(0=LEN(ReferenceData!$N$45),"",ReferenceData!$N$45),"")</f>
        <v>6607</v>
      </c>
      <c r="O45">
        <f ca="1">IFERROR(IF(0=LEN(ReferenceData!$O$45),"",ReferenceData!$O$45),"")</f>
        <v>7661</v>
      </c>
      <c r="P45">
        <f ca="1">IFERROR(IF(0=LEN(ReferenceData!$P$45),"",ReferenceData!$P$45),"")</f>
        <v>6348</v>
      </c>
      <c r="Q45">
        <f ca="1">IFERROR(IF(0=LEN(ReferenceData!$Q$45),"",ReferenceData!$Q$45),"")</f>
        <v>6962</v>
      </c>
      <c r="R45">
        <f ca="1">IFERROR(IF(0=LEN(ReferenceData!$R$45),"",ReferenceData!$R$45),"")</f>
        <v>5399</v>
      </c>
      <c r="S45">
        <f ca="1">IFERROR(IF(0=LEN(ReferenceData!$S$45),"",ReferenceData!$S$45),"")</f>
        <v>7212</v>
      </c>
      <c r="T45">
        <f ca="1">IFERROR(IF(0=LEN(ReferenceData!$T$45),"",ReferenceData!$T$45),"")</f>
        <v>5540</v>
      </c>
      <c r="U45">
        <f ca="1">IFERROR(IF(0=LEN(ReferenceData!$U$45),"",ReferenceData!$U$45),"")</f>
        <v>6533</v>
      </c>
      <c r="V45">
        <f ca="1">IFERROR(IF(0=LEN(ReferenceData!$V$45),"",ReferenceData!$V$45),"")</f>
        <v>5008</v>
      </c>
      <c r="W45">
        <f ca="1">IFERROR(IF(0=LEN(ReferenceData!$W$45),"",ReferenceData!$W$45),"")</f>
        <v>5209</v>
      </c>
      <c r="X45">
        <f ca="1">IFERROR(IF(0=LEN(ReferenceData!$X$45),"",ReferenceData!$X$45),"")</f>
        <v>4818</v>
      </c>
      <c r="Y45">
        <f ca="1">IFERROR(IF(0=LEN(ReferenceData!$Y$45),"",ReferenceData!$Y$45),"")</f>
        <v>5713</v>
      </c>
      <c r="Z45">
        <f ca="1">IFERROR(IF(0=LEN(ReferenceData!$Z$45),"",ReferenceData!$Z$45),"")</f>
        <v>4619</v>
      </c>
      <c r="AA45">
        <f ca="1">IFERROR(IF(0=LEN(ReferenceData!$AA$45),"",ReferenceData!$AA$45),"")</f>
        <v>5454</v>
      </c>
      <c r="AB45">
        <f ca="1">IFERROR(IF(0=LEN(ReferenceData!$AB$45),"",ReferenceData!$AB$45),"")</f>
        <v>4927</v>
      </c>
      <c r="AC45">
        <f ca="1">IFERROR(IF(0=LEN(ReferenceData!$AC$45),"",ReferenceData!$AC$45),"")</f>
        <v>5430</v>
      </c>
      <c r="AD45">
        <f ca="1">IFERROR(IF(0=LEN(ReferenceData!$AD$45),"",ReferenceData!$AD$45),"")</f>
        <v>3541</v>
      </c>
      <c r="AE45">
        <f ca="1">IFERROR(IF(0=LEN(ReferenceData!$AE$45),"",ReferenceData!$AE$45),"")</f>
        <v>5167</v>
      </c>
      <c r="AF45">
        <f ca="1">IFERROR(IF(0=LEN(ReferenceData!$AF$45),"",ReferenceData!$AF$45),"")</f>
        <v>4482</v>
      </c>
      <c r="AG45">
        <f ca="1">IFERROR(IF(0=LEN(ReferenceData!$AG$45),"",ReferenceData!$AG$45),"")</f>
        <v>5844</v>
      </c>
      <c r="AH45">
        <f ca="1">IFERROR(IF(0=LEN(ReferenceData!$AH$45),"",ReferenceData!$AH$45),"")</f>
        <v>3926</v>
      </c>
      <c r="AI45">
        <f ca="1">IFERROR(IF(0=LEN(ReferenceData!$AI$45),"",ReferenceData!$AI$45),"")</f>
        <v>5427.5</v>
      </c>
      <c r="AJ45">
        <f ca="1">IFERROR(IF(0=LEN(ReferenceData!$AJ$45),"",ReferenceData!$AJ$45),"")</f>
        <v>5188</v>
      </c>
      <c r="AK45">
        <f ca="1">IFERROR(IF(0=LEN(ReferenceData!$AK$45),"",ReferenceData!$AK$45),"")</f>
        <v>5047</v>
      </c>
      <c r="AL45">
        <f ca="1">IFERROR(IF(0=LEN(ReferenceData!$AL$45),"",ReferenceData!$AL$45),"")</f>
        <v>4119</v>
      </c>
      <c r="AM45">
        <f ca="1">IFERROR(IF(0=LEN(ReferenceData!$AM$45),"",ReferenceData!$AM$45),"")</f>
        <v>4948</v>
      </c>
      <c r="AN45">
        <f ca="1">IFERROR(IF(0=LEN(ReferenceData!$AN$45),"",ReferenceData!$AN$45),"")</f>
        <v>4010</v>
      </c>
      <c r="AO45">
        <f ca="1">IFERROR(IF(0=LEN(ReferenceData!$AO$45),"",ReferenceData!$AO$45),"")</f>
        <v>3943</v>
      </c>
      <c r="AP45">
        <f ca="1">IFERROR(IF(0=LEN(ReferenceData!$AP$45),"",ReferenceData!$AP$45),"")</f>
        <v>3356</v>
      </c>
      <c r="AQ45">
        <f ca="1">IFERROR(IF(0=LEN(ReferenceData!$AQ$45),"",ReferenceData!$AQ$45),"")</f>
        <v>4677</v>
      </c>
      <c r="AR45">
        <f ca="1">IFERROR(IF(0=LEN(ReferenceData!$AR$45),"",ReferenceData!$AR$45),"")</f>
        <v>5721</v>
      </c>
      <c r="AS45">
        <f ca="1">IFERROR(IF(0=LEN(ReferenceData!$AS$45),"",ReferenceData!$AS$45),"")</f>
        <v>6752</v>
      </c>
      <c r="AT45">
        <f ca="1">IFERROR(IF(0=LEN(ReferenceData!$AT$45),"",ReferenceData!$AT$45),"")</f>
        <v>6100</v>
      </c>
      <c r="AU45">
        <f ca="1">IFERROR(IF(0=LEN(ReferenceData!$AU$45),"",ReferenceData!$AU$45),"")</f>
        <v>10428</v>
      </c>
      <c r="AV45">
        <f ca="1">IFERROR(IF(0=LEN(ReferenceData!$AV$45),"",ReferenceData!$AV$45),"")</f>
        <v>10809</v>
      </c>
      <c r="AW45">
        <f ca="1">IFERROR(IF(0=LEN(ReferenceData!$AW$45),"",ReferenceData!$AW$45),"")</f>
        <v>11092</v>
      </c>
      <c r="AX45">
        <f ca="1">IFERROR(IF(0=LEN(ReferenceData!$AX$45),"",ReferenceData!$AX$45),"")</f>
        <v>11429</v>
      </c>
      <c r="AY45">
        <f ca="1">IFERROR(IF(0=LEN(ReferenceData!$AY$45),"",ReferenceData!$AY$45),"")</f>
        <v>12171</v>
      </c>
      <c r="AZ45">
        <f ca="1">IFERROR(IF(0=LEN(ReferenceData!$AZ$45),"",ReferenceData!$AZ$45),"")</f>
        <v>9820</v>
      </c>
      <c r="BA45">
        <f ca="1">IFERROR(IF(0=LEN(ReferenceData!$BA$45),"",ReferenceData!$BA$45),"")</f>
        <v>9905</v>
      </c>
      <c r="BB45">
        <f ca="1">IFERROR(IF(0=LEN(ReferenceData!$BB$45),"",ReferenceData!$BB$45),"")</f>
        <v>9146</v>
      </c>
      <c r="BC45">
        <f ca="1">IFERROR(IF(0=LEN(ReferenceData!$BC$45),"",ReferenceData!$BC$45),"")</f>
        <v>10230</v>
      </c>
      <c r="BD45">
        <f ca="1">IFERROR(IF(0=LEN(ReferenceData!$BD$45),"",ReferenceData!$BD$45),"")</f>
        <v>7538</v>
      </c>
      <c r="BE45">
        <f ca="1">IFERROR(IF(0=LEN(ReferenceData!$BE$45),"",ReferenceData!$BE$45),"")</f>
        <v>8173</v>
      </c>
      <c r="BF45">
        <f ca="1">IFERROR(IF(0=LEN(ReferenceData!$BF$45),"",ReferenceData!$BF$45),"")</f>
        <v>6540</v>
      </c>
      <c r="BG45" t="str">
        <f ca="1">IFERROR(IF(0=LEN(ReferenceData!$BG$45),"",ReferenceData!$BG$45),"")</f>
        <v/>
      </c>
      <c r="BH45" t="str">
        <f ca="1">IFERROR(IF(0=LEN(ReferenceData!$BH$45),"",ReferenceData!$BH$45),"")</f>
        <v/>
      </c>
      <c r="BI45" t="str">
        <f ca="1">IFERROR(IF(0=LEN(ReferenceData!$BI$45),"",ReferenceData!$BI$45),"")</f>
        <v/>
      </c>
      <c r="BJ45" t="str">
        <f ca="1">IFERROR(IF(0=LEN(ReferenceData!$BJ$45),"",ReferenceData!$BJ$45),"")</f>
        <v/>
      </c>
      <c r="BK45" t="str">
        <f ca="1">IFERROR(IF(0=LEN(ReferenceData!$BK$45),"",ReferenceData!$BK$45),"")</f>
        <v/>
      </c>
      <c r="BL45" t="str">
        <f ca="1">IFERROR(IF(0=LEN(ReferenceData!$BL$45),"",ReferenceData!$BL$45),"")</f>
        <v/>
      </c>
      <c r="BM45" t="str">
        <f ca="1">IFERROR(IF(0=LEN(ReferenceData!$BM$45),"",ReferenceData!$BM$45),"")</f>
        <v/>
      </c>
    </row>
    <row r="46" spans="1:65" x14ac:dyDescent="0.25">
      <c r="A46" t="str">
        <f>IFERROR(IF(0=LEN(ReferenceData!$A$46),"",ReferenceData!$A$46),"")</f>
        <v xml:space="preserve">            Czech Republic</v>
      </c>
      <c r="B46" t="str">
        <f>IFERROR(IF(0=LEN(ReferenceData!$B$46),"",ReferenceData!$B$46),"")</f>
        <v>WCARCZ Index</v>
      </c>
      <c r="C46" t="str">
        <f>IFERROR(IF(0=LEN(ReferenceData!$C$46),"",ReferenceData!$C$46),"")</f>
        <v>PX385</v>
      </c>
      <c r="D46" t="str">
        <f>IFERROR(IF(0=LEN(ReferenceData!$D$46),"",ReferenceData!$D$46),"")</f>
        <v>INTERVAL_SUM</v>
      </c>
      <c r="E46" t="str">
        <f>IFERROR(IF(0=LEN(ReferenceData!$E$46),"",ReferenceData!$E$46),"")</f>
        <v>Dynamic</v>
      </c>
      <c r="F46">
        <f ca="1">IFERROR(IF(0=LEN(ReferenceData!$F$46),"",ReferenceData!$F$46),"")</f>
        <v>19278</v>
      </c>
      <c r="G46">
        <f ca="1">IFERROR(IF(0=LEN(ReferenceData!$G$46),"",ReferenceData!$G$46),"")</f>
        <v>53653</v>
      </c>
      <c r="H46">
        <f ca="1">IFERROR(IF(0=LEN(ReferenceData!$H$46),"",ReferenceData!$H$46),"")</f>
        <v>64000</v>
      </c>
      <c r="I46">
        <f ca="1">IFERROR(IF(0=LEN(ReferenceData!$I$46),"",ReferenceData!$I$46),"")</f>
        <v>75911</v>
      </c>
      <c r="J46">
        <f ca="1">IFERROR(IF(0=LEN(ReferenceData!$J$46),"",ReferenceData!$J$46),"")</f>
        <v>67873</v>
      </c>
      <c r="K46">
        <f ca="1">IFERROR(IF(0=LEN(ReferenceData!$K$46),"",ReferenceData!$K$46),"")</f>
        <v>66084</v>
      </c>
      <c r="L46">
        <f ca="1">IFERROR(IF(0=LEN(ReferenceData!$L$46),"",ReferenceData!$L$46),"")</f>
        <v>61060</v>
      </c>
      <c r="M46">
        <f ca="1">IFERROR(IF(0=LEN(ReferenceData!$M$46),"",ReferenceData!$M$46),"")</f>
        <v>76392</v>
      </c>
      <c r="N46">
        <f ca="1">IFERROR(IF(0=LEN(ReferenceData!$N$46),"",ReferenceData!$N$46),"")</f>
        <v>68059</v>
      </c>
      <c r="O46">
        <f ca="1">IFERROR(IF(0=LEN(ReferenceData!$O$46),"",ReferenceData!$O$46),"")</f>
        <v>66979</v>
      </c>
      <c r="P46">
        <f ca="1">IFERROR(IF(0=LEN(ReferenceData!$P$46),"",ReferenceData!$P$46),"")</f>
        <v>59936</v>
      </c>
      <c r="Q46">
        <f ca="1">IFERROR(IF(0=LEN(ReferenceData!$Q$46),"",ReferenceData!$Q$46),"")</f>
        <v>73180</v>
      </c>
      <c r="R46">
        <f ca="1">IFERROR(IF(0=LEN(ReferenceData!$R$46),"",ReferenceData!$R$46),"")</f>
        <v>59598</v>
      </c>
      <c r="S46">
        <f ca="1">IFERROR(IF(0=LEN(ReferenceData!$S$46),"",ReferenceData!$S$46),"")</f>
        <v>59847</v>
      </c>
      <c r="T46">
        <f ca="1">IFERROR(IF(0=LEN(ReferenceData!$T$46),"",ReferenceData!$T$46),"")</f>
        <v>57749</v>
      </c>
      <c r="U46">
        <f ca="1">IFERROR(IF(0=LEN(ReferenceData!$U$46),"",ReferenceData!$U$46),"")</f>
        <v>59996</v>
      </c>
      <c r="V46">
        <f ca="1">IFERROR(IF(0=LEN(ReferenceData!$V$46),"",ReferenceData!$V$46),"")</f>
        <v>53265</v>
      </c>
      <c r="W46">
        <f ca="1">IFERROR(IF(0=LEN(ReferenceData!$W$46),"",ReferenceData!$W$46),"")</f>
        <v>50844</v>
      </c>
      <c r="X46">
        <f ca="1">IFERROR(IF(0=LEN(ReferenceData!$X$46),"",ReferenceData!$X$46),"")</f>
        <v>47412</v>
      </c>
      <c r="Y46">
        <f ca="1">IFERROR(IF(0=LEN(ReferenceData!$Y$46),"",ReferenceData!$Y$46),"")</f>
        <v>51065</v>
      </c>
      <c r="Z46">
        <f ca="1">IFERROR(IF(0=LEN(ReferenceData!$Z$46),"",ReferenceData!$Z$46),"")</f>
        <v>42993</v>
      </c>
      <c r="AA46">
        <f ca="1">IFERROR(IF(0=LEN(ReferenceData!$AA$46),"",ReferenceData!$AA$46),"")</f>
        <v>44582</v>
      </c>
      <c r="AB46">
        <f ca="1">IFERROR(IF(0=LEN(ReferenceData!$AB$46),"",ReferenceData!$AB$46),"")</f>
        <v>39336</v>
      </c>
      <c r="AC46">
        <f ca="1">IFERROR(IF(0=LEN(ReferenceData!$AC$46),"",ReferenceData!$AC$46),"")</f>
        <v>44365</v>
      </c>
      <c r="AD46">
        <f ca="1">IFERROR(IF(0=LEN(ReferenceData!$AD$46),"",ReferenceData!$AD$46),"")</f>
        <v>36453</v>
      </c>
      <c r="AE46">
        <f ca="1">IFERROR(IF(0=LEN(ReferenceData!$AE$46),"",ReferenceData!$AE$46),"")</f>
        <v>42950</v>
      </c>
      <c r="AF46">
        <f ca="1">IFERROR(IF(0=LEN(ReferenceData!$AF$46),"",ReferenceData!$AF$46),"")</f>
        <v>36826</v>
      </c>
      <c r="AG46">
        <f ca="1">IFERROR(IF(0=LEN(ReferenceData!$AG$46),"",ReferenceData!$AG$46),"")</f>
        <v>50704</v>
      </c>
      <c r="AH46">
        <f ca="1">IFERROR(IF(0=LEN(ReferenceData!$AH$46),"",ReferenceData!$AH$46),"")</f>
        <v>43529</v>
      </c>
      <c r="AI46">
        <f ca="1">IFERROR(IF(0=LEN(ReferenceData!$AI$46),"",ReferenceData!$AI$46),"")</f>
        <v>45797</v>
      </c>
      <c r="AJ46">
        <f ca="1">IFERROR(IF(0=LEN(ReferenceData!$AJ$46),"",ReferenceData!$AJ$46),"")</f>
        <v>39201</v>
      </c>
      <c r="AK46">
        <f ca="1">IFERROR(IF(0=LEN(ReferenceData!$AK$46),"",ReferenceData!$AK$46),"")</f>
        <v>46258</v>
      </c>
      <c r="AL46">
        <f ca="1">IFERROR(IF(0=LEN(ReferenceData!$AL$46),"",ReferenceData!$AL$46),"")</f>
        <v>42026</v>
      </c>
      <c r="AM46">
        <f ca="1">IFERROR(IF(0=LEN(ReferenceData!$AM$46),"",ReferenceData!$AM$46),"")</f>
        <v>43483</v>
      </c>
      <c r="AN46">
        <f ca="1">IFERROR(IF(0=LEN(ReferenceData!$AN$46),"",ReferenceData!$AN$46),"")</f>
        <v>36727</v>
      </c>
      <c r="AO46">
        <f ca="1">IFERROR(IF(0=LEN(ReferenceData!$AO$46),"",ReferenceData!$AO$46),"")</f>
        <v>49687</v>
      </c>
      <c r="AP46">
        <f ca="1">IFERROR(IF(0=LEN(ReferenceData!$AP$46),"",ReferenceData!$AP$46),"")</f>
        <v>39339</v>
      </c>
      <c r="AQ46">
        <f ca="1">IFERROR(IF(0=LEN(ReferenceData!$AQ$46),"",ReferenceData!$AQ$46),"")</f>
        <v>43911</v>
      </c>
      <c r="AR46">
        <f ca="1">IFERROR(IF(0=LEN(ReferenceData!$AR$46),"",ReferenceData!$AR$46),"")</f>
        <v>38505</v>
      </c>
      <c r="AS46">
        <f ca="1">IFERROR(IF(0=LEN(ReferenceData!$AS$46),"",ReferenceData!$AS$46),"")</f>
        <v>48153</v>
      </c>
      <c r="AT46">
        <f ca="1">IFERROR(IF(0=LEN(ReferenceData!$AT$46),"",ReferenceData!$AT$46),"")</f>
        <v>31075</v>
      </c>
      <c r="AU46">
        <f ca="1">IFERROR(IF(0=LEN(ReferenceData!$AU$46),"",ReferenceData!$AU$46),"")</f>
        <v>43496</v>
      </c>
      <c r="AV46">
        <f ca="1">IFERROR(IF(0=LEN(ReferenceData!$AV$46),"",ReferenceData!$AV$46),"")</f>
        <v>44600</v>
      </c>
      <c r="AW46">
        <f ca="1">IFERROR(IF(0=LEN(ReferenceData!$AW$46),"",ReferenceData!$AW$46),"")</f>
        <v>51324</v>
      </c>
      <c r="AX46">
        <f ca="1">IFERROR(IF(0=LEN(ReferenceData!$AX$46),"",ReferenceData!$AX$46),"")</f>
        <v>43134</v>
      </c>
      <c r="AY46">
        <f ca="1">IFERROR(IF(0=LEN(ReferenceData!$AY$46),"",ReferenceData!$AY$46),"")</f>
        <v>47973</v>
      </c>
      <c r="AZ46">
        <f ca="1">IFERROR(IF(0=LEN(ReferenceData!$AZ$46),"",ReferenceData!$AZ$46),"")</f>
        <v>40145</v>
      </c>
      <c r="BA46">
        <f ca="1">IFERROR(IF(0=LEN(ReferenceData!$BA$46),"",ReferenceData!$BA$46),"")</f>
        <v>47705</v>
      </c>
      <c r="BB46">
        <f ca="1">IFERROR(IF(0=LEN(ReferenceData!$BB$46),"",ReferenceData!$BB$46),"")</f>
        <v>38633</v>
      </c>
      <c r="BC46">
        <f ca="1">IFERROR(IF(0=LEN(ReferenceData!$BC$46),"",ReferenceData!$BC$46),"")</f>
        <v>41437</v>
      </c>
      <c r="BD46">
        <f ca="1">IFERROR(IF(0=LEN(ReferenceData!$BD$46),"",ReferenceData!$BD$46),"")</f>
        <v>36215</v>
      </c>
      <c r="BE46">
        <f ca="1">IFERROR(IF(0=LEN(ReferenceData!$BE$46),"",ReferenceData!$BE$46),"")</f>
        <v>44525</v>
      </c>
      <c r="BF46">
        <f ca="1">IFERROR(IF(0=LEN(ReferenceData!$BF$46),"",ReferenceData!$BF$46),"")</f>
        <v>34509</v>
      </c>
      <c r="BG46">
        <f ca="1">IFERROR(IF(0=LEN(ReferenceData!$BG$46),"",ReferenceData!$BG$46),"")</f>
        <v>39107</v>
      </c>
      <c r="BH46">
        <f ca="1">IFERROR(IF(0=LEN(ReferenceData!$BH$46),"",ReferenceData!$BH$46),"")</f>
        <v>34980</v>
      </c>
      <c r="BI46">
        <f ca="1">IFERROR(IF(0=LEN(ReferenceData!$BI$46),"",ReferenceData!$BI$46),"")</f>
        <v>46036</v>
      </c>
      <c r="BJ46">
        <f ca="1">IFERROR(IF(0=LEN(ReferenceData!$BJ$46),"",ReferenceData!$BJ$46),"")</f>
        <v>31576</v>
      </c>
      <c r="BK46">
        <f ca="1">IFERROR(IF(0=LEN(ReferenceData!$BK$46),"",ReferenceData!$BK$46),"")</f>
        <v>37455</v>
      </c>
      <c r="BL46">
        <f ca="1">IFERROR(IF(0=LEN(ReferenceData!$BL$46),"",ReferenceData!$BL$46),"")</f>
        <v>33843</v>
      </c>
      <c r="BM46">
        <f ca="1">IFERROR(IF(0=LEN(ReferenceData!$BM$46),"",ReferenceData!$BM$46),"")</f>
        <v>40121</v>
      </c>
    </row>
    <row r="47" spans="1:65" x14ac:dyDescent="0.25">
      <c r="A47" t="str">
        <f>IFERROR(IF(0=LEN(ReferenceData!$A$47),"",ReferenceData!$A$47),"")</f>
        <v xml:space="preserve">            Estonia</v>
      </c>
      <c r="B47" t="str">
        <f>IFERROR(IF(0=LEN(ReferenceData!$B$47),"",ReferenceData!$B$47),"")</f>
        <v>WCAREE Index</v>
      </c>
      <c r="C47" t="str">
        <f>IFERROR(IF(0=LEN(ReferenceData!$C$47),"",ReferenceData!$C$47),"")</f>
        <v>PX385</v>
      </c>
      <c r="D47" t="str">
        <f>IFERROR(IF(0=LEN(ReferenceData!$D$47),"",ReferenceData!$D$47),"")</f>
        <v>INTERVAL_SUM</v>
      </c>
      <c r="E47" t="str">
        <f>IFERROR(IF(0=LEN(ReferenceData!$E$47),"",ReferenceData!$E$47),"")</f>
        <v>Dynamic</v>
      </c>
      <c r="F47">
        <f ca="1">IFERROR(IF(0=LEN(ReferenceData!$F$47),"",ReferenceData!$F$47),"")</f>
        <v>2186</v>
      </c>
      <c r="G47">
        <f ca="1">IFERROR(IF(0=LEN(ReferenceData!$G$47),"",ReferenceData!$G$47),"")</f>
        <v>4868</v>
      </c>
      <c r="H47">
        <f ca="1">IFERROR(IF(0=LEN(ReferenceData!$H$47),"",ReferenceData!$H$47),"")</f>
        <v>6329</v>
      </c>
      <c r="I47">
        <f ca="1">IFERROR(IF(0=LEN(ReferenceData!$I$47),"",ReferenceData!$I$47),"")</f>
        <v>7558</v>
      </c>
      <c r="J47">
        <f ca="1">IFERROR(IF(0=LEN(ReferenceData!$J$47),"",ReferenceData!$J$47),"")</f>
        <v>6632</v>
      </c>
      <c r="K47">
        <f ca="1">IFERROR(IF(0=LEN(ReferenceData!$K$47),"",ReferenceData!$K$47),"")</f>
        <v>5527</v>
      </c>
      <c r="L47">
        <f ca="1">IFERROR(IF(0=LEN(ReferenceData!$L$47),"",ReferenceData!$L$47),"")</f>
        <v>5845</v>
      </c>
      <c r="M47">
        <f ca="1">IFERROR(IF(0=LEN(ReferenceData!$M$47),"",ReferenceData!$M$47),"")</f>
        <v>7379</v>
      </c>
      <c r="N47">
        <f ca="1">IFERROR(IF(0=LEN(ReferenceData!$N$47),"",ReferenceData!$N$47),"")</f>
        <v>5743</v>
      </c>
      <c r="O47">
        <f ca="1">IFERROR(IF(0=LEN(ReferenceData!$O$47),"",ReferenceData!$O$47),"")</f>
        <v>5015</v>
      </c>
      <c r="P47">
        <f ca="1">IFERROR(IF(0=LEN(ReferenceData!$P$47),"",ReferenceData!$P$47),"")</f>
        <v>5660</v>
      </c>
      <c r="Q47">
        <f ca="1">IFERROR(IF(0=LEN(ReferenceData!$Q$47),"",ReferenceData!$Q$47),"")</f>
        <v>6326</v>
      </c>
      <c r="R47">
        <f ca="1">IFERROR(IF(0=LEN(ReferenceData!$R$47),"",ReferenceData!$R$47),"")</f>
        <v>5428</v>
      </c>
      <c r="S47">
        <f ca="1">IFERROR(IF(0=LEN(ReferenceData!$S$47),"",ReferenceData!$S$47),"")</f>
        <v>4687</v>
      </c>
      <c r="T47">
        <f ca="1">IFERROR(IF(0=LEN(ReferenceData!$T$47),"",ReferenceData!$T$47),"")</f>
        <v>5202</v>
      </c>
      <c r="U47">
        <f ca="1">IFERROR(IF(0=LEN(ReferenceData!$U$47),"",ReferenceData!$U$47),"")</f>
        <v>5667</v>
      </c>
      <c r="V47">
        <f ca="1">IFERROR(IF(0=LEN(ReferenceData!$V$47),"",ReferenceData!$V$47),"")</f>
        <v>4793</v>
      </c>
      <c r="W47">
        <f ca="1">IFERROR(IF(0=LEN(ReferenceData!$W$47),"",ReferenceData!$W$47),"")</f>
        <v>5005</v>
      </c>
      <c r="X47">
        <f ca="1">IFERROR(IF(0=LEN(ReferenceData!$X$47),"",ReferenceData!$X$47),"")</f>
        <v>5312</v>
      </c>
      <c r="Y47">
        <f ca="1">IFERROR(IF(0=LEN(ReferenceData!$Y$47),"",ReferenceData!$Y$47),"")</f>
        <v>5899</v>
      </c>
      <c r="Z47">
        <f ca="1">IFERROR(IF(0=LEN(ReferenceData!$Z$47),"",ReferenceData!$Z$47),"")</f>
        <v>4753</v>
      </c>
      <c r="AA47">
        <f ca="1">IFERROR(IF(0=LEN(ReferenceData!$AA$47),"",ReferenceData!$AA$47),"")</f>
        <v>4332</v>
      </c>
      <c r="AB47">
        <f ca="1">IFERROR(IF(0=LEN(ReferenceData!$AB$47),"",ReferenceData!$AB$47),"")</f>
        <v>4886</v>
      </c>
      <c r="AC47">
        <f ca="1">IFERROR(IF(0=LEN(ReferenceData!$AC$47),"",ReferenceData!$AC$47),"")</f>
        <v>5604</v>
      </c>
      <c r="AD47">
        <f ca="1">IFERROR(IF(0=LEN(ReferenceData!$AD$47),"",ReferenceData!$AD$47),"")</f>
        <v>4678</v>
      </c>
      <c r="AE47">
        <f ca="1">IFERROR(IF(0=LEN(ReferenceData!$AE$47),"",ReferenceData!$AE$47),"")</f>
        <v>3951</v>
      </c>
      <c r="AF47">
        <f ca="1">IFERROR(IF(0=LEN(ReferenceData!$AF$47),"",ReferenceData!$AF$47),"")</f>
        <v>4393</v>
      </c>
      <c r="AG47">
        <f ca="1">IFERROR(IF(0=LEN(ReferenceData!$AG$47),"",ReferenceData!$AG$47),"")</f>
        <v>4896</v>
      </c>
      <c r="AH47">
        <f ca="1">IFERROR(IF(0=LEN(ReferenceData!$AH$47),"",ReferenceData!$AH$47),"")</f>
        <v>4026</v>
      </c>
      <c r="AI47">
        <f ca="1">IFERROR(IF(0=LEN(ReferenceData!$AI$47),"",ReferenceData!$AI$47),"")</f>
        <v>3945</v>
      </c>
      <c r="AJ47">
        <f ca="1">IFERROR(IF(0=LEN(ReferenceData!$AJ$47),"",ReferenceData!$AJ$47),"")</f>
        <v>3902</v>
      </c>
      <c r="AK47">
        <f ca="1">IFERROR(IF(0=LEN(ReferenceData!$AK$47),"",ReferenceData!$AK$47),"")</f>
        <v>4256</v>
      </c>
      <c r="AL47">
        <f ca="1">IFERROR(IF(0=LEN(ReferenceData!$AL$47),"",ReferenceData!$AL$47),"")</f>
        <v>3253</v>
      </c>
      <c r="AM47">
        <f ca="1">IFERROR(IF(0=LEN(ReferenceData!$AM$47),"",ReferenceData!$AM$47),"")</f>
        <v>2576</v>
      </c>
      <c r="AN47">
        <f ca="1">IFERROR(IF(0=LEN(ReferenceData!$AN$47),"",ReferenceData!$AN$47),"")</f>
        <v>2372</v>
      </c>
      <c r="AO47">
        <f ca="1">IFERROR(IF(0=LEN(ReferenceData!$AO$47),"",ReferenceData!$AO$47),"")</f>
        <v>2296</v>
      </c>
      <c r="AP47">
        <f ca="1">IFERROR(IF(0=LEN(ReferenceData!$AP$47),"",ReferenceData!$AP$47),"")</f>
        <v>1597</v>
      </c>
      <c r="AQ47">
        <f ca="1">IFERROR(IF(0=LEN(ReferenceData!$AQ$47),"",ReferenceData!$AQ$47),"")</f>
        <v>1309</v>
      </c>
      <c r="AR47">
        <f ca="1">IFERROR(IF(0=LEN(ReferenceData!$AR$47),"",ReferenceData!$AR$47),"")</f>
        <v>1946</v>
      </c>
      <c r="AS47">
        <f ca="1">IFERROR(IF(0=LEN(ReferenceData!$AS$47),"",ReferenceData!$AS$47),"")</f>
        <v>2464</v>
      </c>
      <c r="AT47">
        <f ca="1">IFERROR(IF(0=LEN(ReferenceData!$AT$47),"",ReferenceData!$AT$47),"")</f>
        <v>2572</v>
      </c>
      <c r="AU47">
        <f ca="1">IFERROR(IF(0=LEN(ReferenceData!$AU$47),"",ReferenceData!$AU$47),"")</f>
        <v>3771</v>
      </c>
      <c r="AV47">
        <f ca="1">IFERROR(IF(0=LEN(ReferenceData!$AV$47),"",ReferenceData!$AV$47),"")</f>
        <v>5612</v>
      </c>
      <c r="AW47">
        <f ca="1">IFERROR(IF(0=LEN(ReferenceData!$AW$47),"",ReferenceData!$AW$47),"")</f>
        <v>7761</v>
      </c>
      <c r="AX47">
        <f ca="1">IFERROR(IF(0=LEN(ReferenceData!$AX$47),"",ReferenceData!$AX$47),"")</f>
        <v>7435</v>
      </c>
      <c r="AY47">
        <f ca="1">IFERROR(IF(0=LEN(ReferenceData!$AY$47),"",ReferenceData!$AY$47),"")</f>
        <v>6695</v>
      </c>
      <c r="AZ47">
        <f ca="1">IFERROR(IF(0=LEN(ReferenceData!$AZ$47),"",ReferenceData!$AZ$47),"")</f>
        <v>7426</v>
      </c>
      <c r="BA47">
        <f ca="1">IFERROR(IF(0=LEN(ReferenceData!$BA$47),"",ReferenceData!$BA$47),"")</f>
        <v>9141</v>
      </c>
      <c r="BB47">
        <f ca="1">IFERROR(IF(0=LEN(ReferenceData!$BB$47),"",ReferenceData!$BB$47),"")</f>
        <v>7650</v>
      </c>
      <c r="BC47">
        <f ca="1">IFERROR(IF(0=LEN(ReferenceData!$BC$47),"",ReferenceData!$BC$47),"")</f>
        <v>6253</v>
      </c>
      <c r="BD47">
        <f ca="1">IFERROR(IF(0=LEN(ReferenceData!$BD$47),"",ReferenceData!$BD$47),"")</f>
        <v>6512</v>
      </c>
      <c r="BE47">
        <f ca="1">IFERROR(IF(0=LEN(ReferenceData!$BE$47),"",ReferenceData!$BE$47),"")</f>
        <v>7368</v>
      </c>
      <c r="BF47">
        <f ca="1">IFERROR(IF(0=LEN(ReferenceData!$BF$47),"",ReferenceData!$BF$47),"")</f>
        <v>5230</v>
      </c>
      <c r="BG47">
        <f ca="1">IFERROR(IF(0=LEN(ReferenceData!$BG$47),"",ReferenceData!$BG$47),"")</f>
        <v>4609</v>
      </c>
      <c r="BH47">
        <f ca="1">IFERROR(IF(0=LEN(ReferenceData!$BH$47),"",ReferenceData!$BH$47),"")</f>
        <v>4826</v>
      </c>
      <c r="BI47">
        <f ca="1">IFERROR(IF(0=LEN(ReferenceData!$BI$47),"",ReferenceData!$BI$47),"")</f>
        <v>5842</v>
      </c>
      <c r="BJ47">
        <f ca="1">IFERROR(IF(0=LEN(ReferenceData!$BJ$47),"",ReferenceData!$BJ$47),"")</f>
        <v>4363</v>
      </c>
      <c r="BK47">
        <f ca="1">IFERROR(IF(0=LEN(ReferenceData!$BK$47),"",ReferenceData!$BK$47),"")</f>
        <v>3785</v>
      </c>
      <c r="BL47">
        <f ca="1">IFERROR(IF(0=LEN(ReferenceData!$BL$47),"",ReferenceData!$BL$47),"")</f>
        <v>3675</v>
      </c>
      <c r="BM47">
        <f ca="1">IFERROR(IF(0=LEN(ReferenceData!$BM$47),"",ReferenceData!$BM$47),"")</f>
        <v>5058</v>
      </c>
    </row>
    <row r="48" spans="1:65" x14ac:dyDescent="0.25">
      <c r="A48" t="str">
        <f>IFERROR(IF(0=LEN(ReferenceData!$A$48),"",ReferenceData!$A$48),"")</f>
        <v xml:space="preserve">            Hungary</v>
      </c>
      <c r="B48" t="str">
        <f>IFERROR(IF(0=LEN(ReferenceData!$B$48),"",ReferenceData!$B$48),"")</f>
        <v>WCARHU Index</v>
      </c>
      <c r="C48" t="str">
        <f>IFERROR(IF(0=LEN(ReferenceData!$C$48),"",ReferenceData!$C$48),"")</f>
        <v>PX385</v>
      </c>
      <c r="D48" t="str">
        <f>IFERROR(IF(0=LEN(ReferenceData!$D$48),"",ReferenceData!$D$48),"")</f>
        <v>INTERVAL_SUM</v>
      </c>
      <c r="E48" t="str">
        <f>IFERROR(IF(0=LEN(ReferenceData!$E$48),"",ReferenceData!$E$48),"")</f>
        <v>Dynamic</v>
      </c>
      <c r="F48">
        <f ca="1">IFERROR(IF(0=LEN(ReferenceData!$F$48),"",ReferenceData!$F$48),"")</f>
        <v>9714</v>
      </c>
      <c r="G48">
        <f ca="1">IFERROR(IF(0=LEN(ReferenceData!$G$48),"",ReferenceData!$G$48),"")</f>
        <v>31981</v>
      </c>
      <c r="H48">
        <f ca="1">IFERROR(IF(0=LEN(ReferenceData!$H$48),"",ReferenceData!$H$48),"")</f>
        <v>33864</v>
      </c>
      <c r="I48">
        <f ca="1">IFERROR(IF(0=LEN(ReferenceData!$I$48),"",ReferenceData!$I$48),"")</f>
        <v>39119</v>
      </c>
      <c r="J48">
        <f ca="1">IFERROR(IF(0=LEN(ReferenceData!$J$48),"",ReferenceData!$J$48),"")</f>
        <v>31609</v>
      </c>
      <c r="K48">
        <f ca="1">IFERROR(IF(0=LEN(ReferenceData!$K$48),"",ReferenceData!$K$48),"")</f>
        <v>33564</v>
      </c>
      <c r="L48">
        <f ca="1">IFERROR(IF(0=LEN(ReferenceData!$L$48),"",ReferenceData!$L$48),"")</f>
        <v>27851</v>
      </c>
      <c r="M48">
        <f ca="1">IFERROR(IF(0=LEN(ReferenceData!$M$48),"",ReferenceData!$M$48),"")</f>
        <v>30503</v>
      </c>
      <c r="N48">
        <f ca="1">IFERROR(IF(0=LEN(ReferenceData!$N$48),"",ReferenceData!$N$48),"")</f>
        <v>24347</v>
      </c>
      <c r="O48">
        <f ca="1">IFERROR(IF(0=LEN(ReferenceData!$O$48),"",ReferenceData!$O$48),"")</f>
        <v>27116</v>
      </c>
      <c r="P48">
        <f ca="1">IFERROR(IF(0=LEN(ReferenceData!$P$48),"",ReferenceData!$P$48),"")</f>
        <v>23467</v>
      </c>
      <c r="Q48">
        <f ca="1">IFERROR(IF(0=LEN(ReferenceData!$Q$48),"",ReferenceData!$Q$48),"")</f>
        <v>26270</v>
      </c>
      <c r="R48">
        <f ca="1">IFERROR(IF(0=LEN(ReferenceData!$R$48),"",ReferenceData!$R$48),"")</f>
        <v>19699</v>
      </c>
      <c r="S48">
        <f ca="1">IFERROR(IF(0=LEN(ReferenceData!$S$48),"",ReferenceData!$S$48),"")</f>
        <v>21876</v>
      </c>
      <c r="T48">
        <f ca="1">IFERROR(IF(0=LEN(ReferenceData!$T$48),"",ReferenceData!$T$48),"")</f>
        <v>18279</v>
      </c>
      <c r="U48">
        <f ca="1">IFERROR(IF(0=LEN(ReferenceData!$U$48),"",ReferenceData!$U$48),"")</f>
        <v>19952</v>
      </c>
      <c r="V48">
        <f ca="1">IFERROR(IF(0=LEN(ReferenceData!$V$48),"",ReferenceData!$V$48),"")</f>
        <v>17051</v>
      </c>
      <c r="W48">
        <f ca="1">IFERROR(IF(0=LEN(ReferenceData!$W$48),"",ReferenceData!$W$48),"")</f>
        <v>18095</v>
      </c>
      <c r="X48">
        <f ca="1">IFERROR(IF(0=LEN(ReferenceData!$X$48),"",ReferenceData!$X$48),"")</f>
        <v>16378</v>
      </c>
      <c r="Y48">
        <f ca="1">IFERROR(IF(0=LEN(ReferenceData!$Y$48),"",ReferenceData!$Y$48),"")</f>
        <v>17510</v>
      </c>
      <c r="Z48">
        <f ca="1">IFERROR(IF(0=LEN(ReferenceData!$Z$48),"",ReferenceData!$Z$48),"")</f>
        <v>15493</v>
      </c>
      <c r="AA48">
        <f ca="1">IFERROR(IF(0=LEN(ReferenceData!$AA$48),"",ReferenceData!$AA$48),"")</f>
        <v>15093</v>
      </c>
      <c r="AB48">
        <f ca="1">IFERROR(IF(0=LEN(ReferenceData!$AB$48),"",ReferenceData!$AB$48),"")</f>
        <v>13864</v>
      </c>
      <c r="AC48">
        <f ca="1">IFERROR(IF(0=LEN(ReferenceData!$AC$48),"",ReferenceData!$AC$48),"")</f>
        <v>14608</v>
      </c>
      <c r="AD48">
        <f ca="1">IFERROR(IF(0=LEN(ReferenceData!$AD$48),"",ReferenceData!$AD$48),"")</f>
        <v>12553</v>
      </c>
      <c r="AE48">
        <f ca="1">IFERROR(IF(0=LEN(ReferenceData!$AE$48),"",ReferenceData!$AE$48),"")</f>
        <v>13738</v>
      </c>
      <c r="AF48">
        <f ca="1">IFERROR(IF(0=LEN(ReferenceData!$AF$48),"",ReferenceData!$AF$48),"")</f>
        <v>11536</v>
      </c>
      <c r="AG48">
        <f ca="1">IFERROR(IF(0=LEN(ReferenceData!$AG$48),"",ReferenceData!$AG$48),"")</f>
        <v>13824</v>
      </c>
      <c r="AH48">
        <f ca="1">IFERROR(IF(0=LEN(ReferenceData!$AH$48),"",ReferenceData!$AH$48),"")</f>
        <v>13961</v>
      </c>
      <c r="AI48">
        <f ca="1">IFERROR(IF(0=LEN(ReferenceData!$AI$48),"",ReferenceData!$AI$48),"")</f>
        <v>11249</v>
      </c>
      <c r="AJ48">
        <f ca="1">IFERROR(IF(0=LEN(ReferenceData!$AJ$48),"",ReferenceData!$AJ$48),"")</f>
        <v>10594</v>
      </c>
      <c r="AK48">
        <f ca="1">IFERROR(IF(0=LEN(ReferenceData!$AK$48),"",ReferenceData!$AK$48),"")</f>
        <v>11698</v>
      </c>
      <c r="AL48">
        <f ca="1">IFERROR(IF(0=LEN(ReferenceData!$AL$48),"",ReferenceData!$AL$48),"")</f>
        <v>11408</v>
      </c>
      <c r="AM48">
        <f ca="1">IFERROR(IF(0=LEN(ReferenceData!$AM$48),"",ReferenceData!$AM$48),"")</f>
        <v>10957.75</v>
      </c>
      <c r="AN48">
        <f ca="1">IFERROR(IF(0=LEN(ReferenceData!$AN$48),"",ReferenceData!$AN$48),"")</f>
        <v>10912</v>
      </c>
      <c r="AO48">
        <f ca="1">IFERROR(IF(0=LEN(ReferenceData!$AO$48),"",ReferenceData!$AO$48),"")</f>
        <v>11279.25</v>
      </c>
      <c r="AP48">
        <f ca="1">IFERROR(IF(0=LEN(ReferenceData!$AP$48),"",ReferenceData!$AP$48),"")</f>
        <v>10180.5</v>
      </c>
      <c r="AQ48">
        <f ca="1">IFERROR(IF(0=LEN(ReferenceData!$AQ$48),"",ReferenceData!$AQ$48),"")</f>
        <v>11141</v>
      </c>
      <c r="AR48">
        <f ca="1">IFERROR(IF(0=LEN(ReferenceData!$AR$48),"",ReferenceData!$AR$48),"")</f>
        <v>9270</v>
      </c>
      <c r="AS48">
        <f ca="1">IFERROR(IF(0=LEN(ReferenceData!$AS$48),"",ReferenceData!$AS$48),"")</f>
        <v>17128</v>
      </c>
      <c r="AT48">
        <f ca="1">IFERROR(IF(0=LEN(ReferenceData!$AT$48),"",ReferenceData!$AT$48),"")</f>
        <v>22650</v>
      </c>
      <c r="AU48">
        <f ca="1">IFERROR(IF(0=LEN(ReferenceData!$AU$48),"",ReferenceData!$AU$48),"")</f>
        <v>32543</v>
      </c>
      <c r="AV48">
        <f ca="1">IFERROR(IF(0=LEN(ReferenceData!$AV$48),"",ReferenceData!$AV$48),"")</f>
        <v>38481</v>
      </c>
      <c r="AW48">
        <f ca="1">IFERROR(IF(0=LEN(ReferenceData!$AW$48),"",ReferenceData!$AW$48),"")</f>
        <v>42463</v>
      </c>
      <c r="AX48">
        <f ca="1">IFERROR(IF(0=LEN(ReferenceData!$AX$48),"",ReferenceData!$AX$48),"")</f>
        <v>39791</v>
      </c>
      <c r="AY48">
        <f ca="1">IFERROR(IF(0=LEN(ReferenceData!$AY$48),"",ReferenceData!$AY$48),"")</f>
        <v>42413</v>
      </c>
      <c r="AZ48">
        <f ca="1">IFERROR(IF(0=LEN(ReferenceData!$AZ$48),"",ReferenceData!$AZ$48),"")</f>
        <v>44406</v>
      </c>
      <c r="BA48">
        <f ca="1">IFERROR(IF(0=LEN(ReferenceData!$BA$48),"",ReferenceData!$BA$48),"")</f>
        <v>43735</v>
      </c>
      <c r="BB48">
        <f ca="1">IFERROR(IF(0=LEN(ReferenceData!$BB$48),"",ReferenceData!$BB$48),"")</f>
        <v>41107</v>
      </c>
      <c r="BC48">
        <f ca="1">IFERROR(IF(0=LEN(ReferenceData!$BC$48),"",ReferenceData!$BC$48),"")</f>
        <v>46388</v>
      </c>
      <c r="BD48">
        <f ca="1">IFERROR(IF(0=LEN(ReferenceData!$BD$48),"",ReferenceData!$BD$48),"")</f>
        <v>43770</v>
      </c>
      <c r="BE48">
        <f ca="1">IFERROR(IF(0=LEN(ReferenceData!$BE$48),"",ReferenceData!$BE$48),"")</f>
        <v>52578</v>
      </c>
      <c r="BF48">
        <f ca="1">IFERROR(IF(0=LEN(ReferenceData!$BF$48),"",ReferenceData!$BF$48),"")</f>
        <v>44940</v>
      </c>
      <c r="BG48">
        <f ca="1">IFERROR(IF(0=LEN(ReferenceData!$BG$48),"",ReferenceData!$BG$48),"")</f>
        <v>54307</v>
      </c>
      <c r="BH48">
        <f ca="1">IFERROR(IF(0=LEN(ReferenceData!$BH$48),"",ReferenceData!$BH$48),"")</f>
        <v>50009</v>
      </c>
      <c r="BI48">
        <f ca="1">IFERROR(IF(0=LEN(ReferenceData!$BI$48),"",ReferenceData!$BI$48),"")</f>
        <v>52466</v>
      </c>
      <c r="BJ48">
        <f ca="1">IFERROR(IF(0=LEN(ReferenceData!$BJ$48),"",ReferenceData!$BJ$48),"")</f>
        <v>42200</v>
      </c>
      <c r="BK48">
        <f ca="1">IFERROR(IF(0=LEN(ReferenceData!$BK$48),"",ReferenceData!$BK$48),"")</f>
        <v>53791</v>
      </c>
      <c r="BL48">
        <f ca="1">IFERROR(IF(0=LEN(ReferenceData!$BL$48),"",ReferenceData!$BL$48),"")</f>
        <v>48865</v>
      </c>
      <c r="BM48">
        <f ca="1">IFERROR(IF(0=LEN(ReferenceData!$BM$48),"",ReferenceData!$BM$48),"")</f>
        <v>58683</v>
      </c>
    </row>
    <row r="49" spans="1:65" x14ac:dyDescent="0.25">
      <c r="A49" t="str">
        <f>IFERROR(IF(0=LEN(ReferenceData!$A$49),"",ReferenceData!$A$49),"")</f>
        <v xml:space="preserve">            Latvia</v>
      </c>
      <c r="B49" t="str">
        <f>IFERROR(IF(0=LEN(ReferenceData!$B$49),"",ReferenceData!$B$49),"")</f>
        <v>WCARLV Index</v>
      </c>
      <c r="C49" t="str">
        <f>IFERROR(IF(0=LEN(ReferenceData!$C$49),"",ReferenceData!$C$49),"")</f>
        <v>PX385</v>
      </c>
      <c r="D49" t="str">
        <f>IFERROR(IF(0=LEN(ReferenceData!$D$49),"",ReferenceData!$D$49),"")</f>
        <v>INTERVAL_SUM</v>
      </c>
      <c r="E49" t="str">
        <f>IFERROR(IF(0=LEN(ReferenceData!$E$49),"",ReferenceData!$E$49),"")</f>
        <v>Dynamic</v>
      </c>
      <c r="F49">
        <f ca="1">IFERROR(IF(0=LEN(ReferenceData!$F$49),"",ReferenceData!$F$49),"")</f>
        <v>1540</v>
      </c>
      <c r="G49">
        <f ca="1">IFERROR(IF(0=LEN(ReferenceData!$G$49),"",ReferenceData!$G$49),"")</f>
        <v>3721</v>
      </c>
      <c r="H49">
        <f ca="1">IFERROR(IF(0=LEN(ReferenceData!$H$49),"",ReferenceData!$H$49),"")</f>
        <v>4088</v>
      </c>
      <c r="I49">
        <f ca="1">IFERROR(IF(0=LEN(ReferenceData!$I$49),"",ReferenceData!$I$49),"")</f>
        <v>4885</v>
      </c>
      <c r="J49">
        <f ca="1">IFERROR(IF(0=LEN(ReferenceData!$J$49),"",ReferenceData!$J$49),"")</f>
        <v>4185</v>
      </c>
      <c r="K49">
        <f ca="1">IFERROR(IF(0=LEN(ReferenceData!$K$49),"",ReferenceData!$K$49),"")</f>
        <v>3990</v>
      </c>
      <c r="L49">
        <f ca="1">IFERROR(IF(0=LEN(ReferenceData!$L$49),"",ReferenceData!$L$49),"")</f>
        <v>4088</v>
      </c>
      <c r="M49">
        <f ca="1">IFERROR(IF(0=LEN(ReferenceData!$M$49),"",ReferenceData!$M$49),"")</f>
        <v>4550</v>
      </c>
      <c r="N49">
        <f ca="1">IFERROR(IF(0=LEN(ReferenceData!$N$49),"",ReferenceData!$N$49),"")</f>
        <v>4064</v>
      </c>
      <c r="O49">
        <f ca="1">IFERROR(IF(0=LEN(ReferenceData!$O$49),"",ReferenceData!$O$49),"")</f>
        <v>3707</v>
      </c>
      <c r="P49">
        <f ca="1">IFERROR(IF(0=LEN(ReferenceData!$P$49),"",ReferenceData!$P$49),"")</f>
        <v>3955</v>
      </c>
      <c r="Q49">
        <f ca="1">IFERROR(IF(0=LEN(ReferenceData!$Q$49),"",ReferenceData!$Q$49),"")</f>
        <v>4813</v>
      </c>
      <c r="R49">
        <f ca="1">IFERROR(IF(0=LEN(ReferenceData!$R$49),"",ReferenceData!$R$49),"")</f>
        <v>3884</v>
      </c>
      <c r="S49">
        <f ca="1">IFERROR(IF(0=LEN(ReferenceData!$S$49),"",ReferenceData!$S$49),"")</f>
        <v>3479</v>
      </c>
      <c r="T49">
        <f ca="1">IFERROR(IF(0=LEN(ReferenceData!$T$49),"",ReferenceData!$T$49),"")</f>
        <v>3421</v>
      </c>
      <c r="U49">
        <f ca="1">IFERROR(IF(0=LEN(ReferenceData!$U$49),"",ReferenceData!$U$49),"")</f>
        <v>3655</v>
      </c>
      <c r="V49">
        <f ca="1">IFERROR(IF(0=LEN(ReferenceData!$V$49),"",ReferenceData!$V$49),"")</f>
        <v>3210</v>
      </c>
      <c r="W49">
        <f ca="1">IFERROR(IF(0=LEN(ReferenceData!$W$49),"",ReferenceData!$W$49),"")</f>
        <v>3213</v>
      </c>
      <c r="X49">
        <f ca="1">IFERROR(IF(0=LEN(ReferenceData!$X$49),"",ReferenceData!$X$49),"")</f>
        <v>3079</v>
      </c>
      <c r="Y49">
        <f ca="1">IFERROR(IF(0=LEN(ReferenceData!$Y$49),"",ReferenceData!$Y$49),"")</f>
        <v>3310</v>
      </c>
      <c r="Z49">
        <f ca="1">IFERROR(IF(0=LEN(ReferenceData!$Z$49),"",ReferenceData!$Z$49),"")</f>
        <v>2850</v>
      </c>
      <c r="AA49">
        <f ca="1">IFERROR(IF(0=LEN(ReferenceData!$AA$49),"",ReferenceData!$AA$49),"")</f>
        <v>2874</v>
      </c>
      <c r="AB49">
        <f ca="1">IFERROR(IF(0=LEN(ReferenceData!$AB$49),"",ReferenceData!$AB$49),"")</f>
        <v>2626</v>
      </c>
      <c r="AC49">
        <f ca="1">IFERROR(IF(0=LEN(ReferenceData!$AC$49),"",ReferenceData!$AC$49),"")</f>
        <v>2783</v>
      </c>
      <c r="AD49">
        <f ca="1">IFERROR(IF(0=LEN(ReferenceData!$AD$49),"",ReferenceData!$AD$49),"")</f>
        <v>2354</v>
      </c>
      <c r="AE49">
        <f ca="1">IFERROR(IF(0=LEN(ReferenceData!$AE$49),"",ReferenceData!$AE$49),"")</f>
        <v>2669</v>
      </c>
      <c r="AF49">
        <f ca="1">IFERROR(IF(0=LEN(ReferenceData!$AF$49),"",ReferenceData!$AF$49),"")</f>
        <v>2533</v>
      </c>
      <c r="AG49">
        <f ca="1">IFERROR(IF(0=LEN(ReferenceData!$AG$49),"",ReferenceData!$AG$49),"")</f>
        <v>2974</v>
      </c>
      <c r="AH49">
        <f ca="1">IFERROR(IF(0=LEN(ReferenceData!$AH$49),"",ReferenceData!$AH$49),"")</f>
        <v>2488</v>
      </c>
      <c r="AI49">
        <f ca="1">IFERROR(IF(0=LEN(ReferenceData!$AI$49),"",ReferenceData!$AI$49),"")</f>
        <v>2658</v>
      </c>
      <c r="AJ49">
        <f ca="1">IFERROR(IF(0=LEN(ReferenceData!$AJ$49),"",ReferenceData!$AJ$49),"")</f>
        <v>2362</v>
      </c>
      <c r="AK49">
        <f ca="1">IFERROR(IF(0=LEN(ReferenceData!$AK$49),"",ReferenceData!$AK$49),"")</f>
        <v>2098</v>
      </c>
      <c r="AL49">
        <f ca="1">IFERROR(IF(0=LEN(ReferenceData!$AL$49),"",ReferenceData!$AL$49),"")</f>
        <v>1902</v>
      </c>
      <c r="AM49">
        <f ca="1">IFERROR(IF(0=LEN(ReferenceData!$AM$49),"",ReferenceData!$AM$49),"")</f>
        <v>1467</v>
      </c>
      <c r="AN49">
        <f ca="1">IFERROR(IF(0=LEN(ReferenceData!$AN$49),"",ReferenceData!$AN$49),"")</f>
        <v>1461</v>
      </c>
      <c r="AO49">
        <f ca="1">IFERROR(IF(0=LEN(ReferenceData!$AO$49),"",ReferenceData!$AO$49),"")</f>
        <v>1227</v>
      </c>
      <c r="AP49">
        <f ca="1">IFERROR(IF(0=LEN(ReferenceData!$AP$49),"",ReferenceData!$AP$49),"")</f>
        <v>821</v>
      </c>
      <c r="AQ49">
        <f ca="1">IFERROR(IF(0=LEN(ReferenceData!$AQ$49),"",ReferenceData!$AQ$49),"")</f>
        <v>566</v>
      </c>
      <c r="AR49">
        <f ca="1">IFERROR(IF(0=LEN(ReferenceData!$AR$49),"",ReferenceData!$AR$49),"")</f>
        <v>850</v>
      </c>
      <c r="AS49">
        <f ca="1">IFERROR(IF(0=LEN(ReferenceData!$AS$49),"",ReferenceData!$AS$49),"")</f>
        <v>1159</v>
      </c>
      <c r="AT49">
        <f ca="1">IFERROR(IF(0=LEN(ReferenceData!$AT$49),"",ReferenceData!$AT$49),"")</f>
        <v>1309</v>
      </c>
      <c r="AU49">
        <f ca="1">IFERROR(IF(0=LEN(ReferenceData!$AU$49),"",ReferenceData!$AU$49),"")</f>
        <v>3285</v>
      </c>
      <c r="AV49">
        <f ca="1">IFERROR(IF(0=LEN(ReferenceData!$AV$49),"",ReferenceData!$AV$49),"")</f>
        <v>4699</v>
      </c>
      <c r="AW49">
        <f ca="1">IFERROR(IF(0=LEN(ReferenceData!$AW$49),"",ReferenceData!$AW$49),"")</f>
        <v>5857</v>
      </c>
      <c r="AX49">
        <f ca="1">IFERROR(IF(0=LEN(ReferenceData!$AX$49),"",ReferenceData!$AX$49),"")</f>
        <v>5990</v>
      </c>
      <c r="AY49">
        <f ca="1">IFERROR(IF(0=LEN(ReferenceData!$AY$49),"",ReferenceData!$AY$49),"")</f>
        <v>7598</v>
      </c>
      <c r="AZ49">
        <f ca="1">IFERROR(IF(0=LEN(ReferenceData!$AZ$49),"",ReferenceData!$AZ$49),"")</f>
        <v>7853</v>
      </c>
      <c r="BA49">
        <f ca="1">IFERROR(IF(0=LEN(ReferenceData!$BA$49),"",ReferenceData!$BA$49),"")</f>
        <v>9425</v>
      </c>
      <c r="BB49">
        <f ca="1">IFERROR(IF(0=LEN(ReferenceData!$BB$49),"",ReferenceData!$BB$49),"")</f>
        <v>7895</v>
      </c>
      <c r="BC49">
        <f ca="1">IFERROR(IF(0=LEN(ReferenceData!$BC$49),"",ReferenceData!$BC$49),"")</f>
        <v>7920</v>
      </c>
      <c r="BD49">
        <f ca="1">IFERROR(IF(0=LEN(ReferenceData!$BD$49),"",ReferenceData!$BD$49),"")</f>
        <v>6334</v>
      </c>
      <c r="BE49">
        <f ca="1">IFERROR(IF(0=LEN(ReferenceData!$BE$49),"",ReferenceData!$BE$49),"")</f>
        <v>6762</v>
      </c>
      <c r="BF49">
        <f ca="1">IFERROR(IF(0=LEN(ReferenceData!$BF$49),"",ReferenceData!$BF$49),"")</f>
        <v>4566</v>
      </c>
      <c r="BG49">
        <f ca="1">IFERROR(IF(0=LEN(ReferenceData!$BG$49),"",ReferenceData!$BG$49),"")</f>
        <v>4885</v>
      </c>
      <c r="BH49">
        <f ca="1">IFERROR(IF(0=LEN(ReferenceData!$BH$49),"",ReferenceData!$BH$49),"")</f>
        <v>4443</v>
      </c>
      <c r="BI49">
        <f ca="1">IFERROR(IF(0=LEN(ReferenceData!$BI$49),"",ReferenceData!$BI$49),"")</f>
        <v>4334</v>
      </c>
      <c r="BJ49">
        <f ca="1">IFERROR(IF(0=LEN(ReferenceData!$BJ$49),"",ReferenceData!$BJ$49),"")</f>
        <v>2940</v>
      </c>
      <c r="BK49">
        <f ca="1">IFERROR(IF(0=LEN(ReferenceData!$BK$49),"",ReferenceData!$BK$49),"")</f>
        <v>3166</v>
      </c>
      <c r="BL49">
        <f ca="1">IFERROR(IF(0=LEN(ReferenceData!$BL$49),"",ReferenceData!$BL$49),"")</f>
        <v>2779</v>
      </c>
      <c r="BM49">
        <f ca="1">IFERROR(IF(0=LEN(ReferenceData!$BM$49),"",ReferenceData!$BM$49),"")</f>
        <v>2966</v>
      </c>
    </row>
    <row r="50" spans="1:65" x14ac:dyDescent="0.25">
      <c r="A50" t="str">
        <f>IFERROR(IF(0=LEN(ReferenceData!$A$50),"",ReferenceData!$A$50),"")</f>
        <v xml:space="preserve">            Lithuania</v>
      </c>
      <c r="B50" t="str">
        <f>IFERROR(IF(0=LEN(ReferenceData!$B$50),"",ReferenceData!$B$50),"")</f>
        <v>WCARLI Index</v>
      </c>
      <c r="C50" t="str">
        <f>IFERROR(IF(0=LEN(ReferenceData!$C$50),"",ReferenceData!$C$50),"")</f>
        <v>PX385</v>
      </c>
      <c r="D50" t="str">
        <f>IFERROR(IF(0=LEN(ReferenceData!$D$50),"",ReferenceData!$D$50),"")</f>
        <v>INTERVAL_SUM</v>
      </c>
      <c r="E50" t="str">
        <f>IFERROR(IF(0=LEN(ReferenceData!$E$50),"",ReferenceData!$E$50),"")</f>
        <v>Dynamic</v>
      </c>
      <c r="F50">
        <f ca="1">IFERROR(IF(0=LEN(ReferenceData!$F$50),"",ReferenceData!$F$50),"")</f>
        <v>3145</v>
      </c>
      <c r="G50">
        <f ca="1">IFERROR(IF(0=LEN(ReferenceData!$G$50),"",ReferenceData!$G$50),"")</f>
        <v>8096</v>
      </c>
      <c r="H50">
        <f ca="1">IFERROR(IF(0=LEN(ReferenceData!$H$50),"",ReferenceData!$H$50),"")</f>
        <v>8362</v>
      </c>
      <c r="I50">
        <f ca="1">IFERROR(IF(0=LEN(ReferenceData!$I$50),"",ReferenceData!$I$50),"")</f>
        <v>9480</v>
      </c>
      <c r="J50">
        <f ca="1">IFERROR(IF(0=LEN(ReferenceData!$J$50),"",ReferenceData!$J$50),"")</f>
        <v>6477</v>
      </c>
      <c r="K50">
        <f ca="1">IFERROR(IF(0=LEN(ReferenceData!$K$50),"",ReferenceData!$K$50),"")</f>
        <v>6708</v>
      </c>
      <c r="L50">
        <f ca="1">IFERROR(IF(0=LEN(ReferenceData!$L$50),"",ReferenceData!$L$50),"")</f>
        <v>6345</v>
      </c>
      <c r="M50">
        <f ca="1">IFERROR(IF(0=LEN(ReferenceData!$M$50),"",ReferenceData!$M$50),"")</f>
        <v>7290</v>
      </c>
      <c r="N50">
        <f ca="1">IFERROR(IF(0=LEN(ReferenceData!$N$50),"",ReferenceData!$N$50),"")</f>
        <v>5524</v>
      </c>
      <c r="O50">
        <f ca="1">IFERROR(IF(0=LEN(ReferenceData!$O$50),"",ReferenceData!$O$50),"")</f>
        <v>4701</v>
      </c>
      <c r="P50">
        <f ca="1">IFERROR(IF(0=LEN(ReferenceData!$P$50),"",ReferenceData!$P$50),"")</f>
        <v>4913</v>
      </c>
      <c r="Q50">
        <f ca="1">IFERROR(IF(0=LEN(ReferenceData!$Q$50),"",ReferenceData!$Q$50),"")</f>
        <v>6104</v>
      </c>
      <c r="R50">
        <f ca="1">IFERROR(IF(0=LEN(ReferenceData!$R$50),"",ReferenceData!$R$50),"")</f>
        <v>4602</v>
      </c>
      <c r="S50">
        <f ca="1">IFERROR(IF(0=LEN(ReferenceData!$S$50),"",ReferenceData!$S$50),"")</f>
        <v>4221</v>
      </c>
      <c r="T50">
        <f ca="1">IFERROR(IF(0=LEN(ReferenceData!$T$50),"",ReferenceData!$T$50),"")</f>
        <v>4301</v>
      </c>
      <c r="U50">
        <f ca="1">IFERROR(IF(0=LEN(ReferenceData!$U$50),"",ReferenceData!$U$50),"")</f>
        <v>4805</v>
      </c>
      <c r="V50">
        <f ca="1">IFERROR(IF(0=LEN(ReferenceData!$V$50),"",ReferenceData!$V$50),"")</f>
        <v>3758</v>
      </c>
      <c r="W50">
        <f ca="1">IFERROR(IF(0=LEN(ReferenceData!$W$50),"",ReferenceData!$W$50),"")</f>
        <v>3432</v>
      </c>
      <c r="X50">
        <f ca="1">IFERROR(IF(0=LEN(ReferenceData!$X$50),"",ReferenceData!$X$50),"")</f>
        <v>3686</v>
      </c>
      <c r="Y50">
        <f ca="1">IFERROR(IF(0=LEN(ReferenceData!$Y$50),"",ReferenceData!$Y$50),"")</f>
        <v>3979</v>
      </c>
      <c r="Z50">
        <f ca="1">IFERROR(IF(0=LEN(ReferenceData!$Z$50),"",ReferenceData!$Z$50),"")</f>
        <v>3406</v>
      </c>
      <c r="AA50">
        <f ca="1">IFERROR(IF(0=LEN(ReferenceData!$AA$50),"",ReferenceData!$AA$50),"")</f>
        <v>3259</v>
      </c>
      <c r="AB50">
        <f ca="1">IFERROR(IF(0=LEN(ReferenceData!$AB$50),"",ReferenceData!$AB$50),"")</f>
        <v>2886</v>
      </c>
      <c r="AC50">
        <f ca="1">IFERROR(IF(0=LEN(ReferenceData!$AC$50),"",ReferenceData!$AC$50),"")</f>
        <v>3273</v>
      </c>
      <c r="AD50">
        <f ca="1">IFERROR(IF(0=LEN(ReferenceData!$AD$50),"",ReferenceData!$AD$50),"")</f>
        <v>2734</v>
      </c>
      <c r="AE50">
        <f ca="1">IFERROR(IF(0=LEN(ReferenceData!$AE$50),"",ReferenceData!$AE$50),"")</f>
        <v>2980</v>
      </c>
      <c r="AF50">
        <f ca="1">IFERROR(IF(0=LEN(ReferenceData!$AF$50),"",ReferenceData!$AF$50),"")</f>
        <v>2988</v>
      </c>
      <c r="AG50">
        <f ca="1">IFERROR(IF(0=LEN(ReferenceData!$AG$50),"",ReferenceData!$AG$50),"")</f>
        <v>3324</v>
      </c>
      <c r="AH50">
        <f ca="1">IFERROR(IF(0=LEN(ReferenceData!$AH$50),"",ReferenceData!$AH$50),"")</f>
        <v>2878</v>
      </c>
      <c r="AI50">
        <f ca="1">IFERROR(IF(0=LEN(ReferenceData!$AI$50),"",ReferenceData!$AI$50),"")</f>
        <v>3267</v>
      </c>
      <c r="AJ50">
        <f ca="1">IFERROR(IF(0=LEN(ReferenceData!$AJ$50),"",ReferenceData!$AJ$50),"")</f>
        <v>3333</v>
      </c>
      <c r="AK50">
        <f ca="1">IFERROR(IF(0=LEN(ReferenceData!$AK$50),"",ReferenceData!$AK$50),"")</f>
        <v>3756</v>
      </c>
      <c r="AL50">
        <f ca="1">IFERROR(IF(0=LEN(ReferenceData!$AL$50),"",ReferenceData!$AL$50),"")</f>
        <v>2867</v>
      </c>
      <c r="AM50">
        <f ca="1">IFERROR(IF(0=LEN(ReferenceData!$AM$50),"",ReferenceData!$AM$50),"")</f>
        <v>2643</v>
      </c>
      <c r="AN50">
        <f ca="1">IFERROR(IF(0=LEN(ReferenceData!$AN$50),"",ReferenceData!$AN$50),"")</f>
        <v>2050</v>
      </c>
      <c r="AO50">
        <f ca="1">IFERROR(IF(0=LEN(ReferenceData!$AO$50),"",ReferenceData!$AO$50),"")</f>
        <v>1902</v>
      </c>
      <c r="AP50">
        <f ca="1">IFERROR(IF(0=LEN(ReferenceData!$AP$50),"",ReferenceData!$AP$50),"")</f>
        <v>1375</v>
      </c>
      <c r="AQ50">
        <f ca="1">IFERROR(IF(0=LEN(ReferenceData!$AQ$50),"",ReferenceData!$AQ$50),"")</f>
        <v>1566</v>
      </c>
      <c r="AR50">
        <f ca="1">IFERROR(IF(0=LEN(ReferenceData!$AR$50),"",ReferenceData!$AR$50),"")</f>
        <v>1563</v>
      </c>
      <c r="AS50">
        <f ca="1">IFERROR(IF(0=LEN(ReferenceData!$AS$50),"",ReferenceData!$AS$50),"")</f>
        <v>1985</v>
      </c>
      <c r="AT50">
        <f ca="1">IFERROR(IF(0=LEN(ReferenceData!$AT$50),"",ReferenceData!$AT$50),"")</f>
        <v>1899</v>
      </c>
      <c r="AU50">
        <f ca="1">IFERROR(IF(0=LEN(ReferenceData!$AU$50),"",ReferenceData!$AU$50),"")</f>
        <v>3800</v>
      </c>
      <c r="AV50">
        <f ca="1">IFERROR(IF(0=LEN(ReferenceData!$AV$50),"",ReferenceData!$AV$50),"")</f>
        <v>5001</v>
      </c>
      <c r="AW50">
        <f ca="1">IFERROR(IF(0=LEN(ReferenceData!$AW$50),"",ReferenceData!$AW$50),"")</f>
        <v>6579</v>
      </c>
      <c r="AX50">
        <f ca="1">IFERROR(IF(0=LEN(ReferenceData!$AX$50),"",ReferenceData!$AX$50),"")</f>
        <v>6837</v>
      </c>
      <c r="AY50">
        <f ca="1">IFERROR(IF(0=LEN(ReferenceData!$AY$50),"",ReferenceData!$AY$50),"")</f>
        <v>6262</v>
      </c>
      <c r="AZ50">
        <f ca="1">IFERROR(IF(0=LEN(ReferenceData!$AZ$50),"",ReferenceData!$AZ$50),"")</f>
        <v>5500</v>
      </c>
      <c r="BA50">
        <f ca="1">IFERROR(IF(0=LEN(ReferenceData!$BA$50),"",ReferenceData!$BA$50),"")</f>
        <v>5764</v>
      </c>
      <c r="BB50">
        <f ca="1">IFERROR(IF(0=LEN(ReferenceData!$BB$50),"",ReferenceData!$BB$50),"")</f>
        <v>4080</v>
      </c>
      <c r="BC50">
        <f ca="1">IFERROR(IF(0=LEN(ReferenceData!$BC$50),"",ReferenceData!$BC$50),"")</f>
        <v>3921</v>
      </c>
      <c r="BD50">
        <f ca="1">IFERROR(IF(0=LEN(ReferenceData!$BD$50),"",ReferenceData!$BD$50),"")</f>
        <v>3558</v>
      </c>
      <c r="BE50">
        <f ca="1">IFERROR(IF(0=LEN(ReferenceData!$BE$50),"",ReferenceData!$BE$50),"")</f>
        <v>3765</v>
      </c>
      <c r="BF50">
        <f ca="1">IFERROR(IF(0=LEN(ReferenceData!$BF$50),"",ReferenceData!$BF$50),"")</f>
        <v>2990</v>
      </c>
      <c r="BG50">
        <f ca="1">IFERROR(IF(0=LEN(ReferenceData!$BG$50),"",ReferenceData!$BG$50),"")</f>
        <v>2733</v>
      </c>
      <c r="BH50">
        <f ca="1">IFERROR(IF(0=LEN(ReferenceData!$BH$50),"",ReferenceData!$BH$50),"")</f>
        <v>2425</v>
      </c>
      <c r="BI50">
        <f ca="1">IFERROR(IF(0=LEN(ReferenceData!$BI$50),"",ReferenceData!$BI$50),"")</f>
        <v>3007</v>
      </c>
      <c r="BJ50">
        <f ca="1">IFERROR(IF(0=LEN(ReferenceData!$BJ$50),"",ReferenceData!$BJ$50),"")</f>
        <v>2302</v>
      </c>
      <c r="BK50">
        <f ca="1">IFERROR(IF(0=LEN(ReferenceData!$BK$50),"",ReferenceData!$BK$50),"")</f>
        <v>2622</v>
      </c>
      <c r="BL50">
        <f ca="1">IFERROR(IF(0=LEN(ReferenceData!$BL$50),"",ReferenceData!$BL$50),"")</f>
        <v>2114</v>
      </c>
      <c r="BM50">
        <f ca="1">IFERROR(IF(0=LEN(ReferenceData!$BM$50),"",ReferenceData!$BM$50),"")</f>
        <v>2665</v>
      </c>
    </row>
    <row r="51" spans="1:65" x14ac:dyDescent="0.25">
      <c r="A51" t="str">
        <f>IFERROR(IF(0=LEN(ReferenceData!$A$51),"",ReferenceData!$A$51),"")</f>
        <v xml:space="preserve">            Poland</v>
      </c>
      <c r="B51" t="str">
        <f>IFERROR(IF(0=LEN(ReferenceData!$B$51),"",ReferenceData!$B$51),"")</f>
        <v>WCARPO Index</v>
      </c>
      <c r="C51" t="str">
        <f>IFERROR(IF(0=LEN(ReferenceData!$C$51),"",ReferenceData!$C$51),"")</f>
        <v>PX385</v>
      </c>
      <c r="D51" t="str">
        <f>IFERROR(IF(0=LEN(ReferenceData!$D$51),"",ReferenceData!$D$51),"")</f>
        <v>INTERVAL_SUM</v>
      </c>
      <c r="E51" t="str">
        <f>IFERROR(IF(0=LEN(ReferenceData!$E$51),"",ReferenceData!$E$51),"")</f>
        <v>Dynamic</v>
      </c>
      <c r="F51">
        <f ca="1">IFERROR(IF(0=LEN(ReferenceData!$F$51),"",ReferenceData!$F$51),"")</f>
        <v>45927</v>
      </c>
      <c r="G51">
        <f ca="1">IFERROR(IF(0=LEN(ReferenceData!$G$51),"",ReferenceData!$G$51),"")</f>
        <v>128546</v>
      </c>
      <c r="H51">
        <f ca="1">IFERROR(IF(0=LEN(ReferenceData!$H$51),"",ReferenceData!$H$51),"")</f>
        <v>130298</v>
      </c>
      <c r="I51">
        <f ca="1">IFERROR(IF(0=LEN(ReferenceData!$I$51),"",ReferenceData!$I$51),"")</f>
        <v>133160</v>
      </c>
      <c r="J51">
        <f ca="1">IFERROR(IF(0=LEN(ReferenceData!$J$51),"",ReferenceData!$J$51),"")</f>
        <v>139885</v>
      </c>
      <c r="K51">
        <f ca="1">IFERROR(IF(0=LEN(ReferenceData!$K$51),"",ReferenceData!$K$51),"")</f>
        <v>130891</v>
      </c>
      <c r="L51">
        <f ca="1">IFERROR(IF(0=LEN(ReferenceData!$L$51),"",ReferenceData!$L$51),"")</f>
        <v>108447</v>
      </c>
      <c r="M51">
        <f ca="1">IFERROR(IF(0=LEN(ReferenceData!$M$51),"",ReferenceData!$M$51),"")</f>
        <v>121082</v>
      </c>
      <c r="N51">
        <f ca="1">IFERROR(IF(0=LEN(ReferenceData!$N$51),"",ReferenceData!$N$51),"")</f>
        <v>125932</v>
      </c>
      <c r="O51">
        <f ca="1">IFERROR(IF(0=LEN(ReferenceData!$O$51),"",ReferenceData!$O$51),"")</f>
        <v>113157</v>
      </c>
      <c r="P51">
        <f ca="1">IFERROR(IF(0=LEN(ReferenceData!$P$51),"",ReferenceData!$P$51),"")</f>
        <v>92238</v>
      </c>
      <c r="Q51">
        <f ca="1">IFERROR(IF(0=LEN(ReferenceData!$Q$51),"",ReferenceData!$Q$51),"")</f>
        <v>106040</v>
      </c>
      <c r="R51">
        <f ca="1">IFERROR(IF(0=LEN(ReferenceData!$R$51),"",ReferenceData!$R$51),"")</f>
        <v>104688</v>
      </c>
      <c r="S51">
        <f ca="1">IFERROR(IF(0=LEN(ReferenceData!$S$51),"",ReferenceData!$S$51),"")</f>
        <v>96732</v>
      </c>
      <c r="T51">
        <f ca="1">IFERROR(IF(0=LEN(ReferenceData!$T$51),"",ReferenceData!$T$51),"")</f>
        <v>80468</v>
      </c>
      <c r="U51">
        <f ca="1">IFERROR(IF(0=LEN(ReferenceData!$U$51),"",ReferenceData!$U$51),"")</f>
        <v>86102</v>
      </c>
      <c r="V51">
        <f ca="1">IFERROR(IF(0=LEN(ReferenceData!$V$51),"",ReferenceData!$V$51),"")</f>
        <v>91670</v>
      </c>
      <c r="W51">
        <f ca="1">IFERROR(IF(0=LEN(ReferenceData!$W$51),"",ReferenceData!$W$51),"")</f>
        <v>82667</v>
      </c>
      <c r="X51">
        <f ca="1">IFERROR(IF(0=LEN(ReferenceData!$X$51),"",ReferenceData!$X$51),"")</f>
        <v>69134</v>
      </c>
      <c r="Y51">
        <f ca="1">IFERROR(IF(0=LEN(ReferenceData!$Y$51),"",ReferenceData!$Y$51),"")</f>
        <v>78287</v>
      </c>
      <c r="Z51">
        <f ca="1">IFERROR(IF(0=LEN(ReferenceData!$Z$51),"",ReferenceData!$Z$51),"")</f>
        <v>97621</v>
      </c>
      <c r="AA51">
        <f ca="1">IFERROR(IF(0=LEN(ReferenceData!$AA$51),"",ReferenceData!$AA$51),"")</f>
        <v>76896</v>
      </c>
      <c r="AB51">
        <f ca="1">IFERROR(IF(0=LEN(ReferenceData!$AB$51),"",ReferenceData!$AB$51),"")</f>
        <v>65530</v>
      </c>
      <c r="AC51">
        <f ca="1">IFERROR(IF(0=LEN(ReferenceData!$AC$51),"",ReferenceData!$AC$51),"")</f>
        <v>72008</v>
      </c>
      <c r="AD51">
        <f ca="1">IFERROR(IF(0=LEN(ReferenceData!$AD$51),"",ReferenceData!$AD$51),"")</f>
        <v>75989</v>
      </c>
      <c r="AE51">
        <f ca="1">IFERROR(IF(0=LEN(ReferenceData!$AE$51),"",ReferenceData!$AE$51),"")</f>
        <v>66320</v>
      </c>
      <c r="AF51">
        <f ca="1">IFERROR(IF(0=LEN(ReferenceData!$AF$51),"",ReferenceData!$AF$51),"")</f>
        <v>57689</v>
      </c>
      <c r="AG51">
        <f ca="1">IFERROR(IF(0=LEN(ReferenceData!$AG$51),"",ReferenceData!$AG$51),"")</f>
        <v>71296</v>
      </c>
      <c r="AH51">
        <f ca="1">IFERROR(IF(0=LEN(ReferenceData!$AH$51),"",ReferenceData!$AH$51),"")</f>
        <v>77832</v>
      </c>
      <c r="AI51">
        <f ca="1">IFERROR(IF(0=LEN(ReferenceData!$AI$51),"",ReferenceData!$AI$51),"")</f>
        <v>74870</v>
      </c>
      <c r="AJ51">
        <f ca="1">IFERROR(IF(0=LEN(ReferenceData!$AJ$51),"",ReferenceData!$AJ$51),"")</f>
        <v>63920</v>
      </c>
      <c r="AK51">
        <f ca="1">IFERROR(IF(0=LEN(ReferenceData!$AK$51),"",ReferenceData!$AK$51),"")</f>
        <v>69640</v>
      </c>
      <c r="AL51">
        <f ca="1">IFERROR(IF(0=LEN(ReferenceData!$AL$51),"",ReferenceData!$AL$51),"")</f>
        <v>69144</v>
      </c>
      <c r="AM51">
        <f ca="1">IFERROR(IF(0=LEN(ReferenceData!$AM$51),"",ReferenceData!$AM$51),"")</f>
        <v>100389</v>
      </c>
      <c r="AN51">
        <f ca="1">IFERROR(IF(0=LEN(ReferenceData!$AN$51),"",ReferenceData!$AN$51),"")</f>
        <v>68467</v>
      </c>
      <c r="AO51">
        <f ca="1">IFERROR(IF(0=LEN(ReferenceData!$AO$51),"",ReferenceData!$AO$51),"")</f>
        <v>74127</v>
      </c>
      <c r="AP51">
        <f ca="1">IFERROR(IF(0=LEN(ReferenceData!$AP$51),"",ReferenceData!$AP$51),"")</f>
        <v>73011</v>
      </c>
      <c r="AQ51">
        <f ca="1">IFERROR(IF(0=LEN(ReferenceData!$AQ$51),"",ReferenceData!$AQ$51),"")</f>
        <v>80698</v>
      </c>
      <c r="AR51">
        <f ca="1">IFERROR(IF(0=LEN(ReferenceData!$AR$51),"",ReferenceData!$AR$51),"")</f>
        <v>70624</v>
      </c>
      <c r="AS51">
        <f ca="1">IFERROR(IF(0=LEN(ReferenceData!$AS$51),"",ReferenceData!$AS$51),"")</f>
        <v>80918</v>
      </c>
      <c r="AT51">
        <f ca="1">IFERROR(IF(0=LEN(ReferenceData!$AT$51),"",ReferenceData!$AT$51),"")</f>
        <v>87966</v>
      </c>
      <c r="AU51">
        <f ca="1">IFERROR(IF(0=LEN(ReferenceData!$AU$51),"",ReferenceData!$AU$51),"")</f>
        <v>84418</v>
      </c>
      <c r="AV51">
        <f ca="1">IFERROR(IF(0=LEN(ReferenceData!$AV$51),"",ReferenceData!$AV$51),"")</f>
        <v>66977</v>
      </c>
      <c r="AW51">
        <f ca="1">IFERROR(IF(0=LEN(ReferenceData!$AW$51),"",ReferenceData!$AW$51),"")</f>
        <v>81721</v>
      </c>
      <c r="AX51">
        <f ca="1">IFERROR(IF(0=LEN(ReferenceData!$AX$51),"",ReferenceData!$AX$51),"")</f>
        <v>86924</v>
      </c>
      <c r="AY51">
        <f ca="1">IFERROR(IF(0=LEN(ReferenceData!$AY$51),"",ReferenceData!$AY$51),"")</f>
        <v>75922</v>
      </c>
      <c r="AZ51">
        <f ca="1">IFERROR(IF(0=LEN(ReferenceData!$AZ$51),"",ReferenceData!$AZ$51),"")</f>
        <v>67789</v>
      </c>
      <c r="BA51">
        <f ca="1">IFERROR(IF(0=LEN(ReferenceData!$BA$51),"",ReferenceData!$BA$51),"")</f>
        <v>76858</v>
      </c>
      <c r="BB51">
        <f ca="1">IFERROR(IF(0=LEN(ReferenceData!$BB$51),"",ReferenceData!$BB$51),"")</f>
        <v>72736</v>
      </c>
      <c r="BC51">
        <f ca="1">IFERROR(IF(0=LEN(ReferenceData!$BC$51),"",ReferenceData!$BC$51),"")</f>
        <v>63728</v>
      </c>
      <c r="BD51">
        <f ca="1">IFERROR(IF(0=LEN(ReferenceData!$BD$51),"",ReferenceData!$BD$51),"")</f>
        <v>55522</v>
      </c>
      <c r="BE51">
        <f ca="1">IFERROR(IF(0=LEN(ReferenceData!$BE$51),"",ReferenceData!$BE$51),"")</f>
        <v>61283</v>
      </c>
      <c r="BF51">
        <f ca="1">IFERROR(IF(0=LEN(ReferenceData!$BF$51),"",ReferenceData!$BF$51),"")</f>
        <v>58460</v>
      </c>
      <c r="BG51">
        <f ca="1">IFERROR(IF(0=LEN(ReferenceData!$BG$51),"",ReferenceData!$BG$51),"")</f>
        <v>51551</v>
      </c>
      <c r="BH51">
        <f ca="1">IFERROR(IF(0=LEN(ReferenceData!$BH$51),"",ReferenceData!$BH$51),"")</f>
        <v>54557</v>
      </c>
      <c r="BI51">
        <f ca="1">IFERROR(IF(0=LEN(ReferenceData!$BI$51),"",ReferenceData!$BI$51),"")</f>
        <v>63438</v>
      </c>
      <c r="BJ51">
        <f ca="1">IFERROR(IF(0=LEN(ReferenceData!$BJ$51),"",ReferenceData!$BJ$51),"")</f>
        <v>65976</v>
      </c>
      <c r="BK51">
        <f ca="1">IFERROR(IF(0=LEN(ReferenceData!$BK$51),"",ReferenceData!$BK$51),"")</f>
        <v>62467</v>
      </c>
      <c r="BL51">
        <f ca="1">IFERROR(IF(0=LEN(ReferenceData!$BL$51),"",ReferenceData!$BL$51),"")</f>
        <v>62914</v>
      </c>
      <c r="BM51">
        <f ca="1">IFERROR(IF(0=LEN(ReferenceData!$BM$51),"",ReferenceData!$BM$51),"")</f>
        <v>94270</v>
      </c>
    </row>
    <row r="52" spans="1:65" x14ac:dyDescent="0.25">
      <c r="A52" t="str">
        <f>IFERROR(IF(0=LEN(ReferenceData!$A$52),"",ReferenceData!$A$52),"")</f>
        <v xml:space="preserve">            Romania</v>
      </c>
      <c r="B52" t="str">
        <f>IFERROR(IF(0=LEN(ReferenceData!$B$52),"",ReferenceData!$B$52),"")</f>
        <v>WCARRO Index</v>
      </c>
      <c r="C52" t="str">
        <f>IFERROR(IF(0=LEN(ReferenceData!$C$52),"",ReferenceData!$C$52),"")</f>
        <v>PX385</v>
      </c>
      <c r="D52" t="str">
        <f>IFERROR(IF(0=LEN(ReferenceData!$D$52),"",ReferenceData!$D$52),"")</f>
        <v>INTERVAL_SUM</v>
      </c>
      <c r="E52" t="str">
        <f>IFERROR(IF(0=LEN(ReferenceData!$E$52),"",ReferenceData!$E$52),"")</f>
        <v>Dynamic</v>
      </c>
      <c r="F52">
        <f ca="1">IFERROR(IF(0=LEN(ReferenceData!$F$52),"",ReferenceData!$F$52),"")</f>
        <v>13952</v>
      </c>
      <c r="G52">
        <f ca="1">IFERROR(IF(0=LEN(ReferenceData!$G$52),"",ReferenceData!$G$52),"")</f>
        <v>24324</v>
      </c>
      <c r="H52">
        <f ca="1">IFERROR(IF(0=LEN(ReferenceData!$H$52),"",ReferenceData!$H$52),"")</f>
        <v>43527</v>
      </c>
      <c r="I52">
        <f ca="1">IFERROR(IF(0=LEN(ReferenceData!$I$52),"",ReferenceData!$I$52),"")</f>
        <v>31425</v>
      </c>
      <c r="J52">
        <f ca="1">IFERROR(IF(0=LEN(ReferenceData!$J$52),"",ReferenceData!$J$52),"")</f>
        <v>28643</v>
      </c>
      <c r="K52">
        <f ca="1">IFERROR(IF(0=LEN(ReferenceData!$K$52),"",ReferenceData!$K$52),"")</f>
        <v>27618</v>
      </c>
      <c r="L52">
        <f ca="1">IFERROR(IF(0=LEN(ReferenceData!$L$52),"",ReferenceData!$L$52),"")</f>
        <v>33761</v>
      </c>
      <c r="M52">
        <f ca="1">IFERROR(IF(0=LEN(ReferenceData!$M$52),"",ReferenceData!$M$52),"")</f>
        <v>22732</v>
      </c>
      <c r="N52">
        <f ca="1">IFERROR(IF(0=LEN(ReferenceData!$N$52),"",ReferenceData!$N$52),"")</f>
        <v>22276</v>
      </c>
      <c r="O52">
        <f ca="1">IFERROR(IF(0=LEN(ReferenceData!$O$52),"",ReferenceData!$O$52),"")</f>
        <v>26927</v>
      </c>
      <c r="P52">
        <f ca="1">IFERROR(IF(0=LEN(ReferenceData!$P$52),"",ReferenceData!$P$52),"")</f>
        <v>32540</v>
      </c>
      <c r="Q52">
        <f ca="1">IFERROR(IF(0=LEN(ReferenceData!$Q$52),"",ReferenceData!$Q$52),"")</f>
        <v>17981</v>
      </c>
      <c r="R52">
        <f ca="1">IFERROR(IF(0=LEN(ReferenceData!$R$52),"",ReferenceData!$R$52),"")</f>
        <v>17471</v>
      </c>
      <c r="S52">
        <f ca="1">IFERROR(IF(0=LEN(ReferenceData!$S$52),"",ReferenceData!$S$52),"")</f>
        <v>24323</v>
      </c>
      <c r="T52">
        <f ca="1">IFERROR(IF(0=LEN(ReferenceData!$T$52),"",ReferenceData!$T$52),"")</f>
        <v>22367</v>
      </c>
      <c r="U52">
        <f ca="1">IFERROR(IF(0=LEN(ReferenceData!$U$52),"",ReferenceData!$U$52),"")</f>
        <v>20039</v>
      </c>
      <c r="V52">
        <f ca="1">IFERROR(IF(0=LEN(ReferenceData!$V$52),"",ReferenceData!$V$52),"")</f>
        <v>14452</v>
      </c>
      <c r="W52">
        <f ca="1">IFERROR(IF(0=LEN(ReferenceData!$W$52),"",ReferenceData!$W$52),"")</f>
        <v>18608</v>
      </c>
      <c r="X52">
        <f ca="1">IFERROR(IF(0=LEN(ReferenceData!$X$52),"",ReferenceData!$X$52),"")</f>
        <v>20339</v>
      </c>
      <c r="Y52">
        <f ca="1">IFERROR(IF(0=LEN(ReferenceData!$Y$52),"",ReferenceData!$Y$52),"")</f>
        <v>17880</v>
      </c>
      <c r="Z52">
        <f ca="1">IFERROR(IF(0=LEN(ReferenceData!$Z$52),"",ReferenceData!$Z$52),"")</f>
        <v>13345</v>
      </c>
      <c r="AA52">
        <f ca="1">IFERROR(IF(0=LEN(ReferenceData!$AA$52),"",ReferenceData!$AA$52),"")</f>
        <v>16637</v>
      </c>
      <c r="AB52">
        <f ca="1">IFERROR(IF(0=LEN(ReferenceData!$AB$52),"",ReferenceData!$AB$52),"")</f>
        <v>16537</v>
      </c>
      <c r="AC52">
        <f ca="1">IFERROR(IF(0=LEN(ReferenceData!$AC$52),"",ReferenceData!$AC$52),"")</f>
        <v>13316</v>
      </c>
      <c r="AD52">
        <f ca="1">IFERROR(IF(0=LEN(ReferenceData!$AD$52),"",ReferenceData!$AD$52),"")</f>
        <v>11233</v>
      </c>
      <c r="AE52">
        <f ca="1">IFERROR(IF(0=LEN(ReferenceData!$AE$52),"",ReferenceData!$AE$52),"")</f>
        <v>17308</v>
      </c>
      <c r="AF52">
        <f ca="1">IFERROR(IF(0=LEN(ReferenceData!$AF$52),"",ReferenceData!$AF$52),"")</f>
        <v>15785</v>
      </c>
      <c r="AG52">
        <f ca="1">IFERROR(IF(0=LEN(ReferenceData!$AG$52),"",ReferenceData!$AG$52),"")</f>
        <v>19378</v>
      </c>
      <c r="AH52">
        <f ca="1">IFERROR(IF(0=LEN(ReferenceData!$AH$52),"",ReferenceData!$AH$52),"")</f>
        <v>13965</v>
      </c>
      <c r="AI52">
        <f ca="1">IFERROR(IF(0=LEN(ReferenceData!$AI$52),"",ReferenceData!$AI$52),"")</f>
        <v>25828</v>
      </c>
      <c r="AJ52">
        <f ca="1">IFERROR(IF(0=LEN(ReferenceData!$AJ$52),"",ReferenceData!$AJ$52),"")</f>
        <v>24123</v>
      </c>
      <c r="AK52">
        <f ca="1">IFERROR(IF(0=LEN(ReferenceData!$AK$52),"",ReferenceData!$AK$52),"")</f>
        <v>22079</v>
      </c>
      <c r="AL52">
        <f ca="1">IFERROR(IF(0=LEN(ReferenceData!$AL$52),"",ReferenceData!$AL$52),"")</f>
        <v>9679</v>
      </c>
      <c r="AM52">
        <f ca="1">IFERROR(IF(0=LEN(ReferenceData!$AM$52),"",ReferenceData!$AM$52),"")</f>
        <v>32193</v>
      </c>
      <c r="AN52">
        <f ca="1">IFERROR(IF(0=LEN(ReferenceData!$AN$52),"",ReferenceData!$AN$52),"")</f>
        <v>25712</v>
      </c>
      <c r="AO52">
        <f ca="1">IFERROR(IF(0=LEN(ReferenceData!$AO$52),"",ReferenceData!$AO$52),"")</f>
        <v>27817</v>
      </c>
      <c r="AP52">
        <f ca="1">IFERROR(IF(0=LEN(ReferenceData!$AP$52),"",ReferenceData!$AP$52),"")</f>
        <v>8818</v>
      </c>
      <c r="AQ52">
        <f ca="1">IFERROR(IF(0=LEN(ReferenceData!$AQ$52),"",ReferenceData!$AQ$52),"")</f>
        <v>27375</v>
      </c>
      <c r="AR52">
        <f ca="1">IFERROR(IF(0=LEN(ReferenceData!$AR$52),"",ReferenceData!$AR$52),"")</f>
        <v>27000</v>
      </c>
      <c r="AS52">
        <f ca="1">IFERROR(IF(0=LEN(ReferenceData!$AS$52),"",ReferenceData!$AS$52),"")</f>
        <v>33531</v>
      </c>
      <c r="AT52">
        <f ca="1">IFERROR(IF(0=LEN(ReferenceData!$AT$52),"",ReferenceData!$AT$52),"")</f>
        <v>29126</v>
      </c>
      <c r="AU52">
        <f ca="1">IFERROR(IF(0=LEN(ReferenceData!$AU$52),"",ReferenceData!$AU$52),"")</f>
        <v>47998</v>
      </c>
      <c r="AV52">
        <f ca="1">IFERROR(IF(0=LEN(ReferenceData!$AV$52),"",ReferenceData!$AV$52),"")</f>
        <v>78009</v>
      </c>
      <c r="AW52">
        <f ca="1">IFERROR(IF(0=LEN(ReferenceData!$AW$52),"",ReferenceData!$AW$52),"")</f>
        <v>77565</v>
      </c>
      <c r="AX52">
        <f ca="1">IFERROR(IF(0=LEN(ReferenceData!$AX$52),"",ReferenceData!$AX$52),"")</f>
        <v>67423</v>
      </c>
      <c r="AY52">
        <f ca="1">IFERROR(IF(0=LEN(ReferenceData!$AY$52),"",ReferenceData!$AY$52),"")</f>
        <v>86744</v>
      </c>
      <c r="AZ52">
        <f ca="1">IFERROR(IF(0=LEN(ReferenceData!$AZ$52),"",ReferenceData!$AZ$52),"")</f>
        <v>82585</v>
      </c>
      <c r="BA52">
        <f ca="1">IFERROR(IF(0=LEN(ReferenceData!$BA$52),"",ReferenceData!$BA$52),"")</f>
        <v>86293</v>
      </c>
      <c r="BB52">
        <f ca="1">IFERROR(IF(0=LEN(ReferenceData!$BB$52),"",ReferenceData!$BB$52),"")</f>
        <v>59999</v>
      </c>
      <c r="BC52">
        <f ca="1">IFERROR(IF(0=LEN(ReferenceData!$BC$52),"",ReferenceData!$BC$52),"")</f>
        <v>70386</v>
      </c>
      <c r="BD52">
        <f ca="1">IFERROR(IF(0=LEN(ReferenceData!$BD$52),"",ReferenceData!$BD$52),"")</f>
        <v>68522</v>
      </c>
      <c r="BE52">
        <f ca="1">IFERROR(IF(0=LEN(ReferenceData!$BE$52),"",ReferenceData!$BE$52),"")</f>
        <v>67196</v>
      </c>
      <c r="BF52">
        <f ca="1">IFERROR(IF(0=LEN(ReferenceData!$BF$52),"",ReferenceData!$BF$52),"")</f>
        <v>50260</v>
      </c>
      <c r="BG52" t="str">
        <f ca="1">IFERROR(IF(0=LEN(ReferenceData!$BG$52),"",ReferenceData!$BG$52),"")</f>
        <v/>
      </c>
      <c r="BH52" t="str">
        <f ca="1">IFERROR(IF(0=LEN(ReferenceData!$BH$52),"",ReferenceData!$BH$52),"")</f>
        <v/>
      </c>
      <c r="BI52" t="str">
        <f ca="1">IFERROR(IF(0=LEN(ReferenceData!$BI$52),"",ReferenceData!$BI$52),"")</f>
        <v/>
      </c>
      <c r="BJ52" t="str">
        <f ca="1">IFERROR(IF(0=LEN(ReferenceData!$BJ$52),"",ReferenceData!$BJ$52),"")</f>
        <v/>
      </c>
      <c r="BK52" t="str">
        <f ca="1">IFERROR(IF(0=LEN(ReferenceData!$BK$52),"",ReferenceData!$BK$52),"")</f>
        <v/>
      </c>
      <c r="BL52" t="str">
        <f ca="1">IFERROR(IF(0=LEN(ReferenceData!$BL$52),"",ReferenceData!$BL$52),"")</f>
        <v/>
      </c>
      <c r="BM52" t="str">
        <f ca="1">IFERROR(IF(0=LEN(ReferenceData!$BM$52),"",ReferenceData!$BM$52),"")</f>
        <v/>
      </c>
    </row>
    <row r="53" spans="1:65" x14ac:dyDescent="0.25">
      <c r="A53" t="str">
        <f>IFERROR(IF(0=LEN(ReferenceData!$A$53),"",ReferenceData!$A$53),"")</f>
        <v xml:space="preserve">            Russia</v>
      </c>
      <c r="B53" t="str">
        <f>IFERROR(IF(0=LEN(ReferenceData!$B$53),"",ReferenceData!$B$53),"")</f>
        <v>RUAUTOTL Index</v>
      </c>
      <c r="C53" t="str">
        <f>IFERROR(IF(0=LEN(ReferenceData!$C$53),"",ReferenceData!$C$53),"")</f>
        <v>PX385</v>
      </c>
      <c r="D53" t="str">
        <f>IFERROR(IF(0=LEN(ReferenceData!$D$53),"",ReferenceData!$D$53),"")</f>
        <v>INTERVAL_SUM</v>
      </c>
      <c r="E53" t="str">
        <f>IFERROR(IF(0=LEN(ReferenceData!$E$53),"",ReferenceData!$E$53),"")</f>
        <v>Dynamic</v>
      </c>
      <c r="F53">
        <f ca="1">IFERROR(IF(0=LEN(ReferenceData!$F$53),"",ReferenceData!$F$53),"")</f>
        <v>103064</v>
      </c>
      <c r="G53">
        <f ca="1">IFERROR(IF(0=LEN(ReferenceData!$G$53),"",ReferenceData!$G$53),"")</f>
        <v>503159</v>
      </c>
      <c r="H53">
        <f ca="1">IFERROR(IF(0=LEN(ReferenceData!$H$53),"",ReferenceData!$H$53),"")</f>
        <v>448211</v>
      </c>
      <c r="I53">
        <f ca="1">IFERROR(IF(0=LEN(ReferenceData!$I$53),"",ReferenceData!$I$53),"")</f>
        <v>456301</v>
      </c>
      <c r="J53">
        <f ca="1">IFERROR(IF(0=LEN(ReferenceData!$J$53),"",ReferenceData!$J$53),"")</f>
        <v>393520</v>
      </c>
      <c r="K53">
        <f ca="1">IFERROR(IF(0=LEN(ReferenceData!$K$53),"",ReferenceData!$K$53),"")</f>
        <v>466509</v>
      </c>
      <c r="L53">
        <f ca="1">IFERROR(IF(0=LEN(ReferenceData!$L$53),"",ReferenceData!$L$53),"")</f>
        <v>410609</v>
      </c>
      <c r="M53">
        <f ca="1">IFERROR(IF(0=LEN(ReferenceData!$M$53),"",ReferenceData!$M$53),"")</f>
        <v>395720</v>
      </c>
      <c r="N53">
        <f ca="1">IFERROR(IF(0=LEN(ReferenceData!$N$53),"",ReferenceData!$N$53),"")</f>
        <v>322880</v>
      </c>
      <c r="O53">
        <f ca="1">IFERROR(IF(0=LEN(ReferenceData!$O$53),"",ReferenceData!$O$53),"")</f>
        <v>404716</v>
      </c>
      <c r="P53">
        <f ca="1">IFERROR(IF(0=LEN(ReferenceData!$P$53),"",ReferenceData!$P$53),"")</f>
        <v>349020</v>
      </c>
      <c r="Q53">
        <f ca="1">IFERROR(IF(0=LEN(ReferenceData!$Q$53),"",ReferenceData!$Q$53),"")</f>
        <v>352830</v>
      </c>
      <c r="R53">
        <f ca="1">IFERROR(IF(0=LEN(ReferenceData!$R$53),"",ReferenceData!$R$53),"")</f>
        <v>319220</v>
      </c>
      <c r="S53">
        <f ca="1">IFERROR(IF(0=LEN(ReferenceData!$S$53),"",ReferenceData!$S$53),"")</f>
        <v>408866</v>
      </c>
      <c r="T53">
        <f ca="1">IFERROR(IF(0=LEN(ReferenceData!$T$53),"",ReferenceData!$T$53),"")</f>
        <v>410813</v>
      </c>
      <c r="U53">
        <f ca="1">IFERROR(IF(0=LEN(ReferenceData!$U$53),"",ReferenceData!$U$53),"")</f>
        <v>398519</v>
      </c>
      <c r="V53">
        <f ca="1">IFERROR(IF(0=LEN(ReferenceData!$V$53),"",ReferenceData!$V$53),"")</f>
        <v>383538</v>
      </c>
      <c r="W53">
        <f ca="1">IFERROR(IF(0=LEN(ReferenceData!$W$53),"",ReferenceData!$W$53),"")</f>
        <v>711457</v>
      </c>
      <c r="X53">
        <f ca="1">IFERROR(IF(0=LEN(ReferenceData!$X$53),"",ReferenceData!$X$53),"")</f>
        <v>550015</v>
      </c>
      <c r="Y53">
        <f ca="1">IFERROR(IF(0=LEN(ReferenceData!$Y$53),"",ReferenceData!$Y$53),"")</f>
        <v>627411</v>
      </c>
      <c r="Z53">
        <f ca="1">IFERROR(IF(0=LEN(ReferenceData!$Z$53),"",ReferenceData!$Z$53),"")</f>
        <v>602473</v>
      </c>
      <c r="AA53">
        <f ca="1">IFERROR(IF(0=LEN(ReferenceData!$AA$53),"",ReferenceData!$AA$53),"")</f>
        <v>730720</v>
      </c>
      <c r="AB53">
        <f ca="1">IFERROR(IF(0=LEN(ReferenceData!$AB$53),"",ReferenceData!$AB$53),"")</f>
        <v>713379</v>
      </c>
      <c r="AC53">
        <f ca="1">IFERROR(IF(0=LEN(ReferenceData!$AC$53),"",ReferenceData!$AC$53),"")</f>
        <v>716350</v>
      </c>
      <c r="AD53">
        <f ca="1">IFERROR(IF(0=LEN(ReferenceData!$AD$53),"",ReferenceData!$AD$53),"")</f>
        <v>616773</v>
      </c>
      <c r="AE53">
        <f ca="1">IFERROR(IF(0=LEN(ReferenceData!$AE$53),"",ReferenceData!$AE$53),"")</f>
        <v>747212</v>
      </c>
      <c r="AF53">
        <f ca="1">IFERROR(IF(0=LEN(ReferenceData!$AF$53),"",ReferenceData!$AF$53),"")</f>
        <v>773903</v>
      </c>
      <c r="AG53">
        <f ca="1">IFERROR(IF(0=LEN(ReferenceData!$AG$53),"",ReferenceData!$AG$53),"")</f>
        <v>799336</v>
      </c>
      <c r="AH53">
        <f ca="1">IFERROR(IF(0=LEN(ReferenceData!$AH$53),"",ReferenceData!$AH$53),"")</f>
        <v>614095</v>
      </c>
      <c r="AI53">
        <f ca="1">IFERROR(IF(0=LEN(ReferenceData!$AI$53),"",ReferenceData!$AI$53),"")</f>
        <v>731818</v>
      </c>
      <c r="AJ53">
        <f ca="1">IFERROR(IF(0=LEN(ReferenceData!$AJ$53),"",ReferenceData!$AJ$53),"")</f>
        <v>684936</v>
      </c>
      <c r="AK53">
        <f ca="1">IFERROR(IF(0=LEN(ReferenceData!$AK$53),"",ReferenceData!$AK$53),"")</f>
        <v>717310</v>
      </c>
      <c r="AL53">
        <f ca="1">IFERROR(IF(0=LEN(ReferenceData!$AL$53),"",ReferenceData!$AL$53),"")</f>
        <v>516511</v>
      </c>
      <c r="AM53">
        <f ca="1">IFERROR(IF(0=LEN(ReferenceData!$AM$53),"",ReferenceData!$AM$53),"")</f>
        <v>582966</v>
      </c>
      <c r="AN53">
        <f ca="1">IFERROR(IF(0=LEN(ReferenceData!$AN$53),"",ReferenceData!$AN$53),"")</f>
        <v>527751</v>
      </c>
      <c r="AO53">
        <f ca="1">IFERROR(IF(0=LEN(ReferenceData!$AO$53),"",ReferenceData!$AO$53),"")</f>
        <v>496074</v>
      </c>
      <c r="AP53">
        <f ca="1">IFERROR(IF(0=LEN(ReferenceData!$AP$53),"",ReferenceData!$AP$53),"")</f>
        <v>292709</v>
      </c>
      <c r="AQ53">
        <f ca="1">IFERROR(IF(0=LEN(ReferenceData!$AQ$53),"",ReferenceData!$AQ$53),"")</f>
        <v>350134</v>
      </c>
      <c r="AR53">
        <f ca="1">IFERROR(IF(0=LEN(ReferenceData!$AR$53),"",ReferenceData!$AR$53),"")</f>
        <v>344398</v>
      </c>
      <c r="AS53">
        <f ca="1">IFERROR(IF(0=LEN(ReferenceData!$AS$53),"",ReferenceData!$AS$53),"")</f>
        <v>373688</v>
      </c>
      <c r="AT53">
        <f ca="1">IFERROR(IF(0=LEN(ReferenceData!$AT$53),"",ReferenceData!$AT$53),"")</f>
        <v>387257</v>
      </c>
      <c r="AU53">
        <f ca="1">IFERROR(IF(0=LEN(ReferenceData!$AU$53),"",ReferenceData!$AU$53),"")</f>
        <v>328826</v>
      </c>
      <c r="AV53">
        <f ca="1">IFERROR(IF(0=LEN(ReferenceData!$AV$53),"",ReferenceData!$AV$53),"")</f>
        <v>554312</v>
      </c>
      <c r="AW53">
        <f ca="1">IFERROR(IF(0=LEN(ReferenceData!$AW$53),"",ReferenceData!$AW$53),"")</f>
        <v>602926</v>
      </c>
      <c r="AX53">
        <f ca="1">IFERROR(IF(0=LEN(ReferenceData!$AX$53),"",ReferenceData!$AX$53),"")</f>
        <v>298495</v>
      </c>
      <c r="AY53">
        <f ca="1">IFERROR(IF(0=LEN(ReferenceData!$AY$53),"",ReferenceData!$AY$53),"")</f>
        <v>493046</v>
      </c>
      <c r="AZ53">
        <f ca="1">IFERROR(IF(0=LEN(ReferenceData!$AZ$53),"",ReferenceData!$AZ$53),"")</f>
        <v>431602</v>
      </c>
      <c r="BA53">
        <f ca="1">IFERROR(IF(0=LEN(ReferenceData!$BA$53),"",ReferenceData!$BA$53),"")</f>
        <v>416738</v>
      </c>
      <c r="BB53">
        <f ca="1">IFERROR(IF(0=LEN(ReferenceData!$BB$53),"",ReferenceData!$BB$53),"")</f>
        <v>202884</v>
      </c>
      <c r="BC53">
        <f ca="1">IFERROR(IF(0=LEN(ReferenceData!$BC$53),"",ReferenceData!$BC$53),"")</f>
        <v>116503</v>
      </c>
      <c r="BD53">
        <f ca="1">IFERROR(IF(0=LEN(ReferenceData!$BD$53),"",ReferenceData!$BD$53),"")</f>
        <v>180719</v>
      </c>
      <c r="BE53">
        <f ca="1">IFERROR(IF(0=LEN(ReferenceData!$BE$53),"",ReferenceData!$BE$53),"")</f>
        <v>79235</v>
      </c>
      <c r="BF53" t="str">
        <f ca="1">IFERROR(IF(0=LEN(ReferenceData!$BF$53),"",ReferenceData!$BF$53),"")</f>
        <v/>
      </c>
      <c r="BG53" t="str">
        <f ca="1">IFERROR(IF(0=LEN(ReferenceData!$BG$53),"",ReferenceData!$BG$53),"")</f>
        <v/>
      </c>
      <c r="BH53" t="str">
        <f ca="1">IFERROR(IF(0=LEN(ReferenceData!$BH$53),"",ReferenceData!$BH$53),"")</f>
        <v/>
      </c>
      <c r="BI53" t="str">
        <f ca="1">IFERROR(IF(0=LEN(ReferenceData!$BI$53),"",ReferenceData!$BI$53),"")</f>
        <v/>
      </c>
      <c r="BJ53" t="str">
        <f ca="1">IFERROR(IF(0=LEN(ReferenceData!$BJ$53),"",ReferenceData!$BJ$53),"")</f>
        <v/>
      </c>
      <c r="BK53" t="str">
        <f ca="1">IFERROR(IF(0=LEN(ReferenceData!$BK$53),"",ReferenceData!$BK$53),"")</f>
        <v/>
      </c>
      <c r="BL53" t="str">
        <f ca="1">IFERROR(IF(0=LEN(ReferenceData!$BL$53),"",ReferenceData!$BL$53),"")</f>
        <v/>
      </c>
      <c r="BM53" t="str">
        <f ca="1">IFERROR(IF(0=LEN(ReferenceData!$BM$53),"",ReferenceData!$BM$53),"")</f>
        <v/>
      </c>
    </row>
    <row r="54" spans="1:65" x14ac:dyDescent="0.25">
      <c r="A54" t="str">
        <f>IFERROR(IF(0=LEN(ReferenceData!$A$54),"",ReferenceData!$A$54),"")</f>
        <v xml:space="preserve">            Slovakia</v>
      </c>
      <c r="B54" t="str">
        <f>IFERROR(IF(0=LEN(ReferenceData!$B$54),"",ReferenceData!$B$54),"")</f>
        <v>WCARSK Index</v>
      </c>
      <c r="C54" t="str">
        <f>IFERROR(IF(0=LEN(ReferenceData!$C$54),"",ReferenceData!$C$54),"")</f>
        <v>PX385</v>
      </c>
      <c r="D54" t="str">
        <f>IFERROR(IF(0=LEN(ReferenceData!$D$54),"",ReferenceData!$D$54),"")</f>
        <v>INTERVAL_SUM</v>
      </c>
      <c r="E54" t="str">
        <f>IFERROR(IF(0=LEN(ReferenceData!$E$54),"",ReferenceData!$E$54),"")</f>
        <v>Dynamic</v>
      </c>
      <c r="F54">
        <f ca="1">IFERROR(IF(0=LEN(ReferenceData!$F$54),"",ReferenceData!$F$54),"")</f>
        <v>7230</v>
      </c>
      <c r="G54">
        <f ca="1">IFERROR(IF(0=LEN(ReferenceData!$G$54),"",ReferenceData!$G$54),"")</f>
        <v>22359</v>
      </c>
      <c r="H54">
        <f ca="1">IFERROR(IF(0=LEN(ReferenceData!$H$54),"",ReferenceData!$H$54),"")</f>
        <v>23830</v>
      </c>
      <c r="I54">
        <f ca="1">IFERROR(IF(0=LEN(ReferenceData!$I$54),"",ReferenceData!$I$54),"")</f>
        <v>27548</v>
      </c>
      <c r="J54">
        <f ca="1">IFERROR(IF(0=LEN(ReferenceData!$J$54),"",ReferenceData!$J$54),"")</f>
        <v>24343</v>
      </c>
      <c r="K54">
        <f ca="1">IFERROR(IF(0=LEN(ReferenceData!$K$54),"",ReferenceData!$K$54),"")</f>
        <v>24750</v>
      </c>
      <c r="L54">
        <f ca="1">IFERROR(IF(0=LEN(ReferenceData!$L$54),"",ReferenceData!$L$54),"")</f>
        <v>22464</v>
      </c>
      <c r="M54">
        <f ca="1">IFERROR(IF(0=LEN(ReferenceData!$M$54),"",ReferenceData!$M$54),"")</f>
        <v>26057</v>
      </c>
      <c r="N54">
        <f ca="1">IFERROR(IF(0=LEN(ReferenceData!$N$54),"",ReferenceData!$N$54),"")</f>
        <v>22814</v>
      </c>
      <c r="O54">
        <f ca="1">IFERROR(IF(0=LEN(ReferenceData!$O$54),"",ReferenceData!$O$54),"")</f>
        <v>23351</v>
      </c>
      <c r="P54">
        <f ca="1">IFERROR(IF(0=LEN(ReferenceData!$P$54),"",ReferenceData!$P$54),"")</f>
        <v>20858</v>
      </c>
      <c r="Q54">
        <f ca="1">IFERROR(IF(0=LEN(ReferenceData!$Q$54),"",ReferenceData!$Q$54),"")</f>
        <v>23931</v>
      </c>
      <c r="R54">
        <f ca="1">IFERROR(IF(0=LEN(ReferenceData!$R$54),"",ReferenceData!$R$54),"")</f>
        <v>20023</v>
      </c>
      <c r="S54">
        <f ca="1">IFERROR(IF(0=LEN(ReferenceData!$S$54),"",ReferenceData!$S$54),"")</f>
        <v>20960</v>
      </c>
      <c r="T54">
        <f ca="1">IFERROR(IF(0=LEN(ReferenceData!$T$54),"",ReferenceData!$T$54),"")</f>
        <v>19834</v>
      </c>
      <c r="U54">
        <f ca="1">IFERROR(IF(0=LEN(ReferenceData!$U$54),"",ReferenceData!$U$54),"")</f>
        <v>20583</v>
      </c>
      <c r="V54">
        <f ca="1">IFERROR(IF(0=LEN(ReferenceData!$V$54),"",ReferenceData!$V$54),"")</f>
        <v>16594</v>
      </c>
      <c r="W54">
        <f ca="1">IFERROR(IF(0=LEN(ReferenceData!$W$54),"",ReferenceData!$W$54),"")</f>
        <v>18985</v>
      </c>
      <c r="X54">
        <f ca="1">IFERROR(IF(0=LEN(ReferenceData!$X$54),"",ReferenceData!$X$54),"")</f>
        <v>17272</v>
      </c>
      <c r="Y54">
        <f ca="1">IFERROR(IF(0=LEN(ReferenceData!$Y$54),"",ReferenceData!$Y$54),"")</f>
        <v>19137</v>
      </c>
      <c r="Z54">
        <f ca="1">IFERROR(IF(0=LEN(ReferenceData!$Z$54),"",ReferenceData!$Z$54),"")</f>
        <v>16855</v>
      </c>
      <c r="AA54">
        <f ca="1">IFERROR(IF(0=LEN(ReferenceData!$AA$54),"",ReferenceData!$AA$54),"")</f>
        <v>18920</v>
      </c>
      <c r="AB54">
        <f ca="1">IFERROR(IF(0=LEN(ReferenceData!$AB$54),"",ReferenceData!$AB$54),"")</f>
        <v>15036</v>
      </c>
      <c r="AC54">
        <f ca="1">IFERROR(IF(0=LEN(ReferenceData!$AC$54),"",ReferenceData!$AC$54),"")</f>
        <v>17543</v>
      </c>
      <c r="AD54">
        <f ca="1">IFERROR(IF(0=LEN(ReferenceData!$AD$54),"",ReferenceData!$AD$54),"")</f>
        <v>14501</v>
      </c>
      <c r="AE54">
        <f ca="1">IFERROR(IF(0=LEN(ReferenceData!$AE$54),"",ReferenceData!$AE$54),"")</f>
        <v>15423</v>
      </c>
      <c r="AF54">
        <f ca="1">IFERROR(IF(0=LEN(ReferenceData!$AF$54),"",ReferenceData!$AF$54),"")</f>
        <v>19529</v>
      </c>
      <c r="AG54">
        <f ca="1">IFERROR(IF(0=LEN(ReferenceData!$AG$54),"",ReferenceData!$AG$54),"")</f>
        <v>17718</v>
      </c>
      <c r="AH54">
        <f ca="1">IFERROR(IF(0=LEN(ReferenceData!$AH$54),"",ReferenceData!$AH$54),"")</f>
        <v>16598</v>
      </c>
      <c r="AI54">
        <f ca="1">IFERROR(IF(0=LEN(ReferenceData!$AI$54),"",ReferenceData!$AI$54),"")</f>
        <v>18249</v>
      </c>
      <c r="AJ54">
        <f ca="1">IFERROR(IF(0=LEN(ReferenceData!$AJ$54),"",ReferenceData!$AJ$54),"")</f>
        <v>15771</v>
      </c>
      <c r="AK54">
        <f ca="1">IFERROR(IF(0=LEN(ReferenceData!$AK$54),"",ReferenceData!$AK$54),"")</f>
        <v>18486</v>
      </c>
      <c r="AL54">
        <f ca="1">IFERROR(IF(0=LEN(ReferenceData!$AL$54),"",ReferenceData!$AL$54),"")</f>
        <v>15697</v>
      </c>
      <c r="AM54">
        <f ca="1">IFERROR(IF(0=LEN(ReferenceData!$AM$54),"",ReferenceData!$AM$54),"")</f>
        <v>20296</v>
      </c>
      <c r="AN54">
        <f ca="1">IFERROR(IF(0=LEN(ReferenceData!$AN$54),"",ReferenceData!$AN$54),"")</f>
        <v>16027</v>
      </c>
      <c r="AO54">
        <f ca="1">IFERROR(IF(0=LEN(ReferenceData!$AO$54),"",ReferenceData!$AO$54),"")</f>
        <v>15920</v>
      </c>
      <c r="AP54">
        <f ca="1">IFERROR(IF(0=LEN(ReferenceData!$AP$54),"",ReferenceData!$AP$54),"")</f>
        <v>11790</v>
      </c>
      <c r="AQ54">
        <f ca="1">IFERROR(IF(0=LEN(ReferenceData!$AQ$54),"",ReferenceData!$AQ$54),"")</f>
        <v>12363</v>
      </c>
      <c r="AR54">
        <f ca="1">IFERROR(IF(0=LEN(ReferenceData!$AR$54),"",ReferenceData!$AR$54),"")</f>
        <v>21056</v>
      </c>
      <c r="AS54">
        <f ca="1">IFERROR(IF(0=LEN(ReferenceData!$AS$54),"",ReferenceData!$AS$54),"")</f>
        <v>28602</v>
      </c>
      <c r="AT54">
        <f ca="1">IFERROR(IF(0=LEN(ReferenceData!$AT$54),"",ReferenceData!$AT$54),"")</f>
        <v>12696</v>
      </c>
      <c r="AU54">
        <f ca="1">IFERROR(IF(0=LEN(ReferenceData!$AU$54),"",ReferenceData!$AU$54),"")</f>
        <v>17957</v>
      </c>
      <c r="AV54">
        <f ca="1">IFERROR(IF(0=LEN(ReferenceData!$AV$54),"",ReferenceData!$AV$54),"")</f>
        <v>17200</v>
      </c>
      <c r="AW54">
        <f ca="1">IFERROR(IF(0=LEN(ReferenceData!$AW$54),"",ReferenceData!$AW$54),"")</f>
        <v>19297</v>
      </c>
      <c r="AX54">
        <f ca="1">IFERROR(IF(0=LEN(ReferenceData!$AX$54),"",ReferenceData!$AX$54),"")</f>
        <v>15586</v>
      </c>
      <c r="AY54">
        <f ca="1">IFERROR(IF(0=LEN(ReferenceData!$AY$54),"",ReferenceData!$AY$54),"")</f>
        <v>16221</v>
      </c>
      <c r="AZ54">
        <f ca="1">IFERROR(IF(0=LEN(ReferenceData!$AZ$54),"",ReferenceData!$AZ$54),"")</f>
        <v>14232</v>
      </c>
      <c r="BA54">
        <f ca="1">IFERROR(IF(0=LEN(ReferenceData!$BA$54),"",ReferenceData!$BA$54),"")</f>
        <v>16058</v>
      </c>
      <c r="BB54">
        <f ca="1">IFERROR(IF(0=LEN(ReferenceData!$BB$54),"",ReferenceData!$BB$54),"")</f>
        <v>13189</v>
      </c>
      <c r="BC54">
        <f ca="1">IFERROR(IF(0=LEN(ReferenceData!$BC$54),"",ReferenceData!$BC$54),"")</f>
        <v>15869</v>
      </c>
      <c r="BD54">
        <f ca="1">IFERROR(IF(0=LEN(ReferenceData!$BD$54),"",ReferenceData!$BD$54),"")</f>
        <v>13523</v>
      </c>
      <c r="BE54">
        <f ca="1">IFERROR(IF(0=LEN(ReferenceData!$BE$54),"",ReferenceData!$BE$54),"")</f>
        <v>16840</v>
      </c>
      <c r="BF54">
        <f ca="1">IFERROR(IF(0=LEN(ReferenceData!$BF$54),"",ReferenceData!$BF$54),"")</f>
        <v>12852</v>
      </c>
      <c r="BG54">
        <f ca="1">IFERROR(IF(0=LEN(ReferenceData!$BG$54),"",ReferenceData!$BG$54),"")</f>
        <v>14872</v>
      </c>
      <c r="BH54">
        <f ca="1">IFERROR(IF(0=LEN(ReferenceData!$BH$54),"",ReferenceData!$BH$54),"")</f>
        <v>14086</v>
      </c>
      <c r="BI54">
        <f ca="1">IFERROR(IF(0=LEN(ReferenceData!$BI$54),"",ReferenceData!$BI$54),"")</f>
        <v>16345</v>
      </c>
      <c r="BJ54">
        <f ca="1">IFERROR(IF(0=LEN(ReferenceData!$BJ$54),"",ReferenceData!$BJ$54),"")</f>
        <v>11822</v>
      </c>
      <c r="BK54">
        <f ca="1">IFERROR(IF(0=LEN(ReferenceData!$BK$54),"",ReferenceData!$BK$54),"")</f>
        <v>16318</v>
      </c>
      <c r="BL54">
        <f ca="1">IFERROR(IF(0=LEN(ReferenceData!$BL$54),"",ReferenceData!$BL$54),"")</f>
        <v>13206</v>
      </c>
      <c r="BM54">
        <f ca="1">IFERROR(IF(0=LEN(ReferenceData!$BM$54),"",ReferenceData!$BM$54),"")</f>
        <v>15983</v>
      </c>
    </row>
    <row r="55" spans="1:65" x14ac:dyDescent="0.25">
      <c r="A55" t="str">
        <f>IFERROR(IF(0=LEN(ReferenceData!$A$55),"",ReferenceData!$A$55),"")</f>
        <v xml:space="preserve">            Slovenia</v>
      </c>
      <c r="B55" t="str">
        <f>IFERROR(IF(0=LEN(ReferenceData!$B$55),"",ReferenceData!$B$55),"")</f>
        <v>WCARSI Index</v>
      </c>
      <c r="C55" t="str">
        <f>IFERROR(IF(0=LEN(ReferenceData!$C$55),"",ReferenceData!$C$55),"")</f>
        <v>PX385</v>
      </c>
      <c r="D55" t="str">
        <f>IFERROR(IF(0=LEN(ReferenceData!$D$55),"",ReferenceData!$D$55),"")</f>
        <v>INTERVAL_SUM</v>
      </c>
      <c r="E55" t="str">
        <f>IFERROR(IF(0=LEN(ReferenceData!$E$55),"",ReferenceData!$E$55),"")</f>
        <v>Dynamic</v>
      </c>
      <c r="F55">
        <f ca="1">IFERROR(IF(0=LEN(ReferenceData!$F$55),"",ReferenceData!$F$55),"")</f>
        <v>6563</v>
      </c>
      <c r="G55">
        <f ca="1">IFERROR(IF(0=LEN(ReferenceData!$G$55),"",ReferenceData!$G$55),"")</f>
        <v>14383</v>
      </c>
      <c r="H55">
        <f ca="1">IFERROR(IF(0=LEN(ReferenceData!$H$55),"",ReferenceData!$H$55),"")</f>
        <v>16775</v>
      </c>
      <c r="I55">
        <f ca="1">IFERROR(IF(0=LEN(ReferenceData!$I$55),"",ReferenceData!$I$55),"")</f>
        <v>21271</v>
      </c>
      <c r="J55">
        <f ca="1">IFERROR(IF(0=LEN(ReferenceData!$J$55),"",ReferenceData!$J$55),"")</f>
        <v>20359</v>
      </c>
      <c r="K55">
        <f ca="1">IFERROR(IF(0=LEN(ReferenceData!$K$55),"",ReferenceData!$K$55),"")</f>
        <v>16777</v>
      </c>
      <c r="L55">
        <f ca="1">IFERROR(IF(0=LEN(ReferenceData!$L$55),"",ReferenceData!$L$55),"")</f>
        <v>15083</v>
      </c>
      <c r="M55">
        <f ca="1">IFERROR(IF(0=LEN(ReferenceData!$M$55),"",ReferenceData!$M$55),"")</f>
        <v>20342</v>
      </c>
      <c r="N55">
        <f ca="1">IFERROR(IF(0=LEN(ReferenceData!$N$55),"",ReferenceData!$N$55),"")</f>
        <v>18690</v>
      </c>
      <c r="O55">
        <f ca="1">IFERROR(IF(0=LEN(ReferenceData!$O$55),"",ReferenceData!$O$55),"")</f>
        <v>14654</v>
      </c>
      <c r="P55">
        <f ca="1">IFERROR(IF(0=LEN(ReferenceData!$P$55),"",ReferenceData!$P$55),"")</f>
        <v>14040</v>
      </c>
      <c r="Q55">
        <f ca="1">IFERROR(IF(0=LEN(ReferenceData!$Q$55),"",ReferenceData!$Q$55),"")</f>
        <v>18289</v>
      </c>
      <c r="R55">
        <f ca="1">IFERROR(IF(0=LEN(ReferenceData!$R$55),"",ReferenceData!$R$55),"")</f>
        <v>16691</v>
      </c>
      <c r="S55">
        <f ca="1">IFERROR(IF(0=LEN(ReferenceData!$S$55),"",ReferenceData!$S$55),"")</f>
        <v>14651</v>
      </c>
      <c r="T55">
        <f ca="1">IFERROR(IF(0=LEN(ReferenceData!$T$55),"",ReferenceData!$T$55),"")</f>
        <v>13618</v>
      </c>
      <c r="U55">
        <f ca="1">IFERROR(IF(0=LEN(ReferenceData!$U$55),"",ReferenceData!$U$55),"")</f>
        <v>16182</v>
      </c>
      <c r="V55">
        <f ca="1">IFERROR(IF(0=LEN(ReferenceData!$V$55),"",ReferenceData!$V$55),"")</f>
        <v>15647</v>
      </c>
      <c r="W55">
        <f ca="1">IFERROR(IF(0=LEN(ReferenceData!$W$55),"",ReferenceData!$W$55),"")</f>
        <v>13290</v>
      </c>
      <c r="X55">
        <f ca="1">IFERROR(IF(0=LEN(ReferenceData!$X$55),"",ReferenceData!$X$55),"")</f>
        <v>12331</v>
      </c>
      <c r="Y55">
        <f ca="1">IFERROR(IF(0=LEN(ReferenceData!$Y$55),"",ReferenceData!$Y$55),"")</f>
        <v>14439</v>
      </c>
      <c r="Z55">
        <f ca="1">IFERROR(IF(0=LEN(ReferenceData!$Z$55),"",ReferenceData!$Z$55),"")</f>
        <v>13799</v>
      </c>
      <c r="AA55">
        <f ca="1">IFERROR(IF(0=LEN(ReferenceData!$AA$55),"",ReferenceData!$AA$55),"")</f>
        <v>11125</v>
      </c>
      <c r="AB55">
        <f ca="1">IFERROR(IF(0=LEN(ReferenceData!$AB$55),"",ReferenceData!$AB$55),"")</f>
        <v>11592</v>
      </c>
      <c r="AC55">
        <f ca="1">IFERROR(IF(0=LEN(ReferenceData!$AC$55),"",ReferenceData!$AC$55),"")</f>
        <v>15461</v>
      </c>
      <c r="AD55">
        <f ca="1">IFERROR(IF(0=LEN(ReferenceData!$AD$55),"",ReferenceData!$AD$55),"")</f>
        <v>12768</v>
      </c>
      <c r="AE55">
        <f ca="1">IFERROR(IF(0=LEN(ReferenceData!$AE$55),"",ReferenceData!$AE$55),"")</f>
        <v>9941</v>
      </c>
      <c r="AF55">
        <f ca="1">IFERROR(IF(0=LEN(ReferenceData!$AF$55),"",ReferenceData!$AF$55),"")</f>
        <v>10380</v>
      </c>
      <c r="AG55">
        <f ca="1">IFERROR(IF(0=LEN(ReferenceData!$AG$55),"",ReferenceData!$AG$55),"")</f>
        <v>14002</v>
      </c>
      <c r="AH55">
        <f ca="1">IFERROR(IF(0=LEN(ReferenceData!$AH$55),"",ReferenceData!$AH$55),"")</f>
        <v>14325</v>
      </c>
      <c r="AI55">
        <f ca="1">IFERROR(IF(0=LEN(ReferenceData!$AI$55),"",ReferenceData!$AI$55),"")</f>
        <v>12039</v>
      </c>
      <c r="AJ55">
        <f ca="1">IFERROR(IF(0=LEN(ReferenceData!$AJ$55),"",ReferenceData!$AJ$55),"")</f>
        <v>13436</v>
      </c>
      <c r="AK55">
        <f ca="1">IFERROR(IF(0=LEN(ReferenceData!$AK$55),"",ReferenceData!$AK$55),"")</f>
        <v>16289</v>
      </c>
      <c r="AL55">
        <f ca="1">IFERROR(IF(0=LEN(ReferenceData!$AL$55),"",ReferenceData!$AL$55),"")</f>
        <v>16653</v>
      </c>
      <c r="AM55">
        <f ca="1">IFERROR(IF(0=LEN(ReferenceData!$AM$55),"",ReferenceData!$AM$55),"")</f>
        <v>12752</v>
      </c>
      <c r="AN55">
        <f ca="1">IFERROR(IF(0=LEN(ReferenceData!$AN$55),"",ReferenceData!$AN$55),"")</f>
        <v>14071</v>
      </c>
      <c r="AO55">
        <f ca="1">IFERROR(IF(0=LEN(ReferenceData!$AO$55),"",ReferenceData!$AO$55),"")</f>
        <v>16655</v>
      </c>
      <c r="AP55">
        <f ca="1">IFERROR(IF(0=LEN(ReferenceData!$AP$55),"",ReferenceData!$AP$55),"")</f>
        <v>15748</v>
      </c>
      <c r="AQ55">
        <f ca="1">IFERROR(IF(0=LEN(ReferenceData!$AQ$55),"",ReferenceData!$AQ$55),"")</f>
        <v>12726</v>
      </c>
      <c r="AR55">
        <f ca="1">IFERROR(IF(0=LEN(ReferenceData!$AR$55),"",ReferenceData!$AR$55),"")</f>
        <v>13708</v>
      </c>
      <c r="AS55">
        <f ca="1">IFERROR(IF(0=LEN(ReferenceData!$AS$55),"",ReferenceData!$AS$55),"")</f>
        <v>14798</v>
      </c>
      <c r="AT55">
        <f ca="1">IFERROR(IF(0=LEN(ReferenceData!$AT$55),"",ReferenceData!$AT$55),"")</f>
        <v>14648</v>
      </c>
      <c r="AU55">
        <f ca="1">IFERROR(IF(0=LEN(ReferenceData!$AU$55),"",ReferenceData!$AU$55),"")</f>
        <v>13560</v>
      </c>
      <c r="AV55">
        <f ca="1">IFERROR(IF(0=LEN(ReferenceData!$AV$55),"",ReferenceData!$AV$55),"")</f>
        <v>16987</v>
      </c>
      <c r="AW55">
        <f ca="1">IFERROR(IF(0=LEN(ReferenceData!$AW$55),"",ReferenceData!$AW$55),"")</f>
        <v>21460</v>
      </c>
      <c r="AX55">
        <f ca="1">IFERROR(IF(0=LEN(ReferenceData!$AX$55),"",ReferenceData!$AX$55),"")</f>
        <v>19568</v>
      </c>
      <c r="AY55">
        <f ca="1">IFERROR(IF(0=LEN(ReferenceData!$AY$55),"",ReferenceData!$AY$55),"")</f>
        <v>16212</v>
      </c>
      <c r="AZ55">
        <f ca="1">IFERROR(IF(0=LEN(ReferenceData!$AZ$55),"",ReferenceData!$AZ$55),"")</f>
        <v>15948</v>
      </c>
      <c r="BA55">
        <f ca="1">IFERROR(IF(0=LEN(ReferenceData!$BA$55),"",ReferenceData!$BA$55),"")</f>
        <v>19478</v>
      </c>
      <c r="BB55">
        <f ca="1">IFERROR(IF(0=LEN(ReferenceData!$BB$55),"",ReferenceData!$BB$55),"")</f>
        <v>17081</v>
      </c>
      <c r="BC55">
        <f ca="1">IFERROR(IF(0=LEN(ReferenceData!$BC$55),"",ReferenceData!$BC$55),"")</f>
        <v>13017</v>
      </c>
      <c r="BD55">
        <f ca="1">IFERROR(IF(0=LEN(ReferenceData!$BD$55),"",ReferenceData!$BD$55),"")</f>
        <v>13652</v>
      </c>
      <c r="BE55">
        <f ca="1">IFERROR(IF(0=LEN(ReferenceData!$BE$55),"",ReferenceData!$BE$55),"")</f>
        <v>16780</v>
      </c>
      <c r="BF55">
        <f ca="1">IFERROR(IF(0=LEN(ReferenceData!$BF$55),"",ReferenceData!$BF$55),"")</f>
        <v>16129</v>
      </c>
      <c r="BG55">
        <f ca="1">IFERROR(IF(0=LEN(ReferenceData!$BG$55),"",ReferenceData!$BG$55),"")</f>
        <v>12554</v>
      </c>
      <c r="BH55">
        <f ca="1">IFERROR(IF(0=LEN(ReferenceData!$BH$55),"",ReferenceData!$BH$55),"")</f>
        <v>13202</v>
      </c>
      <c r="BI55">
        <f ca="1">IFERROR(IF(0=LEN(ReferenceData!$BI$55),"",ReferenceData!$BI$55),"")</f>
        <v>17632</v>
      </c>
      <c r="BJ55">
        <f ca="1">IFERROR(IF(0=LEN(ReferenceData!$BJ$55),"",ReferenceData!$BJ$55),"")</f>
        <v>15936</v>
      </c>
      <c r="BK55">
        <f ca="1">IFERROR(IF(0=LEN(ReferenceData!$BK$55),"",ReferenceData!$BK$55),"")</f>
        <v>12900</v>
      </c>
      <c r="BL55">
        <f ca="1">IFERROR(IF(0=LEN(ReferenceData!$BL$55),"",ReferenceData!$BL$55),"")</f>
        <v>13650</v>
      </c>
      <c r="BM55">
        <f ca="1">IFERROR(IF(0=LEN(ReferenceData!$BM$55),"",ReferenceData!$BM$55),"")</f>
        <v>18161</v>
      </c>
    </row>
    <row r="56" spans="1:65" x14ac:dyDescent="0.25">
      <c r="A56" t="str">
        <f>IFERROR(IF(0=LEN(ReferenceData!$A$56),"",ReferenceData!$A$56),"")</f>
        <v xml:space="preserve">    North America</v>
      </c>
      <c r="B56" t="str">
        <f>IFERROR(IF(0=LEN(ReferenceData!$B$56),"",ReferenceData!$B$56),"")</f>
        <v>AUTMNAVS Index</v>
      </c>
      <c r="C56" t="str">
        <f>IFERROR(IF(0=LEN(ReferenceData!$C$56),"",ReferenceData!$C$56),"")</f>
        <v/>
      </c>
      <c r="D56" t="str">
        <f>IFERROR(IF(0=LEN(ReferenceData!$D$56),"",ReferenceData!$D$56),"")</f>
        <v/>
      </c>
      <c r="E56" t="str">
        <f>IFERROR(IF(0=LEN(ReferenceData!$E$56),"",ReferenceData!$E$56),"")</f>
        <v>Sum</v>
      </c>
      <c r="F56">
        <f ca="1">IFERROR(IF(0=LEN(ReferenceData!$F$56),"",ReferenceData!$F$56),"")</f>
        <v>220012</v>
      </c>
      <c r="G56">
        <f ca="1">IFERROR(IF(0=LEN(ReferenceData!$G$56),"",ReferenceData!$G$56),"")</f>
        <v>812179</v>
      </c>
      <c r="H56">
        <f ca="1">IFERROR(IF(0=LEN(ReferenceData!$H$56),"",ReferenceData!$H$56),"")</f>
        <v>876880</v>
      </c>
      <c r="I56">
        <f ca="1">IFERROR(IF(0=LEN(ReferenceData!$I$56),"",ReferenceData!$I$56),"")</f>
        <v>950970</v>
      </c>
      <c r="J56">
        <f ca="1">IFERROR(IF(0=LEN(ReferenceData!$J$56),"",ReferenceData!$J$56),"")</f>
        <v>4857333</v>
      </c>
      <c r="K56">
        <f ca="1">IFERROR(IF(0=LEN(ReferenceData!$K$56),"",ReferenceData!$K$56),"")</f>
        <v>5201823</v>
      </c>
      <c r="L56">
        <f ca="1">IFERROR(IF(0=LEN(ReferenceData!$L$56),"",ReferenceData!$L$56),"")</f>
        <v>5315570</v>
      </c>
      <c r="M56">
        <f ca="1">IFERROR(IF(0=LEN(ReferenceData!$M$56),"",ReferenceData!$M$56),"")</f>
        <v>5373675</v>
      </c>
      <c r="N56">
        <f ca="1">IFERROR(IF(0=LEN(ReferenceData!$N$56),"",ReferenceData!$N$56),"")</f>
        <v>4809872</v>
      </c>
      <c r="O56">
        <f ca="1">IFERROR(IF(0=LEN(ReferenceData!$O$56),"",ReferenceData!$O$56),"")</f>
        <v>5343629</v>
      </c>
      <c r="P56">
        <f ca="1">IFERROR(IF(0=LEN(ReferenceData!$P$56),"",ReferenceData!$P$56),"")</f>
        <v>5368664</v>
      </c>
      <c r="Q56">
        <f ca="1">IFERROR(IF(0=LEN(ReferenceData!$Q$56),"",ReferenceData!$Q$56),"")</f>
        <v>5482473</v>
      </c>
      <c r="R56">
        <f ca="1">IFERROR(IF(0=LEN(ReferenceData!$R$56),"",ReferenceData!$R$56),"")</f>
        <v>4822583</v>
      </c>
      <c r="S56">
        <f ca="1">IFERROR(IF(0=LEN(ReferenceData!$S$56),"",ReferenceData!$S$56),"")</f>
        <v>5245397</v>
      </c>
      <c r="T56">
        <f ca="1">IFERROR(IF(0=LEN(ReferenceData!$T$56),"",ReferenceData!$T$56),"")</f>
        <v>5366644</v>
      </c>
      <c r="U56">
        <f ca="1">IFERROR(IF(0=LEN(ReferenceData!$U$56),"",ReferenceData!$U$56),"")</f>
        <v>5415829</v>
      </c>
      <c r="V56">
        <f ca="1">IFERROR(IF(0=LEN(ReferenceData!$V$56),"",ReferenceData!$V$56),"")</f>
        <v>4614009</v>
      </c>
      <c r="W56">
        <f ca="1">IFERROR(IF(0=LEN(ReferenceData!$W$56),"",ReferenceData!$W$56),"")</f>
        <v>4836466</v>
      </c>
      <c r="X56">
        <f ca="1">IFERROR(IF(0=LEN(ReferenceData!$X$56),"",ReferenceData!$X$56),"")</f>
        <v>5052482</v>
      </c>
      <c r="Y56">
        <f ca="1">IFERROR(IF(0=LEN(ReferenceData!$Y$56),"",ReferenceData!$Y$56),"")</f>
        <v>5198348</v>
      </c>
      <c r="Z56">
        <f ca="1">IFERROR(IF(0=LEN(ReferenceData!$Z$56),"",ReferenceData!$Z$56),"")</f>
        <v>4337744</v>
      </c>
      <c r="AA56">
        <f ca="1">IFERROR(IF(0=LEN(ReferenceData!$AA$56),"",ReferenceData!$AA$56),"")</f>
        <v>4493463</v>
      </c>
      <c r="AB56">
        <f ca="1">IFERROR(IF(0=LEN(ReferenceData!$AB$56),"",ReferenceData!$AB$56),"")</f>
        <v>4661604</v>
      </c>
      <c r="AC56">
        <f ca="1">IFERROR(IF(0=LEN(ReferenceData!$AC$56),"",ReferenceData!$AC$56),"")</f>
        <v>4898063</v>
      </c>
      <c r="AD56">
        <f ca="1">IFERROR(IF(0=LEN(ReferenceData!$AD$56),"",ReferenceData!$AD$56),"")</f>
        <v>4278289</v>
      </c>
      <c r="AE56">
        <f ca="1">IFERROR(IF(0=LEN(ReferenceData!$AE$56),"",ReferenceData!$AE$56),"")</f>
        <v>4233031</v>
      </c>
      <c r="AF56">
        <f ca="1">IFERROR(IF(0=LEN(ReferenceData!$AF$56),"",ReferenceData!$AF$56),"")</f>
        <v>4294423</v>
      </c>
      <c r="AG56">
        <f ca="1">IFERROR(IF(0=LEN(ReferenceData!$AG$56),"",ReferenceData!$AG$56),"")</f>
        <v>4524465</v>
      </c>
      <c r="AH56">
        <f ca="1">IFERROR(IF(0=LEN(ReferenceData!$AH$56),"",ReferenceData!$AH$56),"")</f>
        <v>4052002</v>
      </c>
      <c r="AI56">
        <f ca="1">IFERROR(IF(0=LEN(ReferenceData!$AI$56),"",ReferenceData!$AI$56),"")</f>
        <v>3883884</v>
      </c>
      <c r="AJ56">
        <f ca="1">IFERROR(IF(0=LEN(ReferenceData!$AJ$56),"",ReferenceData!$AJ$56),"")</f>
        <v>3809496</v>
      </c>
      <c r="AK56">
        <f ca="1">IFERROR(IF(0=LEN(ReferenceData!$AK$56),"",ReferenceData!$AK$56),"")</f>
        <v>3937283</v>
      </c>
      <c r="AL56">
        <f ca="1">IFERROR(IF(0=LEN(ReferenceData!$AL$56),"",ReferenceData!$AL$56),"")</f>
        <v>3593738</v>
      </c>
      <c r="AM56">
        <f ca="1">IFERROR(IF(0=LEN(ReferenceData!$AM$56),"",ReferenceData!$AM$56),"")</f>
        <v>3572324</v>
      </c>
      <c r="AN56">
        <f ca="1">IFERROR(IF(0=LEN(ReferenceData!$AN$56),"",ReferenceData!$AN$56),"")</f>
        <v>3614267</v>
      </c>
      <c r="AO56">
        <f ca="1">IFERROR(IF(0=LEN(ReferenceData!$AO$56),"",ReferenceData!$AO$56),"")</f>
        <v>3707888</v>
      </c>
      <c r="AP56">
        <f ca="1">IFERROR(IF(0=LEN(ReferenceData!$AP$56),"",ReferenceData!$AP$56),"")</f>
        <v>3060227</v>
      </c>
      <c r="AQ56">
        <f ca="1">IFERROR(IF(0=LEN(ReferenceData!$AQ$56),"",ReferenceData!$AQ$56),"")</f>
        <v>3173422</v>
      </c>
      <c r="AR56">
        <f ca="1">IFERROR(IF(0=LEN(ReferenceData!$AR$56),"",ReferenceData!$AR$56),"")</f>
        <v>3583206</v>
      </c>
      <c r="AS56">
        <f ca="1">IFERROR(IF(0=LEN(ReferenceData!$AS$56),"",ReferenceData!$AS$56),"")</f>
        <v>3201243</v>
      </c>
      <c r="AT56">
        <f ca="1">IFERROR(IF(0=LEN(ReferenceData!$AT$56),"",ReferenceData!$AT$56),"")</f>
        <v>2682733</v>
      </c>
      <c r="AU56">
        <f ca="1">IFERROR(IF(0=LEN(ReferenceData!$AU$56),"",ReferenceData!$AU$56),"")</f>
        <v>3063680</v>
      </c>
      <c r="AV56">
        <f ca="1">IFERROR(IF(0=LEN(ReferenceData!$AV$56),"",ReferenceData!$AV$56),"")</f>
        <v>4021074</v>
      </c>
      <c r="AW56">
        <f ca="1">IFERROR(IF(0=LEN(ReferenceData!$AW$56),"",ReferenceData!$AW$56),"")</f>
        <v>4594231</v>
      </c>
      <c r="AX56">
        <f ca="1">IFERROR(IF(0=LEN(ReferenceData!$AX$56),"",ReferenceData!$AX$56),"")</f>
        <v>4199749</v>
      </c>
      <c r="AY56">
        <f ca="1">IFERROR(IF(0=LEN(ReferenceData!$AY$56),"",ReferenceData!$AY$56),"")</f>
        <v>4479273</v>
      </c>
      <c r="AZ56">
        <f ca="1">IFERROR(IF(0=LEN(ReferenceData!$AZ$56),"",ReferenceData!$AZ$56),"")</f>
        <v>4792736</v>
      </c>
      <c r="BA56">
        <f ca="1">IFERROR(IF(0=LEN(ReferenceData!$BA$56),"",ReferenceData!$BA$56),"")</f>
        <v>5121513</v>
      </c>
      <c r="BB56">
        <f ca="1">IFERROR(IF(0=LEN(ReferenceData!$BB$56),"",ReferenceData!$BB$56),"")</f>
        <v>4506813</v>
      </c>
      <c r="BC56">
        <f ca="1">IFERROR(IF(0=LEN(ReferenceData!$BC$56),"",ReferenceData!$BC$56),"")</f>
        <v>4555943</v>
      </c>
      <c r="BD56">
        <f ca="1">IFERROR(IF(0=LEN(ReferenceData!$BD$56),"",ReferenceData!$BD$56),"")</f>
        <v>5032554</v>
      </c>
      <c r="BE56">
        <f ca="1">IFERROR(IF(0=LEN(ReferenceData!$BE$56),"",ReferenceData!$BE$56),"")</f>
        <v>5170877</v>
      </c>
      <c r="BF56">
        <f ca="1">IFERROR(IF(0=LEN(ReferenceData!$BF$56),"",ReferenceData!$BF$56),"")</f>
        <v>4552381</v>
      </c>
      <c r="BG56">
        <f ca="1">IFERROR(IF(0=LEN(ReferenceData!$BG$56),"",ReferenceData!$BG$56),"")</f>
        <v>4486603</v>
      </c>
      <c r="BH56">
        <f ca="1">IFERROR(IF(0=LEN(ReferenceData!$BH$56),"",ReferenceData!$BH$56),"")</f>
        <v>5309326</v>
      </c>
      <c r="BI56">
        <f ca="1">IFERROR(IF(0=LEN(ReferenceData!$BI$56),"",ReferenceData!$BI$56),"")</f>
        <v>5417107</v>
      </c>
      <c r="BJ56">
        <f ca="1">IFERROR(IF(0=LEN(ReferenceData!$BJ$56),"",ReferenceData!$BJ$56),"")</f>
        <v>4490824</v>
      </c>
      <c r="BK56">
        <f ca="1">IFERROR(IF(0=LEN(ReferenceData!$BK$56),"",ReferenceData!$BK$56),"")</f>
        <v>4763144</v>
      </c>
      <c r="BL56">
        <f ca="1">IFERROR(IF(0=LEN(ReferenceData!$BL$56),"",ReferenceData!$BL$56),"")</f>
        <v>5062522</v>
      </c>
      <c r="BM56">
        <f ca="1">IFERROR(IF(0=LEN(ReferenceData!$BM$56),"",ReferenceData!$BM$56),"")</f>
        <v>5213439</v>
      </c>
    </row>
    <row r="57" spans="1:65" x14ac:dyDescent="0.25">
      <c r="A57" t="str">
        <f>IFERROR(IF(0=LEN(ReferenceData!$A$57),"",ReferenceData!$A$57),"")</f>
        <v xml:space="preserve">        Canada</v>
      </c>
      <c r="B57" t="str">
        <f>IFERROR(IF(0=LEN(ReferenceData!$B$57),"",ReferenceData!$B$57),"")</f>
        <v>CAUTSALE Index</v>
      </c>
      <c r="C57" t="str">
        <f>IFERROR(IF(0=LEN(ReferenceData!$C$57),"",ReferenceData!$C$57),"")</f>
        <v/>
      </c>
      <c r="D57" t="str">
        <f>IFERROR(IF(0=LEN(ReferenceData!$D$57),"",ReferenceData!$D$57),"")</f>
        <v/>
      </c>
      <c r="E57" t="str">
        <f>IFERROR(IF(0=LEN(ReferenceData!$E$57),"",ReferenceData!$E$57),"")</f>
        <v>Expression</v>
      </c>
      <c r="F57">
        <f ca="1">IFERROR(IF(0=LEN(ReferenceData!$F$57),"",ReferenceData!$F$57),"")</f>
        <v>108800</v>
      </c>
      <c r="G57">
        <f ca="1">IFERROR(IF(0=LEN(ReferenceData!$G$57),"",ReferenceData!$G$57),"")</f>
        <v>419100</v>
      </c>
      <c r="H57">
        <f ca="1">IFERROR(IF(0=LEN(ReferenceData!$H$57),"",ReferenceData!$H$57),"")</f>
        <v>529200</v>
      </c>
      <c r="I57">
        <f ca="1">IFERROR(IF(0=LEN(ReferenceData!$I$57),"",ReferenceData!$I$57),"")</f>
        <v>607500</v>
      </c>
      <c r="J57">
        <f ca="1">IFERROR(IF(0=LEN(ReferenceData!$J$57),"",ReferenceData!$J$57),"")</f>
        <v>429200</v>
      </c>
      <c r="K57">
        <f ca="1">IFERROR(IF(0=LEN(ReferenceData!$K$57),"",ReferenceData!$K$57),"")</f>
        <v>447100</v>
      </c>
      <c r="L57">
        <f ca="1">IFERROR(IF(0=LEN(ReferenceData!$L$57),"",ReferenceData!$L$57),"")</f>
        <v>552500</v>
      </c>
      <c r="M57">
        <f ca="1">IFERROR(IF(0=LEN(ReferenceData!$M$57),"",ReferenceData!$M$57),"")</f>
        <v>617600</v>
      </c>
      <c r="N57">
        <f ca="1">IFERROR(IF(0=LEN(ReferenceData!$N$57),"",ReferenceData!$N$57),"")</f>
        <v>421400</v>
      </c>
      <c r="O57">
        <f ca="1">IFERROR(IF(0=LEN(ReferenceData!$O$57),"",ReferenceData!$O$57),"")</f>
        <v>440700</v>
      </c>
      <c r="P57">
        <f ca="1">IFERROR(IF(0=LEN(ReferenceData!$P$57),"",ReferenceData!$P$57),"")</f>
        <v>518800</v>
      </c>
      <c r="Q57">
        <f ca="1">IFERROR(IF(0=LEN(ReferenceData!$Q$57),"",ReferenceData!$Q$57),"")</f>
        <v>586400</v>
      </c>
      <c r="R57">
        <f ca="1">IFERROR(IF(0=LEN(ReferenceData!$R$57),"",ReferenceData!$R$57),"")</f>
        <v>403000</v>
      </c>
      <c r="S57">
        <f ca="1">IFERROR(IF(0=LEN(ReferenceData!$S$57),"",ReferenceData!$S$57),"")</f>
        <v>437500</v>
      </c>
      <c r="T57">
        <f ca="1">IFERROR(IF(0=LEN(ReferenceData!$T$57),"",ReferenceData!$T$57),"")</f>
        <v>527900</v>
      </c>
      <c r="U57">
        <f ca="1">IFERROR(IF(0=LEN(ReferenceData!$U$57),"",ReferenceData!$U$57),"")</f>
        <v>565000</v>
      </c>
      <c r="V57">
        <f ca="1">IFERROR(IF(0=LEN(ReferenceData!$V$57),"",ReferenceData!$V$57),"")</f>
        <v>368700</v>
      </c>
      <c r="W57">
        <f ca="1">IFERROR(IF(0=LEN(ReferenceData!$W$57),"",ReferenceData!$W$57),"")</f>
        <v>425400</v>
      </c>
      <c r="X57">
        <f ca="1">IFERROR(IF(0=LEN(ReferenceData!$X$57),"",ReferenceData!$X$57),"")</f>
        <v>516800</v>
      </c>
      <c r="Y57">
        <f ca="1">IFERROR(IF(0=LEN(ReferenceData!$Y$57),"",ReferenceData!$Y$57),"")</f>
        <v>550400</v>
      </c>
      <c r="Z57">
        <f ca="1">IFERROR(IF(0=LEN(ReferenceData!$Z$57),"",ReferenceData!$Z$57),"")</f>
        <v>358800</v>
      </c>
      <c r="AA57">
        <f ca="1">IFERROR(IF(0=LEN(ReferenceData!$AA$57),"",ReferenceData!$AA$57),"")</f>
        <v>392700</v>
      </c>
      <c r="AB57">
        <f ca="1">IFERROR(IF(0=LEN(ReferenceData!$AB$57),"",ReferenceData!$AB$57),"")</f>
        <v>467400</v>
      </c>
      <c r="AC57">
        <f ca="1">IFERROR(IF(0=LEN(ReferenceData!$AC$57),"",ReferenceData!$AC$57),"")</f>
        <v>529000</v>
      </c>
      <c r="AD57">
        <f ca="1">IFERROR(IF(0=LEN(ReferenceData!$AD$57),"",ReferenceData!$AD$57),"")</f>
        <v>355400</v>
      </c>
      <c r="AE57">
        <f ca="1">IFERROR(IF(0=LEN(ReferenceData!$AE$57),"",ReferenceData!$AE$57),"")</f>
        <v>370100</v>
      </c>
      <c r="AF57">
        <f ca="1">IFERROR(IF(0=LEN(ReferenceData!$AF$57),"",ReferenceData!$AF$57),"")</f>
        <v>440600</v>
      </c>
      <c r="AG57">
        <f ca="1">IFERROR(IF(0=LEN(ReferenceData!$AG$57),"",ReferenceData!$AG$57),"")</f>
        <v>503000</v>
      </c>
      <c r="AH57">
        <f ca="1">IFERROR(IF(0=LEN(ReferenceData!$AH$57),"",ReferenceData!$AH$57),"")</f>
        <v>361900</v>
      </c>
      <c r="AI57">
        <f ca="1">IFERROR(IF(0=LEN(ReferenceData!$AI$57),"",ReferenceData!$AI$57),"")</f>
        <v>361400</v>
      </c>
      <c r="AJ57">
        <f ca="1">IFERROR(IF(0=LEN(ReferenceData!$AJ$57),"",ReferenceData!$AJ$57),"")</f>
        <v>416400</v>
      </c>
      <c r="AK57">
        <f ca="1">IFERROR(IF(0=LEN(ReferenceData!$AK$57),"",ReferenceData!$AK$57),"")</f>
        <v>473700</v>
      </c>
      <c r="AL57">
        <f ca="1">IFERROR(IF(0=LEN(ReferenceData!$AL$57),"",ReferenceData!$AL$57),"")</f>
        <v>334000</v>
      </c>
      <c r="AM57">
        <f ca="1">IFERROR(IF(0=LEN(ReferenceData!$AM$57),"",ReferenceData!$AM$57),"")</f>
        <v>350900</v>
      </c>
      <c r="AN57">
        <f ca="1">IFERROR(IF(0=LEN(ReferenceData!$AN$57),"",ReferenceData!$AN$57),"")</f>
        <v>420000</v>
      </c>
      <c r="AO57">
        <f ca="1">IFERROR(IF(0=LEN(ReferenceData!$AO$57),"",ReferenceData!$AO$57),"")</f>
        <v>459200</v>
      </c>
      <c r="AP57">
        <f ca="1">IFERROR(IF(0=LEN(ReferenceData!$AP$57),"",ReferenceData!$AP$57),"")</f>
        <v>327200</v>
      </c>
      <c r="AQ57">
        <f ca="1">IFERROR(IF(0=LEN(ReferenceData!$AQ$57),"",ReferenceData!$AQ$57),"")</f>
        <v>334800</v>
      </c>
      <c r="AR57">
        <f ca="1">IFERROR(IF(0=LEN(ReferenceData!$AR$57),"",ReferenceData!$AR$57),"")</f>
        <v>404800</v>
      </c>
      <c r="AS57">
        <f ca="1">IFERROR(IF(0=LEN(ReferenceData!$AS$57),"",ReferenceData!$AS$57),"")</f>
        <v>436400</v>
      </c>
      <c r="AT57">
        <f ca="1">IFERROR(IF(0=LEN(ReferenceData!$AT$57),"",ReferenceData!$AT$57),"")</f>
        <v>284600</v>
      </c>
      <c r="AU57">
        <f ca="1">IFERROR(IF(0=LEN(ReferenceData!$AU$57),"",ReferenceData!$AU$57),"")</f>
        <v>322300</v>
      </c>
      <c r="AV57">
        <f ca="1">IFERROR(IF(0=LEN(ReferenceData!$AV$57),"",ReferenceData!$AV$57),"")</f>
        <v>430600</v>
      </c>
      <c r="AW57">
        <f ca="1">IFERROR(IF(0=LEN(ReferenceData!$AW$57),"",ReferenceData!$AW$57),"")</f>
        <v>519200</v>
      </c>
      <c r="AX57">
        <f ca="1">IFERROR(IF(0=LEN(ReferenceData!$AX$57),"",ReferenceData!$AX$57),"")</f>
        <v>363800</v>
      </c>
      <c r="AY57">
        <f ca="1">IFERROR(IF(0=LEN(ReferenceData!$AY$57),"",ReferenceData!$AY$57),"")</f>
        <v>358100</v>
      </c>
      <c r="AZ57">
        <f ca="1">IFERROR(IF(0=LEN(ReferenceData!$AZ$57),"",ReferenceData!$AZ$57),"")</f>
        <v>432600</v>
      </c>
      <c r="BA57">
        <f ca="1">IFERROR(IF(0=LEN(ReferenceData!$BA$57),"",ReferenceData!$BA$57),"")</f>
        <v>523700</v>
      </c>
      <c r="BB57">
        <f ca="1">IFERROR(IF(0=LEN(ReferenceData!$BB$57),"",ReferenceData!$BB$57),"")</f>
        <v>338900</v>
      </c>
      <c r="BC57">
        <f ca="1">IFERROR(IF(0=LEN(ReferenceData!$BC$57),"",ReferenceData!$BC$57),"")</f>
        <v>368200</v>
      </c>
      <c r="BD57">
        <f ca="1">IFERROR(IF(0=LEN(ReferenceData!$BD$57),"",ReferenceData!$BD$57),"")</f>
        <v>431000</v>
      </c>
      <c r="BE57">
        <f ca="1">IFERROR(IF(0=LEN(ReferenceData!$BE$57),"",ReferenceData!$BE$57),"")</f>
        <v>480600</v>
      </c>
      <c r="BF57">
        <f ca="1">IFERROR(IF(0=LEN(ReferenceData!$BF$57),"",ReferenceData!$BF$57),"")</f>
        <v>334900</v>
      </c>
      <c r="BG57">
        <f ca="1">IFERROR(IF(0=LEN(ReferenceData!$BG$57),"",ReferenceData!$BG$57),"")</f>
        <v>353200</v>
      </c>
      <c r="BH57">
        <f ca="1">IFERROR(IF(0=LEN(ReferenceData!$BH$57),"",ReferenceData!$BH$57),"")</f>
        <v>421500</v>
      </c>
      <c r="BI57">
        <f ca="1">IFERROR(IF(0=LEN(ReferenceData!$BI$57),"",ReferenceData!$BI$57),"")</f>
        <v>482100</v>
      </c>
      <c r="BJ57">
        <f ca="1">IFERROR(IF(0=LEN(ReferenceData!$BJ$57),"",ReferenceData!$BJ$57),"")</f>
        <v>326400</v>
      </c>
      <c r="BK57">
        <f ca="1">IFERROR(IF(0=LEN(ReferenceData!$BK$57),"",ReferenceData!$BK$57),"")</f>
        <v>351000</v>
      </c>
      <c r="BL57">
        <f ca="1">IFERROR(IF(0=LEN(ReferenceData!$BL$57),"",ReferenceData!$BL$57),"")</f>
        <v>392500</v>
      </c>
      <c r="BM57">
        <f ca="1">IFERROR(IF(0=LEN(ReferenceData!$BM$57),"",ReferenceData!$BM$57),"")</f>
        <v>469800</v>
      </c>
    </row>
    <row r="58" spans="1:65" x14ac:dyDescent="0.25">
      <c r="A58" t="str">
        <f>IFERROR(IF(0=LEN(ReferenceData!$A$58),"",ReferenceData!$A$58),"")</f>
        <v xml:space="preserve">        Mexico</v>
      </c>
      <c r="B58" t="str">
        <f>IFERROR(IF(0=LEN(ReferenceData!$B$58),"",ReferenceData!$B$58),"")</f>
        <v>MXVHTOTL Index</v>
      </c>
      <c r="C58" t="str">
        <f>IFERROR(IF(0=LEN(ReferenceData!$C$58),"",ReferenceData!$C$58),"")</f>
        <v>PX385</v>
      </c>
      <c r="D58" t="str">
        <f>IFERROR(IF(0=LEN(ReferenceData!$D$58),"",ReferenceData!$D$58),"")</f>
        <v>INTERVAL_SUM</v>
      </c>
      <c r="E58" t="str">
        <f>IFERROR(IF(0=LEN(ReferenceData!$E$58),"",ReferenceData!$E$58),"")</f>
        <v>Dynamic</v>
      </c>
      <c r="F58">
        <f ca="1">IFERROR(IF(0=LEN(ReferenceData!$F$58),"",ReferenceData!$F$58),"")</f>
        <v>111212</v>
      </c>
      <c r="G58">
        <f ca="1">IFERROR(IF(0=LEN(ReferenceData!$G$58),"",ReferenceData!$G$58),"")</f>
        <v>393079</v>
      </c>
      <c r="H58">
        <f ca="1">IFERROR(IF(0=LEN(ReferenceData!$H$58),"",ReferenceData!$H$58),"")</f>
        <v>347680</v>
      </c>
      <c r="I58">
        <f ca="1">IFERROR(IF(0=LEN(ReferenceData!$I$58),"",ReferenceData!$I$58),"")</f>
        <v>343470</v>
      </c>
      <c r="J58">
        <f ca="1">IFERROR(IF(0=LEN(ReferenceData!$J$58),"",ReferenceData!$J$58),"")</f>
        <v>337229</v>
      </c>
      <c r="K58">
        <f ca="1">IFERROR(IF(0=LEN(ReferenceData!$K$58),"",ReferenceData!$K$58),"")</f>
        <v>423469</v>
      </c>
      <c r="L58">
        <f ca="1">IFERROR(IF(0=LEN(ReferenceData!$L$58),"",ReferenceData!$L$58),"")</f>
        <v>363797</v>
      </c>
      <c r="M58">
        <f ca="1">IFERROR(IF(0=LEN(ReferenceData!$M$58),"",ReferenceData!$M$58),"")</f>
        <v>364803</v>
      </c>
      <c r="N58">
        <f ca="1">IFERROR(IF(0=LEN(ReferenceData!$N$58),"",ReferenceData!$N$58),"")</f>
        <v>378248</v>
      </c>
      <c r="O58">
        <f ca="1">IFERROR(IF(0=LEN(ReferenceData!$O$58),"",ReferenceData!$O$58),"")</f>
        <v>484566</v>
      </c>
      <c r="P58">
        <f ca="1">IFERROR(IF(0=LEN(ReferenceData!$P$58),"",ReferenceData!$P$58),"")</f>
        <v>397250</v>
      </c>
      <c r="Q58">
        <f ca="1">IFERROR(IF(0=LEN(ReferenceData!$Q$58),"",ReferenceData!$Q$58),"")</f>
        <v>374530</v>
      </c>
      <c r="R58">
        <f ca="1">IFERROR(IF(0=LEN(ReferenceData!$R$58),"",ReferenceData!$R$58),"")</f>
        <v>347326</v>
      </c>
      <c r="S58">
        <f ca="1">IFERROR(IF(0=LEN(ReferenceData!$S$58),"",ReferenceData!$S$58),"")</f>
        <v>406741</v>
      </c>
      <c r="T58">
        <f ca="1">IFERROR(IF(0=LEN(ReferenceData!$T$58),"",ReferenceData!$T$58),"")</f>
        <v>335082</v>
      </c>
      <c r="U58">
        <f ca="1">IFERROR(IF(0=LEN(ReferenceData!$U$58),"",ReferenceData!$U$58),"")</f>
        <v>303668</v>
      </c>
      <c r="V58">
        <f ca="1">IFERROR(IF(0=LEN(ReferenceData!$V$58),"",ReferenceData!$V$58),"")</f>
        <v>306157</v>
      </c>
      <c r="W58">
        <f ca="1">IFERROR(IF(0=LEN(ReferenceData!$W$58),"",ReferenceData!$W$58),"")</f>
        <v>345841</v>
      </c>
      <c r="X58">
        <f ca="1">IFERROR(IF(0=LEN(ReferenceData!$X$58),"",ReferenceData!$X$58),"")</f>
        <v>289208</v>
      </c>
      <c r="Y58">
        <f ca="1">IFERROR(IF(0=LEN(ReferenceData!$Y$58),"",ReferenceData!$Y$58),"")</f>
        <v>249236</v>
      </c>
      <c r="Z58">
        <f ca="1">IFERROR(IF(0=LEN(ReferenceData!$Z$58),"",ReferenceData!$Z$58),"")</f>
        <v>251124</v>
      </c>
      <c r="AA58">
        <f ca="1">IFERROR(IF(0=LEN(ReferenceData!$AA$58),"",ReferenceData!$AA$58),"")</f>
        <v>308048</v>
      </c>
      <c r="AB58">
        <f ca="1">IFERROR(IF(0=LEN(ReferenceData!$AB$58),"",ReferenceData!$AB$58),"")</f>
        <v>253328</v>
      </c>
      <c r="AC58">
        <f ca="1">IFERROR(IF(0=LEN(ReferenceData!$AC$58),"",ReferenceData!$AC$58),"")</f>
        <v>254758</v>
      </c>
      <c r="AD58">
        <f ca="1">IFERROR(IF(0=LEN(ReferenceData!$AD$58),"",ReferenceData!$AD$58),"")</f>
        <v>247229</v>
      </c>
      <c r="AE58">
        <f ca="1">IFERROR(IF(0=LEN(ReferenceData!$AE$58),"",ReferenceData!$AE$58),"")</f>
        <v>285846</v>
      </c>
      <c r="AF58">
        <f ca="1">IFERROR(IF(0=LEN(ReferenceData!$AF$58),"",ReferenceData!$AF$58),"")</f>
        <v>239662</v>
      </c>
      <c r="AG58">
        <f ca="1">IFERROR(IF(0=LEN(ReferenceData!$AG$58),"",ReferenceData!$AG$58),"")</f>
        <v>228665</v>
      </c>
      <c r="AH58">
        <f ca="1">IFERROR(IF(0=LEN(ReferenceData!$AH$58),"",ReferenceData!$AH$58),"")</f>
        <v>233574</v>
      </c>
      <c r="AI58">
        <f ca="1">IFERROR(IF(0=LEN(ReferenceData!$AI$58),"",ReferenceData!$AI$58),"")</f>
        <v>274550</v>
      </c>
      <c r="AJ58">
        <f ca="1">IFERROR(IF(0=LEN(ReferenceData!$AJ$58),"",ReferenceData!$AJ$58),"")</f>
        <v>218210</v>
      </c>
      <c r="AK58">
        <f ca="1">IFERROR(IF(0=LEN(ReferenceData!$AK$58),"",ReferenceData!$AK$58),"")</f>
        <v>202245</v>
      </c>
      <c r="AL58">
        <f ca="1">IFERROR(IF(0=LEN(ReferenceData!$AL$58),"",ReferenceData!$AL$58),"")</f>
        <v>210881</v>
      </c>
      <c r="AM58">
        <f ca="1">IFERROR(IF(0=LEN(ReferenceData!$AM$58),"",ReferenceData!$AM$58),"")</f>
        <v>254617</v>
      </c>
      <c r="AN58">
        <f ca="1">IFERROR(IF(0=LEN(ReferenceData!$AN$58),"",ReferenceData!$AN$58),"")</f>
        <v>194822</v>
      </c>
      <c r="AO58">
        <f ca="1">IFERROR(IF(0=LEN(ReferenceData!$AO$58),"",ReferenceData!$AO$58),"")</f>
        <v>181973</v>
      </c>
      <c r="AP58">
        <f ca="1">IFERROR(IF(0=LEN(ReferenceData!$AP$58),"",ReferenceData!$AP$58),"")</f>
        <v>188994</v>
      </c>
      <c r="AQ58">
        <f ca="1">IFERROR(IF(0=LEN(ReferenceData!$AQ$58),"",ReferenceData!$AQ$58),"")</f>
        <v>224755</v>
      </c>
      <c r="AR58">
        <f ca="1">IFERROR(IF(0=LEN(ReferenceData!$AR$58),"",ReferenceData!$AR$58),"")</f>
        <v>173874</v>
      </c>
      <c r="AS58">
        <f ca="1">IFERROR(IF(0=LEN(ReferenceData!$AS$58),"",ReferenceData!$AS$58),"")</f>
        <v>160805</v>
      </c>
      <c r="AT58">
        <f ca="1">IFERROR(IF(0=LEN(ReferenceData!$AT$58),"",ReferenceData!$AT$58),"")</f>
        <v>195484</v>
      </c>
      <c r="AU58">
        <f ca="1">IFERROR(IF(0=LEN(ReferenceData!$AU$58),"",ReferenceData!$AU$58),"")</f>
        <v>263156</v>
      </c>
      <c r="AV58">
        <f ca="1">IFERROR(IF(0=LEN(ReferenceData!$AV$58),"",ReferenceData!$AV$58),"")</f>
        <v>248060</v>
      </c>
      <c r="AW58">
        <f ca="1">IFERROR(IF(0=LEN(ReferenceData!$AW$58),"",ReferenceData!$AW$58),"")</f>
        <v>250347</v>
      </c>
      <c r="AX58">
        <f ca="1">IFERROR(IF(0=LEN(ReferenceData!$AX$58),"",ReferenceData!$AX$58),"")</f>
        <v>263957</v>
      </c>
      <c r="AY58">
        <f ca="1">IFERROR(IF(0=LEN(ReferenceData!$AY$58),"",ReferenceData!$AY$58),"")</f>
        <v>321200</v>
      </c>
      <c r="AZ58">
        <f ca="1">IFERROR(IF(0=LEN(ReferenceData!$AZ$58),"",ReferenceData!$AZ$58),"")</f>
        <v>258219</v>
      </c>
      <c r="BA58">
        <f ca="1">IFERROR(IF(0=LEN(ReferenceData!$BA$58),"",ReferenceData!$BA$58),"")</f>
        <v>240232</v>
      </c>
      <c r="BB58">
        <f ca="1">IFERROR(IF(0=LEN(ReferenceData!$BB$58),"",ReferenceData!$BB$58),"")</f>
        <v>280215</v>
      </c>
      <c r="BC58">
        <f ca="1">IFERROR(IF(0=LEN(ReferenceData!$BC$58),"",ReferenceData!$BC$58),"")</f>
        <v>340042</v>
      </c>
      <c r="BD58">
        <f ca="1">IFERROR(IF(0=LEN(ReferenceData!$BD$58),"",ReferenceData!$BD$58),"")</f>
        <v>266080</v>
      </c>
      <c r="BE58">
        <f ca="1">IFERROR(IF(0=LEN(ReferenceData!$BE$58),"",ReferenceData!$BE$58),"")</f>
        <v>251419</v>
      </c>
      <c r="BF58">
        <f ca="1">IFERROR(IF(0=LEN(ReferenceData!$BF$58),"",ReferenceData!$BF$58),"")</f>
        <v>282177</v>
      </c>
      <c r="BG58">
        <f ca="1">IFERROR(IF(0=LEN(ReferenceData!$BG$58),"",ReferenceData!$BG$58),"")</f>
        <v>337553</v>
      </c>
      <c r="BH58">
        <f ca="1">IFERROR(IF(0=LEN(ReferenceData!$BH$58),"",ReferenceData!$BH$58),"")</f>
        <v>266704</v>
      </c>
      <c r="BI58">
        <f ca="1">IFERROR(IF(0=LEN(ReferenceData!$BI$58),"",ReferenceData!$BI$58),"")</f>
        <v>255285</v>
      </c>
      <c r="BJ58">
        <f ca="1">IFERROR(IF(0=LEN(ReferenceData!$BJ$58),"",ReferenceData!$BJ$58),"")</f>
        <v>272226</v>
      </c>
      <c r="BK58">
        <f ca="1">IFERROR(IF(0=LEN(ReferenceData!$BK$58),"",ReferenceData!$BK$58),"")</f>
        <v>337366</v>
      </c>
      <c r="BL58">
        <f ca="1">IFERROR(IF(0=LEN(ReferenceData!$BL$58),"",ReferenceData!$BL$58),"")</f>
        <v>248609</v>
      </c>
      <c r="BM58">
        <f ca="1">IFERROR(IF(0=LEN(ReferenceData!$BM$58),"",ReferenceData!$BM$58),"")</f>
        <v>243505</v>
      </c>
    </row>
    <row r="59" spans="1:65" x14ac:dyDescent="0.25">
      <c r="A59" t="str">
        <f>IFERROR(IF(0=LEN(ReferenceData!$A$59),"",ReferenceData!$A$59),"")</f>
        <v xml:space="preserve">        United States</v>
      </c>
      <c r="B59" t="str">
        <f>IFERROR(IF(0=LEN(ReferenceData!$B$59),"",ReferenceData!$B$59),"")</f>
        <v>ASTOT Index</v>
      </c>
      <c r="C59" t="str">
        <f>IFERROR(IF(0=LEN(ReferenceData!$C$59),"",ReferenceData!$C$59),"")</f>
        <v>PX385</v>
      </c>
      <c r="D59" t="str">
        <f>IFERROR(IF(0=LEN(ReferenceData!$D$59),"",ReferenceData!$D$59),"")</f>
        <v>INTERVAL_SUM</v>
      </c>
      <c r="E59" t="str">
        <f>IFERROR(IF(0=LEN(ReferenceData!$E$59),"",ReferenceData!$E$59),"")</f>
        <v>Dynamic</v>
      </c>
      <c r="F59" t="str">
        <f ca="1">IFERROR(IF(0=LEN(ReferenceData!$F$59),"",ReferenceData!$F$59),"")</f>
        <v/>
      </c>
      <c r="G59" t="str">
        <f ca="1">IFERROR(IF(0=LEN(ReferenceData!$G$59),"",ReferenceData!$G$59),"")</f>
        <v/>
      </c>
      <c r="H59" t="str">
        <f ca="1">IFERROR(IF(0=LEN(ReferenceData!$H$59),"",ReferenceData!$H$59),"")</f>
        <v/>
      </c>
      <c r="I59" t="str">
        <f ca="1">IFERROR(IF(0=LEN(ReferenceData!$I$59),"",ReferenceData!$I$59),"")</f>
        <v/>
      </c>
      <c r="J59">
        <f ca="1">IFERROR(IF(0=LEN(ReferenceData!$J$59),"",ReferenceData!$J$59),"")</f>
        <v>4090904</v>
      </c>
      <c r="K59">
        <f ca="1">IFERROR(IF(0=LEN(ReferenceData!$K$59),"",ReferenceData!$K$59),"")</f>
        <v>4331254</v>
      </c>
      <c r="L59">
        <f ca="1">IFERROR(IF(0=LEN(ReferenceData!$L$59),"",ReferenceData!$L$59),"")</f>
        <v>4399273</v>
      </c>
      <c r="M59">
        <f ca="1">IFERROR(IF(0=LEN(ReferenceData!$M$59),"",ReferenceData!$M$59),"")</f>
        <v>4391272</v>
      </c>
      <c r="N59">
        <f ca="1">IFERROR(IF(0=LEN(ReferenceData!$N$59),"",ReferenceData!$N$59),"")</f>
        <v>4010224</v>
      </c>
      <c r="O59">
        <f ca="1">IFERROR(IF(0=LEN(ReferenceData!$O$59),"",ReferenceData!$O$59),"")</f>
        <v>4418363</v>
      </c>
      <c r="P59">
        <f ca="1">IFERROR(IF(0=LEN(ReferenceData!$P$59),"",ReferenceData!$P$59),"")</f>
        <v>4452614</v>
      </c>
      <c r="Q59">
        <f ca="1">IFERROR(IF(0=LEN(ReferenceData!$Q$59),"",ReferenceData!$Q$59),"")</f>
        <v>4521543</v>
      </c>
      <c r="R59">
        <f ca="1">IFERROR(IF(0=LEN(ReferenceData!$R$59),"",ReferenceData!$R$59),"")</f>
        <v>4072257</v>
      </c>
      <c r="S59">
        <f ca="1">IFERROR(IF(0=LEN(ReferenceData!$S$59),"",ReferenceData!$S$59),"")</f>
        <v>4401156</v>
      </c>
      <c r="T59">
        <f ca="1">IFERROR(IF(0=LEN(ReferenceData!$T$59),"",ReferenceData!$T$59),"")</f>
        <v>4503662</v>
      </c>
      <c r="U59">
        <f ca="1">IFERROR(IF(0=LEN(ReferenceData!$U$59),"",ReferenceData!$U$59),"")</f>
        <v>4547161</v>
      </c>
      <c r="V59">
        <f ca="1">IFERROR(IF(0=LEN(ReferenceData!$V$59),"",ReferenceData!$V$59),"")</f>
        <v>3939152</v>
      </c>
      <c r="W59">
        <f ca="1">IFERROR(IF(0=LEN(ReferenceData!$W$59),"",ReferenceData!$W$59),"")</f>
        <v>4065225</v>
      </c>
      <c r="X59">
        <f ca="1">IFERROR(IF(0=LEN(ReferenceData!$X$59),"",ReferenceData!$X$59),"")</f>
        <v>4246474</v>
      </c>
      <c r="Y59">
        <f ca="1">IFERROR(IF(0=LEN(ReferenceData!$Y$59),"",ReferenceData!$Y$59),"")</f>
        <v>4398712</v>
      </c>
      <c r="Z59">
        <f ca="1">IFERROR(IF(0=LEN(ReferenceData!$Z$59),"",ReferenceData!$Z$59),"")</f>
        <v>3727820</v>
      </c>
      <c r="AA59">
        <f ca="1">IFERROR(IF(0=LEN(ReferenceData!$AA$59),"",ReferenceData!$AA$59),"")</f>
        <v>3792715</v>
      </c>
      <c r="AB59">
        <f ca="1">IFERROR(IF(0=LEN(ReferenceData!$AB$59),"",ReferenceData!$AB$59),"")</f>
        <v>3940876</v>
      </c>
      <c r="AC59">
        <f ca="1">IFERROR(IF(0=LEN(ReferenceData!$AC$59),"",ReferenceData!$AC$59),"")</f>
        <v>4114305</v>
      </c>
      <c r="AD59">
        <f ca="1">IFERROR(IF(0=LEN(ReferenceData!$AD$59),"",ReferenceData!$AD$59),"")</f>
        <v>3675660</v>
      </c>
      <c r="AE59">
        <f ca="1">IFERROR(IF(0=LEN(ReferenceData!$AE$59),"",ReferenceData!$AE$59),"")</f>
        <v>3577085</v>
      </c>
      <c r="AF59">
        <f ca="1">IFERROR(IF(0=LEN(ReferenceData!$AF$59),"",ReferenceData!$AF$59),"")</f>
        <v>3614161</v>
      </c>
      <c r="AG59">
        <f ca="1">IFERROR(IF(0=LEN(ReferenceData!$AG$59),"",ReferenceData!$AG$59),"")</f>
        <v>3792800</v>
      </c>
      <c r="AH59">
        <f ca="1">IFERROR(IF(0=LEN(ReferenceData!$AH$59),"",ReferenceData!$AH$59),"")</f>
        <v>3456528</v>
      </c>
      <c r="AI59">
        <f ca="1">IFERROR(IF(0=LEN(ReferenceData!$AI$59),"",ReferenceData!$AI$59),"")</f>
        <v>3247934</v>
      </c>
      <c r="AJ59">
        <f ca="1">IFERROR(IF(0=LEN(ReferenceData!$AJ$59),"",ReferenceData!$AJ$59),"")</f>
        <v>3174886</v>
      </c>
      <c r="AK59">
        <f ca="1">IFERROR(IF(0=LEN(ReferenceData!$AK$59),"",ReferenceData!$AK$59),"")</f>
        <v>3261338</v>
      </c>
      <c r="AL59">
        <f ca="1">IFERROR(IF(0=LEN(ReferenceData!$AL$59),"",ReferenceData!$AL$59),"")</f>
        <v>3048857</v>
      </c>
      <c r="AM59">
        <f ca="1">IFERROR(IF(0=LEN(ReferenceData!$AM$59),"",ReferenceData!$AM$59),"")</f>
        <v>2966807</v>
      </c>
      <c r="AN59">
        <f ca="1">IFERROR(IF(0=LEN(ReferenceData!$AN$59),"",ReferenceData!$AN$59),"")</f>
        <v>2999445</v>
      </c>
      <c r="AO59">
        <f ca="1">IFERROR(IF(0=LEN(ReferenceData!$AO$59),"",ReferenceData!$AO$59),"")</f>
        <v>3066715</v>
      </c>
      <c r="AP59">
        <f ca="1">IFERROR(IF(0=LEN(ReferenceData!$AP$59),"",ReferenceData!$AP$59),"")</f>
        <v>2544033</v>
      </c>
      <c r="AQ59">
        <f ca="1">IFERROR(IF(0=LEN(ReferenceData!$AQ$59),"",ReferenceData!$AQ$59),"")</f>
        <v>2613867</v>
      </c>
      <c r="AR59">
        <f ca="1">IFERROR(IF(0=LEN(ReferenceData!$AR$59),"",ReferenceData!$AR$59),"")</f>
        <v>3004532</v>
      </c>
      <c r="AS59">
        <f ca="1">IFERROR(IF(0=LEN(ReferenceData!$AS$59),"",ReferenceData!$AS$59),"")</f>
        <v>2604038</v>
      </c>
      <c r="AT59">
        <f ca="1">IFERROR(IF(0=LEN(ReferenceData!$AT$59),"",ReferenceData!$AT$59),"")</f>
        <v>2202649</v>
      </c>
      <c r="AU59">
        <f ca="1">IFERROR(IF(0=LEN(ReferenceData!$AU$59),"",ReferenceData!$AU$59),"")</f>
        <v>2478224</v>
      </c>
      <c r="AV59">
        <f ca="1">IFERROR(IF(0=LEN(ReferenceData!$AV$59),"",ReferenceData!$AV$59),"")</f>
        <v>3342414</v>
      </c>
      <c r="AW59">
        <f ca="1">IFERROR(IF(0=LEN(ReferenceData!$AW$59),"",ReferenceData!$AW$59),"")</f>
        <v>3824684</v>
      </c>
      <c r="AX59">
        <f ca="1">IFERROR(IF(0=LEN(ReferenceData!$AX$59),"",ReferenceData!$AX$59),"")</f>
        <v>3571992</v>
      </c>
      <c r="AY59">
        <f ca="1">IFERROR(IF(0=LEN(ReferenceData!$AY$59),"",ReferenceData!$AY$59),"")</f>
        <v>3799973</v>
      </c>
      <c r="AZ59">
        <f ca="1">IFERROR(IF(0=LEN(ReferenceData!$AZ$59),"",ReferenceData!$AZ$59),"")</f>
        <v>4101917</v>
      </c>
      <c r="BA59">
        <f ca="1">IFERROR(IF(0=LEN(ReferenceData!$BA$59),"",ReferenceData!$BA$59),"")</f>
        <v>4357581</v>
      </c>
      <c r="BB59">
        <f ca="1">IFERROR(IF(0=LEN(ReferenceData!$BB$59),"",ReferenceData!$BB$59),"")</f>
        <v>3887698</v>
      </c>
      <c r="BC59">
        <f ca="1">IFERROR(IF(0=LEN(ReferenceData!$BC$59),"",ReferenceData!$BC$59),"")</f>
        <v>3847701</v>
      </c>
      <c r="BD59">
        <f ca="1">IFERROR(IF(0=LEN(ReferenceData!$BD$59),"",ReferenceData!$BD$59),"")</f>
        <v>4335474</v>
      </c>
      <c r="BE59">
        <f ca="1">IFERROR(IF(0=LEN(ReferenceData!$BE$59),"",ReferenceData!$BE$59),"")</f>
        <v>4438858</v>
      </c>
      <c r="BF59">
        <f ca="1">IFERROR(IF(0=LEN(ReferenceData!$BF$59),"",ReferenceData!$BF$59),"")</f>
        <v>3935304</v>
      </c>
      <c r="BG59">
        <f ca="1">IFERROR(IF(0=LEN(ReferenceData!$BG$59),"",ReferenceData!$BG$59),"")</f>
        <v>3795850</v>
      </c>
      <c r="BH59">
        <f ca="1">IFERROR(IF(0=LEN(ReferenceData!$BH$59),"",ReferenceData!$BH$59),"")</f>
        <v>4621122</v>
      </c>
      <c r="BI59">
        <f ca="1">IFERROR(IF(0=LEN(ReferenceData!$BI$59),"",ReferenceData!$BI$59),"")</f>
        <v>4679722</v>
      </c>
      <c r="BJ59">
        <f ca="1">IFERROR(IF(0=LEN(ReferenceData!$BJ$59),"",ReferenceData!$BJ$59),"")</f>
        <v>3892198</v>
      </c>
      <c r="BK59">
        <f ca="1">IFERROR(IF(0=LEN(ReferenceData!$BK$59),"",ReferenceData!$BK$59),"")</f>
        <v>4074778</v>
      </c>
      <c r="BL59">
        <f ca="1">IFERROR(IF(0=LEN(ReferenceData!$BL$59),"",ReferenceData!$BL$59),"")</f>
        <v>4421413</v>
      </c>
      <c r="BM59">
        <f ca="1">IFERROR(IF(0=LEN(ReferenceData!$BM$59),"",ReferenceData!$BM$59),"")</f>
        <v>4500134</v>
      </c>
    </row>
    <row r="60" spans="1:65" x14ac:dyDescent="0.25">
      <c r="A60" t="str">
        <f>IFERROR(IF(0=LEN(ReferenceData!$A$60),"",ReferenceData!$A$60),"")</f>
        <v xml:space="preserve">            US Car &amp; Truck Vehicle Sales NSA - US Truck Vehicle Sales NSA</v>
      </c>
      <c r="B60" t="str">
        <f>IFERROR(IF(0=LEN(ReferenceData!$B$60),"",ReferenceData!$B$60),"")</f>
        <v>ASTOTTRK Index</v>
      </c>
      <c r="C60" t="str">
        <f>IFERROR(IF(0=LEN(ReferenceData!$C$60),"",ReferenceData!$C$60),"")</f>
        <v>PX385</v>
      </c>
      <c r="D60" t="str">
        <f>IFERROR(IF(0=LEN(ReferenceData!$D$60),"",ReferenceData!$D$60),"")</f>
        <v>INTERVAL_SUM</v>
      </c>
      <c r="E60" t="str">
        <f>IFERROR(IF(0=LEN(ReferenceData!$E$60),"",ReferenceData!$E$60),"")</f>
        <v>Dynamic</v>
      </c>
      <c r="F60" t="str">
        <f ca="1">IFERROR(IF(0=LEN(ReferenceData!$F$60),"",ReferenceData!$F$60),"")</f>
        <v/>
      </c>
      <c r="G60" t="str">
        <f ca="1">IFERROR(IF(0=LEN(ReferenceData!$G$60),"",ReferenceData!$G$60),"")</f>
        <v/>
      </c>
      <c r="H60" t="str">
        <f ca="1">IFERROR(IF(0=LEN(ReferenceData!$H$60),"",ReferenceData!$H$60),"")</f>
        <v/>
      </c>
      <c r="I60" t="str">
        <f ca="1">IFERROR(IF(0=LEN(ReferenceData!$I$60),"",ReferenceData!$I$60),"")</f>
        <v/>
      </c>
      <c r="J60">
        <f ca="1">IFERROR(IF(0=LEN(ReferenceData!$J$60),"",ReferenceData!$J$60),"")</f>
        <v>2767035</v>
      </c>
      <c r="K60">
        <f ca="1">IFERROR(IF(0=LEN(ReferenceData!$K$60),"",ReferenceData!$K$60),"")</f>
        <v>2918105</v>
      </c>
      <c r="L60">
        <f ca="1">IFERROR(IF(0=LEN(ReferenceData!$L$60),"",ReferenceData!$L$60),"")</f>
        <v>2840563</v>
      </c>
      <c r="M60">
        <f ca="1">IFERROR(IF(0=LEN(ReferenceData!$M$60),"",ReferenceData!$M$60),"")</f>
        <v>2771151</v>
      </c>
      <c r="N60">
        <f ca="1">IFERROR(IF(0=LEN(ReferenceData!$N$60),"",ReferenceData!$N$60),"")</f>
        <v>2524507</v>
      </c>
      <c r="O60">
        <f ca="1">IFERROR(IF(0=LEN(ReferenceData!$O$60),"",ReferenceData!$O$60),"")</f>
        <v>2803680</v>
      </c>
      <c r="P60">
        <f ca="1">IFERROR(IF(0=LEN(ReferenceData!$P$60),"",ReferenceData!$P$60),"")</f>
        <v>2726492</v>
      </c>
      <c r="Q60">
        <f ca="1">IFERROR(IF(0=LEN(ReferenceData!$Q$60),"",ReferenceData!$Q$60),"")</f>
        <v>2683324</v>
      </c>
      <c r="R60">
        <f ca="1">IFERROR(IF(0=LEN(ReferenceData!$R$60),"",ReferenceData!$R$60),"")</f>
        <v>2364068</v>
      </c>
      <c r="S60">
        <f ca="1">IFERROR(IF(0=LEN(ReferenceData!$S$60),"",ReferenceData!$S$60),"")</f>
        <v>2628875</v>
      </c>
      <c r="T60">
        <f ca="1">IFERROR(IF(0=LEN(ReferenceData!$T$60),"",ReferenceData!$T$60),"")</f>
        <v>2594656</v>
      </c>
      <c r="U60">
        <f ca="1">IFERROR(IF(0=LEN(ReferenceData!$U$60),"",ReferenceData!$U$60),"")</f>
        <v>2492825</v>
      </c>
      <c r="V60">
        <f ca="1">IFERROR(IF(0=LEN(ReferenceData!$V$60),"",ReferenceData!$V$60),"")</f>
        <v>2152655</v>
      </c>
      <c r="W60">
        <f ca="1">IFERROR(IF(0=LEN(ReferenceData!$W$60),"",ReferenceData!$W$60),"")</f>
        <v>2254529</v>
      </c>
      <c r="X60">
        <f ca="1">IFERROR(IF(0=LEN(ReferenceData!$X$60),"",ReferenceData!$X$60),"")</f>
        <v>2265456</v>
      </c>
      <c r="Y60">
        <f ca="1">IFERROR(IF(0=LEN(ReferenceData!$Y$60),"",ReferenceData!$Y$60),"")</f>
        <v>2282800</v>
      </c>
      <c r="Z60">
        <f ca="1">IFERROR(IF(0=LEN(ReferenceData!$Z$60),"",ReferenceData!$Z$60),"")</f>
        <v>1945035</v>
      </c>
      <c r="AA60">
        <f ca="1">IFERROR(IF(0=LEN(ReferenceData!$AA$60),"",ReferenceData!$AA$60),"")</f>
        <v>2033202</v>
      </c>
      <c r="AB60">
        <f ca="1">IFERROR(IF(0=LEN(ReferenceData!$AB$60),"",ReferenceData!$AB$60),"")</f>
        <v>2013310</v>
      </c>
      <c r="AC60">
        <f ca="1">IFERROR(IF(0=LEN(ReferenceData!$AC$60),"",ReferenceData!$AC$60),"")</f>
        <v>2082878</v>
      </c>
      <c r="AD60">
        <f ca="1">IFERROR(IF(0=LEN(ReferenceData!$AD$60),"",ReferenceData!$AD$60),"")</f>
        <v>1816957</v>
      </c>
      <c r="AE60">
        <f ca="1">IFERROR(IF(0=LEN(ReferenceData!$AE$60),"",ReferenceData!$AE$60),"")</f>
        <v>1866073</v>
      </c>
      <c r="AF60">
        <f ca="1">IFERROR(IF(0=LEN(ReferenceData!$AF$60),"",ReferenceData!$AF$60),"")</f>
        <v>1825628</v>
      </c>
      <c r="AG60">
        <f ca="1">IFERROR(IF(0=LEN(ReferenceData!$AG$60),"",ReferenceData!$AG$60),"")</f>
        <v>1855452</v>
      </c>
      <c r="AH60">
        <f ca="1">IFERROR(IF(0=LEN(ReferenceData!$AH$60),"",ReferenceData!$AH$60),"")</f>
        <v>1651524</v>
      </c>
      <c r="AI60">
        <f ca="1">IFERROR(IF(0=LEN(ReferenceData!$AI$60),"",ReferenceData!$AI$60),"")</f>
        <v>1783248</v>
      </c>
      <c r="AJ60">
        <f ca="1">IFERROR(IF(0=LEN(ReferenceData!$AJ$60),"",ReferenceData!$AJ$60),"")</f>
        <v>1705674</v>
      </c>
      <c r="AK60">
        <f ca="1">IFERROR(IF(0=LEN(ReferenceData!$AK$60),"",ReferenceData!$AK$60),"")</f>
        <v>1611048</v>
      </c>
      <c r="AL60">
        <f ca="1">IFERROR(IF(0=LEN(ReferenceData!$AL$60),"",ReferenceData!$AL$60),"")</f>
        <v>1543414</v>
      </c>
      <c r="AM60">
        <f ca="1">IFERROR(IF(0=LEN(ReferenceData!$AM$60),"",ReferenceData!$AM$60),"")</f>
        <v>1611443</v>
      </c>
      <c r="AN60">
        <f ca="1">IFERROR(IF(0=LEN(ReferenceData!$AN$60),"",ReferenceData!$AN$60),"")</f>
        <v>1522122</v>
      </c>
      <c r="AO60">
        <f ca="1">IFERROR(IF(0=LEN(ReferenceData!$AO$60),"",ReferenceData!$AO$60),"")</f>
        <v>1525888</v>
      </c>
      <c r="AP60">
        <f ca="1">IFERROR(IF(0=LEN(ReferenceData!$AP$60),"",ReferenceData!$AP$60),"")</f>
        <v>1252420</v>
      </c>
      <c r="AQ60">
        <f ca="1">IFERROR(IF(0=LEN(ReferenceData!$AQ$60),"",ReferenceData!$AQ$60),"")</f>
        <v>1309452</v>
      </c>
      <c r="AR60">
        <f ca="1">IFERROR(IF(0=LEN(ReferenceData!$AR$60),"",ReferenceData!$AR$60),"")</f>
        <v>1339167</v>
      </c>
      <c r="AS60">
        <f ca="1">IFERROR(IF(0=LEN(ReferenceData!$AS$60),"",ReferenceData!$AS$60),"")</f>
        <v>1237119</v>
      </c>
      <c r="AT60">
        <f ca="1">IFERROR(IF(0=LEN(ReferenceData!$AT$60),"",ReferenceData!$AT$60),"")</f>
        <v>1097189</v>
      </c>
      <c r="AU60">
        <f ca="1">IFERROR(IF(0=LEN(ReferenceData!$AU$60),"",ReferenceData!$AU$60),"")</f>
        <v>1267518</v>
      </c>
      <c r="AV60">
        <f ca="1">IFERROR(IF(0=LEN(ReferenceData!$AV$60),"",ReferenceData!$AV$60),"")</f>
        <v>1615827</v>
      </c>
      <c r="AW60">
        <f ca="1">IFERROR(IF(0=LEN(ReferenceData!$AW$60),"",ReferenceData!$AW$60),"")</f>
        <v>1696448</v>
      </c>
      <c r="AX60">
        <f ca="1">IFERROR(IF(0=LEN(ReferenceData!$AX$60),"",ReferenceData!$AX$60),"")</f>
        <v>1817034</v>
      </c>
      <c r="AY60">
        <f ca="1">IFERROR(IF(0=LEN(ReferenceData!$AY$60),"",ReferenceData!$AY$60),"")</f>
        <v>2025232</v>
      </c>
      <c r="AZ60">
        <f ca="1">IFERROR(IF(0=LEN(ReferenceData!$AZ$60),"",ReferenceData!$AZ$60),"")</f>
        <v>2170882</v>
      </c>
      <c r="BA60">
        <f ca="1">IFERROR(IF(0=LEN(ReferenceData!$BA$60),"",ReferenceData!$BA$60),"")</f>
        <v>2220960</v>
      </c>
      <c r="BB60">
        <f ca="1">IFERROR(IF(0=LEN(ReferenceData!$BB$60),"",ReferenceData!$BB$60),"")</f>
        <v>2089337</v>
      </c>
      <c r="BC60">
        <f ca="1">IFERROR(IF(0=LEN(ReferenceData!$BC$60),"",ReferenceData!$BC$60),"")</f>
        <v>2112313</v>
      </c>
      <c r="BD60">
        <f ca="1">IFERROR(IF(0=LEN(ReferenceData!$BD$60),"",ReferenceData!$BD$60),"")</f>
        <v>2259906</v>
      </c>
      <c r="BE60">
        <f ca="1">IFERROR(IF(0=LEN(ReferenceData!$BE$60),"",ReferenceData!$BE$60),"")</f>
        <v>2272255</v>
      </c>
      <c r="BF60">
        <f ca="1">IFERROR(IF(0=LEN(ReferenceData!$BF$60),"",ReferenceData!$BF$60),"")</f>
        <v>2105400</v>
      </c>
      <c r="BG60">
        <f ca="1">IFERROR(IF(0=LEN(ReferenceData!$BG$60),"",ReferenceData!$BG$60),"")</f>
        <v>2065501</v>
      </c>
      <c r="BH60">
        <f ca="1">IFERROR(IF(0=LEN(ReferenceData!$BH$60),"",ReferenceData!$BH$60),"")</f>
        <v>2558877</v>
      </c>
      <c r="BI60">
        <f ca="1">IFERROR(IF(0=LEN(ReferenceData!$BI$60),"",ReferenceData!$BI$60),"")</f>
        <v>2565462</v>
      </c>
      <c r="BJ60">
        <f ca="1">IFERROR(IF(0=LEN(ReferenceData!$BJ$60),"",ReferenceData!$BJ$60),"")</f>
        <v>2112764</v>
      </c>
      <c r="BK60">
        <f ca="1">IFERROR(IF(0=LEN(ReferenceData!$BK$60),"",ReferenceData!$BK$60),"")</f>
        <v>2316583</v>
      </c>
      <c r="BL60">
        <f ca="1">IFERROR(IF(0=LEN(ReferenceData!$BL$60),"",ReferenceData!$BL$60),"")</f>
        <v>2490092</v>
      </c>
      <c r="BM60">
        <f ca="1">IFERROR(IF(0=LEN(ReferenceData!$BM$60),"",ReferenceData!$BM$60),"")</f>
        <v>2435608</v>
      </c>
    </row>
    <row r="61" spans="1:65" x14ac:dyDescent="0.25">
      <c r="A61" t="str">
        <f>IFERROR(IF(0=LEN(ReferenceData!$A$61),"",ReferenceData!$A$61),"")</f>
        <v xml:space="preserve">    Latin America</v>
      </c>
      <c r="B61" t="str">
        <f>IFERROR(IF(0=LEN(ReferenceData!$B$61),"",ReferenceData!$B$61),"")</f>
        <v>AUTMLAVS Index</v>
      </c>
      <c r="C61" t="str">
        <f>IFERROR(IF(0=LEN(ReferenceData!$C$61),"",ReferenceData!$C$61),"")</f>
        <v/>
      </c>
      <c r="D61" t="str">
        <f>IFERROR(IF(0=LEN(ReferenceData!$D$61),"",ReferenceData!$D$61),"")</f>
        <v/>
      </c>
      <c r="E61" t="str">
        <f>IFERROR(IF(0=LEN(ReferenceData!$E$61),"",ReferenceData!$E$61),"")</f>
        <v>Sum</v>
      </c>
      <c r="F61">
        <f ca="1">IFERROR(IF(0=LEN(ReferenceData!$F$61),"",ReferenceData!$F$61),"")</f>
        <v>257790</v>
      </c>
      <c r="G61">
        <f ca="1">IFERROR(IF(0=LEN(ReferenceData!$G$61),"",ReferenceData!$G$61),"")</f>
        <v>916753</v>
      </c>
      <c r="H61">
        <f ca="1">IFERROR(IF(0=LEN(ReferenceData!$H$61),"",ReferenceData!$H$61),"")</f>
        <v>904573</v>
      </c>
      <c r="I61">
        <f ca="1">IFERROR(IF(0=LEN(ReferenceData!$I$61),"",ReferenceData!$I$61),"")</f>
        <v>908788</v>
      </c>
      <c r="J61">
        <f ca="1">IFERROR(IF(0=LEN(ReferenceData!$J$61),"",ReferenceData!$J$61),"")</f>
        <v>844096</v>
      </c>
      <c r="K61">
        <f ca="1">IFERROR(IF(0=LEN(ReferenceData!$K$61),"",ReferenceData!$K$61),"")</f>
        <v>942591</v>
      </c>
      <c r="L61">
        <f ca="1">IFERROR(IF(0=LEN(ReferenceData!$L$61),"",ReferenceData!$L$61),"")</f>
        <v>907466</v>
      </c>
      <c r="M61">
        <f ca="1">IFERROR(IF(0=LEN(ReferenceData!$M$61),"",ReferenceData!$M$61),"")</f>
        <v>842735</v>
      </c>
      <c r="N61">
        <f ca="1">IFERROR(IF(0=LEN(ReferenceData!$N$61),"",ReferenceData!$N$61),"")</f>
        <v>729062</v>
      </c>
      <c r="O61">
        <f ca="1">IFERROR(IF(0=LEN(ReferenceData!$O$61),"",ReferenceData!$O$61),"")</f>
        <v>805317</v>
      </c>
      <c r="P61">
        <f ca="1">IFERROR(IF(0=LEN(ReferenceData!$P$61),"",ReferenceData!$P$61),"")</f>
        <v>757944</v>
      </c>
      <c r="Q61">
        <f ca="1">IFERROR(IF(0=LEN(ReferenceData!$Q$61),"",ReferenceData!$Q$61),"")</f>
        <v>782017</v>
      </c>
      <c r="R61">
        <f ca="1">IFERROR(IF(0=LEN(ReferenceData!$R$61),"",ReferenceData!$R$61),"")</f>
        <v>759120</v>
      </c>
      <c r="S61">
        <f ca="1">IFERROR(IF(0=LEN(ReferenceData!$S$61),"",ReferenceData!$S$61),"")</f>
        <v>891092</v>
      </c>
      <c r="T61">
        <f ca="1">IFERROR(IF(0=LEN(ReferenceData!$T$61),"",ReferenceData!$T$61),"")</f>
        <v>937542</v>
      </c>
      <c r="U61">
        <f ca="1">IFERROR(IF(0=LEN(ReferenceData!$U$61),"",ReferenceData!$U$61),"")</f>
        <v>918985</v>
      </c>
      <c r="V61">
        <f ca="1">IFERROR(IF(0=LEN(ReferenceData!$V$61),"",ReferenceData!$V$61),"")</f>
        <v>916592</v>
      </c>
      <c r="W61">
        <f ca="1">IFERROR(IF(0=LEN(ReferenceData!$W$61),"",ReferenceData!$W$61),"")</f>
        <v>1255581</v>
      </c>
      <c r="X61">
        <f ca="1">IFERROR(IF(0=LEN(ReferenceData!$X$61),"",ReferenceData!$X$61),"")</f>
        <v>1167771</v>
      </c>
      <c r="Y61">
        <f ca="1">IFERROR(IF(0=LEN(ReferenceData!$Y$61),"",ReferenceData!$Y$61),"")</f>
        <v>1122333</v>
      </c>
      <c r="Z61">
        <f ca="1">IFERROR(IF(0=LEN(ReferenceData!$Z$61),"",ReferenceData!$Z$61),"")</f>
        <v>1091387</v>
      </c>
      <c r="AA61">
        <f ca="1">IFERROR(IF(0=LEN(ReferenceData!$AA$61),"",ReferenceData!$AA$61),"")</f>
        <v>1384936</v>
      </c>
      <c r="AB61">
        <f ca="1">IFERROR(IF(0=LEN(ReferenceData!$AB$61),"",ReferenceData!$AB$61),"")</f>
        <v>1377559</v>
      </c>
      <c r="AC61">
        <f ca="1">IFERROR(IF(0=LEN(ReferenceData!$AC$61),"",ReferenceData!$AC$61),"")</f>
        <v>1378467</v>
      </c>
      <c r="AD61">
        <f ca="1">IFERROR(IF(0=LEN(ReferenceData!$AD$61),"",ReferenceData!$AD$61),"")</f>
        <v>1173822</v>
      </c>
      <c r="AE61">
        <f ca="1">IFERROR(IF(0=LEN(ReferenceData!$AE$61),"",ReferenceData!$AE$61),"")</f>
        <v>1402463</v>
      </c>
      <c r="AF61">
        <f ca="1">IFERROR(IF(0=LEN(ReferenceData!$AF$61),"",ReferenceData!$AF$61),"")</f>
        <v>1431733</v>
      </c>
      <c r="AG61">
        <f ca="1">IFERROR(IF(0=LEN(ReferenceData!$AG$61),"",ReferenceData!$AG$61),"")</f>
        <v>1255678</v>
      </c>
      <c r="AH61">
        <f ca="1">IFERROR(IF(0=LEN(ReferenceData!$AH$61),"",ReferenceData!$AH$61),"")</f>
        <v>1159612</v>
      </c>
      <c r="AI61">
        <f ca="1">IFERROR(IF(0=LEN(ReferenceData!$AI$61),"",ReferenceData!$AI$61),"")</f>
        <v>1338608</v>
      </c>
      <c r="AJ61">
        <f ca="1">IFERROR(IF(0=LEN(ReferenceData!$AJ$61),"",ReferenceData!$AJ$61),"")</f>
        <v>1327361</v>
      </c>
      <c r="AK61">
        <f ca="1">IFERROR(IF(0=LEN(ReferenceData!$AK$61),"",ReferenceData!$AK$61),"")</f>
        <v>1274161</v>
      </c>
      <c r="AL61">
        <f ca="1">IFERROR(IF(0=LEN(ReferenceData!$AL$61),"",ReferenceData!$AL$61),"")</f>
        <v>1147957</v>
      </c>
      <c r="AM61">
        <f ca="1">IFERROR(IF(0=LEN(ReferenceData!$AM$61),"",ReferenceData!$AM$61),"")</f>
        <v>1352610</v>
      </c>
      <c r="AN61">
        <f ca="1">IFERROR(IF(0=LEN(ReferenceData!$AN$61),"",ReferenceData!$AN$61),"")</f>
        <v>1225453</v>
      </c>
      <c r="AO61">
        <f ca="1">IFERROR(IF(0=LEN(ReferenceData!$AO$61),"",ReferenceData!$AO$61),"")</f>
        <v>1066800</v>
      </c>
      <c r="AP61">
        <f ca="1">IFERROR(IF(0=LEN(ReferenceData!$AP$61),"",ReferenceData!$AP$61),"")</f>
        <v>1036723</v>
      </c>
      <c r="AQ61">
        <f ca="1">IFERROR(IF(0=LEN(ReferenceData!$AQ$61),"",ReferenceData!$AQ$61),"")</f>
        <v>1058547</v>
      </c>
      <c r="AR61">
        <f ca="1">IFERROR(IF(0=LEN(ReferenceData!$AR$61),"",ReferenceData!$AR$61),"")</f>
        <v>1084719</v>
      </c>
      <c r="AS61">
        <f ca="1">IFERROR(IF(0=LEN(ReferenceData!$AS$61),"",ReferenceData!$AS$61),"")</f>
        <v>976193</v>
      </c>
      <c r="AT61">
        <f ca="1">IFERROR(IF(0=LEN(ReferenceData!$AT$61),"",ReferenceData!$AT$61),"")</f>
        <v>863374</v>
      </c>
      <c r="AU61">
        <f ca="1">IFERROR(IF(0=LEN(ReferenceData!$AU$61),"",ReferenceData!$AU$61),"")</f>
        <v>865956</v>
      </c>
      <c r="AV61">
        <f ca="1">IFERROR(IF(0=LEN(ReferenceData!$AV$61),"",ReferenceData!$AV$61),"")</f>
        <v>1095839</v>
      </c>
      <c r="AW61">
        <f ca="1">IFERROR(IF(0=LEN(ReferenceData!$AW$61),"",ReferenceData!$AW$61),"")</f>
        <v>1091169</v>
      </c>
      <c r="AX61">
        <f ca="1">IFERROR(IF(0=LEN(ReferenceData!$AX$61),"",ReferenceData!$AX$61),"")</f>
        <v>966185</v>
      </c>
      <c r="AY61">
        <f ca="1">IFERROR(IF(0=LEN(ReferenceData!$AY$61),"",ReferenceData!$AY$61),"")</f>
        <v>1088575</v>
      </c>
      <c r="AZ61">
        <f ca="1">IFERROR(IF(0=LEN(ReferenceData!$AZ$61),"",ReferenceData!$AZ$61),"")</f>
        <v>1008523</v>
      </c>
      <c r="BA61">
        <f ca="1">IFERROR(IF(0=LEN(ReferenceData!$BA$61),"",ReferenceData!$BA$61),"")</f>
        <v>901387</v>
      </c>
      <c r="BB61">
        <f ca="1">IFERROR(IF(0=LEN(ReferenceData!$BB$61),"",ReferenceData!$BB$61),"")</f>
        <v>794979</v>
      </c>
      <c r="BC61">
        <f ca="1">IFERROR(IF(0=LEN(ReferenceData!$BC$61),"",ReferenceData!$BC$61),"")</f>
        <v>862965</v>
      </c>
      <c r="BD61">
        <f ca="1">IFERROR(IF(0=LEN(ReferenceData!$BD$61),"",ReferenceData!$BD$61),"")</f>
        <v>698196</v>
      </c>
      <c r="BE61">
        <f ca="1">IFERROR(IF(0=LEN(ReferenceData!$BE$61),"",ReferenceData!$BE$61),"")</f>
        <v>631992</v>
      </c>
      <c r="BF61">
        <f ca="1">IFERROR(IF(0=LEN(ReferenceData!$BF$61),"",ReferenceData!$BF$61),"")</f>
        <v>584907</v>
      </c>
      <c r="BG61">
        <f ca="1">IFERROR(IF(0=LEN(ReferenceData!$BG$61),"",ReferenceData!$BG$61),"")</f>
        <v>631068</v>
      </c>
      <c r="BH61">
        <f ca="1">IFERROR(IF(0=LEN(ReferenceData!$BH$61),"",ReferenceData!$BH$61),"")</f>
        <v>580024</v>
      </c>
      <c r="BI61">
        <f ca="1">IFERROR(IF(0=LEN(ReferenceData!$BI$61),"",ReferenceData!$BI$61),"")</f>
        <v>561471</v>
      </c>
      <c r="BJ61">
        <f ca="1">IFERROR(IF(0=LEN(ReferenceData!$BJ$61),"",ReferenceData!$BJ$61),"")</f>
        <v>486161</v>
      </c>
      <c r="BK61">
        <f ca="1">IFERROR(IF(0=LEN(ReferenceData!$BK$61),"",ReferenceData!$BK$61),"")</f>
        <v>552967</v>
      </c>
      <c r="BL61">
        <f ca="1">IFERROR(IF(0=LEN(ReferenceData!$BL$61),"",ReferenceData!$BL$61),"")</f>
        <v>496276</v>
      </c>
      <c r="BM61">
        <f ca="1">IFERROR(IF(0=LEN(ReferenceData!$BM$61),"",ReferenceData!$BM$61),"")</f>
        <v>454402</v>
      </c>
    </row>
    <row r="62" spans="1:65" x14ac:dyDescent="0.25">
      <c r="A62" t="str">
        <f>IFERROR(IF(0=LEN(ReferenceData!$A$62),"",ReferenceData!$A$62),"")</f>
        <v xml:space="preserve">        Argentina</v>
      </c>
      <c r="B62" t="str">
        <f>IFERROR(IF(0=LEN(ReferenceData!$B$62),"",ReferenceData!$B$62),"")</f>
        <v>ARVSARTL Index</v>
      </c>
      <c r="C62" t="str">
        <f>IFERROR(IF(0=LEN(ReferenceData!$C$62),"",ReferenceData!$C$62),"")</f>
        <v>PX385</v>
      </c>
      <c r="D62" t="str">
        <f>IFERROR(IF(0=LEN(ReferenceData!$D$62),"",ReferenceData!$D$62),"")</f>
        <v>INTERVAL_SUM</v>
      </c>
      <c r="E62" t="str">
        <f>IFERROR(IF(0=LEN(ReferenceData!$E$62),"",ReferenceData!$E$62),"")</f>
        <v>Dynamic</v>
      </c>
      <c r="F62">
        <f ca="1">IFERROR(IF(0=LEN(ReferenceData!$F$62),"",ReferenceData!$F$62),"")</f>
        <v>30038</v>
      </c>
      <c r="G62">
        <f ca="1">IFERROR(IF(0=LEN(ReferenceData!$G$62),"",ReferenceData!$G$62),"")</f>
        <v>118720</v>
      </c>
      <c r="H62">
        <f ca="1">IFERROR(IF(0=LEN(ReferenceData!$H$62),"",ReferenceData!$H$62),"")</f>
        <v>141489</v>
      </c>
      <c r="I62">
        <f ca="1">IFERROR(IF(0=LEN(ReferenceData!$I$62),"",ReferenceData!$I$62),"")</f>
        <v>203860</v>
      </c>
      <c r="J62">
        <f ca="1">IFERROR(IF(0=LEN(ReferenceData!$J$62),"",ReferenceData!$J$62),"")</f>
        <v>217747</v>
      </c>
      <c r="K62">
        <f ca="1">IFERROR(IF(0=LEN(ReferenceData!$K$62),"",ReferenceData!$K$62),"")</f>
        <v>243354</v>
      </c>
      <c r="L62">
        <f ca="1">IFERROR(IF(0=LEN(ReferenceData!$L$62),"",ReferenceData!$L$62),"")</f>
        <v>225576</v>
      </c>
      <c r="M62">
        <f ca="1">IFERROR(IF(0=LEN(ReferenceData!$M$62),"",ReferenceData!$M$62),"")</f>
        <v>227810</v>
      </c>
      <c r="N62">
        <f ca="1">IFERROR(IF(0=LEN(ReferenceData!$N$62),"",ReferenceData!$N$62),"")</f>
        <v>187062</v>
      </c>
      <c r="O62">
        <f ca="1">IFERROR(IF(0=LEN(ReferenceData!$O$62),"",ReferenceData!$O$62),"")</f>
        <v>190761</v>
      </c>
      <c r="P62">
        <f ca="1">IFERROR(IF(0=LEN(ReferenceData!$P$62),"",ReferenceData!$P$62),"")</f>
        <v>169474</v>
      </c>
      <c r="Q62">
        <f ca="1">IFERROR(IF(0=LEN(ReferenceData!$Q$62),"",ReferenceData!$Q$62),"")</f>
        <v>184065</v>
      </c>
      <c r="R62">
        <f ca="1">IFERROR(IF(0=LEN(ReferenceData!$R$62),"",ReferenceData!$R$62),"")</f>
        <v>162529</v>
      </c>
      <c r="S62">
        <f ca="1">IFERROR(IF(0=LEN(ReferenceData!$S$62),"",ReferenceData!$S$62),"")</f>
        <v>143622</v>
      </c>
      <c r="T62">
        <f ca="1">IFERROR(IF(0=LEN(ReferenceData!$T$62),"",ReferenceData!$T$62),"")</f>
        <v>171822</v>
      </c>
      <c r="U62">
        <f ca="1">IFERROR(IF(0=LEN(ReferenceData!$U$62),"",ReferenceData!$U$62),"")</f>
        <v>157789</v>
      </c>
      <c r="V62">
        <f ca="1">IFERROR(IF(0=LEN(ReferenceData!$V$62),"",ReferenceData!$V$62),"")</f>
        <v>128747</v>
      </c>
      <c r="W62">
        <f ca="1">IFERROR(IF(0=LEN(ReferenceData!$W$62),"",ReferenceData!$W$62),"")</f>
        <v>141804</v>
      </c>
      <c r="X62">
        <f ca="1">IFERROR(IF(0=LEN(ReferenceData!$X$62),"",ReferenceData!$X$62),"")</f>
        <v>165613</v>
      </c>
      <c r="Y62">
        <f ca="1">IFERROR(IF(0=LEN(ReferenceData!$Y$62),"",ReferenceData!$Y$62),"")</f>
        <v>155125</v>
      </c>
      <c r="Z62">
        <f ca="1">IFERROR(IF(0=LEN(ReferenceData!$Z$62),"",ReferenceData!$Z$62),"")</f>
        <v>151306</v>
      </c>
      <c r="AA62">
        <f ca="1">IFERROR(IF(0=LEN(ReferenceData!$AA$62),"",ReferenceData!$AA$62),"")</f>
        <v>245599</v>
      </c>
      <c r="AB62">
        <f ca="1">IFERROR(IF(0=LEN(ReferenceData!$AB$62),"",ReferenceData!$AB$62),"")</f>
        <v>255647</v>
      </c>
      <c r="AC62">
        <f ca="1">IFERROR(IF(0=LEN(ReferenceData!$AC$62),"",ReferenceData!$AC$62),"")</f>
        <v>259720</v>
      </c>
      <c r="AD62">
        <f ca="1">IFERROR(IF(0=LEN(ReferenceData!$AD$62),"",ReferenceData!$AD$62),"")</f>
        <v>202951</v>
      </c>
      <c r="AE62">
        <f ca="1">IFERROR(IF(0=LEN(ReferenceData!$AE$62),"",ReferenceData!$AE$62),"")</f>
        <v>226313</v>
      </c>
      <c r="AF62">
        <f ca="1">IFERROR(IF(0=LEN(ReferenceData!$AF$62),"",ReferenceData!$AF$62),"")</f>
        <v>205870</v>
      </c>
      <c r="AG62">
        <f ca="1">IFERROR(IF(0=LEN(ReferenceData!$AG$62),"",ReferenceData!$AG$62),"")</f>
        <v>203020</v>
      </c>
      <c r="AH62">
        <f ca="1">IFERROR(IF(0=LEN(ReferenceData!$AH$62),"",ReferenceData!$AH$62),"")</f>
        <v>194828</v>
      </c>
      <c r="AI62">
        <f ca="1">IFERROR(IF(0=LEN(ReferenceData!$AI$62),"",ReferenceData!$AI$62),"")</f>
        <v>241213</v>
      </c>
      <c r="AJ62">
        <f ca="1">IFERROR(IF(0=LEN(ReferenceData!$AJ$62),"",ReferenceData!$AJ$62),"")</f>
        <v>236686</v>
      </c>
      <c r="AK62">
        <f ca="1">IFERROR(IF(0=LEN(ReferenceData!$AK$62),"",ReferenceData!$AK$62),"")</f>
        <v>220480</v>
      </c>
      <c r="AL62">
        <f ca="1">IFERROR(IF(0=LEN(ReferenceData!$AL$62),"",ReferenceData!$AL$62),"")</f>
        <v>184971</v>
      </c>
      <c r="AM62">
        <f ca="1">IFERROR(IF(0=LEN(ReferenceData!$AM$62),"",ReferenceData!$AM$62),"")</f>
        <v>200584</v>
      </c>
      <c r="AN62">
        <f ca="1">IFERROR(IF(0=LEN(ReferenceData!$AN$62),"",ReferenceData!$AN$62),"")</f>
        <v>179148</v>
      </c>
      <c r="AO62">
        <f ca="1">IFERROR(IF(0=LEN(ReferenceData!$AO$62),"",ReferenceData!$AO$62),"")</f>
        <v>164464</v>
      </c>
      <c r="AP62">
        <f ca="1">IFERROR(IF(0=LEN(ReferenceData!$AP$62),"",ReferenceData!$AP$62),"")</f>
        <v>154103</v>
      </c>
      <c r="AQ62">
        <f ca="1">IFERROR(IF(0=LEN(ReferenceData!$AQ$62),"",ReferenceData!$AQ$62),"")</f>
        <v>131298</v>
      </c>
      <c r="AR62">
        <f ca="1">IFERROR(IF(0=LEN(ReferenceData!$AR$62),"",ReferenceData!$AR$62),"")</f>
        <v>128593</v>
      </c>
      <c r="AS62">
        <f ca="1">IFERROR(IF(0=LEN(ReferenceData!$AS$62),"",ReferenceData!$AS$62),"")</f>
        <v>123377</v>
      </c>
      <c r="AT62">
        <f ca="1">IFERROR(IF(0=LEN(ReferenceData!$AT$62),"",ReferenceData!$AT$62),"")</f>
        <v>103874</v>
      </c>
      <c r="AU62">
        <f ca="1">IFERROR(IF(0=LEN(ReferenceData!$AU$62),"",ReferenceData!$AU$62),"")</f>
        <v>119317</v>
      </c>
      <c r="AV62">
        <f ca="1">IFERROR(IF(0=LEN(ReferenceData!$AV$62),"",ReferenceData!$AV$62),"")</f>
        <v>161948</v>
      </c>
      <c r="AW62">
        <f ca="1">IFERROR(IF(0=LEN(ReferenceData!$AW$62),"",ReferenceData!$AW$62),"")</f>
        <v>170762</v>
      </c>
      <c r="AX62">
        <f ca="1">IFERROR(IF(0=LEN(ReferenceData!$AX$62),"",ReferenceData!$AX$62),"")</f>
        <v>159869</v>
      </c>
      <c r="AY62">
        <f ca="1">IFERROR(IF(0=LEN(ReferenceData!$AY$62),"",ReferenceData!$AY$62),"")</f>
        <v>148457</v>
      </c>
      <c r="AZ62">
        <f ca="1">IFERROR(IF(0=LEN(ReferenceData!$AZ$62),"",ReferenceData!$AZ$62),"")</f>
        <v>146826</v>
      </c>
      <c r="BA62">
        <f ca="1">IFERROR(IF(0=LEN(ReferenceData!$BA$62),"",ReferenceData!$BA$62),"")</f>
        <v>134749</v>
      </c>
      <c r="BB62">
        <f ca="1">IFERROR(IF(0=LEN(ReferenceData!$BB$62),"",ReferenceData!$BB$62),"")</f>
        <v>134899</v>
      </c>
      <c r="BC62">
        <f ca="1">IFERROR(IF(0=LEN(ReferenceData!$BC$62),"",ReferenceData!$BC$62),"")</f>
        <v>120306</v>
      </c>
      <c r="BD62">
        <f ca="1">IFERROR(IF(0=LEN(ReferenceData!$BD$62),"",ReferenceData!$BD$62),"")</f>
        <v>115443</v>
      </c>
      <c r="BE62">
        <f ca="1">IFERROR(IF(0=LEN(ReferenceData!$BE$62),"",ReferenceData!$BE$62),"")</f>
        <v>111918</v>
      </c>
      <c r="BF62">
        <f ca="1">IFERROR(IF(0=LEN(ReferenceData!$BF$62),"",ReferenceData!$BF$62),"")</f>
        <v>113307</v>
      </c>
      <c r="BG62">
        <f ca="1">IFERROR(IF(0=LEN(ReferenceData!$BG$62),"",ReferenceData!$BG$62),"")</f>
        <v>97658</v>
      </c>
      <c r="BH62">
        <f ca="1">IFERROR(IF(0=LEN(ReferenceData!$BH$62),"",ReferenceData!$BH$62),"")</f>
        <v>108876</v>
      </c>
      <c r="BI62">
        <f ca="1">IFERROR(IF(0=LEN(ReferenceData!$BI$62),"",ReferenceData!$BI$62),"")</f>
        <v>102094</v>
      </c>
      <c r="BJ62">
        <f ca="1">IFERROR(IF(0=LEN(ReferenceData!$BJ$62),"",ReferenceData!$BJ$62),"")</f>
        <v>94093</v>
      </c>
      <c r="BK62">
        <f ca="1">IFERROR(IF(0=LEN(ReferenceData!$BK$62),"",ReferenceData!$BK$62),"")</f>
        <v>81624</v>
      </c>
      <c r="BL62">
        <f ca="1">IFERROR(IF(0=LEN(ReferenceData!$BL$62),"",ReferenceData!$BL$62),"")</f>
        <v>82309</v>
      </c>
      <c r="BM62">
        <f ca="1">IFERROR(IF(0=LEN(ReferenceData!$BM$62),"",ReferenceData!$BM$62),"")</f>
        <v>80467</v>
      </c>
    </row>
    <row r="63" spans="1:65" x14ac:dyDescent="0.25">
      <c r="A63" t="str">
        <f>IFERROR(IF(0=LEN(ReferenceData!$A$63),"",ReferenceData!$A$63),"")</f>
        <v xml:space="preserve">        Brazil</v>
      </c>
      <c r="B63" t="str">
        <f>IFERROR(IF(0=LEN(ReferenceData!$B$63),"",ReferenceData!$B$63),"")</f>
        <v>BZVLTOTL Index</v>
      </c>
      <c r="C63" t="str">
        <f>IFERROR(IF(0=LEN(ReferenceData!$C$63),"",ReferenceData!$C$63),"")</f>
        <v>PX385</v>
      </c>
      <c r="D63" t="str">
        <f>IFERROR(IF(0=LEN(ReferenceData!$D$63),"",ReferenceData!$D$63),"")</f>
        <v>INTERVAL_SUM</v>
      </c>
      <c r="E63" t="str">
        <f>IFERROR(IF(0=LEN(ReferenceData!$E$63),"",ReferenceData!$E$63),"")</f>
        <v>Dynamic</v>
      </c>
      <c r="F63">
        <f ca="1">IFERROR(IF(0=LEN(ReferenceData!$F$63),"",ReferenceData!$F$63),"")</f>
        <v>191209</v>
      </c>
      <c r="G63">
        <f ca="1">IFERROR(IF(0=LEN(ReferenceData!$G$63),"",ReferenceData!$G$63),"")</f>
        <v>692402</v>
      </c>
      <c r="H63">
        <f ca="1">IFERROR(IF(0=LEN(ReferenceData!$H$63),"",ReferenceData!$H$63),"")</f>
        <v>653807</v>
      </c>
      <c r="I63">
        <f ca="1">IFERROR(IF(0=LEN(ReferenceData!$I$63),"",ReferenceData!$I$63),"")</f>
        <v>600902</v>
      </c>
      <c r="J63">
        <f ca="1">IFERROR(IF(0=LEN(ReferenceData!$J$63),"",ReferenceData!$J$63),"")</f>
        <v>528245</v>
      </c>
      <c r="K63">
        <f ca="1">IFERROR(IF(0=LEN(ReferenceData!$K$63),"",ReferenceData!$K$63),"")</f>
        <v>599907</v>
      </c>
      <c r="L63">
        <f ca="1">IFERROR(IF(0=LEN(ReferenceData!$L$63),"",ReferenceData!$L$63),"")</f>
        <v>582986</v>
      </c>
      <c r="M63">
        <f ca="1">IFERROR(IF(0=LEN(ReferenceData!$M$63),"",ReferenceData!$M$63),"")</f>
        <v>532511</v>
      </c>
      <c r="N63">
        <f ca="1">IFERROR(IF(0=LEN(ReferenceData!$N$63),"",ReferenceData!$N$63),"")</f>
        <v>460583</v>
      </c>
      <c r="O63">
        <f ca="1">IFERROR(IF(0=LEN(ReferenceData!$O$63),"",ReferenceData!$O$63),"")</f>
        <v>527966</v>
      </c>
      <c r="P63">
        <f ca="1">IFERROR(IF(0=LEN(ReferenceData!$P$63),"",ReferenceData!$P$63),"")</f>
        <v>508363</v>
      </c>
      <c r="Q63">
        <f ca="1">IFERROR(IF(0=LEN(ReferenceData!$Q$63),"",ReferenceData!$Q$63),"")</f>
        <v>486784</v>
      </c>
      <c r="R63">
        <f ca="1">IFERROR(IF(0=LEN(ReferenceData!$R$63),"",ReferenceData!$R$63),"")</f>
        <v>465480</v>
      </c>
      <c r="S63">
        <f ca="1">IFERROR(IF(0=LEN(ReferenceData!$S$63),"",ReferenceData!$S$63),"")</f>
        <v>595879</v>
      </c>
      <c r="T63">
        <f ca="1">IFERROR(IF(0=LEN(ReferenceData!$T$63),"",ReferenceData!$T$63),"")</f>
        <v>612651</v>
      </c>
      <c r="U63">
        <f ca="1">IFERROR(IF(0=LEN(ReferenceData!$U$63),"",ReferenceData!$U$63),"")</f>
        <v>622134</v>
      </c>
      <c r="V63">
        <f ca="1">IFERROR(IF(0=LEN(ReferenceData!$V$63),"",ReferenceData!$V$63),"")</f>
        <v>649865</v>
      </c>
      <c r="W63">
        <f ca="1">IFERROR(IF(0=LEN(ReferenceData!$W$63),"",ReferenceData!$W$63),"")</f>
        <v>925955</v>
      </c>
      <c r="X63">
        <f ca="1">IFERROR(IF(0=LEN(ReferenceData!$X$63),"",ReferenceData!$X$63),"")</f>
        <v>822561</v>
      </c>
      <c r="Y63">
        <f ca="1">IFERROR(IF(0=LEN(ReferenceData!$Y$63),"",ReferenceData!$Y$63),"")</f>
        <v>809536</v>
      </c>
      <c r="Z63">
        <f ca="1">IFERROR(IF(0=LEN(ReferenceData!$Z$63),"",ReferenceData!$Z$63),"")</f>
        <v>775345</v>
      </c>
      <c r="AA63">
        <f ca="1">IFERROR(IF(0=LEN(ReferenceData!$AA$63),"",ReferenceData!$AA$63),"")</f>
        <v>938649</v>
      </c>
      <c r="AB63">
        <f ca="1">IFERROR(IF(0=LEN(ReferenceData!$AB$63),"",ReferenceData!$AB$63),"")</f>
        <v>931722</v>
      </c>
      <c r="AC63">
        <f ca="1">IFERROR(IF(0=LEN(ReferenceData!$AC$63),"",ReferenceData!$AC$63),"")</f>
        <v>921018</v>
      </c>
      <c r="AD63">
        <f ca="1">IFERROR(IF(0=LEN(ReferenceData!$AD$63),"",ReferenceData!$AD$63),"")</f>
        <v>788514</v>
      </c>
      <c r="AE63">
        <f ca="1">IFERROR(IF(0=LEN(ReferenceData!$AE$63),"",ReferenceData!$AE$63),"")</f>
        <v>967968</v>
      </c>
      <c r="AF63">
        <f ca="1">IFERROR(IF(0=LEN(ReferenceData!$AF$63),"",ReferenceData!$AF$63),"")</f>
        <v>1034398</v>
      </c>
      <c r="AG63">
        <f ca="1">IFERROR(IF(0=LEN(ReferenceData!$AG$63),"",ReferenceData!$AG$63),"")</f>
        <v>859463</v>
      </c>
      <c r="AH63">
        <f ca="1">IFERROR(IF(0=LEN(ReferenceData!$AH$63),"",ReferenceData!$AH$63),"")</f>
        <v>772279</v>
      </c>
      <c r="AI63">
        <f ca="1">IFERROR(IF(0=LEN(ReferenceData!$AI$63),"",ReferenceData!$AI$63),"")</f>
        <v>898121</v>
      </c>
      <c r="AJ63">
        <f ca="1">IFERROR(IF(0=LEN(ReferenceData!$AJ$63),"",ReferenceData!$AJ$63),"")</f>
        <v>889296</v>
      </c>
      <c r="AK63">
        <f ca="1">IFERROR(IF(0=LEN(ReferenceData!$AK$63),"",ReferenceData!$AK$63),"")</f>
        <v>860336</v>
      </c>
      <c r="AL63">
        <f ca="1">IFERROR(IF(0=LEN(ReferenceData!$AL$63),"",ReferenceData!$AL$63),"")</f>
        <v>777671</v>
      </c>
      <c r="AM63">
        <f ca="1">IFERROR(IF(0=LEN(ReferenceData!$AM$63),"",ReferenceData!$AM$63),"")</f>
        <v>960202</v>
      </c>
      <c r="AN63">
        <f ca="1">IFERROR(IF(0=LEN(ReferenceData!$AN$63),"",ReferenceData!$AN$63),"")</f>
        <v>873238</v>
      </c>
      <c r="AO63">
        <f ca="1">IFERROR(IF(0=LEN(ReferenceData!$AO$63),"",ReferenceData!$AO$63),"")</f>
        <v>745111</v>
      </c>
      <c r="AP63">
        <f ca="1">IFERROR(IF(0=LEN(ReferenceData!$AP$63),"",ReferenceData!$AP$63),"")</f>
        <v>750395</v>
      </c>
      <c r="AQ63">
        <f ca="1">IFERROR(IF(0=LEN(ReferenceData!$AQ$63),"",ReferenceData!$AQ$63),"")</f>
        <v>797498</v>
      </c>
      <c r="AR63">
        <f ca="1">IFERROR(IF(0=LEN(ReferenceData!$AR$63),"",ReferenceData!$AR$63),"")</f>
        <v>817736</v>
      </c>
      <c r="AS63">
        <f ca="1">IFERROR(IF(0=LEN(ReferenceData!$AS$63),"",ReferenceData!$AS$63),"")</f>
        <v>751537</v>
      </c>
      <c r="AT63">
        <f ca="1">IFERROR(IF(0=LEN(ReferenceData!$AT$63),"",ReferenceData!$AT$63),"")</f>
        <v>641971</v>
      </c>
      <c r="AU63">
        <f ca="1">IFERROR(IF(0=LEN(ReferenceData!$AU$63),"",ReferenceData!$AU$63),"")</f>
        <v>574785</v>
      </c>
      <c r="AV63">
        <f ca="1">IFERROR(IF(0=LEN(ReferenceData!$AV$63),"",ReferenceData!$AV$63),"")</f>
        <v>758021</v>
      </c>
      <c r="AW63">
        <f ca="1">IFERROR(IF(0=LEN(ReferenceData!$AW$63),"",ReferenceData!$AW$63),"")</f>
        <v>720636</v>
      </c>
      <c r="AX63">
        <f ca="1">IFERROR(IF(0=LEN(ReferenceData!$AX$63),"",ReferenceData!$AX$63),"")</f>
        <v>617246</v>
      </c>
      <c r="AY63">
        <f ca="1">IFERROR(IF(0=LEN(ReferenceData!$AY$63),"",ReferenceData!$AY$63),"")</f>
        <v>689405</v>
      </c>
      <c r="AZ63">
        <f ca="1">IFERROR(IF(0=LEN(ReferenceData!$AZ$63),"",ReferenceData!$AZ$63),"")</f>
        <v>624141</v>
      </c>
      <c r="BA63">
        <f ca="1">IFERROR(IF(0=LEN(ReferenceData!$BA$63),"",ReferenceData!$BA$63),"")</f>
        <v>558873</v>
      </c>
      <c r="BB63">
        <f ca="1">IFERROR(IF(0=LEN(ReferenceData!$BB$63),"",ReferenceData!$BB$63),"")</f>
        <v>468613</v>
      </c>
      <c r="BC63">
        <f ca="1">IFERROR(IF(0=LEN(ReferenceData!$BC$63),"",ReferenceData!$BC$63),"")</f>
        <v>536672</v>
      </c>
      <c r="BD63">
        <f ca="1">IFERROR(IF(0=LEN(ReferenceData!$BD$63),"",ReferenceData!$BD$63),"")</f>
        <v>407536</v>
      </c>
      <c r="BE63">
        <f ca="1">IFERROR(IF(0=LEN(ReferenceData!$BE$63),"",ReferenceData!$BE$63),"")</f>
        <v>373283</v>
      </c>
      <c r="BF63">
        <f ca="1">IFERROR(IF(0=LEN(ReferenceData!$BF$63),"",ReferenceData!$BF$63),"")</f>
        <v>335662</v>
      </c>
      <c r="BG63">
        <f ca="1">IFERROR(IF(0=LEN(ReferenceData!$BG$63),"",ReferenceData!$BG$63),"")</f>
        <v>389387</v>
      </c>
      <c r="BH63">
        <f ca="1">IFERROR(IF(0=LEN(ReferenceData!$BH$63),"",ReferenceData!$BH$63),"")</f>
        <v>345890</v>
      </c>
      <c r="BI63">
        <f ca="1">IFERROR(IF(0=LEN(ReferenceData!$BI$63),"",ReferenceData!$BI$63),"")</f>
        <v>340951</v>
      </c>
      <c r="BJ63">
        <f ca="1">IFERROR(IF(0=LEN(ReferenceData!$BJ$63),"",ReferenceData!$BJ$63),"")</f>
        <v>292952</v>
      </c>
      <c r="BK63">
        <f ca="1">IFERROR(IF(0=LEN(ReferenceData!$BK$63),"",ReferenceData!$BK$63),"")</f>
        <v>361222</v>
      </c>
      <c r="BL63">
        <f ca="1">IFERROR(IF(0=LEN(ReferenceData!$BL$63),"",ReferenceData!$BL$63),"")</f>
        <v>321605</v>
      </c>
      <c r="BM63">
        <f ca="1">IFERROR(IF(0=LEN(ReferenceData!$BM$63),"",ReferenceData!$BM$63),"")</f>
        <v>291587</v>
      </c>
    </row>
    <row r="64" spans="1:65" x14ac:dyDescent="0.25">
      <c r="A64" t="str">
        <f>IFERROR(IF(0=LEN(ReferenceData!$A$64),"",ReferenceData!$A$64),"")</f>
        <v xml:space="preserve">        Chile</v>
      </c>
      <c r="B64" t="str">
        <f>IFERROR(IF(0=LEN(ReferenceData!$B$64),"",ReferenceData!$B$64),"")</f>
        <v>CHVSAUTO Index</v>
      </c>
      <c r="C64" t="str">
        <f>IFERROR(IF(0=LEN(ReferenceData!$C$64),"",ReferenceData!$C$64),"")</f>
        <v>PX385</v>
      </c>
      <c r="D64" t="str">
        <f>IFERROR(IF(0=LEN(ReferenceData!$D$64),"",ReferenceData!$D$64),"")</f>
        <v>INTERVAL_SUM</v>
      </c>
      <c r="E64" t="str">
        <f>IFERROR(IF(0=LEN(ReferenceData!$E$64),"",ReferenceData!$E$64),"")</f>
        <v>Dynamic</v>
      </c>
      <c r="F64">
        <f ca="1">IFERROR(IF(0=LEN(ReferenceData!$F$64),"",ReferenceData!$F$64),"")</f>
        <v>36543</v>
      </c>
      <c r="G64">
        <f ca="1">IFERROR(IF(0=LEN(ReferenceData!$G$64),"",ReferenceData!$G$64),"")</f>
        <v>105631</v>
      </c>
      <c r="H64">
        <f ca="1">IFERROR(IF(0=LEN(ReferenceData!$H$64),"",ReferenceData!$H$64),"")</f>
        <v>109277</v>
      </c>
      <c r="I64">
        <f ca="1">IFERROR(IF(0=LEN(ReferenceData!$I$64),"",ReferenceData!$I$64),"")</f>
        <v>104026</v>
      </c>
      <c r="J64">
        <f ca="1">IFERROR(IF(0=LEN(ReferenceData!$J$64),"",ReferenceData!$J$64),"")</f>
        <v>98104</v>
      </c>
      <c r="K64">
        <f ca="1">IFERROR(IF(0=LEN(ReferenceData!$K$64),"",ReferenceData!$K$64),"")</f>
        <v>99330</v>
      </c>
      <c r="L64">
        <f ca="1">IFERROR(IF(0=LEN(ReferenceData!$L$64),"",ReferenceData!$L$64),"")</f>
        <v>98904</v>
      </c>
      <c r="M64">
        <f ca="1">IFERROR(IF(0=LEN(ReferenceData!$M$64),"",ReferenceData!$M$64),"")</f>
        <v>81911</v>
      </c>
      <c r="N64">
        <f ca="1">IFERROR(IF(0=LEN(ReferenceData!$N$64),"",ReferenceData!$N$64),"")</f>
        <v>80752</v>
      </c>
      <c r="O64">
        <f ca="1">IFERROR(IF(0=LEN(ReferenceData!$O$64),"",ReferenceData!$O$64),"")</f>
        <v>85944</v>
      </c>
      <c r="P64">
        <f ca="1">IFERROR(IF(0=LEN(ReferenceData!$P$64),"",ReferenceData!$P$64),"")</f>
        <v>79449</v>
      </c>
      <c r="Q64">
        <f ca="1">IFERROR(IF(0=LEN(ReferenceData!$Q$64),"",ReferenceData!$Q$64),"")</f>
        <v>70039</v>
      </c>
      <c r="R64">
        <f ca="1">IFERROR(IF(0=LEN(ReferenceData!$R$64),"",ReferenceData!$R$64),"")</f>
        <v>70108</v>
      </c>
      <c r="S64">
        <f ca="1">IFERROR(IF(0=LEN(ReferenceData!$S$64),"",ReferenceData!$S$64),"")</f>
        <v>76449</v>
      </c>
      <c r="T64">
        <f ca="1">IFERROR(IF(0=LEN(ReferenceData!$T$64),"",ReferenceData!$T$64),"")</f>
        <v>75290</v>
      </c>
      <c r="U64">
        <f ca="1">IFERROR(IF(0=LEN(ReferenceData!$U$64),"",ReferenceData!$U$64),"")</f>
        <v>66900</v>
      </c>
      <c r="V64">
        <f ca="1">IFERROR(IF(0=LEN(ReferenceData!$V$64),"",ReferenceData!$V$64),"")</f>
        <v>63593</v>
      </c>
      <c r="W64">
        <f ca="1">IFERROR(IF(0=LEN(ReferenceData!$W$64),"",ReferenceData!$W$64),"")</f>
        <v>83909</v>
      </c>
      <c r="X64">
        <f ca="1">IFERROR(IF(0=LEN(ReferenceData!$X$64),"",ReferenceData!$X$64),"")</f>
        <v>88160</v>
      </c>
      <c r="Y64">
        <f ca="1">IFERROR(IF(0=LEN(ReferenceData!$Y$64),"",ReferenceData!$Y$64),"")</f>
        <v>77784</v>
      </c>
      <c r="Z64">
        <f ca="1">IFERROR(IF(0=LEN(ReferenceData!$Z$64),"",ReferenceData!$Z$64),"")</f>
        <v>87741</v>
      </c>
      <c r="AA64">
        <f ca="1">IFERROR(IF(0=LEN(ReferenceData!$AA$64),"",ReferenceData!$AA$64),"")</f>
        <v>103763</v>
      </c>
      <c r="AB64">
        <f ca="1">IFERROR(IF(0=LEN(ReferenceData!$AB$64),"",ReferenceData!$AB$64),"")</f>
        <v>91940</v>
      </c>
      <c r="AC64">
        <f ca="1">IFERROR(IF(0=LEN(ReferenceData!$AC$64),"",ReferenceData!$AC$64),"")</f>
        <v>92252</v>
      </c>
      <c r="AD64">
        <f ca="1">IFERROR(IF(0=LEN(ReferenceData!$AD$64),"",ReferenceData!$AD$64),"")</f>
        <v>90285</v>
      </c>
      <c r="AE64">
        <f ca="1">IFERROR(IF(0=LEN(ReferenceData!$AE$64),"",ReferenceData!$AE$64),"")</f>
        <v>96069</v>
      </c>
      <c r="AF64">
        <f ca="1">IFERROR(IF(0=LEN(ReferenceData!$AF$64),"",ReferenceData!$AF$64),"")</f>
        <v>85467</v>
      </c>
      <c r="AG64">
        <f ca="1">IFERROR(IF(0=LEN(ReferenceData!$AG$64),"",ReferenceData!$AG$64),"")</f>
        <v>79831</v>
      </c>
      <c r="AH64">
        <f ca="1">IFERROR(IF(0=LEN(ReferenceData!$AH$64),"",ReferenceData!$AH$64),"")</f>
        <v>77459</v>
      </c>
      <c r="AI64">
        <f ca="1">IFERROR(IF(0=LEN(ReferenceData!$AI$64),"",ReferenceData!$AI$64),"")</f>
        <v>85733</v>
      </c>
      <c r="AJ64">
        <f ca="1">IFERROR(IF(0=LEN(ReferenceData!$AJ$64),"",ReferenceData!$AJ$64),"")</f>
        <v>84910</v>
      </c>
      <c r="AK64">
        <f ca="1">IFERROR(IF(0=LEN(ReferenceData!$AK$64),"",ReferenceData!$AK$64),"")</f>
        <v>82502</v>
      </c>
      <c r="AL64">
        <f ca="1">IFERROR(IF(0=LEN(ReferenceData!$AL$64),"",ReferenceData!$AL$64),"")</f>
        <v>80907</v>
      </c>
      <c r="AM64">
        <f ca="1">IFERROR(IF(0=LEN(ReferenceData!$AM$64),"",ReferenceData!$AM$64),"")</f>
        <v>79960</v>
      </c>
      <c r="AN64">
        <f ca="1">IFERROR(IF(0=LEN(ReferenceData!$AN$64),"",ReferenceData!$AN$64),"")</f>
        <v>71592</v>
      </c>
      <c r="AO64">
        <f ca="1">IFERROR(IF(0=LEN(ReferenceData!$AO$64),"",ReferenceData!$AO$64),"")</f>
        <v>68953</v>
      </c>
      <c r="AP64">
        <f ca="1">IFERROR(IF(0=LEN(ReferenceData!$AP$64),"",ReferenceData!$AP$64),"")</f>
        <v>54765</v>
      </c>
      <c r="AQ64">
        <f ca="1">IFERROR(IF(0=LEN(ReferenceData!$AQ$64),"",ReferenceData!$AQ$64),"")</f>
        <v>47854</v>
      </c>
      <c r="AR64">
        <f ca="1">IFERROR(IF(0=LEN(ReferenceData!$AR$64),"",ReferenceData!$AR$64),"")</f>
        <v>65749</v>
      </c>
      <c r="AS64">
        <f ca="1">IFERROR(IF(0=LEN(ReferenceData!$AS$64),"",ReferenceData!$AS$64),"")</f>
        <v>28233</v>
      </c>
      <c r="AT64">
        <f ca="1">IFERROR(IF(0=LEN(ReferenceData!$AT$64),"",ReferenceData!$AT$64),"")</f>
        <v>23467</v>
      </c>
      <c r="AU64">
        <f ca="1">IFERROR(IF(0=LEN(ReferenceData!$AU$64),"",ReferenceData!$AU$64),"")</f>
        <v>62730</v>
      </c>
      <c r="AV64">
        <f ca="1">IFERROR(IF(0=LEN(ReferenceData!$AV$64),"",ReferenceData!$AV$64),"")</f>
        <v>59200</v>
      </c>
      <c r="AW64">
        <f ca="1">IFERROR(IF(0=LEN(ReferenceData!$AW$64),"",ReferenceData!$AW$64),"")</f>
        <v>69034</v>
      </c>
      <c r="AX64">
        <f ca="1">IFERROR(IF(0=LEN(ReferenceData!$AX$64),"",ReferenceData!$AX$64),"")</f>
        <v>54825</v>
      </c>
      <c r="AY64">
        <f ca="1">IFERROR(IF(0=LEN(ReferenceData!$AY$64),"",ReferenceData!$AY$64),"")</f>
        <v>38618</v>
      </c>
      <c r="AZ64">
        <f ca="1">IFERROR(IF(0=LEN(ReferenceData!$AZ$64),"",ReferenceData!$AZ$64),"")</f>
        <v>36951</v>
      </c>
      <c r="BA64">
        <f ca="1">IFERROR(IF(0=LEN(ReferenceData!$BA$64),"",ReferenceData!$BA$64),"")</f>
        <v>33606</v>
      </c>
      <c r="BB64">
        <f ca="1">IFERROR(IF(0=LEN(ReferenceData!$BB$64),"",ReferenceData!$BB$64),"")</f>
        <v>33391</v>
      </c>
      <c r="BC64">
        <f ca="1">IFERROR(IF(0=LEN(ReferenceData!$BC$64),"",ReferenceData!$BC$64),"")</f>
        <v>36226</v>
      </c>
      <c r="BD64">
        <f ca="1">IFERROR(IF(0=LEN(ReferenceData!$BD$64),"",ReferenceData!$BD$64),"")</f>
        <v>30876</v>
      </c>
      <c r="BE64">
        <f ca="1">IFERROR(IF(0=LEN(ReferenceData!$BE$64),"",ReferenceData!$BE$64),"")</f>
        <v>27459</v>
      </c>
      <c r="BF64">
        <f ca="1">IFERROR(IF(0=LEN(ReferenceData!$BF$64),"",ReferenceData!$BF$64),"")</f>
        <v>27764</v>
      </c>
      <c r="BG64">
        <f ca="1">IFERROR(IF(0=LEN(ReferenceData!$BG$64),"",ReferenceData!$BG$64),"")</f>
        <v>27728</v>
      </c>
      <c r="BH64">
        <f ca="1">IFERROR(IF(0=LEN(ReferenceData!$BH$64),"",ReferenceData!$BH$64),"")</f>
        <v>30850</v>
      </c>
      <c r="BI64">
        <f ca="1">IFERROR(IF(0=LEN(ReferenceData!$BI$64),"",ReferenceData!$BI$64),"")</f>
        <v>27273</v>
      </c>
      <c r="BJ64">
        <f ca="1">IFERROR(IF(0=LEN(ReferenceData!$BJ$64),"",ReferenceData!$BJ$64),"")</f>
        <v>26848</v>
      </c>
      <c r="BK64">
        <f ca="1">IFERROR(IF(0=LEN(ReferenceData!$BK$64),"",ReferenceData!$BK$64),"")</f>
        <v>30886</v>
      </c>
      <c r="BL64">
        <f ca="1">IFERROR(IF(0=LEN(ReferenceData!$BL$64),"",ReferenceData!$BL$64),"")</f>
        <v>28582</v>
      </c>
      <c r="BM64">
        <f ca="1">IFERROR(IF(0=LEN(ReferenceData!$BM$64),"",ReferenceData!$BM$64),"")</f>
        <v>26612</v>
      </c>
    </row>
    <row r="65" spans="1:65" x14ac:dyDescent="0.25">
      <c r="A65" t="str">
        <f>IFERROR(IF(0=LEN(ReferenceData!$A$65),"",ReferenceData!$A$65),"")</f>
        <v xml:space="preserve">        Colombia</v>
      </c>
      <c r="B65" t="str">
        <f>IFERROR(IF(0=LEN(ReferenceData!$B$65),"",ReferenceData!$B$65),"")</f>
        <v>COVSTCAR Index</v>
      </c>
      <c r="C65" t="str">
        <f>IFERROR(IF(0=LEN(ReferenceData!$C$65),"",ReferenceData!$C$65),"")</f>
        <v>PX385</v>
      </c>
      <c r="D65" t="str">
        <f>IFERROR(IF(0=LEN(ReferenceData!$D$65),"",ReferenceData!$D$65),"")</f>
        <v>INTERVAL_SUM</v>
      </c>
      <c r="E65" t="str">
        <f>IFERROR(IF(0=LEN(ReferenceData!$E$65),"",ReferenceData!$E$65),"")</f>
        <v>Dynamic</v>
      </c>
      <c r="F65" t="str">
        <f ca="1">IFERROR(IF(0=LEN(ReferenceData!$F$65),"",ReferenceData!$F$65),"")</f>
        <v/>
      </c>
      <c r="G65" t="str">
        <f ca="1">IFERROR(IF(0=LEN(ReferenceData!$G$65),"",ReferenceData!$G$65),"")</f>
        <v/>
      </c>
      <c r="H65" t="str">
        <f ca="1">IFERROR(IF(0=LEN(ReferenceData!$H$65),"",ReferenceData!$H$65),"")</f>
        <v/>
      </c>
      <c r="I65" t="str">
        <f ca="1">IFERROR(IF(0=LEN(ReferenceData!$I$65),"",ReferenceData!$I$65),"")</f>
        <v/>
      </c>
      <c r="J65" t="str">
        <f ca="1">IFERROR(IF(0=LEN(ReferenceData!$J$65),"",ReferenceData!$J$65),"")</f>
        <v/>
      </c>
      <c r="K65" t="str">
        <f ca="1">IFERROR(IF(0=LEN(ReferenceData!$K$65),"",ReferenceData!$K$65),"")</f>
        <v/>
      </c>
      <c r="L65" t="str">
        <f ca="1">IFERROR(IF(0=LEN(ReferenceData!$L$65),"",ReferenceData!$L$65),"")</f>
        <v/>
      </c>
      <c r="M65" t="str">
        <f ca="1">IFERROR(IF(0=LEN(ReferenceData!$M$65),"",ReferenceData!$M$65),"")</f>
        <v/>
      </c>
      <c r="N65" t="str">
        <f ca="1">IFERROR(IF(0=LEN(ReferenceData!$N$65),"",ReferenceData!$N$65),"")</f>
        <v/>
      </c>
      <c r="O65" t="str">
        <f ca="1">IFERROR(IF(0=LEN(ReferenceData!$O$65),"",ReferenceData!$O$65),"")</f>
        <v/>
      </c>
      <c r="P65" t="str">
        <f ca="1">IFERROR(IF(0=LEN(ReferenceData!$P$65),"",ReferenceData!$P$65),"")</f>
        <v/>
      </c>
      <c r="Q65">
        <f ca="1">IFERROR(IF(0=LEN(ReferenceData!$Q$65),"",ReferenceData!$Q$65),"")</f>
        <v>40354</v>
      </c>
      <c r="R65">
        <f ca="1">IFERROR(IF(0=LEN(ReferenceData!$R$65),"",ReferenceData!$R$65),"")</f>
        <v>56459</v>
      </c>
      <c r="S65">
        <f ca="1">IFERROR(IF(0=LEN(ReferenceData!$S$65),"",ReferenceData!$S$65),"")</f>
        <v>71763</v>
      </c>
      <c r="T65">
        <f ca="1">IFERROR(IF(0=LEN(ReferenceData!$T$65),"",ReferenceData!$T$65),"")</f>
        <v>74545</v>
      </c>
      <c r="U65">
        <f ca="1">IFERROR(IF(0=LEN(ReferenceData!$U$65),"",ReferenceData!$U$65),"")</f>
        <v>67009</v>
      </c>
      <c r="V65">
        <f ca="1">IFERROR(IF(0=LEN(ReferenceData!$V$65),"",ReferenceData!$V$65),"")</f>
        <v>68568</v>
      </c>
      <c r="W65">
        <f ca="1">IFERROR(IF(0=LEN(ReferenceData!$W$65),"",ReferenceData!$W$65),"")</f>
        <v>93625</v>
      </c>
      <c r="X65">
        <f ca="1">IFERROR(IF(0=LEN(ReferenceData!$X$65),"",ReferenceData!$X$65),"")</f>
        <v>86254</v>
      </c>
      <c r="Y65">
        <f ca="1">IFERROR(IF(0=LEN(ReferenceData!$Y$65),"",ReferenceData!$Y$65),"")</f>
        <v>74865</v>
      </c>
      <c r="Z65">
        <f ca="1">IFERROR(IF(0=LEN(ReferenceData!$Z$65),"",ReferenceData!$Z$65),"")</f>
        <v>73782</v>
      </c>
      <c r="AA65">
        <f ca="1">IFERROR(IF(0=LEN(ReferenceData!$AA$65),"",ReferenceData!$AA$65),"")</f>
        <v>79997</v>
      </c>
      <c r="AB65">
        <f ca="1">IFERROR(IF(0=LEN(ReferenceData!$AB$65),"",ReferenceData!$AB$65),"")</f>
        <v>73580</v>
      </c>
      <c r="AC65">
        <f ca="1">IFERROR(IF(0=LEN(ReferenceData!$AC$65),"",ReferenceData!$AC$65),"")</f>
        <v>73836</v>
      </c>
      <c r="AD65">
        <f ca="1">IFERROR(IF(0=LEN(ReferenceData!$AD$65),"",ReferenceData!$AD$65),"")</f>
        <v>66433</v>
      </c>
      <c r="AE65">
        <f ca="1">IFERROR(IF(0=LEN(ReferenceData!$AE$65),"",ReferenceData!$AE$65),"")</f>
        <v>80878</v>
      </c>
      <c r="AF65">
        <f ca="1">IFERROR(IF(0=LEN(ReferenceData!$AF$65),"",ReferenceData!$AF$65),"")</f>
        <v>74259</v>
      </c>
      <c r="AG65">
        <f ca="1">IFERROR(IF(0=LEN(ReferenceData!$AG$65),"",ReferenceData!$AG$65),"")</f>
        <v>79029</v>
      </c>
      <c r="AH65">
        <f ca="1">IFERROR(IF(0=LEN(ReferenceData!$AH$65),"",ReferenceData!$AH$65),"")</f>
        <v>81802</v>
      </c>
      <c r="AI65">
        <f ca="1">IFERROR(IF(0=LEN(ReferenceData!$AI$65),"",ReferenceData!$AI$65),"")</f>
        <v>82171</v>
      </c>
      <c r="AJ65">
        <f ca="1">IFERROR(IF(0=LEN(ReferenceData!$AJ$65),"",ReferenceData!$AJ$65),"")</f>
        <v>84182</v>
      </c>
      <c r="AK65">
        <f ca="1">IFERROR(IF(0=LEN(ReferenceData!$AK$65),"",ReferenceData!$AK$65),"")</f>
        <v>79599</v>
      </c>
      <c r="AL65">
        <f ca="1">IFERROR(IF(0=LEN(ReferenceData!$AL$65),"",ReferenceData!$AL$65),"")</f>
        <v>78618</v>
      </c>
      <c r="AM65">
        <f ca="1">IFERROR(IF(0=LEN(ReferenceData!$AM$65),"",ReferenceData!$AM$65),"")</f>
        <v>79981</v>
      </c>
      <c r="AN65">
        <f ca="1">IFERROR(IF(0=LEN(ReferenceData!$AN$65),"",ReferenceData!$AN$65),"")</f>
        <v>66828</v>
      </c>
      <c r="AO65">
        <f ca="1">IFERROR(IF(0=LEN(ReferenceData!$AO$65),"",ReferenceData!$AO$65),"")</f>
        <v>57384</v>
      </c>
      <c r="AP65">
        <f ca="1">IFERROR(IF(0=LEN(ReferenceData!$AP$65),"",ReferenceData!$AP$65),"")</f>
        <v>49676</v>
      </c>
      <c r="AQ65">
        <f ca="1">IFERROR(IF(0=LEN(ReferenceData!$AQ$65),"",ReferenceData!$AQ$65),"")</f>
        <v>52012</v>
      </c>
      <c r="AR65">
        <f ca="1">IFERROR(IF(0=LEN(ReferenceData!$AR$65),"",ReferenceData!$AR$65),"")</f>
        <v>47140</v>
      </c>
      <c r="AS65">
        <f ca="1">IFERROR(IF(0=LEN(ReferenceData!$AS$65),"",ReferenceData!$AS$65),"")</f>
        <v>41179</v>
      </c>
      <c r="AT65">
        <f ca="1">IFERROR(IF(0=LEN(ReferenceData!$AT$65),"",ReferenceData!$AT$65),"")</f>
        <v>44798</v>
      </c>
      <c r="AU65">
        <f ca="1">IFERROR(IF(0=LEN(ReferenceData!$AU$65),"",ReferenceData!$AU$65),"")</f>
        <v>50201</v>
      </c>
      <c r="AV65">
        <f ca="1">IFERROR(IF(0=LEN(ReferenceData!$AV$65),"",ReferenceData!$AV$65),"")</f>
        <v>58547</v>
      </c>
      <c r="AW65">
        <f ca="1">IFERROR(IF(0=LEN(ReferenceData!$AW$65),"",ReferenceData!$AW$65),"")</f>
        <v>56425</v>
      </c>
      <c r="AX65">
        <f ca="1">IFERROR(IF(0=LEN(ReferenceData!$AX$65),"",ReferenceData!$AX$65),"")</f>
        <v>54351</v>
      </c>
      <c r="AY65">
        <f ca="1">IFERROR(IF(0=LEN(ReferenceData!$AY$65),"",ReferenceData!$AY$65),"")</f>
        <v>66385</v>
      </c>
      <c r="AZ65">
        <f ca="1">IFERROR(IF(0=LEN(ReferenceData!$AZ$65),"",ReferenceData!$AZ$65),"")</f>
        <v>67472</v>
      </c>
      <c r="BA65">
        <f ca="1">IFERROR(IF(0=LEN(ReferenceData!$BA$65),"",ReferenceData!$BA$65),"")</f>
        <v>60592</v>
      </c>
      <c r="BB65">
        <f ca="1">IFERROR(IF(0=LEN(ReferenceData!$BB$65),"",ReferenceData!$BB$65),"")</f>
        <v>58587</v>
      </c>
      <c r="BC65">
        <f ca="1">IFERROR(IF(0=LEN(ReferenceData!$BC$65),"",ReferenceData!$BC$65),"")</f>
        <v>58272</v>
      </c>
      <c r="BD65">
        <f ca="1">IFERROR(IF(0=LEN(ReferenceData!$BD$65),"",ReferenceData!$BD$65),"")</f>
        <v>52996</v>
      </c>
      <c r="BE65">
        <f ca="1">IFERROR(IF(0=LEN(ReferenceData!$BE$65),"",ReferenceData!$BE$65),"")</f>
        <v>45077</v>
      </c>
      <c r="BF65">
        <f ca="1">IFERROR(IF(0=LEN(ReferenceData!$BF$65),"",ReferenceData!$BF$65),"")</f>
        <v>41912</v>
      </c>
      <c r="BG65">
        <f ca="1">IFERROR(IF(0=LEN(ReferenceData!$BG$65),"",ReferenceData!$BG$65),"")</f>
        <v>41700</v>
      </c>
      <c r="BH65">
        <f ca="1">IFERROR(IF(0=LEN(ReferenceData!$BH$65),"",ReferenceData!$BH$65),"")</f>
        <v>38196</v>
      </c>
      <c r="BI65">
        <f ca="1">IFERROR(IF(0=LEN(ReferenceData!$BI$65),"",ReferenceData!$BI$65),"")</f>
        <v>36224</v>
      </c>
      <c r="BJ65">
        <f ca="1">IFERROR(IF(0=LEN(ReferenceData!$BJ$65),"",ReferenceData!$BJ$65),"")</f>
        <v>29626</v>
      </c>
      <c r="BK65">
        <f ca="1">IFERROR(IF(0=LEN(ReferenceData!$BK$65),"",ReferenceData!$BK$65),"")</f>
        <v>32274</v>
      </c>
      <c r="BL65">
        <f ca="1">IFERROR(IF(0=LEN(ReferenceData!$BL$65),"",ReferenceData!$BL$65),"")</f>
        <v>29125</v>
      </c>
      <c r="BM65">
        <f ca="1">IFERROR(IF(0=LEN(ReferenceData!$BM$65),"",ReferenceData!$BM$65),"")</f>
        <v>26423</v>
      </c>
    </row>
    <row r="66" spans="1:65" x14ac:dyDescent="0.25">
      <c r="A66" t="str">
        <f>IFERROR(IF(0=LEN(ReferenceData!$A$66),"",ReferenceData!$A$66),"")</f>
        <v xml:space="preserve">        Venezuela</v>
      </c>
      <c r="B66" t="str">
        <f>IFERROR(IF(0=LEN(ReferenceData!$B$66),"",ReferenceData!$B$66),"")</f>
        <v>VNVSTOTL Index</v>
      </c>
      <c r="C66" t="str">
        <f>IFERROR(IF(0=LEN(ReferenceData!$C$66),"",ReferenceData!$C$66),"")</f>
        <v>PX385</v>
      </c>
      <c r="D66" t="str">
        <f>IFERROR(IF(0=LEN(ReferenceData!$D$66),"",ReferenceData!$D$66),"")</f>
        <v>INTERVAL_SUM</v>
      </c>
      <c r="E66" t="str">
        <f>IFERROR(IF(0=LEN(ReferenceData!$E$66),"",ReferenceData!$E$66),"")</f>
        <v>Dynamic</v>
      </c>
      <c r="F66" t="str">
        <f ca="1">IFERROR(IF(0=LEN(ReferenceData!$F$66),"",ReferenceData!$F$66),"")</f>
        <v/>
      </c>
      <c r="G66" t="str">
        <f ca="1">IFERROR(IF(0=LEN(ReferenceData!$G$66),"",ReferenceData!$G$66),"")</f>
        <v/>
      </c>
      <c r="H66" t="str">
        <f ca="1">IFERROR(IF(0=LEN(ReferenceData!$H$66),"",ReferenceData!$H$66),"")</f>
        <v/>
      </c>
      <c r="I66" t="str">
        <f ca="1">IFERROR(IF(0=LEN(ReferenceData!$I$66),"",ReferenceData!$I$66),"")</f>
        <v/>
      </c>
      <c r="J66" t="str">
        <f ca="1">IFERROR(IF(0=LEN(ReferenceData!$J$66),"",ReferenceData!$J$66),"")</f>
        <v/>
      </c>
      <c r="K66" t="str">
        <f ca="1">IFERROR(IF(0=LEN(ReferenceData!$K$66),"",ReferenceData!$K$66),"")</f>
        <v/>
      </c>
      <c r="L66" t="str">
        <f ca="1">IFERROR(IF(0=LEN(ReferenceData!$L$66),"",ReferenceData!$L$66),"")</f>
        <v/>
      </c>
      <c r="M66">
        <f ca="1">IFERROR(IF(0=LEN(ReferenceData!$M$66),"",ReferenceData!$M$66),"")</f>
        <v>503</v>
      </c>
      <c r="N66">
        <f ca="1">IFERROR(IF(0=LEN(ReferenceData!$N$66),"",ReferenceData!$N$66),"")</f>
        <v>665</v>
      </c>
      <c r="O66">
        <f ca="1">IFERROR(IF(0=LEN(ReferenceData!$O$66),"",ReferenceData!$O$66),"")</f>
        <v>646</v>
      </c>
      <c r="P66">
        <f ca="1">IFERROR(IF(0=LEN(ReferenceData!$P$66),"",ReferenceData!$P$66),"")</f>
        <v>658</v>
      </c>
      <c r="Q66">
        <f ca="1">IFERROR(IF(0=LEN(ReferenceData!$Q$66),"",ReferenceData!$Q$66),"")</f>
        <v>775</v>
      </c>
      <c r="R66">
        <f ca="1">IFERROR(IF(0=LEN(ReferenceData!$R$66),"",ReferenceData!$R$66),"")</f>
        <v>4544</v>
      </c>
      <c r="S66">
        <f ca="1">IFERROR(IF(0=LEN(ReferenceData!$S$66),"",ReferenceData!$S$66),"")</f>
        <v>3379</v>
      </c>
      <c r="T66">
        <f ca="1">IFERROR(IF(0=LEN(ReferenceData!$T$66),"",ReferenceData!$T$66),"")</f>
        <v>3234</v>
      </c>
      <c r="U66">
        <f ca="1">IFERROR(IF(0=LEN(ReferenceData!$U$66),"",ReferenceData!$U$66),"")</f>
        <v>5153</v>
      </c>
      <c r="V66">
        <f ca="1">IFERROR(IF(0=LEN(ReferenceData!$V$66),"",ReferenceData!$V$66),"")</f>
        <v>5819</v>
      </c>
      <c r="W66">
        <f ca="1">IFERROR(IF(0=LEN(ReferenceData!$W$66),"",ReferenceData!$W$66),"")</f>
        <v>10288</v>
      </c>
      <c r="X66">
        <f ca="1">IFERROR(IF(0=LEN(ReferenceData!$X$66),"",ReferenceData!$X$66),"")</f>
        <v>5183</v>
      </c>
      <c r="Y66">
        <f ca="1">IFERROR(IF(0=LEN(ReferenceData!$Y$66),"",ReferenceData!$Y$66),"")</f>
        <v>5023</v>
      </c>
      <c r="Z66">
        <f ca="1">IFERROR(IF(0=LEN(ReferenceData!$Z$66),"",ReferenceData!$Z$66),"")</f>
        <v>3213</v>
      </c>
      <c r="AA66">
        <f ca="1">IFERROR(IF(0=LEN(ReferenceData!$AA$66),"",ReferenceData!$AA$66),"")</f>
        <v>16928</v>
      </c>
      <c r="AB66">
        <f ca="1">IFERROR(IF(0=LEN(ReferenceData!$AB$66),"",ReferenceData!$AB$66),"")</f>
        <v>24670</v>
      </c>
      <c r="AC66">
        <f ca="1">IFERROR(IF(0=LEN(ReferenceData!$AC$66),"",ReferenceData!$AC$66),"")</f>
        <v>31641</v>
      </c>
      <c r="AD66">
        <f ca="1">IFERROR(IF(0=LEN(ReferenceData!$AD$66),"",ReferenceData!$AD$66),"")</f>
        <v>25639</v>
      </c>
      <c r="AE66">
        <f ca="1">IFERROR(IF(0=LEN(ReferenceData!$AE$66),"",ReferenceData!$AE$66),"")</f>
        <v>31235</v>
      </c>
      <c r="AF66">
        <f ca="1">IFERROR(IF(0=LEN(ReferenceData!$AF$66),"",ReferenceData!$AF$66),"")</f>
        <v>31739</v>
      </c>
      <c r="AG66">
        <f ca="1">IFERROR(IF(0=LEN(ReferenceData!$AG$66),"",ReferenceData!$AG$66),"")</f>
        <v>34335</v>
      </c>
      <c r="AH66">
        <f ca="1">IFERROR(IF(0=LEN(ReferenceData!$AH$66),"",ReferenceData!$AH$66),"")</f>
        <v>33244</v>
      </c>
      <c r="AI66">
        <f ca="1">IFERROR(IF(0=LEN(ReferenceData!$AI$66),"",ReferenceData!$AI$66),"")</f>
        <v>31370</v>
      </c>
      <c r="AJ66">
        <f ca="1">IFERROR(IF(0=LEN(ReferenceData!$AJ$66),"",ReferenceData!$AJ$66),"")</f>
        <v>32287</v>
      </c>
      <c r="AK66">
        <f ca="1">IFERROR(IF(0=LEN(ReferenceData!$AK$66),"",ReferenceData!$AK$66),"")</f>
        <v>31244</v>
      </c>
      <c r="AL66">
        <f ca="1">IFERROR(IF(0=LEN(ReferenceData!$AL$66),"",ReferenceData!$AL$66),"")</f>
        <v>25790</v>
      </c>
      <c r="AM66">
        <f ca="1">IFERROR(IF(0=LEN(ReferenceData!$AM$66),"",ReferenceData!$AM$66),"")</f>
        <v>31883</v>
      </c>
      <c r="AN66">
        <f ca="1">IFERROR(IF(0=LEN(ReferenceData!$AN$66),"",ReferenceData!$AN$66),"")</f>
        <v>34647</v>
      </c>
      <c r="AO66">
        <f ca="1">IFERROR(IF(0=LEN(ReferenceData!$AO$66),"",ReferenceData!$AO$66),"")</f>
        <v>30888</v>
      </c>
      <c r="AP66">
        <f ca="1">IFERROR(IF(0=LEN(ReferenceData!$AP$66),"",ReferenceData!$AP$66),"")</f>
        <v>27784</v>
      </c>
      <c r="AQ66">
        <f ca="1">IFERROR(IF(0=LEN(ReferenceData!$AQ$66),"",ReferenceData!$AQ$66),"")</f>
        <v>29885</v>
      </c>
      <c r="AR66">
        <f ca="1">IFERROR(IF(0=LEN(ReferenceData!$AR$66),"",ReferenceData!$AR$66),"")</f>
        <v>25501</v>
      </c>
      <c r="AS66">
        <f ca="1">IFERROR(IF(0=LEN(ReferenceData!$AS$66),"",ReferenceData!$AS$66),"")</f>
        <v>31867</v>
      </c>
      <c r="AT66">
        <f ca="1">IFERROR(IF(0=LEN(ReferenceData!$AT$66),"",ReferenceData!$AT$66),"")</f>
        <v>49264</v>
      </c>
      <c r="AU66">
        <f ca="1">IFERROR(IF(0=LEN(ReferenceData!$AU$66),"",ReferenceData!$AU$66),"")</f>
        <v>58923</v>
      </c>
      <c r="AV66">
        <f ca="1">IFERROR(IF(0=LEN(ReferenceData!$AV$66),"",ReferenceData!$AV$66),"")</f>
        <v>58123</v>
      </c>
      <c r="AW66">
        <f ca="1">IFERROR(IF(0=LEN(ReferenceData!$AW$66),"",ReferenceData!$AW$66),"")</f>
        <v>74312</v>
      </c>
      <c r="AX66">
        <f ca="1">IFERROR(IF(0=LEN(ReferenceData!$AX$66),"",ReferenceData!$AX$66),"")</f>
        <v>79894</v>
      </c>
      <c r="AY66">
        <f ca="1">IFERROR(IF(0=LEN(ReferenceData!$AY$66),"",ReferenceData!$AY$66),"")</f>
        <v>145710</v>
      </c>
      <c r="AZ66">
        <f ca="1">IFERROR(IF(0=LEN(ReferenceData!$AZ$66),"",ReferenceData!$AZ$66),"")</f>
        <v>133133</v>
      </c>
      <c r="BA66">
        <f ca="1">IFERROR(IF(0=LEN(ReferenceData!$BA$66),"",ReferenceData!$BA$66),"")</f>
        <v>113567</v>
      </c>
      <c r="BB66">
        <f ca="1">IFERROR(IF(0=LEN(ReferenceData!$BB$66),"",ReferenceData!$BB$66),"")</f>
        <v>99489</v>
      </c>
      <c r="BC66">
        <f ca="1">IFERROR(IF(0=LEN(ReferenceData!$BC$66),"",ReferenceData!$BC$66),"")</f>
        <v>111489</v>
      </c>
      <c r="BD66">
        <f ca="1">IFERROR(IF(0=LEN(ReferenceData!$BD$66),"",ReferenceData!$BD$66),"")</f>
        <v>91345</v>
      </c>
      <c r="BE66">
        <f ca="1">IFERROR(IF(0=LEN(ReferenceData!$BE$66),"",ReferenceData!$BE$66),"")</f>
        <v>74255</v>
      </c>
      <c r="BF66">
        <f ca="1">IFERROR(IF(0=LEN(ReferenceData!$BF$66),"",ReferenceData!$BF$66),"")</f>
        <v>66262</v>
      </c>
      <c r="BG66">
        <f ca="1">IFERROR(IF(0=LEN(ReferenceData!$BG$66),"",ReferenceData!$BG$66),"")</f>
        <v>74595</v>
      </c>
      <c r="BH66">
        <f ca="1">IFERROR(IF(0=LEN(ReferenceData!$BH$66),"",ReferenceData!$BH$66),"")</f>
        <v>56212</v>
      </c>
      <c r="BI66">
        <f ca="1">IFERROR(IF(0=LEN(ReferenceData!$BI$66),"",ReferenceData!$BI$66),"")</f>
        <v>54929</v>
      </c>
      <c r="BJ66">
        <f ca="1">IFERROR(IF(0=LEN(ReferenceData!$BJ$66),"",ReferenceData!$BJ$66),"")</f>
        <v>42642</v>
      </c>
      <c r="BK66">
        <f ca="1">IFERROR(IF(0=LEN(ReferenceData!$BK$66),"",ReferenceData!$BK$66),"")</f>
        <v>46961</v>
      </c>
      <c r="BL66">
        <f ca="1">IFERROR(IF(0=LEN(ReferenceData!$BL$66),"",ReferenceData!$BL$66),"")</f>
        <v>34655</v>
      </c>
      <c r="BM66">
        <f ca="1">IFERROR(IF(0=LEN(ReferenceData!$BM$66),"",ReferenceData!$BM$66),"")</f>
        <v>29313</v>
      </c>
    </row>
    <row r="67" spans="1:65" x14ac:dyDescent="0.25">
      <c r="A67" t="str">
        <f>IFERROR(IF(0=LEN(ReferenceData!$A$67),"",ReferenceData!$A$67),"")</f>
        <v xml:space="preserve">    Africa &amp; Middle East</v>
      </c>
      <c r="B67" t="str">
        <f>IFERROR(IF(0=LEN(ReferenceData!$B$67),"",ReferenceData!$B$67),"")</f>
        <v>AUTMMEVS Index</v>
      </c>
      <c r="C67" t="str">
        <f>IFERROR(IF(0=LEN(ReferenceData!$C$67),"",ReferenceData!$C$67),"")</f>
        <v/>
      </c>
      <c r="D67" t="str">
        <f>IFERROR(IF(0=LEN(ReferenceData!$D$67),"",ReferenceData!$D$67),"")</f>
        <v/>
      </c>
      <c r="E67" t="str">
        <f>IFERROR(IF(0=LEN(ReferenceData!$E$67),"",ReferenceData!$E$67),"")</f>
        <v>Sum</v>
      </c>
      <c r="F67">
        <f ca="1">IFERROR(IF(0=LEN(ReferenceData!$F$67),"",ReferenceData!$F$67),"")</f>
        <v>29040</v>
      </c>
      <c r="G67">
        <f ca="1">IFERROR(IF(0=LEN(ReferenceData!$G$67),"",ReferenceData!$G$67),"")</f>
        <v>147799</v>
      </c>
      <c r="H67">
        <f ca="1">IFERROR(IF(0=LEN(ReferenceData!$H$67),"",ReferenceData!$H$67),"")</f>
        <v>169372</v>
      </c>
      <c r="I67">
        <f ca="1">IFERROR(IF(0=LEN(ReferenceData!$I$67),"",ReferenceData!$I$67),"")</f>
        <v>146102</v>
      </c>
      <c r="J67">
        <f ca="1">IFERROR(IF(0=LEN(ReferenceData!$J$67),"",ReferenceData!$J$67),"")</f>
        <v>165619</v>
      </c>
      <c r="K67">
        <f ca="1">IFERROR(IF(0=LEN(ReferenceData!$K$67),"",ReferenceData!$K$67),"")</f>
        <v>157230</v>
      </c>
      <c r="L67">
        <f ca="1">IFERROR(IF(0=LEN(ReferenceData!$L$67),"",ReferenceData!$L$67),"")</f>
        <v>165777</v>
      </c>
      <c r="M67">
        <f ca="1">IFERROR(IF(0=LEN(ReferenceData!$M$67),"",ReferenceData!$M$67),"")</f>
        <v>132633</v>
      </c>
      <c r="N67">
        <f ca="1">IFERROR(IF(0=LEN(ReferenceData!$N$67),"",ReferenceData!$N$67),"")</f>
        <v>162620</v>
      </c>
      <c r="O67">
        <f ca="1">IFERROR(IF(0=LEN(ReferenceData!$O$67),"",ReferenceData!$O$67),"")</f>
        <v>145303</v>
      </c>
      <c r="P67">
        <f ca="1">IFERROR(IF(0=LEN(ReferenceData!$P$67),"",ReferenceData!$P$67),"")</f>
        <v>138558</v>
      </c>
      <c r="Q67">
        <f ca="1">IFERROR(IF(0=LEN(ReferenceData!$Q$67),"",ReferenceData!$Q$67),"")</f>
        <v>124916</v>
      </c>
      <c r="R67">
        <f ca="1">IFERROR(IF(0=LEN(ReferenceData!$R$67),"",ReferenceData!$R$67),"")</f>
        <v>124258</v>
      </c>
      <c r="S67">
        <f ca="1">IFERROR(IF(0=LEN(ReferenceData!$S$67),"",ReferenceData!$S$67),"")</f>
        <v>155752</v>
      </c>
      <c r="T67">
        <f ca="1">IFERROR(IF(0=LEN(ReferenceData!$T$67),"",ReferenceData!$T$67),"")</f>
        <v>151705</v>
      </c>
      <c r="U67">
        <f ca="1">IFERROR(IF(0=LEN(ReferenceData!$U$67),"",ReferenceData!$U$67),"")</f>
        <v>162744</v>
      </c>
      <c r="V67">
        <f ca="1">IFERROR(IF(0=LEN(ReferenceData!$V$67),"",ReferenceData!$V$67),"")</f>
        <v>165180</v>
      </c>
      <c r="W67">
        <f ca="1">IFERROR(IF(0=LEN(ReferenceData!$W$67),"",ReferenceData!$W$67),"")</f>
        <v>164914</v>
      </c>
      <c r="X67">
        <f ca="1">IFERROR(IF(0=LEN(ReferenceData!$X$67),"",ReferenceData!$X$67),"")</f>
        <v>194076</v>
      </c>
      <c r="Y67">
        <f ca="1">IFERROR(IF(0=LEN(ReferenceData!$Y$67),"",ReferenceData!$Y$67),"")</f>
        <v>148071</v>
      </c>
      <c r="Z67">
        <f ca="1">IFERROR(IF(0=LEN(ReferenceData!$Z$67),"",ReferenceData!$Z$67),"")</f>
        <v>167006</v>
      </c>
      <c r="AA67">
        <f ca="1">IFERROR(IF(0=LEN(ReferenceData!$AA$67),"",ReferenceData!$AA$67),"")</f>
        <v>154091</v>
      </c>
      <c r="AB67">
        <f ca="1">IFERROR(IF(0=LEN(ReferenceData!$AB$67),"",ReferenceData!$AB$67),"")</f>
        <v>192676</v>
      </c>
      <c r="AC67">
        <f ca="1">IFERROR(IF(0=LEN(ReferenceData!$AC$67),"",ReferenceData!$AC$67),"")</f>
        <v>149846</v>
      </c>
      <c r="AD67">
        <f ca="1">IFERROR(IF(0=LEN(ReferenceData!$AD$67),"",ReferenceData!$AD$67),"")</f>
        <v>163689</v>
      </c>
      <c r="AE67">
        <f ca="1">IFERROR(IF(0=LEN(ReferenceData!$AE$67),"",ReferenceData!$AE$67),"")</f>
        <v>143276</v>
      </c>
      <c r="AF67">
        <f ca="1">IFERROR(IF(0=LEN(ReferenceData!$AF$67),"",ReferenceData!$AF$67),"")</f>
        <v>150515</v>
      </c>
      <c r="AG67">
        <f ca="1">IFERROR(IF(0=LEN(ReferenceData!$AG$67),"",ReferenceData!$AG$67),"")</f>
        <v>150642</v>
      </c>
      <c r="AH67">
        <f ca="1">IFERROR(IF(0=LEN(ReferenceData!$AH$67),"",ReferenceData!$AH$67),"")</f>
        <v>145365</v>
      </c>
      <c r="AI67">
        <f ca="1">IFERROR(IF(0=LEN(ReferenceData!$AI$67),"",ReferenceData!$AI$67),"")</f>
        <v>132709</v>
      </c>
      <c r="AJ67">
        <f ca="1">IFERROR(IF(0=LEN(ReferenceData!$AJ$67),"",ReferenceData!$AJ$67),"")</f>
        <v>143208</v>
      </c>
      <c r="AK67">
        <f ca="1">IFERROR(IF(0=LEN(ReferenceData!$AK$67),"",ReferenceData!$AK$67),"")</f>
        <v>122434</v>
      </c>
      <c r="AL67">
        <f ca="1">IFERROR(IF(0=LEN(ReferenceData!$AL$67),"",ReferenceData!$AL$67),"")</f>
        <v>138202</v>
      </c>
      <c r="AM67">
        <f ca="1">IFERROR(IF(0=LEN(ReferenceData!$AM$67),"",ReferenceData!$AM$67),"")</f>
        <v>133522</v>
      </c>
      <c r="AN67">
        <f ca="1">IFERROR(IF(0=LEN(ReferenceData!$AN$67),"",ReferenceData!$AN$67),"")</f>
        <v>122436</v>
      </c>
      <c r="AO67">
        <f ca="1">IFERROR(IF(0=LEN(ReferenceData!$AO$67),"",ReferenceData!$AO$67),"")</f>
        <v>107758</v>
      </c>
      <c r="AP67">
        <f ca="1">IFERROR(IF(0=LEN(ReferenceData!$AP$67),"",ReferenceData!$AP$67),"")</f>
        <v>117775</v>
      </c>
      <c r="AQ67">
        <f ca="1">IFERROR(IF(0=LEN(ReferenceData!$AQ$67),"",ReferenceData!$AQ$67),"")</f>
        <v>104428</v>
      </c>
      <c r="AR67">
        <f ca="1">IFERROR(IF(0=LEN(ReferenceData!$AR$67),"",ReferenceData!$AR$67),"")</f>
        <v>92208</v>
      </c>
      <c r="AS67">
        <f ca="1">IFERROR(IF(0=LEN(ReferenceData!$AS$67),"",ReferenceData!$AS$67),"")</f>
        <v>94724</v>
      </c>
      <c r="AT67">
        <f ca="1">IFERROR(IF(0=LEN(ReferenceData!$AT$67),"",ReferenceData!$AT$67),"")</f>
        <v>99479</v>
      </c>
      <c r="AU67">
        <f ca="1">IFERROR(IF(0=LEN(ReferenceData!$AU$67),"",ReferenceData!$AU$67),"")</f>
        <v>105197</v>
      </c>
      <c r="AV67">
        <f ca="1">IFERROR(IF(0=LEN(ReferenceData!$AV$67),"",ReferenceData!$AV$67),"")</f>
        <v>112296</v>
      </c>
      <c r="AW67">
        <f ca="1">IFERROR(IF(0=LEN(ReferenceData!$AW$67),"",ReferenceData!$AW$67),"")</f>
        <v>97805</v>
      </c>
      <c r="AX67">
        <f ca="1">IFERROR(IF(0=LEN(ReferenceData!$AX$67),"",ReferenceData!$AX$67),"")</f>
        <v>106634</v>
      </c>
      <c r="AY67">
        <f ca="1">IFERROR(IF(0=LEN(ReferenceData!$AY$67),"",ReferenceData!$AY$67),"")</f>
        <v>117085</v>
      </c>
      <c r="AZ67">
        <f ca="1">IFERROR(IF(0=LEN(ReferenceData!$AZ$67),"",ReferenceData!$AZ$67),"")</f>
        <v>125629</v>
      </c>
      <c r="BA67">
        <f ca="1">IFERROR(IF(0=LEN(ReferenceData!$BA$67),"",ReferenceData!$BA$67),"")</f>
        <v>108611</v>
      </c>
      <c r="BB67">
        <f ca="1">IFERROR(IF(0=LEN(ReferenceData!$BB$67),"",ReferenceData!$BB$67),"")</f>
        <v>121701</v>
      </c>
      <c r="BC67">
        <f ca="1">IFERROR(IF(0=LEN(ReferenceData!$BC$67),"",ReferenceData!$BC$67),"")</f>
        <v>127090</v>
      </c>
      <c r="BD67">
        <f ca="1">IFERROR(IF(0=LEN(ReferenceData!$BD$67),"",ReferenceData!$BD$67),"")</f>
        <v>129406</v>
      </c>
      <c r="BE67">
        <f ca="1">IFERROR(IF(0=LEN(ReferenceData!$BE$67),"",ReferenceData!$BE$67),"")</f>
        <v>113717</v>
      </c>
      <c r="BF67">
        <f ca="1">IFERROR(IF(0=LEN(ReferenceData!$BF$67),"",ReferenceData!$BF$67),"")</f>
        <v>117024</v>
      </c>
      <c r="BG67">
        <f ca="1">IFERROR(IF(0=LEN(ReferenceData!$BG$67),"",ReferenceData!$BG$67),"")</f>
        <v>112576</v>
      </c>
      <c r="BH67">
        <f ca="1">IFERROR(IF(0=LEN(ReferenceData!$BH$67),"",ReferenceData!$BH$67),"")</f>
        <v>111404</v>
      </c>
      <c r="BI67">
        <f ca="1">IFERROR(IF(0=LEN(ReferenceData!$BI$67),"",ReferenceData!$BI$67),"")</f>
        <v>89282</v>
      </c>
      <c r="BJ67">
        <f ca="1">IFERROR(IF(0=LEN(ReferenceData!$BJ$67),"",ReferenceData!$BJ$67),"")</f>
        <v>85925</v>
      </c>
      <c r="BK67">
        <f ca="1">IFERROR(IF(0=LEN(ReferenceData!$BK$67),"",ReferenceData!$BK$67),"")</f>
        <v>83121</v>
      </c>
      <c r="BL67">
        <f ca="1">IFERROR(IF(0=LEN(ReferenceData!$BL$67),"",ReferenceData!$BL$67),"")</f>
        <v>83657</v>
      </c>
      <c r="BM67">
        <f ca="1">IFERROR(IF(0=LEN(ReferenceData!$BM$67),"",ReferenceData!$BM$67),"")</f>
        <v>66947</v>
      </c>
    </row>
    <row r="68" spans="1:65" x14ac:dyDescent="0.25">
      <c r="A68" t="str">
        <f>IFERROR(IF(0=LEN(ReferenceData!$A$68),"",ReferenceData!$A$68),"")</f>
        <v xml:space="preserve">        Bahrain</v>
      </c>
      <c r="B68" t="str">
        <f>IFERROR(IF(0=LEN(ReferenceData!$B$68),"",ReferenceData!$B$68),"")</f>
        <v>BJTRNPGV Index</v>
      </c>
      <c r="C68" t="str">
        <f>IFERROR(IF(0=LEN(ReferenceData!$C$68),"",ReferenceData!$C$68),"")</f>
        <v>PX385</v>
      </c>
      <c r="D68" t="str">
        <f>IFERROR(IF(0=LEN(ReferenceData!$D$68),"",ReferenceData!$D$68),"")</f>
        <v>INTERVAL_SUM</v>
      </c>
      <c r="E68" t="str">
        <f>IFERROR(IF(0=LEN(ReferenceData!$E$68),"",ReferenceData!$E$68),"")</f>
        <v>Dynamic</v>
      </c>
      <c r="F68" t="str">
        <f ca="1">IFERROR(IF(0=LEN(ReferenceData!$F$68),"",ReferenceData!$F$68),"")</f>
        <v/>
      </c>
      <c r="G68" t="str">
        <f ca="1">IFERROR(IF(0=LEN(ReferenceData!$G$68),"",ReferenceData!$G$68),"")</f>
        <v/>
      </c>
      <c r="H68" t="str">
        <f ca="1">IFERROR(IF(0=LEN(ReferenceData!$H$68),"",ReferenceData!$H$68),"")</f>
        <v/>
      </c>
      <c r="I68" t="str">
        <f ca="1">IFERROR(IF(0=LEN(ReferenceData!$I$68),"",ReferenceData!$I$68),"")</f>
        <v/>
      </c>
      <c r="J68" t="str">
        <f ca="1">IFERROR(IF(0=LEN(ReferenceData!$J$68),"",ReferenceData!$J$68),"")</f>
        <v/>
      </c>
      <c r="K68" t="str">
        <f ca="1">IFERROR(IF(0=LEN(ReferenceData!$K$68),"",ReferenceData!$K$68),"")</f>
        <v/>
      </c>
      <c r="L68" t="str">
        <f ca="1">IFERROR(IF(0=LEN(ReferenceData!$L$68),"",ReferenceData!$L$68),"")</f>
        <v/>
      </c>
      <c r="M68" t="str">
        <f ca="1">IFERROR(IF(0=LEN(ReferenceData!$M$68),"",ReferenceData!$M$68),"")</f>
        <v/>
      </c>
      <c r="N68" t="str">
        <f ca="1">IFERROR(IF(0=LEN(ReferenceData!$N$68),"",ReferenceData!$N$68),"")</f>
        <v/>
      </c>
      <c r="O68" t="str">
        <f ca="1">IFERROR(IF(0=LEN(ReferenceData!$O$68),"",ReferenceData!$O$68),"")</f>
        <v/>
      </c>
      <c r="P68" t="str">
        <f ca="1">IFERROR(IF(0=LEN(ReferenceData!$P$68),"",ReferenceData!$P$68),"")</f>
        <v/>
      </c>
      <c r="Q68" t="str">
        <f ca="1">IFERROR(IF(0=LEN(ReferenceData!$Q$68),"",ReferenceData!$Q$68),"")</f>
        <v/>
      </c>
      <c r="R68" t="str">
        <f ca="1">IFERROR(IF(0=LEN(ReferenceData!$R$68),"",ReferenceData!$R$68),"")</f>
        <v/>
      </c>
      <c r="S68" t="str">
        <f ca="1">IFERROR(IF(0=LEN(ReferenceData!$S$68),"",ReferenceData!$S$68),"")</f>
        <v/>
      </c>
      <c r="T68" t="str">
        <f ca="1">IFERROR(IF(0=LEN(ReferenceData!$T$68),"",ReferenceData!$T$68),"")</f>
        <v/>
      </c>
      <c r="U68" t="str">
        <f ca="1">IFERROR(IF(0=LEN(ReferenceData!$U$68),"",ReferenceData!$U$68),"")</f>
        <v/>
      </c>
      <c r="V68" t="str">
        <f ca="1">IFERROR(IF(0=LEN(ReferenceData!$V$68),"",ReferenceData!$V$68),"")</f>
        <v/>
      </c>
      <c r="W68" t="str">
        <f ca="1">IFERROR(IF(0=LEN(ReferenceData!$W$68),"",ReferenceData!$W$68),"")</f>
        <v/>
      </c>
      <c r="X68" t="str">
        <f ca="1">IFERROR(IF(0=LEN(ReferenceData!$X$68),"",ReferenceData!$X$68),"")</f>
        <v/>
      </c>
      <c r="Y68" t="str">
        <f ca="1">IFERROR(IF(0=LEN(ReferenceData!$Y$68),"",ReferenceData!$Y$68),"")</f>
        <v/>
      </c>
      <c r="Z68" t="str">
        <f ca="1">IFERROR(IF(0=LEN(ReferenceData!$Z$68),"",ReferenceData!$Z$68),"")</f>
        <v/>
      </c>
      <c r="AA68">
        <f ca="1">IFERROR(IF(0=LEN(ReferenceData!$AA$68),"",ReferenceData!$AA$68),"")</f>
        <v>2631</v>
      </c>
      <c r="AB68" t="str">
        <f ca="1">IFERROR(IF(0=LEN(ReferenceData!$AB$68),"",ReferenceData!$AB$68),"")</f>
        <v/>
      </c>
      <c r="AC68" t="str">
        <f ca="1">IFERROR(IF(0=LEN(ReferenceData!$AC$68),"",ReferenceData!$AC$68),"")</f>
        <v/>
      </c>
      <c r="AD68" t="str">
        <f ca="1">IFERROR(IF(0=LEN(ReferenceData!$AD$68),"",ReferenceData!$AD$68),"")</f>
        <v/>
      </c>
      <c r="AE68">
        <f ca="1">IFERROR(IF(0=LEN(ReferenceData!$AE$68),"",ReferenceData!$AE$68),"")</f>
        <v>2297</v>
      </c>
      <c r="AF68" t="str">
        <f ca="1">IFERROR(IF(0=LEN(ReferenceData!$AF$68),"",ReferenceData!$AF$68),"")</f>
        <v/>
      </c>
      <c r="AG68" t="str">
        <f ca="1">IFERROR(IF(0=LEN(ReferenceData!$AG$68),"",ReferenceData!$AG$68),"")</f>
        <v/>
      </c>
      <c r="AH68" t="str">
        <f ca="1">IFERROR(IF(0=LEN(ReferenceData!$AH$68),"",ReferenceData!$AH$68),"")</f>
        <v/>
      </c>
      <c r="AI68">
        <f ca="1">IFERROR(IF(0=LEN(ReferenceData!$AI$68),"",ReferenceData!$AI$68),"")</f>
        <v>1762</v>
      </c>
      <c r="AJ68" t="str">
        <f ca="1">IFERROR(IF(0=LEN(ReferenceData!$AJ$68),"",ReferenceData!$AJ$68),"")</f>
        <v/>
      </c>
      <c r="AK68" t="str">
        <f ca="1">IFERROR(IF(0=LEN(ReferenceData!$AK$68),"",ReferenceData!$AK$68),"")</f>
        <v/>
      </c>
      <c r="AL68" t="str">
        <f ca="1">IFERROR(IF(0=LEN(ReferenceData!$AL$68),"",ReferenceData!$AL$68),"")</f>
        <v/>
      </c>
      <c r="AM68">
        <f ca="1">IFERROR(IF(0=LEN(ReferenceData!$AM$68),"",ReferenceData!$AM$68),"")</f>
        <v>1874</v>
      </c>
      <c r="AN68" t="str">
        <f ca="1">IFERROR(IF(0=LEN(ReferenceData!$AN$68),"",ReferenceData!$AN$68),"")</f>
        <v/>
      </c>
      <c r="AO68" t="str">
        <f ca="1">IFERROR(IF(0=LEN(ReferenceData!$AO$68),"",ReferenceData!$AO$68),"")</f>
        <v/>
      </c>
      <c r="AP68" t="str">
        <f ca="1">IFERROR(IF(0=LEN(ReferenceData!$AP$68),"",ReferenceData!$AP$68),"")</f>
        <v/>
      </c>
      <c r="AQ68">
        <f ca="1">IFERROR(IF(0=LEN(ReferenceData!$AQ$68),"",ReferenceData!$AQ$68),"")</f>
        <v>2083</v>
      </c>
      <c r="AR68" t="str">
        <f ca="1">IFERROR(IF(0=LEN(ReferenceData!$AR$68),"",ReferenceData!$AR$68),"")</f>
        <v/>
      </c>
      <c r="AS68" t="str">
        <f ca="1">IFERROR(IF(0=LEN(ReferenceData!$AS$68),"",ReferenceData!$AS$68),"")</f>
        <v/>
      </c>
      <c r="AT68" t="str">
        <f ca="1">IFERROR(IF(0=LEN(ReferenceData!$AT$68),"",ReferenceData!$AT$68),"")</f>
        <v/>
      </c>
      <c r="AU68">
        <f ca="1">IFERROR(IF(0=LEN(ReferenceData!$AU$68),"",ReferenceData!$AU$68),"")</f>
        <v>3506</v>
      </c>
      <c r="AV68" t="str">
        <f ca="1">IFERROR(IF(0=LEN(ReferenceData!$AV$68),"",ReferenceData!$AV$68),"")</f>
        <v/>
      </c>
      <c r="AW68" t="str">
        <f ca="1">IFERROR(IF(0=LEN(ReferenceData!$AW$68),"",ReferenceData!$AW$68),"")</f>
        <v/>
      </c>
      <c r="AX68" t="str">
        <f ca="1">IFERROR(IF(0=LEN(ReferenceData!$AX$68),"",ReferenceData!$AX$68),"")</f>
        <v/>
      </c>
      <c r="AY68">
        <f ca="1">IFERROR(IF(0=LEN(ReferenceData!$AY$68),"",ReferenceData!$AY$68),"")</f>
        <v>3349</v>
      </c>
      <c r="AZ68" t="str">
        <f ca="1">IFERROR(IF(0=LEN(ReferenceData!$AZ$68),"",ReferenceData!$AZ$68),"")</f>
        <v/>
      </c>
      <c r="BA68" t="str">
        <f ca="1">IFERROR(IF(0=LEN(ReferenceData!$BA$68),"",ReferenceData!$BA$68),"")</f>
        <v/>
      </c>
      <c r="BB68" t="str">
        <f ca="1">IFERROR(IF(0=LEN(ReferenceData!$BB$68),"",ReferenceData!$BB$68),"")</f>
        <v/>
      </c>
      <c r="BC68">
        <f ca="1">IFERROR(IF(0=LEN(ReferenceData!$BC$68),"",ReferenceData!$BC$68),"")</f>
        <v>2446</v>
      </c>
      <c r="BD68" t="str">
        <f ca="1">IFERROR(IF(0=LEN(ReferenceData!$BD$68),"",ReferenceData!$BD$68),"")</f>
        <v/>
      </c>
      <c r="BE68" t="str">
        <f ca="1">IFERROR(IF(0=LEN(ReferenceData!$BE$68),"",ReferenceData!$BE$68),"")</f>
        <v/>
      </c>
      <c r="BF68" t="str">
        <f ca="1">IFERROR(IF(0=LEN(ReferenceData!$BF$68),"",ReferenceData!$BF$68),"")</f>
        <v/>
      </c>
      <c r="BG68">
        <f ca="1">IFERROR(IF(0=LEN(ReferenceData!$BG$68),"",ReferenceData!$BG$68),"")</f>
        <v>2690</v>
      </c>
      <c r="BH68" t="str">
        <f ca="1">IFERROR(IF(0=LEN(ReferenceData!$BH$68),"",ReferenceData!$BH$68),"")</f>
        <v/>
      </c>
      <c r="BI68" t="str">
        <f ca="1">IFERROR(IF(0=LEN(ReferenceData!$BI$68),"",ReferenceData!$BI$68),"")</f>
        <v/>
      </c>
      <c r="BJ68" t="str">
        <f ca="1">IFERROR(IF(0=LEN(ReferenceData!$BJ$68),"",ReferenceData!$BJ$68),"")</f>
        <v/>
      </c>
      <c r="BK68">
        <f ca="1">IFERROR(IF(0=LEN(ReferenceData!$BK$68),"",ReferenceData!$BK$68),"")</f>
        <v>2416</v>
      </c>
      <c r="BL68" t="str">
        <f ca="1">IFERROR(IF(0=LEN(ReferenceData!$BL$68),"",ReferenceData!$BL$68),"")</f>
        <v/>
      </c>
      <c r="BM68" t="str">
        <f ca="1">IFERROR(IF(0=LEN(ReferenceData!$BM$68),"",ReferenceData!$BM$68),"")</f>
        <v/>
      </c>
    </row>
    <row r="69" spans="1:65" x14ac:dyDescent="0.25">
      <c r="A69" t="str">
        <f>IFERROR(IF(0=LEN(ReferenceData!$A$69),"",ReferenceData!$A$69),"")</f>
        <v xml:space="preserve">        Kenya</v>
      </c>
      <c r="B69" t="str">
        <f>IFERROR(IF(0=LEN(ReferenceData!$B$69),"",ReferenceData!$B$69),"")</f>
        <v>KNNVREG Index</v>
      </c>
      <c r="C69" t="str">
        <f>IFERROR(IF(0=LEN(ReferenceData!$C$69),"",ReferenceData!$C$69),"")</f>
        <v>PX385</v>
      </c>
      <c r="D69" t="str">
        <f>IFERROR(IF(0=LEN(ReferenceData!$D$69),"",ReferenceData!$D$69),"")</f>
        <v>INTERVAL_SUM</v>
      </c>
      <c r="E69" t="str">
        <f>IFERROR(IF(0=LEN(ReferenceData!$E$69),"",ReferenceData!$E$69),"")</f>
        <v>Dynamic</v>
      </c>
      <c r="F69" t="str">
        <f ca="1">IFERROR(IF(0=LEN(ReferenceData!$F$69),"",ReferenceData!$F$69),"")</f>
        <v/>
      </c>
      <c r="G69">
        <f ca="1">IFERROR(IF(0=LEN(ReferenceData!$G$69),"",ReferenceData!$G$69),"")</f>
        <v>56179</v>
      </c>
      <c r="H69">
        <f ca="1">IFERROR(IF(0=LEN(ReferenceData!$H$69),"",ReferenceData!$H$69),"")</f>
        <v>76015</v>
      </c>
      <c r="I69">
        <f ca="1">IFERROR(IF(0=LEN(ReferenceData!$I$69),"",ReferenceData!$I$69),"")</f>
        <v>66660</v>
      </c>
      <c r="J69">
        <f ca="1">IFERROR(IF(0=LEN(ReferenceData!$J$69),"",ReferenceData!$J$69),"")</f>
        <v>71089</v>
      </c>
      <c r="K69">
        <f ca="1">IFERROR(IF(0=LEN(ReferenceData!$K$69),"",ReferenceData!$K$69),"")</f>
        <v>65107</v>
      </c>
      <c r="L69">
        <f ca="1">IFERROR(IF(0=LEN(ReferenceData!$L$69),"",ReferenceData!$L$69),"")</f>
        <v>72905</v>
      </c>
      <c r="M69">
        <f ca="1">IFERROR(IF(0=LEN(ReferenceData!$M$69),"",ReferenceData!$M$69),"")</f>
        <v>70158</v>
      </c>
      <c r="N69">
        <f ca="1">IFERROR(IF(0=LEN(ReferenceData!$N$69),"",ReferenceData!$N$69),"")</f>
        <v>71089</v>
      </c>
      <c r="O69">
        <f ca="1">IFERROR(IF(0=LEN(ReferenceData!$O$69),"",ReferenceData!$O$69),"")</f>
        <v>67735</v>
      </c>
      <c r="P69">
        <f ca="1">IFERROR(IF(0=LEN(ReferenceData!$P$69),"",ReferenceData!$P$69),"")</f>
        <v>60257</v>
      </c>
      <c r="Q69">
        <f ca="1">IFERROR(IF(0=LEN(ReferenceData!$Q$69),"",ReferenceData!$Q$69),"")</f>
        <v>47982</v>
      </c>
      <c r="R69">
        <f ca="1">IFERROR(IF(0=LEN(ReferenceData!$R$69),"",ReferenceData!$R$69),"")</f>
        <v>37741</v>
      </c>
      <c r="S69">
        <f ca="1">IFERROR(IF(0=LEN(ReferenceData!$S$69),"",ReferenceData!$S$69),"")</f>
        <v>64257</v>
      </c>
      <c r="T69">
        <f ca="1">IFERROR(IF(0=LEN(ReferenceData!$T$69),"",ReferenceData!$T$69),"")</f>
        <v>57094</v>
      </c>
      <c r="U69">
        <f ca="1">IFERROR(IF(0=LEN(ReferenceData!$U$69),"",ReferenceData!$U$69),"")</f>
        <v>68637</v>
      </c>
      <c r="V69">
        <f ca="1">IFERROR(IF(0=LEN(ReferenceData!$V$69),"",ReferenceData!$V$69),"")</f>
        <v>57842</v>
      </c>
      <c r="W69">
        <f ca="1">IFERROR(IF(0=LEN(ReferenceData!$W$69),"",ReferenceData!$W$69),"")</f>
        <v>55048</v>
      </c>
      <c r="X69">
        <f ca="1">IFERROR(IF(0=LEN(ReferenceData!$X$69),"",ReferenceData!$X$69),"")</f>
        <v>73281</v>
      </c>
      <c r="Y69">
        <f ca="1">IFERROR(IF(0=LEN(ReferenceData!$Y$69),"",ReferenceData!$Y$69),"")</f>
        <v>48850</v>
      </c>
      <c r="Z69">
        <f ca="1">IFERROR(IF(0=LEN(ReferenceData!$Z$69),"",ReferenceData!$Z$69),"")</f>
        <v>57842</v>
      </c>
      <c r="AA69">
        <f ca="1">IFERROR(IF(0=LEN(ReferenceData!$AA$69),"",ReferenceData!$AA$69),"")</f>
        <v>44196</v>
      </c>
      <c r="AB69">
        <f ca="1">IFERROR(IF(0=LEN(ReferenceData!$AB$69),"",ReferenceData!$AB$69),"")</f>
        <v>73281</v>
      </c>
      <c r="AC69">
        <f ca="1">IFERROR(IF(0=LEN(ReferenceData!$AC$69),"",ReferenceData!$AC$69),"")</f>
        <v>40909</v>
      </c>
      <c r="AD69">
        <f ca="1">IFERROR(IF(0=LEN(ReferenceData!$AD$69),"",ReferenceData!$AD$69),"")</f>
        <v>48819</v>
      </c>
      <c r="AE69">
        <f ca="1">IFERROR(IF(0=LEN(ReferenceData!$AE$69),"",ReferenceData!$AE$69),"")</f>
        <v>42005</v>
      </c>
      <c r="AF69">
        <f ca="1">IFERROR(IF(0=LEN(ReferenceData!$AF$69),"",ReferenceData!$AF$69),"")</f>
        <v>52196</v>
      </c>
      <c r="AG69">
        <f ca="1">IFERROR(IF(0=LEN(ReferenceData!$AG$69),"",ReferenceData!$AG$69),"")</f>
        <v>68800</v>
      </c>
      <c r="AH69">
        <f ca="1">IFERROR(IF(0=LEN(ReferenceData!$AH$69),"",ReferenceData!$AH$69),"")</f>
        <v>54986</v>
      </c>
      <c r="AI69">
        <f ca="1">IFERROR(IF(0=LEN(ReferenceData!$AI$69),"",ReferenceData!$AI$69),"")</f>
        <v>48648</v>
      </c>
      <c r="AJ69">
        <f ca="1">IFERROR(IF(0=LEN(ReferenceData!$AJ$69),"",ReferenceData!$AJ$69),"")</f>
        <v>54727</v>
      </c>
      <c r="AK69">
        <f ca="1">IFERROR(IF(0=LEN(ReferenceData!$AK$69),"",ReferenceData!$AK$69),"")</f>
        <v>49221</v>
      </c>
      <c r="AL69">
        <f ca="1">IFERROR(IF(0=LEN(ReferenceData!$AL$69),"",ReferenceData!$AL$69),"")</f>
        <v>51492</v>
      </c>
      <c r="AM69">
        <f ca="1">IFERROR(IF(0=LEN(ReferenceData!$AM$69),"",ReferenceData!$AM$69),"")</f>
        <v>55898</v>
      </c>
      <c r="AN69">
        <f ca="1">IFERROR(IF(0=LEN(ReferenceData!$AN$69),"",ReferenceData!$AN$69),"")</f>
        <v>46763</v>
      </c>
      <c r="AO69">
        <f ca="1">IFERROR(IF(0=LEN(ReferenceData!$AO$69),"",ReferenceData!$AO$69),"")</f>
        <v>45950</v>
      </c>
      <c r="AP69">
        <f ca="1">IFERROR(IF(0=LEN(ReferenceData!$AP$69),"",ReferenceData!$AP$69),"")</f>
        <v>47838</v>
      </c>
      <c r="AQ69">
        <f ca="1">IFERROR(IF(0=LEN(ReferenceData!$AQ$69),"",ReferenceData!$AQ$69),"")</f>
        <v>46138</v>
      </c>
      <c r="AR69">
        <f ca="1">IFERROR(IF(0=LEN(ReferenceData!$AR$69),"",ReferenceData!$AR$69),"")</f>
        <v>34353</v>
      </c>
      <c r="AS69">
        <f ca="1">IFERROR(IF(0=LEN(ReferenceData!$AS$69),"",ReferenceData!$AS$69),"")</f>
        <v>44124</v>
      </c>
      <c r="AT69">
        <f ca="1">IFERROR(IF(0=LEN(ReferenceData!$AT$69),"",ReferenceData!$AT$69),"")</f>
        <v>39436</v>
      </c>
      <c r="AU69">
        <f ca="1">IFERROR(IF(0=LEN(ReferenceData!$AU$69),"",ReferenceData!$AU$69),"")</f>
        <v>37325</v>
      </c>
      <c r="AV69">
        <f ca="1">IFERROR(IF(0=LEN(ReferenceData!$AV$69),"",ReferenceData!$AV$69),"")</f>
        <v>35665</v>
      </c>
      <c r="AW69">
        <f ca="1">IFERROR(IF(0=LEN(ReferenceData!$AW$69),"",ReferenceData!$AW$69),"")</f>
        <v>27976</v>
      </c>
      <c r="AX69">
        <f ca="1">IFERROR(IF(0=LEN(ReferenceData!$AX$69),"",ReferenceData!$AX$69),"")</f>
        <v>20865</v>
      </c>
      <c r="AY69">
        <f ca="1">IFERROR(IF(0=LEN(ReferenceData!$AY$69),"",ReferenceData!$AY$69),"")</f>
        <v>23760</v>
      </c>
      <c r="AZ69">
        <f ca="1">IFERROR(IF(0=LEN(ReferenceData!$AZ$69),"",ReferenceData!$AZ$69),"")</f>
        <v>23484</v>
      </c>
      <c r="BA69">
        <f ca="1">IFERROR(IF(0=LEN(ReferenceData!$BA$69),"",ReferenceData!$BA$69),"")</f>
        <v>20376</v>
      </c>
      <c r="BB69">
        <f ca="1">IFERROR(IF(0=LEN(ReferenceData!$BB$69),"",ReferenceData!$BB$69),"")</f>
        <v>17704</v>
      </c>
      <c r="BC69">
        <f ca="1">IFERROR(IF(0=LEN(ReferenceData!$BC$69),"",ReferenceData!$BC$69),"")</f>
        <v>15175</v>
      </c>
      <c r="BD69">
        <f ca="1">IFERROR(IF(0=LEN(ReferenceData!$BD$69),"",ReferenceData!$BD$69),"")</f>
        <v>15062</v>
      </c>
      <c r="BE69">
        <f ca="1">IFERROR(IF(0=LEN(ReferenceData!$BE$69),"",ReferenceData!$BE$69),"")</f>
        <v>9730</v>
      </c>
      <c r="BF69">
        <f ca="1">IFERROR(IF(0=LEN(ReferenceData!$BF$69),"",ReferenceData!$BF$69),"")</f>
        <v>12850</v>
      </c>
      <c r="BG69">
        <f ca="1">IFERROR(IF(0=LEN(ReferenceData!$BG$69),"",ReferenceData!$BG$69),"")</f>
        <v>11377</v>
      </c>
      <c r="BH69">
        <f ca="1">IFERROR(IF(0=LEN(ReferenceData!$BH$69),"",ReferenceData!$BH$69),"")</f>
        <v>8272</v>
      </c>
      <c r="BI69" t="str">
        <f ca="1">IFERROR(IF(0=LEN(ReferenceData!$BI$69),"",ReferenceData!$BI$69),"")</f>
        <v/>
      </c>
      <c r="BJ69" t="str">
        <f ca="1">IFERROR(IF(0=LEN(ReferenceData!$BJ$69),"",ReferenceData!$BJ$69),"")</f>
        <v/>
      </c>
      <c r="BK69" t="str">
        <f ca="1">IFERROR(IF(0=LEN(ReferenceData!$BK$69),"",ReferenceData!$BK$69),"")</f>
        <v/>
      </c>
      <c r="BL69" t="str">
        <f ca="1">IFERROR(IF(0=LEN(ReferenceData!$BL$69),"",ReferenceData!$BL$69),"")</f>
        <v/>
      </c>
      <c r="BM69" t="str">
        <f ca="1">IFERROR(IF(0=LEN(ReferenceData!$BM$69),"",ReferenceData!$BM$69),"")</f>
        <v/>
      </c>
    </row>
    <row r="70" spans="1:65" x14ac:dyDescent="0.25">
      <c r="A70" t="str">
        <f>IFERROR(IF(0=LEN(ReferenceData!$A$70),"",ReferenceData!$A$70),"")</f>
        <v xml:space="preserve">        South Africa</v>
      </c>
      <c r="B70" t="str">
        <f>IFERROR(IF(0=LEN(ReferenceData!$B$70),"",ReferenceData!$B$70),"")</f>
        <v>NAAMCARS Index</v>
      </c>
      <c r="C70" t="str">
        <f>IFERROR(IF(0=LEN(ReferenceData!$C$70),"",ReferenceData!$C$70),"")</f>
        <v>PX385</v>
      </c>
      <c r="D70" t="str">
        <f>IFERROR(IF(0=LEN(ReferenceData!$D$70),"",ReferenceData!$D$70),"")</f>
        <v>INTERVAL_SUM</v>
      </c>
      <c r="E70" t="str">
        <f>IFERROR(IF(0=LEN(ReferenceData!$E$70),"",ReferenceData!$E$70),"")</f>
        <v>Dynamic</v>
      </c>
      <c r="F70">
        <f ca="1">IFERROR(IF(0=LEN(ReferenceData!$F$70),"",ReferenceData!$F$70),"")</f>
        <v>29040</v>
      </c>
      <c r="G70">
        <f ca="1">IFERROR(IF(0=LEN(ReferenceData!$G$70),"",ReferenceData!$G$70),"")</f>
        <v>91620</v>
      </c>
      <c r="H70">
        <f ca="1">IFERROR(IF(0=LEN(ReferenceData!$H$70),"",ReferenceData!$H$70),"")</f>
        <v>93357</v>
      </c>
      <c r="I70">
        <f ca="1">IFERROR(IF(0=LEN(ReferenceData!$I$70),"",ReferenceData!$I$70),"")</f>
        <v>79442</v>
      </c>
      <c r="J70">
        <f ca="1">IFERROR(IF(0=LEN(ReferenceData!$J$70),"",ReferenceData!$J$70),"")</f>
        <v>94530</v>
      </c>
      <c r="K70">
        <f ca="1">IFERROR(IF(0=LEN(ReferenceData!$K$70),"",ReferenceData!$K$70),"")</f>
        <v>92123</v>
      </c>
      <c r="L70">
        <f ca="1">IFERROR(IF(0=LEN(ReferenceData!$L$70),"",ReferenceData!$L$70),"")</f>
        <v>92872</v>
      </c>
      <c r="M70">
        <f ca="1">IFERROR(IF(0=LEN(ReferenceData!$M$70),"",ReferenceData!$M$70),"")</f>
        <v>62475</v>
      </c>
      <c r="N70">
        <f ca="1">IFERROR(IF(0=LEN(ReferenceData!$N$70),"",ReferenceData!$N$70),"")</f>
        <v>91531</v>
      </c>
      <c r="O70">
        <f ca="1">IFERROR(IF(0=LEN(ReferenceData!$O$70),"",ReferenceData!$O$70),"")</f>
        <v>77568</v>
      </c>
      <c r="P70">
        <f ca="1">IFERROR(IF(0=LEN(ReferenceData!$P$70),"",ReferenceData!$P$70),"")</f>
        <v>78301</v>
      </c>
      <c r="Q70">
        <f ca="1">IFERROR(IF(0=LEN(ReferenceData!$Q$70),"",ReferenceData!$Q$70),"")</f>
        <v>76934</v>
      </c>
      <c r="R70">
        <f ca="1">IFERROR(IF(0=LEN(ReferenceData!$R$70),"",ReferenceData!$R$70),"")</f>
        <v>86517</v>
      </c>
      <c r="S70">
        <f ca="1">IFERROR(IF(0=LEN(ReferenceData!$S$70),"",ReferenceData!$S$70),"")</f>
        <v>91495</v>
      </c>
      <c r="T70">
        <f ca="1">IFERROR(IF(0=LEN(ReferenceData!$T$70),"",ReferenceData!$T$70),"")</f>
        <v>94611</v>
      </c>
      <c r="U70">
        <f ca="1">IFERROR(IF(0=LEN(ReferenceData!$U$70),"",ReferenceData!$U$70),"")</f>
        <v>94107</v>
      </c>
      <c r="V70">
        <f ca="1">IFERROR(IF(0=LEN(ReferenceData!$V$70),"",ReferenceData!$V$70),"")</f>
        <v>107338</v>
      </c>
      <c r="W70">
        <f ca="1">IFERROR(IF(0=LEN(ReferenceData!$W$70),"",ReferenceData!$W$70),"")</f>
        <v>109866</v>
      </c>
      <c r="X70">
        <f ca="1">IFERROR(IF(0=LEN(ReferenceData!$X$70),"",ReferenceData!$X$70),"")</f>
        <v>120795</v>
      </c>
      <c r="Y70">
        <f ca="1">IFERROR(IF(0=LEN(ReferenceData!$Y$70),"",ReferenceData!$Y$70),"")</f>
        <v>99221</v>
      </c>
      <c r="Z70">
        <f ca="1">IFERROR(IF(0=LEN(ReferenceData!$Z$70),"",ReferenceData!$Z$70),"")</f>
        <v>109164</v>
      </c>
      <c r="AA70">
        <f ca="1">IFERROR(IF(0=LEN(ReferenceData!$AA$70),"",ReferenceData!$AA$70),"")</f>
        <v>107264</v>
      </c>
      <c r="AB70">
        <f ca="1">IFERROR(IF(0=LEN(ReferenceData!$AB$70),"",ReferenceData!$AB$70),"")</f>
        <v>119395</v>
      </c>
      <c r="AC70">
        <f ca="1">IFERROR(IF(0=LEN(ReferenceData!$AC$70),"",ReferenceData!$AC$70),"")</f>
        <v>108937</v>
      </c>
      <c r="AD70">
        <f ca="1">IFERROR(IF(0=LEN(ReferenceData!$AD$70),"",ReferenceData!$AD$70),"")</f>
        <v>114870</v>
      </c>
      <c r="AE70">
        <f ca="1">IFERROR(IF(0=LEN(ReferenceData!$AE$70),"",ReferenceData!$AE$70),"")</f>
        <v>98974</v>
      </c>
      <c r="AF70">
        <f ca="1">IFERROR(IF(0=LEN(ReferenceData!$AF$70),"",ReferenceData!$AF$70),"")</f>
        <v>98319</v>
      </c>
      <c r="AG70">
        <f ca="1">IFERROR(IF(0=LEN(ReferenceData!$AG$70),"",ReferenceData!$AG$70),"")</f>
        <v>81842</v>
      </c>
      <c r="AH70">
        <f ca="1">IFERROR(IF(0=LEN(ReferenceData!$AH$70),"",ReferenceData!$AH$70),"")</f>
        <v>90379</v>
      </c>
      <c r="AI70">
        <f ca="1">IFERROR(IF(0=LEN(ReferenceData!$AI$70),"",ReferenceData!$AI$70),"")</f>
        <v>82299</v>
      </c>
      <c r="AJ70">
        <f ca="1">IFERROR(IF(0=LEN(ReferenceData!$AJ$70),"",ReferenceData!$AJ$70),"")</f>
        <v>88481</v>
      </c>
      <c r="AK70">
        <f ca="1">IFERROR(IF(0=LEN(ReferenceData!$AK$70),"",ReferenceData!$AK$70),"")</f>
        <v>73213</v>
      </c>
      <c r="AL70">
        <f ca="1">IFERROR(IF(0=LEN(ReferenceData!$AL$70),"",ReferenceData!$AL$70),"")</f>
        <v>86710</v>
      </c>
      <c r="AM70">
        <f ca="1">IFERROR(IF(0=LEN(ReferenceData!$AM$70),"",ReferenceData!$AM$70),"")</f>
        <v>75750</v>
      </c>
      <c r="AN70">
        <f ca="1">IFERROR(IF(0=LEN(ReferenceData!$AN$70),"",ReferenceData!$AN$70),"")</f>
        <v>75673</v>
      </c>
      <c r="AO70">
        <f ca="1">IFERROR(IF(0=LEN(ReferenceData!$AO$70),"",ReferenceData!$AO$70),"")</f>
        <v>61808</v>
      </c>
      <c r="AP70">
        <f ca="1">IFERROR(IF(0=LEN(ReferenceData!$AP$70),"",ReferenceData!$AP$70),"")</f>
        <v>69937</v>
      </c>
      <c r="AQ70">
        <f ca="1">IFERROR(IF(0=LEN(ReferenceData!$AQ$70),"",ReferenceData!$AQ$70),"")</f>
        <v>56207</v>
      </c>
      <c r="AR70">
        <f ca="1">IFERROR(IF(0=LEN(ReferenceData!$AR$70),"",ReferenceData!$AR$70),"")</f>
        <v>57855</v>
      </c>
      <c r="AS70">
        <f ca="1">IFERROR(IF(0=LEN(ReferenceData!$AS$70),"",ReferenceData!$AS$70),"")</f>
        <v>50600</v>
      </c>
      <c r="AT70">
        <f ca="1">IFERROR(IF(0=LEN(ReferenceData!$AT$70),"",ReferenceData!$AT$70),"")</f>
        <v>60043</v>
      </c>
      <c r="AU70">
        <f ca="1">IFERROR(IF(0=LEN(ReferenceData!$AU$70),"",ReferenceData!$AU$70),"")</f>
        <v>64366</v>
      </c>
      <c r="AV70">
        <f ca="1">IFERROR(IF(0=LEN(ReferenceData!$AV$70),"",ReferenceData!$AV$70),"")</f>
        <v>76631</v>
      </c>
      <c r="AW70">
        <f ca="1">IFERROR(IF(0=LEN(ReferenceData!$AW$70),"",ReferenceData!$AW$70),"")</f>
        <v>69829</v>
      </c>
      <c r="AX70">
        <f ca="1">IFERROR(IF(0=LEN(ReferenceData!$AX$70),"",ReferenceData!$AX$70),"")</f>
        <v>85769</v>
      </c>
      <c r="AY70">
        <f ca="1">IFERROR(IF(0=LEN(ReferenceData!$AY$70),"",ReferenceData!$AY$70),"")</f>
        <v>89976</v>
      </c>
      <c r="AZ70">
        <f ca="1">IFERROR(IF(0=LEN(ReferenceData!$AZ$70),"",ReferenceData!$AZ$70),"")</f>
        <v>102145</v>
      </c>
      <c r="BA70">
        <f ca="1">IFERROR(IF(0=LEN(ReferenceData!$BA$70),"",ReferenceData!$BA$70),"")</f>
        <v>88235</v>
      </c>
      <c r="BB70">
        <f ca="1">IFERROR(IF(0=LEN(ReferenceData!$BB$70),"",ReferenceData!$BB$70),"")</f>
        <v>103997</v>
      </c>
      <c r="BC70">
        <f ca="1">IFERROR(IF(0=LEN(ReferenceData!$BC$70),"",ReferenceData!$BC$70),"")</f>
        <v>109469</v>
      </c>
      <c r="BD70">
        <f ca="1">IFERROR(IF(0=LEN(ReferenceData!$BD$70),"",ReferenceData!$BD$70),"")</f>
        <v>114344</v>
      </c>
      <c r="BE70">
        <f ca="1">IFERROR(IF(0=LEN(ReferenceData!$BE$70),"",ReferenceData!$BE$70),"")</f>
        <v>103987</v>
      </c>
      <c r="BF70">
        <f ca="1">IFERROR(IF(0=LEN(ReferenceData!$BF$70),"",ReferenceData!$BF$70),"")</f>
        <v>104174</v>
      </c>
      <c r="BG70">
        <f ca="1">IFERROR(IF(0=LEN(ReferenceData!$BG$70),"",ReferenceData!$BG$70),"")</f>
        <v>98509</v>
      </c>
      <c r="BH70">
        <f ca="1">IFERROR(IF(0=LEN(ReferenceData!$BH$70),"",ReferenceData!$BH$70),"")</f>
        <v>103132</v>
      </c>
      <c r="BI70">
        <f ca="1">IFERROR(IF(0=LEN(ReferenceData!$BI$70),"",ReferenceData!$BI$70),"")</f>
        <v>89282</v>
      </c>
      <c r="BJ70">
        <f ca="1">IFERROR(IF(0=LEN(ReferenceData!$BJ$70),"",ReferenceData!$BJ$70),"")</f>
        <v>85925</v>
      </c>
      <c r="BK70">
        <f ca="1">IFERROR(IF(0=LEN(ReferenceData!$BK$70),"",ReferenceData!$BK$70),"")</f>
        <v>80705</v>
      </c>
      <c r="BL70">
        <f ca="1">IFERROR(IF(0=LEN(ReferenceData!$BL$70),"",ReferenceData!$BL$70),"")</f>
        <v>83657</v>
      </c>
      <c r="BM70">
        <f ca="1">IFERROR(IF(0=LEN(ReferenceData!$BM$70),"",ReferenceData!$BM$70),"")</f>
        <v>66947</v>
      </c>
    </row>
    <row r="71" spans="1:65" x14ac:dyDescent="0.25">
      <c r="A71" t="str">
        <f>IFERROR(IF(0=LEN(ReferenceData!$A$71),"",ReferenceData!$A$71),"")</f>
        <v>by Auto Manufacturer (units) - Calendar Adjusted for JVs</v>
      </c>
      <c r="B71" t="str">
        <f>IFERROR(IF(0=LEN(ReferenceData!$B$71),"",ReferenceData!$B$71),"")</f>
        <v/>
      </c>
      <c r="C71" t="str">
        <f>IFERROR(IF(0=LEN(ReferenceData!$C$71),"",ReferenceData!$C$71),"")</f>
        <v/>
      </c>
      <c r="D71" t="str">
        <f>IFERROR(IF(0=LEN(ReferenceData!$D$71),"",ReferenceData!$D$71),"")</f>
        <v/>
      </c>
      <c r="E71" t="str">
        <f>IFERROR(IF(0=LEN(ReferenceData!$E$71),"",ReferenceData!$E$71),"")</f>
        <v>Sum</v>
      </c>
      <c r="F71" t="str">
        <f ca="1">IFERROR(IF(0=LEN(ReferenceData!$F$71),"",ReferenceData!$F$71),"")</f>
        <v/>
      </c>
      <c r="G71">
        <f ca="1">IFERROR(IF(0=LEN(ReferenceData!$G$71),"",ReferenceData!$G$71),"")</f>
        <v>5724364</v>
      </c>
      <c r="H71">
        <f ca="1">IFERROR(IF(0=LEN(ReferenceData!$H$71),"",ReferenceData!$H$71),"")</f>
        <v>12798364</v>
      </c>
      <c r="I71">
        <f ca="1">IFERROR(IF(0=LEN(ReferenceData!$I$71),"",ReferenceData!$I$71),"")</f>
        <v>11640873</v>
      </c>
      <c r="J71">
        <f ca="1">IFERROR(IF(0=LEN(ReferenceData!$J$71),"",ReferenceData!$J$71),"")</f>
        <v>12435650</v>
      </c>
      <c r="K71">
        <f ca="1">IFERROR(IF(0=LEN(ReferenceData!$K$71),"",ReferenceData!$K$71),"")</f>
        <v>16236039</v>
      </c>
      <c r="L71">
        <f ca="1">IFERROR(IF(0=LEN(ReferenceData!$L$71),"",ReferenceData!$L$71),"")</f>
        <v>13427093</v>
      </c>
      <c r="M71">
        <f ca="1">IFERROR(IF(0=LEN(ReferenceData!$M$71),"",ReferenceData!$M$71),"")</f>
        <v>13334975</v>
      </c>
      <c r="N71">
        <f ca="1">IFERROR(IF(0=LEN(ReferenceData!$N$71),"",ReferenceData!$N$71),"")</f>
        <v>15069033</v>
      </c>
      <c r="O71">
        <f ca="1">IFERROR(IF(0=LEN(ReferenceData!$O$71),"",ReferenceData!$O$71),"")</f>
        <v>17740156</v>
      </c>
      <c r="P71">
        <f ca="1">IFERROR(IF(0=LEN(ReferenceData!$P$71),"",ReferenceData!$P$71),"")</f>
        <v>13764608</v>
      </c>
      <c r="Q71">
        <f ca="1">IFERROR(IF(0=LEN(ReferenceData!$Q$71),"",ReferenceData!$Q$71),"")</f>
        <v>15178930</v>
      </c>
      <c r="R71">
        <f ca="1">IFERROR(IF(0=LEN(ReferenceData!$R$71),"",ReferenceData!$R$71),"")</f>
        <v>14789902</v>
      </c>
      <c r="S71">
        <f ca="1">IFERROR(IF(0=LEN(ReferenceData!$S$71),"",ReferenceData!$S$71),"")</f>
        <v>20353304</v>
      </c>
      <c r="T71">
        <f ca="1">IFERROR(IF(0=LEN(ReferenceData!$T$71),"",ReferenceData!$T$71),"")</f>
        <v>19927140</v>
      </c>
      <c r="U71">
        <f ca="1">IFERROR(IF(0=LEN(ReferenceData!$U$71),"",ReferenceData!$U$71),"")</f>
        <v>21207878</v>
      </c>
      <c r="V71">
        <f ca="1">IFERROR(IF(0=LEN(ReferenceData!$V$71),"",ReferenceData!$V$71),"")</f>
        <v>20614848</v>
      </c>
      <c r="W71">
        <f ca="1">IFERROR(IF(0=LEN(ReferenceData!$W$71),"",ReferenceData!$W$71),"")</f>
        <v>21835410</v>
      </c>
      <c r="X71">
        <f ca="1">IFERROR(IF(0=LEN(ReferenceData!$X$71),"",ReferenceData!$X$71),"")</f>
        <v>19906507</v>
      </c>
      <c r="Y71">
        <f ca="1">IFERROR(IF(0=LEN(ReferenceData!$Y$71),"",ReferenceData!$Y$71),"")</f>
        <v>21265531</v>
      </c>
      <c r="Z71">
        <f ca="1">IFERROR(IF(0=LEN(ReferenceData!$Z$71),"",ReferenceData!$Z$71),"")</f>
        <v>21230946</v>
      </c>
      <c r="AA71">
        <f ca="1">IFERROR(IF(0=LEN(ReferenceData!$AA$71),"",ReferenceData!$AA$71),"")</f>
        <v>18318589</v>
      </c>
      <c r="AB71">
        <f ca="1">IFERROR(IF(0=LEN(ReferenceData!$AB$71),"",ReferenceData!$AB$71),"")</f>
        <v>19316153</v>
      </c>
      <c r="AC71">
        <f ca="1">IFERROR(IF(0=LEN(ReferenceData!$AC$71),"",ReferenceData!$AC$71),"")</f>
        <v>19717926</v>
      </c>
      <c r="AD71">
        <f ca="1">IFERROR(IF(0=LEN(ReferenceData!$AD$71),"",ReferenceData!$AD$71),"")</f>
        <v>19863225</v>
      </c>
      <c r="AE71">
        <f ca="1">IFERROR(IF(0=LEN(ReferenceData!$AE$71),"",ReferenceData!$AE$71),"")</f>
        <v>17916334</v>
      </c>
      <c r="AF71">
        <f ca="1">IFERROR(IF(0=LEN(ReferenceData!$AF$71),"",ReferenceData!$AF$71),"")</f>
        <v>18425299</v>
      </c>
      <c r="AG71">
        <f ca="1">IFERROR(IF(0=LEN(ReferenceData!$AG$71),"",ReferenceData!$AG$71),"")</f>
        <v>19509136</v>
      </c>
      <c r="AH71">
        <f ca="1">IFERROR(IF(0=LEN(ReferenceData!$AH$71),"",ReferenceData!$AH$71),"")</f>
        <v>18905800</v>
      </c>
      <c r="AI71">
        <f ca="1">IFERROR(IF(0=LEN(ReferenceData!$AI$71),"",ReferenceData!$AI$71),"")</f>
        <v>18000575</v>
      </c>
      <c r="AJ71">
        <f ca="1">IFERROR(IF(0=LEN(ReferenceData!$AJ$71),"",ReferenceData!$AJ$71),"")</f>
        <v>19123482</v>
      </c>
      <c r="AK71">
        <f ca="1">IFERROR(IF(0=LEN(ReferenceData!$AK$71),"",ReferenceData!$AK$71),"")</f>
        <v>18549966</v>
      </c>
      <c r="AL71">
        <f ca="1">IFERROR(IF(0=LEN(ReferenceData!$AL$71),"",ReferenceData!$AL$71),"")</f>
        <v>19756359</v>
      </c>
      <c r="AM71">
        <f ca="1">IFERROR(IF(0=LEN(ReferenceData!$AM$71),"",ReferenceData!$AM$71),"")</f>
        <v>18791134</v>
      </c>
      <c r="AN71">
        <f ca="1">IFERROR(IF(0=LEN(ReferenceData!$AN$71),"",ReferenceData!$AN$71),"")</f>
        <v>18474993</v>
      </c>
      <c r="AO71">
        <f ca="1">IFERROR(IF(0=LEN(ReferenceData!$AO$71),"",ReferenceData!$AO$71),"")</f>
        <v>18383180</v>
      </c>
      <c r="AP71">
        <f ca="1">IFERROR(IF(0=LEN(ReferenceData!$AP$71),"",ReferenceData!$AP$71),"")</f>
        <v>17767636</v>
      </c>
      <c r="AQ71">
        <f ca="1">IFERROR(IF(0=LEN(ReferenceData!$AQ$71),"",ReferenceData!$AQ$71),"")</f>
        <v>16205934</v>
      </c>
      <c r="AR71">
        <f ca="1">IFERROR(IF(0=LEN(ReferenceData!$AR$71),"",ReferenceData!$AR$71),"")</f>
        <v>15238023</v>
      </c>
      <c r="AS71">
        <f ca="1">IFERROR(IF(0=LEN(ReferenceData!$AS$71),"",ReferenceData!$AS$71),"")</f>
        <v>15301226</v>
      </c>
      <c r="AT71">
        <f ca="1">IFERROR(IF(0=LEN(ReferenceData!$AT$71),"",ReferenceData!$AT$71),"")</f>
        <v>13799054</v>
      </c>
      <c r="AU71">
        <f ca="1">IFERROR(IF(0=LEN(ReferenceData!$AU$71),"",ReferenceData!$AU$71),"")</f>
        <v>13201246</v>
      </c>
      <c r="AV71">
        <f ca="1">IFERROR(IF(0=LEN(ReferenceData!$AV$71),"",ReferenceData!$AV$71),"")</f>
        <v>16008121</v>
      </c>
      <c r="AW71">
        <f ca="1">IFERROR(IF(0=LEN(ReferenceData!$AW$71),"",ReferenceData!$AW$71),"")</f>
        <v>16600738</v>
      </c>
      <c r="AX71">
        <f ca="1">IFERROR(IF(0=LEN(ReferenceData!$AX$71),"",ReferenceData!$AX$71),"")</f>
        <v>16480509</v>
      </c>
      <c r="AY71">
        <f ca="1">IFERROR(IF(0=LEN(ReferenceData!$AY$71),"",ReferenceData!$AY$71),"")</f>
        <v>15636638</v>
      </c>
      <c r="AZ71">
        <f ca="1">IFERROR(IF(0=LEN(ReferenceData!$AZ$71),"",ReferenceData!$AZ$71),"")</f>
        <v>15297956</v>
      </c>
      <c r="BA71">
        <f ca="1">IFERROR(IF(0=LEN(ReferenceData!$BA$71),"",ReferenceData!$BA$71),"")</f>
        <v>15640318</v>
      </c>
      <c r="BB71">
        <f ca="1">IFERROR(IF(0=LEN(ReferenceData!$BB$71),"",ReferenceData!$BB$71),"")</f>
        <v>15661438</v>
      </c>
      <c r="BC71">
        <f ca="1">IFERROR(IF(0=LEN(ReferenceData!$BC$71),"",ReferenceData!$BC$71),"")</f>
        <v>14697428</v>
      </c>
      <c r="BD71">
        <f ca="1">IFERROR(IF(0=LEN(ReferenceData!$BD$71),"",ReferenceData!$BD$71),"")</f>
        <v>14638605</v>
      </c>
      <c r="BE71">
        <f ca="1">IFERROR(IF(0=LEN(ReferenceData!$BE$71),"",ReferenceData!$BE$71),"")</f>
        <v>15094980</v>
      </c>
      <c r="BF71">
        <f ca="1">IFERROR(IF(0=LEN(ReferenceData!$BF$71),"",ReferenceData!$BF$71),"")</f>
        <v>14640420</v>
      </c>
      <c r="BG71">
        <f ca="1">IFERROR(IF(0=LEN(ReferenceData!$BG$71),"",ReferenceData!$BG$71),"")</f>
        <v>11546951</v>
      </c>
      <c r="BH71">
        <f ca="1">IFERROR(IF(0=LEN(ReferenceData!$BH$71),"",ReferenceData!$BH$71),"")</f>
        <v>10714800</v>
      </c>
      <c r="BI71">
        <f ca="1">IFERROR(IF(0=LEN(ReferenceData!$BI$71),"",ReferenceData!$BI$71),"")</f>
        <v>11238211</v>
      </c>
      <c r="BJ71">
        <f ca="1">IFERROR(IF(0=LEN(ReferenceData!$BJ$71),"",ReferenceData!$BJ$71),"")</f>
        <v>10720111</v>
      </c>
      <c r="BK71">
        <f ca="1">IFERROR(IF(0=LEN(ReferenceData!$BK$71),"",ReferenceData!$BK$71),"")</f>
        <v>6831144</v>
      </c>
      <c r="BL71">
        <f ca="1">IFERROR(IF(0=LEN(ReferenceData!$BL$71),"",ReferenceData!$BL$71),"")</f>
        <v>6244693</v>
      </c>
      <c r="BM71">
        <f ca="1">IFERROR(IF(0=LEN(ReferenceData!$BM$71),"",ReferenceData!$BM$71),"")</f>
        <v>6919330</v>
      </c>
    </row>
    <row r="72" spans="1:65" x14ac:dyDescent="0.25">
      <c r="A72" t="str">
        <f>IFERROR(IF(0=LEN(ReferenceData!$A$72),"",ReferenceData!$A$72),"")</f>
        <v xml:space="preserve">    Toyota Motor Corp</v>
      </c>
      <c r="B72" t="str">
        <f>IFERROR(IF(0=LEN(ReferenceData!$B$72),"",ReferenceData!$B$72),"")</f>
        <v>7203 JP Equity</v>
      </c>
      <c r="C72" t="str">
        <f>IFERROR(IF(0=LEN(ReferenceData!$C$72),"",ReferenceData!$C$72),"")</f>
        <v/>
      </c>
      <c r="D72" t="str">
        <f>IFERROR(IF(0=LEN(ReferenceData!$D$72),"",ReferenceData!$D$72),"")</f>
        <v/>
      </c>
      <c r="E72" t="str">
        <f>IFERROR(IF(0=LEN(ReferenceData!$E$72),"",ReferenceData!$E$72),"")</f>
        <v>Static</v>
      </c>
      <c r="F72" t="str">
        <f ca="1">IFERROR(IF(0=LEN(ReferenceData!$F$72),"",ReferenceData!$F$72),"")</f>
        <v/>
      </c>
      <c r="G72" t="str">
        <f ca="1">IFERROR(IF(0=LEN(ReferenceData!$G$72),"",ReferenceData!$G$72),"")</f>
        <v/>
      </c>
      <c r="H72" t="str">
        <f ca="1">IFERROR(IF(0=LEN(ReferenceData!$H$72),"",ReferenceData!$H$72),"")</f>
        <v/>
      </c>
      <c r="I72" t="str">
        <f ca="1">IFERROR(IF(0=LEN(ReferenceData!$I$72),"",ReferenceData!$I$72),"")</f>
        <v/>
      </c>
      <c r="J72" t="str">
        <f ca="1">IFERROR(IF(0=LEN(ReferenceData!$J$72),"",ReferenceData!$J$72),"")</f>
        <v/>
      </c>
      <c r="K72" t="str">
        <f ca="1">IFERROR(IF(0=LEN(ReferenceData!$K$72),"",ReferenceData!$K$72),"")</f>
        <v/>
      </c>
      <c r="L72" t="str">
        <f ca="1">IFERROR(IF(0=LEN(ReferenceData!$L$72),"",ReferenceData!$L$72),"")</f>
        <v/>
      </c>
      <c r="M72" t="str">
        <f ca="1">IFERROR(IF(0=LEN(ReferenceData!$M$72),"",ReferenceData!$M$72),"")</f>
        <v/>
      </c>
      <c r="N72" t="str">
        <f ca="1">IFERROR(IF(0=LEN(ReferenceData!$N$72),"",ReferenceData!$N$72),"")</f>
        <v/>
      </c>
      <c r="O72" t="str">
        <f ca="1">IFERROR(IF(0=LEN(ReferenceData!$O$72),"",ReferenceData!$O$72),"")</f>
        <v/>
      </c>
      <c r="P72" t="str">
        <f ca="1">IFERROR(IF(0=LEN(ReferenceData!$P$72),"",ReferenceData!$P$72),"")</f>
        <v/>
      </c>
      <c r="Q72" t="str">
        <f ca="1">IFERROR(IF(0=LEN(ReferenceData!$Q$72),"",ReferenceData!$Q$72),"")</f>
        <v/>
      </c>
      <c r="R72" t="str">
        <f ca="1">IFERROR(IF(0=LEN(ReferenceData!$R$72),"",ReferenceData!$R$72),"")</f>
        <v/>
      </c>
      <c r="S72" t="str">
        <f ca="1">IFERROR(IF(0=LEN(ReferenceData!$S$72),"",ReferenceData!$S$72),"")</f>
        <v/>
      </c>
      <c r="T72">
        <f ca="1">IFERROR(IF(0=LEN(ReferenceData!$T$72),"",ReferenceData!$T$72),"")</f>
        <v>2477000</v>
      </c>
      <c r="U72">
        <f ca="1">IFERROR(IF(0=LEN(ReferenceData!$U$72),"",ReferenceData!$U$72),"")</f>
        <v>2480000</v>
      </c>
      <c r="V72">
        <f ca="1">IFERROR(IF(0=LEN(ReferenceData!$V$72),"",ReferenceData!$V$72),"")</f>
        <v>2520000</v>
      </c>
      <c r="W72">
        <f ca="1">IFERROR(IF(0=LEN(ReferenceData!$W$72),"",ReferenceData!$W$72),"")</f>
        <v>2615000</v>
      </c>
      <c r="X72">
        <f ca="1">IFERROR(IF(0=LEN(ReferenceData!$X$72),"",ReferenceData!$X$72),"")</f>
        <v>2519000</v>
      </c>
      <c r="Y72">
        <f ca="1">IFERROR(IF(0=LEN(ReferenceData!$Y$72),"",ReferenceData!$Y$72),"")</f>
        <v>2513000</v>
      </c>
      <c r="Z72">
        <f ca="1">IFERROR(IF(0=LEN(ReferenceData!$Z$72),"",ReferenceData!$Z$72),"")</f>
        <v>2583000</v>
      </c>
      <c r="AA72">
        <f ca="1">IFERROR(IF(0=LEN(ReferenceData!$AA$72),"",ReferenceData!$AA$72),"")</f>
        <v>2568000</v>
      </c>
      <c r="AB72">
        <f ca="1">IFERROR(IF(0=LEN(ReferenceData!$AB$72),"",ReferenceData!$AB$72),"")</f>
        <v>2501000</v>
      </c>
      <c r="AC72">
        <f ca="1">IFERROR(IF(0=LEN(ReferenceData!$AC$72),"",ReferenceData!$AC$72),"")</f>
        <v>2480000</v>
      </c>
      <c r="AD72">
        <f ca="1">IFERROR(IF(0=LEN(ReferenceData!$AD$72),"",ReferenceData!$AD$72),"")</f>
        <v>2430000</v>
      </c>
      <c r="AE72">
        <f ca="1">IFERROR(IF(0=LEN(ReferenceData!$AE$72),"",ReferenceData!$AE$72),"")</f>
        <v>2345000</v>
      </c>
      <c r="AF72">
        <f ca="1">IFERROR(IF(0=LEN(ReferenceData!$AF$72),"",ReferenceData!$AF$72),"")</f>
        <v>2432000</v>
      </c>
      <c r="AG72">
        <f ca="1">IFERROR(IF(0=LEN(ReferenceData!$AG$72),"",ReferenceData!$AG$72),"")</f>
        <v>2485000</v>
      </c>
      <c r="AH72">
        <f ca="1">IFERROR(IF(0=LEN(ReferenceData!$AH$72),"",ReferenceData!$AH$72),"")</f>
        <v>2485000</v>
      </c>
      <c r="AI72">
        <f ca="1">IFERROR(IF(0=LEN(ReferenceData!$AI$72),"",ReferenceData!$AI$72),"")</f>
        <v>2174000</v>
      </c>
      <c r="AJ72">
        <f ca="1">IFERROR(IF(0=LEN(ReferenceData!$AJ$72),"",ReferenceData!$AJ$72),"")</f>
        <v>2058000</v>
      </c>
      <c r="AK72">
        <f ca="1">IFERROR(IF(0=LEN(ReferenceData!$AK$72),"",ReferenceData!$AK$72),"")</f>
        <v>1616000</v>
      </c>
      <c r="AL72">
        <f ca="1">IFERROR(IF(0=LEN(ReferenceData!$AL$72),"",ReferenceData!$AL$72),"")</f>
        <v>2099000</v>
      </c>
      <c r="AM72">
        <f ca="1">IFERROR(IF(0=LEN(ReferenceData!$AM$72),"",ReferenceData!$AM$72),"")</f>
        <v>2086000</v>
      </c>
      <c r="AN72">
        <f ca="1">IFERROR(IF(0=LEN(ReferenceData!$AN$72),"",ReferenceData!$AN$72),"")</f>
        <v>2166000</v>
      </c>
      <c r="AO72">
        <f ca="1">IFERROR(IF(0=LEN(ReferenceData!$AO$72),"",ReferenceData!$AO$72),"")</f>
        <v>2072000</v>
      </c>
      <c r="AP72">
        <f ca="1">IFERROR(IF(0=LEN(ReferenceData!$AP$72),"",ReferenceData!$AP$72),"")</f>
        <v>2093000</v>
      </c>
      <c r="AQ72">
        <f ca="1">IFERROR(IF(0=LEN(ReferenceData!$AQ$72),"",ReferenceData!$AQ$72),"")</f>
        <v>2167000</v>
      </c>
      <c r="AR72">
        <f ca="1">IFERROR(IF(0=LEN(ReferenceData!$AR$72),"",ReferenceData!$AR$72),"")</f>
        <v>2081000</v>
      </c>
      <c r="AS72">
        <f ca="1">IFERROR(IF(0=LEN(ReferenceData!$AS$72),"",ReferenceData!$AS$72),"")</f>
        <v>1796000</v>
      </c>
      <c r="AT72">
        <f ca="1">IFERROR(IF(0=LEN(ReferenceData!$AT$72),"",ReferenceData!$AT$72),"")</f>
        <v>1768000</v>
      </c>
      <c r="AU72">
        <f ca="1">IFERROR(IF(0=LEN(ReferenceData!$AU$72),"",ReferenceData!$AU$72),"")</f>
        <v>1920000</v>
      </c>
      <c r="AV72">
        <f ca="1">IFERROR(IF(0=LEN(ReferenceData!$AV$72),"",ReferenceData!$AV$72),"")</f>
        <v>2233000</v>
      </c>
      <c r="AW72">
        <f ca="1">IFERROR(IF(0=LEN(ReferenceData!$AW$72),"",ReferenceData!$AW$72),"")</f>
        <v>2406000</v>
      </c>
      <c r="AX72">
        <f ca="1">IFERROR(IF(0=LEN(ReferenceData!$AX$72),"",ReferenceData!$AX$72),"")</f>
        <v>2413000</v>
      </c>
      <c r="AY72">
        <f ca="1">IFERROR(IF(0=LEN(ReferenceData!$AY$72),"",ReferenceData!$AY$72),"")</f>
        <v>2316000</v>
      </c>
      <c r="AZ72">
        <f ca="1">IFERROR(IF(0=LEN(ReferenceData!$AZ$72),"",ReferenceData!$AZ$72),"")</f>
        <v>2336000</v>
      </c>
      <c r="BA72">
        <f ca="1">IFERROR(IF(0=LEN(ReferenceData!$BA$72),"",ReferenceData!$BA$72),"")</f>
        <v>2365000</v>
      </c>
      <c r="BB72">
        <f ca="1">IFERROR(IF(0=LEN(ReferenceData!$BB$72),"",ReferenceData!$BB$72),"")</f>
        <v>2345000</v>
      </c>
      <c r="BC72">
        <f ca="1">IFERROR(IF(0=LEN(ReferenceData!$BC$72),"",ReferenceData!$BC$72),"")</f>
        <v>2200000</v>
      </c>
      <c r="BD72">
        <f ca="1">IFERROR(IF(0=LEN(ReferenceData!$BD$72),"",ReferenceData!$BD$72),"")</f>
        <v>2252000</v>
      </c>
      <c r="BE72">
        <f ca="1">IFERROR(IF(0=LEN(ReferenceData!$BE$72),"",ReferenceData!$BE$72),"")</f>
        <v>2208000</v>
      </c>
      <c r="BF72">
        <f ca="1">IFERROR(IF(0=LEN(ReferenceData!$BF$72),"",ReferenceData!$BF$72),"")</f>
        <v>2152000</v>
      </c>
      <c r="BG72">
        <f ca="1">IFERROR(IF(0=LEN(ReferenceData!$BG$72),"",ReferenceData!$BG$72),"")</f>
        <v>2007000</v>
      </c>
      <c r="BH72">
        <f ca="1">IFERROR(IF(0=LEN(ReferenceData!$BH$72),"",ReferenceData!$BH$72),"")</f>
        <v>2035000</v>
      </c>
      <c r="BI72">
        <f ca="1">IFERROR(IF(0=LEN(ReferenceData!$BI$72),"",ReferenceData!$BI$72),"")</f>
        <v>2058000</v>
      </c>
      <c r="BJ72">
        <f ca="1">IFERROR(IF(0=LEN(ReferenceData!$BJ$72),"",ReferenceData!$BJ$72),"")</f>
        <v>2017000</v>
      </c>
      <c r="BK72" t="str">
        <f ca="1">IFERROR(IF(0=LEN(ReferenceData!$BK$72),"",ReferenceData!$BK$72),"")</f>
        <v/>
      </c>
      <c r="BL72" t="str">
        <f ca="1">IFERROR(IF(0=LEN(ReferenceData!$BL$72),"",ReferenceData!$BL$72),"")</f>
        <v/>
      </c>
      <c r="BM72" t="str">
        <f ca="1">IFERROR(IF(0=LEN(ReferenceData!$BM$72),"",ReferenceData!$BM$72),"")</f>
        <v/>
      </c>
    </row>
    <row r="73" spans="1:65" x14ac:dyDescent="0.25">
      <c r="A73" t="str">
        <f>IFERROR(IF(0=LEN(ReferenceData!$A$73),"",ReferenceData!$A$73),"")</f>
        <v xml:space="preserve">    Volkswagen AG</v>
      </c>
      <c r="B73" t="str">
        <f>IFERROR(IF(0=LEN(ReferenceData!$B$73),"",ReferenceData!$B$73),"")</f>
        <v>VOW GR Equity</v>
      </c>
      <c r="C73" t="str">
        <f>IFERROR(IF(0=LEN(ReferenceData!$C$73),"",ReferenceData!$C$73),"")</f>
        <v>FS265</v>
      </c>
      <c r="D73" t="str">
        <f>IFERROR(IF(0=LEN(ReferenceData!$D$73),"",ReferenceData!$D$73),"")</f>
        <v>AUTO_VEHICLES_SOLD_WW</v>
      </c>
      <c r="E73" t="str">
        <f>IFERROR(IF(0=LEN(ReferenceData!$E$73),"",ReferenceData!$E$73),"")</f>
        <v>Dynamic</v>
      </c>
      <c r="F73" t="str">
        <f ca="1">IFERROR(IF(0=LEN(ReferenceData!$F$73),"",ReferenceData!$F$73),"")</f>
        <v/>
      </c>
      <c r="G73" t="str">
        <f ca="1">IFERROR(IF(0=LEN(ReferenceData!$G$73),"",ReferenceData!$G$73),"")</f>
        <v/>
      </c>
      <c r="H73">
        <f ca="1">IFERROR(IF(0=LEN(ReferenceData!$H$73),"",ReferenceData!$H$73),"")</f>
        <v>2723398</v>
      </c>
      <c r="I73">
        <f ca="1">IFERROR(IF(0=LEN(ReferenceData!$I$73),"",ReferenceData!$I$73),"")</f>
        <v>2727077</v>
      </c>
      <c r="J73">
        <f ca="1">IFERROR(IF(0=LEN(ReferenceData!$J$73),"",ReferenceData!$J$73),"")</f>
        <v>2679775</v>
      </c>
      <c r="K73">
        <f ca="1">IFERROR(IF(0=LEN(ReferenceData!$K$73),"",ReferenceData!$K$73),"")</f>
        <v>2934783</v>
      </c>
      <c r="L73">
        <f ca="1">IFERROR(IF(0=LEN(ReferenceData!$L$73),"",ReferenceData!$L$73),"")</f>
        <v>2650670</v>
      </c>
      <c r="M73">
        <f ca="1">IFERROR(IF(0=LEN(ReferenceData!$M$73),"",ReferenceData!$M$73),"")</f>
        <v>2564040</v>
      </c>
      <c r="N73">
        <f ca="1">IFERROR(IF(0=LEN(ReferenceData!$N$73),"",ReferenceData!$N$73),"")</f>
        <v>2495078</v>
      </c>
      <c r="O73">
        <f ca="1">IFERROR(IF(0=LEN(ReferenceData!$O$73),"",ReferenceData!$O$73),"")</f>
        <v>2687644</v>
      </c>
      <c r="P73">
        <f ca="1">IFERROR(IF(0=LEN(ReferenceData!$P$73),"",ReferenceData!$P$73),"")</f>
        <v>2492534</v>
      </c>
      <c r="Q73">
        <f ca="1">IFERROR(IF(0=LEN(ReferenceData!$Q$73),"",ReferenceData!$Q$73),"")</f>
        <v>2608526</v>
      </c>
      <c r="R73">
        <f ca="1">IFERROR(IF(0=LEN(ReferenceData!$R$73),"",ReferenceData!$R$73),"")</f>
        <v>2508293</v>
      </c>
      <c r="S73">
        <f ca="1">IFERROR(IF(0=LEN(ReferenceData!$S$73),"",ReferenceData!$S$73),"")</f>
        <v>2499792</v>
      </c>
      <c r="T73">
        <f ca="1">IFERROR(IF(0=LEN(ReferenceData!$T$73),"",ReferenceData!$T$73),"")</f>
        <v>2391516</v>
      </c>
      <c r="U73">
        <f ca="1">IFERROR(IF(0=LEN(ReferenceData!$U$73),"",ReferenceData!$U$73),"")</f>
        <v>2552000</v>
      </c>
      <c r="V73">
        <f ca="1">IFERROR(IF(0=LEN(ReferenceData!$V$73),"",ReferenceData!$V$73),"")</f>
        <v>2490000</v>
      </c>
      <c r="W73">
        <f ca="1">IFERROR(IF(0=LEN(ReferenceData!$W$73),"",ReferenceData!$W$73),"")</f>
        <v>2595000</v>
      </c>
      <c r="X73">
        <f ca="1">IFERROR(IF(0=LEN(ReferenceData!$X$73),"",ReferenceData!$X$73),"")</f>
        <v>2476324</v>
      </c>
      <c r="Y73">
        <f ca="1">IFERROR(IF(0=LEN(ReferenceData!$Y$73),"",ReferenceData!$Y$73),"")</f>
        <v>2626592</v>
      </c>
      <c r="Z73">
        <f ca="1">IFERROR(IF(0=LEN(ReferenceData!$Z$73),"",ReferenceData!$Z$73),"")</f>
        <v>2442275</v>
      </c>
      <c r="AA73">
        <f ca="1">IFERROR(IF(0=LEN(ReferenceData!$AA$73),"",ReferenceData!$AA$73),"")</f>
        <v>2214963</v>
      </c>
      <c r="AB73">
        <f ca="1">IFERROR(IF(0=LEN(ReferenceData!$AB$73),"",ReferenceData!$AB$73),"")</f>
        <v>2386612</v>
      </c>
      <c r="AC73">
        <f ca="1">IFERROR(IF(0=LEN(ReferenceData!$AC$73),"",ReferenceData!$AC$73),"")</f>
        <v>2484325</v>
      </c>
      <c r="AD73">
        <f ca="1">IFERROR(IF(0=LEN(ReferenceData!$AD$73),"",ReferenceData!$AD$73),"")</f>
        <v>2314100</v>
      </c>
      <c r="AE73">
        <f ca="1">IFERROR(IF(0=LEN(ReferenceData!$AE$73),"",ReferenceData!$AE$73),"")</f>
        <v>2421203</v>
      </c>
      <c r="AF73">
        <f ca="1">IFERROR(IF(0=LEN(ReferenceData!$AF$73),"",ReferenceData!$AF$73),"")</f>
        <v>2302623</v>
      </c>
      <c r="AG73">
        <f ca="1">IFERROR(IF(0=LEN(ReferenceData!$AG$73),"",ReferenceData!$AG$73),"")</f>
        <v>2343461</v>
      </c>
      <c r="AH73">
        <f ca="1">IFERROR(IF(0=LEN(ReferenceData!$AH$73),"",ReferenceData!$AH$73),"")</f>
        <v>2208622</v>
      </c>
      <c r="AI73">
        <f ca="1">IFERROR(IF(0=LEN(ReferenceData!$AI$73),"",ReferenceData!$AI$73),"")</f>
        <v>2095034</v>
      </c>
      <c r="AJ73">
        <f ca="1">IFERROR(IF(0=LEN(ReferenceData!$AJ$73),"",ReferenceData!$AJ$73),"")</f>
        <v>2041774</v>
      </c>
      <c r="AK73">
        <f ca="1">IFERROR(IF(0=LEN(ReferenceData!$AK$73),"",ReferenceData!$AK$73),"")</f>
        <v>2140260</v>
      </c>
      <c r="AL73">
        <f ca="1">IFERROR(IF(0=LEN(ReferenceData!$AL$73),"",ReferenceData!$AL$73),"")</f>
        <v>1988198</v>
      </c>
      <c r="AM73">
        <f ca="1">IFERROR(IF(0=LEN(ReferenceData!$AM$73),"",ReferenceData!$AM$73),"")</f>
        <v>1794540</v>
      </c>
      <c r="AN73">
        <f ca="1">IFERROR(IF(0=LEN(ReferenceData!$AN$73),"",ReferenceData!$AN$73),"")</f>
        <v>1780000</v>
      </c>
      <c r="AO73">
        <f ca="1">IFERROR(IF(0=LEN(ReferenceData!$AO$73),"",ReferenceData!$AO$73),"")</f>
        <v>1864000</v>
      </c>
      <c r="AP73">
        <f ca="1">IFERROR(IF(0=LEN(ReferenceData!$AP$73),"",ReferenceData!$AP$73),"")</f>
        <v>1702000</v>
      </c>
      <c r="AQ73">
        <f ca="1">IFERROR(IF(0=LEN(ReferenceData!$AQ$73),"",ReferenceData!$AQ$73),"")</f>
        <v>1693000</v>
      </c>
      <c r="AR73">
        <f ca="1">IFERROR(IF(0=LEN(ReferenceData!$AR$73),"",ReferenceData!$AR$73),"")</f>
        <v>1609000</v>
      </c>
      <c r="AS73">
        <f ca="1">IFERROR(IF(0=LEN(ReferenceData!$AS$73),"",ReferenceData!$AS$73),"")</f>
        <v>1655000</v>
      </c>
      <c r="AT73">
        <f ca="1">IFERROR(IF(0=LEN(ReferenceData!$AT$73),"",ReferenceData!$AT$73),"")</f>
        <v>1352000</v>
      </c>
      <c r="AU73">
        <f ca="1">IFERROR(IF(0=LEN(ReferenceData!$AU$73),"",ReferenceData!$AU$73),"")</f>
        <v>1416000</v>
      </c>
      <c r="AV73">
        <f ca="1">IFERROR(IF(0=LEN(ReferenceData!$AV$73),"",ReferenceData!$AV$73),"")</f>
        <v>1546000</v>
      </c>
      <c r="AW73">
        <f ca="1">IFERROR(IF(0=LEN(ReferenceData!$AW$73),"",ReferenceData!$AW$73),"")</f>
        <v>1694000</v>
      </c>
      <c r="AX73">
        <f ca="1">IFERROR(IF(0=LEN(ReferenceData!$AX$73),"",ReferenceData!$AX$73),"")</f>
        <v>1604000</v>
      </c>
      <c r="AY73">
        <f ca="1">IFERROR(IF(0=LEN(ReferenceData!$AY$73),"",ReferenceData!$AY$73),"")</f>
        <v>1574440</v>
      </c>
      <c r="AZ73">
        <f ca="1">IFERROR(IF(0=LEN(ReferenceData!$AZ$73),"",ReferenceData!$AZ$73),"")</f>
        <v>1528438</v>
      </c>
      <c r="BA73">
        <f ca="1">IFERROR(IF(0=LEN(ReferenceData!$BA$73),"",ReferenceData!$BA$73),"")</f>
        <v>1616202</v>
      </c>
      <c r="BB73">
        <f ca="1">IFERROR(IF(0=LEN(ReferenceData!$BB$73),"",ReferenceData!$BB$73),"")</f>
        <v>1469879</v>
      </c>
      <c r="BC73">
        <f ca="1">IFERROR(IF(0=LEN(ReferenceData!$BC$73),"",ReferenceData!$BC$73),"")</f>
        <v>1469899</v>
      </c>
      <c r="BD73">
        <f ca="1">IFERROR(IF(0=LEN(ReferenceData!$BD$73),"",ReferenceData!$BD$73),"")</f>
        <v>1399861</v>
      </c>
      <c r="BE73">
        <f ca="1">IFERROR(IF(0=LEN(ReferenceData!$BE$73),"",ReferenceData!$BE$73),"")</f>
        <v>1502911</v>
      </c>
      <c r="BF73">
        <f ca="1">IFERROR(IF(0=LEN(ReferenceData!$BF$73),"",ReferenceData!$BF$73),"")</f>
        <v>1361064</v>
      </c>
      <c r="BG73">
        <f ca="1">IFERROR(IF(0=LEN(ReferenceData!$BG$73),"",ReferenceData!$BG$73),"")</f>
        <v>1376869</v>
      </c>
      <c r="BH73">
        <f ca="1">IFERROR(IF(0=LEN(ReferenceData!$BH$73),"",ReferenceData!$BH$73),"")</f>
        <v>1307446</v>
      </c>
      <c r="BI73">
        <f ca="1">IFERROR(IF(0=LEN(ReferenceData!$BI$73),"",ReferenceData!$BI$73),"")</f>
        <v>1376099</v>
      </c>
      <c r="BJ73">
        <f ca="1">IFERROR(IF(0=LEN(ReferenceData!$BJ$73),"",ReferenceData!$BJ$73),"")</f>
        <v>1182793</v>
      </c>
      <c r="BK73">
        <f ca="1">IFERROR(IF(0=LEN(ReferenceData!$BK$73),"",ReferenceData!$BK$73),"")</f>
        <v>1332189</v>
      </c>
      <c r="BL73">
        <f ca="1">IFERROR(IF(0=LEN(ReferenceData!$BL$73),"",ReferenceData!$BL$73),"")</f>
        <v>1230535</v>
      </c>
      <c r="BM73">
        <f ca="1">IFERROR(IF(0=LEN(ReferenceData!$BM$73),"",ReferenceData!$BM$73),"")</f>
        <v>1309953</v>
      </c>
    </row>
    <row r="74" spans="1:65" x14ac:dyDescent="0.25">
      <c r="A74" t="str">
        <f>IFERROR(IF(0=LEN(ReferenceData!$A$74),"",ReferenceData!$A$74),"")</f>
        <v xml:space="preserve">        VW Passenger Cars</v>
      </c>
      <c r="B74" t="str">
        <f>IFERROR(IF(0=LEN(ReferenceData!$B$74),"",ReferenceData!$B$74),"")</f>
        <v>VOW GR Equity</v>
      </c>
      <c r="C74" t="str">
        <f>IFERROR(IF(0=LEN(ReferenceData!$C$74),"",ReferenceData!$C$74),"")</f>
        <v>BI047</v>
      </c>
      <c r="D74" t="str">
        <f>IFERROR(IF(0=LEN(ReferenceData!$D$74),"",ReferenceData!$D$74),"")</f>
        <v>BICS_SEGMENT_DATA</v>
      </c>
      <c r="E74" t="str">
        <f>IFERROR(IF(0=LEN(ReferenceData!$E$74),"",ReferenceData!$E$74),"")</f>
        <v>Dynamic</v>
      </c>
      <c r="F74" t="str">
        <f ca="1">IFERROR(IF(0=LEN(ReferenceData!$F$74),"",ReferenceData!$F$74),"")</f>
        <v/>
      </c>
      <c r="G74">
        <f ca="1">IFERROR(IF(0=LEN(ReferenceData!$G$74),"",ReferenceData!$G$74),"")</f>
        <v>1622154</v>
      </c>
      <c r="H74">
        <f ca="1">IFERROR(IF(0=LEN(ReferenceData!$H$74),"",ReferenceData!$H$74),"")</f>
        <v>1504150</v>
      </c>
      <c r="I74">
        <f ca="1">IFERROR(IF(0=LEN(ReferenceData!$I$74),"",ReferenceData!$I$74),"")</f>
        <v>1593403</v>
      </c>
      <c r="J74">
        <f ca="1">IFERROR(IF(0=LEN(ReferenceData!$J$74),"",ReferenceData!$J$74),"")</f>
        <v>1525293</v>
      </c>
      <c r="K74">
        <f ca="1">IFERROR(IF(0=LEN(ReferenceData!$K$74),"",ReferenceData!$K$74),"")</f>
        <v>1739302</v>
      </c>
      <c r="L74">
        <f ca="1">IFERROR(IF(0=LEN(ReferenceData!$L$74),"",ReferenceData!$L$74),"")</f>
        <v>1555770</v>
      </c>
      <c r="M74">
        <f ca="1">IFERROR(IF(0=LEN(ReferenceData!$M$74),"",ReferenceData!$M$74),"")</f>
        <v>1494208</v>
      </c>
      <c r="N74">
        <f ca="1">IFERROR(IF(0=LEN(ReferenceData!$N$74),"",ReferenceData!$N$74),"")</f>
        <v>1440924</v>
      </c>
      <c r="O74">
        <f ca="1">IFERROR(IF(0=LEN(ReferenceData!$O$74),"",ReferenceData!$O$74),"")</f>
        <v>1605411</v>
      </c>
      <c r="P74">
        <f ca="1">IFERROR(IF(0=LEN(ReferenceData!$P$74),"",ReferenceData!$P$74),"")</f>
        <v>1449943</v>
      </c>
      <c r="Q74">
        <f ca="1">IFERROR(IF(0=LEN(ReferenceData!$Q$74),"",ReferenceData!$Q$74),"")</f>
        <v>1465431</v>
      </c>
      <c r="R74">
        <f ca="1">IFERROR(IF(0=LEN(ReferenceData!$R$74),"",ReferenceData!$R$74),"")</f>
        <v>1459522</v>
      </c>
      <c r="S74">
        <f ca="1">IFERROR(IF(0=LEN(ReferenceData!$S$74),"",ReferenceData!$S$74),"")</f>
        <v>1473806</v>
      </c>
      <c r="T74">
        <f ca="1">IFERROR(IF(0=LEN(ReferenceData!$T$74),"",ReferenceData!$T$74),"")</f>
        <v>1403894</v>
      </c>
      <c r="U74">
        <f ca="1">IFERROR(IF(0=LEN(ReferenceData!$U$74),"",ReferenceData!$U$74),"")</f>
        <v>1466262</v>
      </c>
      <c r="V74">
        <f ca="1">IFERROR(IF(0=LEN(ReferenceData!$V$74),"",ReferenceData!$V$74),"")</f>
        <v>1479446</v>
      </c>
      <c r="W74">
        <f ca="1">IFERROR(IF(0=LEN(ReferenceData!$W$74),"",ReferenceData!$W$74),"")</f>
        <v>1537432</v>
      </c>
      <c r="X74">
        <f ca="1">IFERROR(IF(0=LEN(ReferenceData!$X$74),"",ReferenceData!$X$74),"")</f>
        <v>1497432</v>
      </c>
      <c r="Y74">
        <f ca="1">IFERROR(IF(0=LEN(ReferenceData!$Y$74),"",ReferenceData!$Y$74),"")</f>
        <v>1584861</v>
      </c>
      <c r="Z74">
        <f ca="1">IFERROR(IF(0=LEN(ReferenceData!$Z$74),"",ReferenceData!$Z$74),"")</f>
        <v>1480967</v>
      </c>
      <c r="AA74">
        <f ca="1">IFERROR(IF(0=LEN(ReferenceData!$AA$74),"",ReferenceData!$AA$74),"")</f>
        <v>1565390</v>
      </c>
      <c r="AB74">
        <f ca="1">IFERROR(IF(0=LEN(ReferenceData!$AB$74),"",ReferenceData!$AB$74),"")</f>
        <v>1453933</v>
      </c>
      <c r="AC74">
        <f ca="1">IFERROR(IF(0=LEN(ReferenceData!$AC$74),"",ReferenceData!$AC$74),"")</f>
        <v>1484898</v>
      </c>
      <c r="AD74">
        <f ca="1">IFERROR(IF(0=LEN(ReferenceData!$AD$74),"",ReferenceData!$AD$74),"")</f>
        <v>1425779</v>
      </c>
      <c r="AE74">
        <f ca="1">IFERROR(IF(0=LEN(ReferenceData!$AE$74),"",ReferenceData!$AE$74),"")</f>
        <v>1524347</v>
      </c>
      <c r="AF74">
        <f ca="1">IFERROR(IF(0=LEN(ReferenceData!$AF$74),"",ReferenceData!$AF$74),"")</f>
        <v>1427060</v>
      </c>
      <c r="AG74">
        <f ca="1">IFERROR(IF(0=LEN(ReferenceData!$AG$74),"",ReferenceData!$AG$74),"")</f>
        <v>1431650</v>
      </c>
      <c r="AH74">
        <f ca="1">IFERROR(IF(0=LEN(ReferenceData!$AH$74),"",ReferenceData!$AH$74),"")</f>
        <v>1355392</v>
      </c>
      <c r="AI74">
        <f ca="1">IFERROR(IF(0=LEN(ReferenceData!$AI$74),"",ReferenceData!$AI$74),"")</f>
        <v>1280402</v>
      </c>
      <c r="AJ74">
        <f ca="1">IFERROR(IF(0=LEN(ReferenceData!$AJ$74),"",ReferenceData!$AJ$74),"")</f>
        <v>1280444</v>
      </c>
      <c r="AK74">
        <f ca="1">IFERROR(IF(0=LEN(ReferenceData!$AK$74),"",ReferenceData!$AK$74),"")</f>
        <v>1304038</v>
      </c>
      <c r="AL74">
        <f ca="1">IFERROR(IF(0=LEN(ReferenceData!$AL$74),"",ReferenceData!$AL$74),"")</f>
        <v>1226151</v>
      </c>
      <c r="AM74">
        <f ca="1">IFERROR(IF(0=LEN(ReferenceData!$AM$74),"",ReferenceData!$AM$74),"")</f>
        <v>1110524</v>
      </c>
      <c r="AN74">
        <f ca="1">IFERROR(IF(0=LEN(ReferenceData!$AN$74),"",ReferenceData!$AN$74),"")</f>
        <v>1128570</v>
      </c>
      <c r="AO74">
        <f ca="1">IFERROR(IF(0=LEN(ReferenceData!$AO$74),"",ReferenceData!$AO$74),"")</f>
        <v>1153128</v>
      </c>
      <c r="AP74">
        <f ca="1">IFERROR(IF(0=LEN(ReferenceData!$AP$74),"",ReferenceData!$AP$74),"")</f>
        <v>1110605</v>
      </c>
      <c r="AQ74">
        <f ca="1">IFERROR(IF(0=LEN(ReferenceData!$AQ$74),"",ReferenceData!$AQ$74),"")</f>
        <v>933568</v>
      </c>
      <c r="AR74">
        <f ca="1">IFERROR(IF(0=LEN(ReferenceData!$AR$74),"",ReferenceData!$AR$74),"")</f>
        <v>1071907</v>
      </c>
      <c r="AS74">
        <f ca="1">IFERROR(IF(0=LEN(ReferenceData!$AS$74),"",ReferenceData!$AS$74),"")</f>
        <v>1072748</v>
      </c>
      <c r="AT74">
        <f ca="1">IFERROR(IF(0=LEN(ReferenceData!$AT$74),"",ReferenceData!$AT$74),"")</f>
        <v>876231</v>
      </c>
      <c r="AU74">
        <f ca="1">IFERROR(IF(0=LEN(ReferenceData!$AU$74),"",ReferenceData!$AU$74),"")</f>
        <v>858642</v>
      </c>
      <c r="AV74">
        <f ca="1">IFERROR(IF(0=LEN(ReferenceData!$AV$74),"",ReferenceData!$AV$74),"")</f>
        <v>901594</v>
      </c>
      <c r="AW74">
        <f ca="1">IFERROR(IF(0=LEN(ReferenceData!$AW$74),"",ReferenceData!$AW$74),"")</f>
        <v>987179</v>
      </c>
      <c r="AX74">
        <f ca="1">IFERROR(IF(0=LEN(ReferenceData!$AX$74),"",ReferenceData!$AX$74),"")</f>
        <v>920209</v>
      </c>
      <c r="AY74">
        <f ca="1">IFERROR(IF(0=LEN(ReferenceData!$AY$74),"",ReferenceData!$AY$74),"")</f>
        <v>937228</v>
      </c>
      <c r="AZ74">
        <f ca="1">IFERROR(IF(0=LEN(ReferenceData!$AZ$74),"",ReferenceData!$AZ$74),"")</f>
        <v>921873</v>
      </c>
      <c r="BA74">
        <f ca="1">IFERROR(IF(0=LEN(ReferenceData!$BA$74),"",ReferenceData!$BA$74),"")</f>
        <v>953301</v>
      </c>
      <c r="BB74">
        <f ca="1">IFERROR(IF(0=LEN(ReferenceData!$BB$74),"",ReferenceData!$BB$74),"")</f>
        <v>850193</v>
      </c>
      <c r="BC74">
        <f ca="1">IFERROR(IF(0=LEN(ReferenceData!$BC$74),"",ReferenceData!$BC$74),"")</f>
        <v>877795</v>
      </c>
      <c r="BD74">
        <f ca="1">IFERROR(IF(0=LEN(ReferenceData!$BD$74),"",ReferenceData!$BD$74),"")</f>
        <v>839681</v>
      </c>
      <c r="BE74">
        <f ca="1">IFERROR(IF(0=LEN(ReferenceData!$BE$74),"",ReferenceData!$BE$74),"")</f>
        <v>882700</v>
      </c>
      <c r="BF74" t="str">
        <f ca="1">IFERROR(IF(0=LEN(ReferenceData!$BF$74),"",ReferenceData!$BF$74),"")</f>
        <v/>
      </c>
      <c r="BG74" t="str">
        <f ca="1">IFERROR(IF(0=LEN(ReferenceData!$BG$74),"",ReferenceData!$BG$74),"")</f>
        <v/>
      </c>
      <c r="BH74" t="str">
        <f ca="1">IFERROR(IF(0=LEN(ReferenceData!$BH$74),"",ReferenceData!$BH$74),"")</f>
        <v/>
      </c>
      <c r="BI74">
        <f ca="1">IFERROR(IF(0=LEN(ReferenceData!$BI$74),"",ReferenceData!$BI$74),"")</f>
        <v>926137</v>
      </c>
      <c r="BJ74">
        <f ca="1">IFERROR(IF(0=LEN(ReferenceData!$BJ$74),"",ReferenceData!$BJ$74),"")</f>
        <v>798728</v>
      </c>
      <c r="BK74" t="str">
        <f ca="1">IFERROR(IF(0=LEN(ReferenceData!$BK$74),"",ReferenceData!$BK$74),"")</f>
        <v/>
      </c>
      <c r="BL74" t="str">
        <f ca="1">IFERROR(IF(0=LEN(ReferenceData!$BL$74),"",ReferenceData!$BL$74),"")</f>
        <v/>
      </c>
      <c r="BM74" t="str">
        <f ca="1">IFERROR(IF(0=LEN(ReferenceData!$BM$74),"",ReferenceData!$BM$74),"")</f>
        <v/>
      </c>
    </row>
    <row r="75" spans="1:65" x14ac:dyDescent="0.25">
      <c r="A75" t="str">
        <f>IFERROR(IF(0=LEN(ReferenceData!$A$75),"",ReferenceData!$A$75),"")</f>
        <v xml:space="preserve">        Audi</v>
      </c>
      <c r="B75" t="str">
        <f>IFERROR(IF(0=LEN(ReferenceData!$B$75),"",ReferenceData!$B$75),"")</f>
        <v>VOW GR Equity</v>
      </c>
      <c r="C75" t="str">
        <f>IFERROR(IF(0=LEN(ReferenceData!$C$75),"",ReferenceData!$C$75),"")</f>
        <v>BI047</v>
      </c>
      <c r="D75" t="str">
        <f>IFERROR(IF(0=LEN(ReferenceData!$D$75),"",ReferenceData!$D$75),"")</f>
        <v>BICS_SEGMENT_DATA</v>
      </c>
      <c r="E75" t="str">
        <f>IFERROR(IF(0=LEN(ReferenceData!$E$75),"",ReferenceData!$E$75),"")</f>
        <v>Dynamic</v>
      </c>
      <c r="F75" t="str">
        <f ca="1">IFERROR(IF(0=LEN(ReferenceData!$F$75),"",ReferenceData!$F$75),"")</f>
        <v/>
      </c>
      <c r="G75">
        <f ca="1">IFERROR(IF(0=LEN(ReferenceData!$G$75),"",ReferenceData!$G$75),"")</f>
        <v>404282</v>
      </c>
      <c r="H75">
        <f ca="1">IFERROR(IF(0=LEN(ReferenceData!$H$75),"",ReferenceData!$H$75),"")</f>
        <v>458436</v>
      </c>
      <c r="I75">
        <f ca="1">IFERROR(IF(0=LEN(ReferenceData!$I$75),"",ReferenceData!$I$75),"")</f>
        <v>485494</v>
      </c>
      <c r="J75">
        <f ca="1">IFERROR(IF(0=LEN(ReferenceData!$J$75),"",ReferenceData!$J$75),"")</f>
        <v>463788</v>
      </c>
      <c r="K75">
        <f ca="1">IFERROR(IF(0=LEN(ReferenceData!$K$75),"",ReferenceData!$K$75),"")</f>
        <v>497327</v>
      </c>
      <c r="L75">
        <f ca="1">IFERROR(IF(0=LEN(ReferenceData!$L$75),"",ReferenceData!$L$75),"")</f>
        <v>471780</v>
      </c>
      <c r="M75">
        <f ca="1">IFERROR(IF(0=LEN(ReferenceData!$M$75),"",ReferenceData!$M$75),"")</f>
        <v>486080</v>
      </c>
      <c r="N75">
        <f ca="1">IFERROR(IF(0=LEN(ReferenceData!$N$75),"",ReferenceData!$N$75),"")</f>
        <v>422603</v>
      </c>
      <c r="O75">
        <f ca="1">IFERROR(IF(0=LEN(ReferenceData!$O$75),"",ReferenceData!$O$75),"")</f>
        <v>458955</v>
      </c>
      <c r="P75">
        <f ca="1">IFERROR(IF(0=LEN(ReferenceData!$P$75),"",ReferenceData!$P$75),"")</f>
        <v>455565</v>
      </c>
      <c r="Q75">
        <f ca="1">IFERROR(IF(0=LEN(ReferenceData!$Q$75),"",ReferenceData!$Q$75),"")</f>
        <v>497464</v>
      </c>
      <c r="R75">
        <f ca="1">IFERROR(IF(0=LEN(ReferenceData!$R$75),"",ReferenceData!$R$75),"")</f>
        <v>455754</v>
      </c>
      <c r="S75">
        <f ca="1">IFERROR(IF(0=LEN(ReferenceData!$S$75),"",ReferenceData!$S$75),"")</f>
        <v>455363</v>
      </c>
      <c r="T75">
        <f ca="1">IFERROR(IF(0=LEN(ReferenceData!$T$75),"",ReferenceData!$T$75),"")</f>
        <v>445611</v>
      </c>
      <c r="U75">
        <f ca="1">IFERROR(IF(0=LEN(ReferenceData!$U$75),"",ReferenceData!$U$75),"")</f>
        <v>464101</v>
      </c>
      <c r="V75">
        <f ca="1">IFERROR(IF(0=LEN(ReferenceData!$V$75),"",ReferenceData!$V$75),"")</f>
        <v>438171</v>
      </c>
      <c r="W75">
        <f ca="1">IFERROR(IF(0=LEN(ReferenceData!$W$75),"",ReferenceData!$W$75),"")</f>
        <v>442484</v>
      </c>
      <c r="X75">
        <f ca="1">IFERROR(IF(0=LEN(ReferenceData!$X$75),"",ReferenceData!$X$75),"")</f>
        <v>429288</v>
      </c>
      <c r="Y75">
        <f ca="1">IFERROR(IF(0=LEN(ReferenceData!$Y$75),"",ReferenceData!$Y$75),"")</f>
        <v>456509</v>
      </c>
      <c r="Z75">
        <f ca="1">IFERROR(IF(0=LEN(ReferenceData!$Z$75),"",ReferenceData!$Z$75),"")</f>
        <v>412846</v>
      </c>
      <c r="AA75">
        <f ca="1">IFERROR(IF(0=LEN(ReferenceData!$AA$75),"",ReferenceData!$AA$75),"")</f>
        <v>399252</v>
      </c>
      <c r="AB75">
        <f ca="1">IFERROR(IF(0=LEN(ReferenceData!$AB$75),"",ReferenceData!$AB$75),"")</f>
        <v>400281</v>
      </c>
      <c r="AC75">
        <f ca="1">IFERROR(IF(0=LEN(ReferenceData!$AC$75),"",ReferenceData!$AC$75),"")</f>
        <v>410973</v>
      </c>
      <c r="AD75">
        <f ca="1">IFERROR(IF(0=LEN(ReferenceData!$AD$75),"",ReferenceData!$AD$75),"")</f>
        <v>369494</v>
      </c>
      <c r="AE75">
        <f ca="1">IFERROR(IF(0=LEN(ReferenceData!$AE$75),"",ReferenceData!$AE$75),"")</f>
        <v>357583</v>
      </c>
      <c r="AF75">
        <f ca="1">IFERROR(IF(0=LEN(ReferenceData!$AF$75),"",ReferenceData!$AF$75),"")</f>
        <v>364303</v>
      </c>
      <c r="AG75">
        <f ca="1">IFERROR(IF(0=LEN(ReferenceData!$AG$75),"",ReferenceData!$AG$75),"")</f>
        <v>387100</v>
      </c>
      <c r="AH75">
        <f ca="1">IFERROR(IF(0=LEN(ReferenceData!$AH$75),"",ReferenceData!$AH$75),"")</f>
        <v>346137</v>
      </c>
      <c r="AI75">
        <f ca="1">IFERROR(IF(0=LEN(ReferenceData!$AI$75),"",ReferenceData!$AI$75),"")</f>
        <v>329505</v>
      </c>
      <c r="AJ75">
        <f ca="1">IFERROR(IF(0=LEN(ReferenceData!$AJ$75),"",ReferenceData!$AJ$75),"")</f>
        <v>320262</v>
      </c>
      <c r="AK75">
        <f ca="1">IFERROR(IF(0=LEN(ReferenceData!$AK$75),"",ReferenceData!$AK$75),"")</f>
        <v>340360</v>
      </c>
      <c r="AL75">
        <f ca="1">IFERROR(IF(0=LEN(ReferenceData!$AL$75),"",ReferenceData!$AL$75),"")</f>
        <v>312532</v>
      </c>
      <c r="AM75">
        <f ca="1">IFERROR(IF(0=LEN(ReferenceData!$AM$75),"",ReferenceData!$AM$75),"")</f>
        <v>263104</v>
      </c>
      <c r="AN75">
        <f ca="1">IFERROR(IF(0=LEN(ReferenceData!$AN$75),"",ReferenceData!$AN$75),"")</f>
        <v>274368</v>
      </c>
      <c r="AO75">
        <f ca="1">IFERROR(IF(0=LEN(ReferenceData!$AO$75),"",ReferenceData!$AO$75),"")</f>
        <v>290862</v>
      </c>
      <c r="AP75">
        <f ca="1">IFERROR(IF(0=LEN(ReferenceData!$AP$75),"",ReferenceData!$AP$75),"")</f>
        <v>264077</v>
      </c>
      <c r="AQ75">
        <f ca="1">IFERROR(IF(0=LEN(ReferenceData!$AQ$75),"",ReferenceData!$AQ$75),"")</f>
        <v>244373</v>
      </c>
      <c r="AR75">
        <f ca="1">IFERROR(IF(0=LEN(ReferenceData!$AR$75),"",ReferenceData!$AR$75),"")</f>
        <v>239378</v>
      </c>
      <c r="AS75">
        <f ca="1">IFERROR(IF(0=LEN(ReferenceData!$AS$75),"",ReferenceData!$AS$75),"")</f>
        <v>255951</v>
      </c>
      <c r="AT75">
        <f ca="1">IFERROR(IF(0=LEN(ReferenceData!$AT$75),"",ReferenceData!$AT$75),"")</f>
        <v>210027</v>
      </c>
      <c r="AU75">
        <f ca="1">IFERROR(IF(0=LEN(ReferenceData!$AU$75),"",ReferenceData!$AU$75),"")</f>
        <v>241180</v>
      </c>
      <c r="AV75">
        <f ca="1">IFERROR(IF(0=LEN(ReferenceData!$AV$75),"",ReferenceData!$AV$75),"")</f>
        <v>246078</v>
      </c>
      <c r="AW75">
        <f ca="1">IFERROR(IF(0=LEN(ReferenceData!$AW$75),"",ReferenceData!$AW$75),"")</f>
        <v>264943</v>
      </c>
      <c r="AX75">
        <f ca="1">IFERROR(IF(0=LEN(ReferenceData!$AX$75),"",ReferenceData!$AX$75),"")</f>
        <v>251268</v>
      </c>
      <c r="AY75">
        <f ca="1">IFERROR(IF(0=LEN(ReferenceData!$AY$75),"",ReferenceData!$AY$75),"")</f>
        <v>223834</v>
      </c>
      <c r="AZ75">
        <f ca="1">IFERROR(IF(0=LEN(ReferenceData!$AZ$75),"",ReferenceData!$AZ$75),"")</f>
        <v>232238</v>
      </c>
      <c r="BA75">
        <f ca="1">IFERROR(IF(0=LEN(ReferenceData!$BA$75),"",ReferenceData!$BA$75),"")</f>
        <v>260915</v>
      </c>
      <c r="BB75">
        <f ca="1">IFERROR(IF(0=LEN(ReferenceData!$BB$75),"",ReferenceData!$BB$75),"")</f>
        <v>248164</v>
      </c>
      <c r="BC75">
        <f ca="1">IFERROR(IF(0=LEN(ReferenceData!$BC$75),"",ReferenceData!$BC$75),"")</f>
        <v>220475</v>
      </c>
      <c r="BD75">
        <f ca="1">IFERROR(IF(0=LEN(ReferenceData!$BD$75),"",ReferenceData!$BD$75),"")</f>
        <v>221205</v>
      </c>
      <c r="BE75">
        <f ca="1">IFERROR(IF(0=LEN(ReferenceData!$BE$75),"",ReferenceData!$BE$75),"")</f>
        <v>236706</v>
      </c>
      <c r="BF75" t="str">
        <f ca="1">IFERROR(IF(0=LEN(ReferenceData!$BF$75),"",ReferenceData!$BF$75),"")</f>
        <v/>
      </c>
      <c r="BG75" t="str">
        <f ca="1">IFERROR(IF(0=LEN(ReferenceData!$BG$75),"",ReferenceData!$BG$75),"")</f>
        <v/>
      </c>
      <c r="BH75" t="str">
        <f ca="1">IFERROR(IF(0=LEN(ReferenceData!$BH$75),"",ReferenceData!$BH$75),"")</f>
        <v/>
      </c>
      <c r="BI75">
        <f ca="1">IFERROR(IF(0=LEN(ReferenceData!$BI$75),"",ReferenceData!$BI$75),"")</f>
        <v>343308</v>
      </c>
      <c r="BJ75">
        <f ca="1">IFERROR(IF(0=LEN(ReferenceData!$BJ$75),"",ReferenceData!$BJ$75),"")</f>
        <v>294788</v>
      </c>
      <c r="BK75" t="str">
        <f ca="1">IFERROR(IF(0=LEN(ReferenceData!$BK$75),"",ReferenceData!$BK$75),"")</f>
        <v/>
      </c>
      <c r="BL75" t="str">
        <f ca="1">IFERROR(IF(0=LEN(ReferenceData!$BL$75),"",ReferenceData!$BL$75),"")</f>
        <v/>
      </c>
      <c r="BM75" t="str">
        <f ca="1">IFERROR(IF(0=LEN(ReferenceData!$BM$75),"",ReferenceData!$BM$75),"")</f>
        <v/>
      </c>
    </row>
    <row r="76" spans="1:65" x14ac:dyDescent="0.25">
      <c r="A76" t="str">
        <f>IFERROR(IF(0=LEN(ReferenceData!$A$76),"",ReferenceData!$A$76),"")</f>
        <v xml:space="preserve">        Skoda</v>
      </c>
      <c r="B76" t="str">
        <f>IFERROR(IF(0=LEN(ReferenceData!$B$76),"",ReferenceData!$B$76),"")</f>
        <v>VOW GR Equity</v>
      </c>
      <c r="C76" t="str">
        <f>IFERROR(IF(0=LEN(ReferenceData!$C$76),"",ReferenceData!$C$76),"")</f>
        <v>BI047</v>
      </c>
      <c r="D76" t="str">
        <f>IFERROR(IF(0=LEN(ReferenceData!$D$76),"",ReferenceData!$D$76),"")</f>
        <v>BICS_SEGMENT_DATA</v>
      </c>
      <c r="E76" t="str">
        <f>IFERROR(IF(0=LEN(ReferenceData!$E$76),"",ReferenceData!$E$76),"")</f>
        <v>Dynamic</v>
      </c>
      <c r="F76" t="str">
        <f ca="1">IFERROR(IF(0=LEN(ReferenceData!$F$76),"",ReferenceData!$F$76),"")</f>
        <v/>
      </c>
      <c r="G76">
        <f ca="1">IFERROR(IF(0=LEN(ReferenceData!$G$76),"",ReferenceData!$G$76),"")</f>
        <v>314936</v>
      </c>
      <c r="H76">
        <f ca="1">IFERROR(IF(0=LEN(ReferenceData!$H$76),"",ReferenceData!$H$76),"")</f>
        <v>286329</v>
      </c>
      <c r="I76">
        <f ca="1">IFERROR(IF(0=LEN(ReferenceData!$I$76),"",ReferenceData!$I$76),"")</f>
        <v>336019</v>
      </c>
      <c r="J76">
        <f ca="1">IFERROR(IF(0=LEN(ReferenceData!$J$76),"",ReferenceData!$J$76),"")</f>
        <v>316716</v>
      </c>
      <c r="K76">
        <f ca="1">IFERROR(IF(0=LEN(ReferenceData!$K$76),"",ReferenceData!$K$76),"")</f>
        <v>329453</v>
      </c>
      <c r="L76">
        <f ca="1">IFERROR(IF(0=LEN(ReferenceData!$L$76),"",ReferenceData!$L$76),"")</f>
        <v>286069</v>
      </c>
      <c r="M76">
        <f ca="1">IFERROR(IF(0=LEN(ReferenceData!$M$76),"",ReferenceData!$M$76),"")</f>
        <v>301531</v>
      </c>
      <c r="N76">
        <f ca="1">IFERROR(IF(0=LEN(ReferenceData!$N$76),"",ReferenceData!$N$76),"")</f>
        <v>283482</v>
      </c>
      <c r="O76">
        <f ca="1">IFERROR(IF(0=LEN(ReferenceData!$O$76),"",ReferenceData!$O$76),"")</f>
        <v>285596</v>
      </c>
      <c r="P76">
        <f ca="1">IFERROR(IF(0=LEN(ReferenceData!$P$76),"",ReferenceData!$P$76),"")</f>
        <v>271528</v>
      </c>
      <c r="Q76">
        <f ca="1">IFERROR(IF(0=LEN(ReferenceData!$Q$76),"",ReferenceData!$Q$76),"")</f>
        <v>292728</v>
      </c>
      <c r="R76">
        <f ca="1">IFERROR(IF(0=LEN(ReferenceData!$R$76),"",ReferenceData!$R$76),"")</f>
        <v>276625</v>
      </c>
      <c r="S76">
        <f ca="1">IFERROR(IF(0=LEN(ReferenceData!$S$76),"",ReferenceData!$S$76),"")</f>
        <v>264043</v>
      </c>
      <c r="T76">
        <f ca="1">IFERROR(IF(0=LEN(ReferenceData!$T$76),"",ReferenceData!$T$76),"")</f>
        <v>247158</v>
      </c>
      <c r="U76">
        <f ca="1">IFERROR(IF(0=LEN(ReferenceData!$U$76),"",ReferenceData!$U$76),"")</f>
        <v>279203</v>
      </c>
      <c r="V76">
        <f ca="1">IFERROR(IF(0=LEN(ReferenceData!$V$76),"",ReferenceData!$V$76),"")</f>
        <v>265097</v>
      </c>
      <c r="W76">
        <f ca="1">IFERROR(IF(0=LEN(ReferenceData!$W$76),"",ReferenceData!$W$76),"")</f>
        <v>263164</v>
      </c>
      <c r="X76">
        <f ca="1">IFERROR(IF(0=LEN(ReferenceData!$X$76),"",ReferenceData!$X$76),"")</f>
        <v>251563</v>
      </c>
      <c r="Y76">
        <f ca="1">IFERROR(IF(0=LEN(ReferenceData!$Y$76),"",ReferenceData!$Y$76),"")</f>
        <v>275315</v>
      </c>
      <c r="Z76">
        <f ca="1">IFERROR(IF(0=LEN(ReferenceData!$Z$76),"",ReferenceData!$Z$76),"")</f>
        <v>247184</v>
      </c>
      <c r="AA76">
        <f ca="1">IFERROR(IF(0=LEN(ReferenceData!$AA$76),"",ReferenceData!$AA$76),"")</f>
        <v>235854</v>
      </c>
      <c r="AB76">
        <f ca="1">IFERROR(IF(0=LEN(ReferenceData!$AB$76),"",ReferenceData!$AB$76),"")</f>
        <v>220351</v>
      </c>
      <c r="AC76">
        <f ca="1">IFERROR(IF(0=LEN(ReferenceData!$AC$76),"",ReferenceData!$AC$76),"")</f>
        <v>244162</v>
      </c>
      <c r="AD76">
        <f ca="1">IFERROR(IF(0=LEN(ReferenceData!$AD$76),"",ReferenceData!$AD$76),"")</f>
        <v>220433</v>
      </c>
      <c r="AE76">
        <f ca="1">IFERROR(IF(0=LEN(ReferenceData!$AE$76),"",ReferenceData!$AE$76),"")</f>
        <v>222011</v>
      </c>
      <c r="AF76">
        <f ca="1">IFERROR(IF(0=LEN(ReferenceData!$AF$76),"",ReferenceData!$AF$76),"")</f>
        <v>224222</v>
      </c>
      <c r="AG76">
        <f ca="1">IFERROR(IF(0=LEN(ReferenceData!$AG$76),"",ReferenceData!$AG$76),"")</f>
        <v>250237</v>
      </c>
      <c r="AH76">
        <f ca="1">IFERROR(IF(0=LEN(ReferenceData!$AH$76),"",ReferenceData!$AH$76),"")</f>
        <v>242732</v>
      </c>
      <c r="AI76">
        <f ca="1">IFERROR(IF(0=LEN(ReferenceData!$AI$76),"",ReferenceData!$AI$76),"")</f>
        <v>214411</v>
      </c>
      <c r="AJ76">
        <f ca="1">IFERROR(IF(0=LEN(ReferenceData!$AJ$76),"",ReferenceData!$AJ$76),"")</f>
        <v>210075</v>
      </c>
      <c r="AK76">
        <f ca="1">IFERROR(IF(0=LEN(ReferenceData!$AK$76),"",ReferenceData!$AK$76),"")</f>
        <v>237574</v>
      </c>
      <c r="AL76">
        <f ca="1">IFERROR(IF(0=LEN(ReferenceData!$AL$76),"",ReferenceData!$AL$76),"")</f>
        <v>217124</v>
      </c>
      <c r="AM76">
        <f ca="1">IFERROR(IF(0=LEN(ReferenceData!$AM$76),"",ReferenceData!$AM$76),"")</f>
        <v>193610</v>
      </c>
      <c r="AN76">
        <f ca="1">IFERROR(IF(0=LEN(ReferenceData!$AN$76),"",ReferenceData!$AN$76),"")</f>
        <v>190243</v>
      </c>
      <c r="AO76">
        <f ca="1">IFERROR(IF(0=LEN(ReferenceData!$AO$76),"",ReferenceData!$AO$76),"")</f>
        <v>199846</v>
      </c>
      <c r="AP76">
        <f ca="1">IFERROR(IF(0=LEN(ReferenceData!$AP$76),"",ReferenceData!$AP$76),"")</f>
        <v>178901</v>
      </c>
      <c r="AQ76">
        <f ca="1">IFERROR(IF(0=LEN(ReferenceData!$AQ$76),"",ReferenceData!$AQ$76),"")</f>
        <v>179601</v>
      </c>
      <c r="AR76">
        <f ca="1">IFERROR(IF(0=LEN(ReferenceData!$AR$76),"",ReferenceData!$AR$76),"")</f>
        <v>174984</v>
      </c>
      <c r="AS76">
        <f ca="1">IFERROR(IF(0=LEN(ReferenceData!$AS$76),"",ReferenceData!$AS$76),"")</f>
        <v>186562</v>
      </c>
      <c r="AT76">
        <f ca="1">IFERROR(IF(0=LEN(ReferenceData!$AT$76),"",ReferenceData!$AT$76),"")</f>
        <v>143079</v>
      </c>
      <c r="AU76">
        <f ca="1">IFERROR(IF(0=LEN(ReferenceData!$AU$76),"",ReferenceData!$AU$76),"")</f>
        <v>143606</v>
      </c>
      <c r="AV76">
        <f ca="1">IFERROR(IF(0=LEN(ReferenceData!$AV$76),"",ReferenceData!$AV$76),"")</f>
        <v>164258</v>
      </c>
      <c r="AW76">
        <f ca="1">IFERROR(IF(0=LEN(ReferenceData!$AW$76),"",ReferenceData!$AW$76),"")</f>
        <v>193192</v>
      </c>
      <c r="AX76">
        <f ca="1">IFERROR(IF(0=LEN(ReferenceData!$AX$76),"",ReferenceData!$AX$76),"")</f>
        <v>173474</v>
      </c>
      <c r="AY76">
        <f ca="1">IFERROR(IF(0=LEN(ReferenceData!$AY$76),"",ReferenceData!$AY$76),"")</f>
        <v>167603</v>
      </c>
      <c r="AZ76">
        <f ca="1">IFERROR(IF(0=LEN(ReferenceData!$AZ$76),"",ReferenceData!$AZ$76),"")</f>
        <v>151367</v>
      </c>
      <c r="BA76">
        <f ca="1">IFERROR(IF(0=LEN(ReferenceData!$BA$76),"",ReferenceData!$BA$76),"")</f>
        <v>161136</v>
      </c>
      <c r="BB76">
        <f ca="1">IFERROR(IF(0=LEN(ReferenceData!$BB$76),"",ReferenceData!$BB$76),"")</f>
        <v>149926</v>
      </c>
      <c r="BC76">
        <f ca="1">IFERROR(IF(0=LEN(ReferenceData!$BC$76),"",ReferenceData!$BC$76),"")</f>
        <v>138948</v>
      </c>
      <c r="BD76">
        <f ca="1">IFERROR(IF(0=LEN(ReferenceData!$BD$76),"",ReferenceData!$BD$76),"")</f>
        <v>135815</v>
      </c>
      <c r="BE76">
        <f ca="1">IFERROR(IF(0=LEN(ReferenceData!$BE$76),"",ReferenceData!$BE$76),"")</f>
        <v>145126</v>
      </c>
      <c r="BF76" t="str">
        <f ca="1">IFERROR(IF(0=LEN(ReferenceData!$BF$76),"",ReferenceData!$BF$76),"")</f>
        <v/>
      </c>
      <c r="BG76" t="str">
        <f ca="1">IFERROR(IF(0=LEN(ReferenceData!$BG$76),"",ReferenceData!$BG$76),"")</f>
        <v/>
      </c>
      <c r="BH76" t="str">
        <f ca="1">IFERROR(IF(0=LEN(ReferenceData!$BH$76),"",ReferenceData!$BH$76),"")</f>
        <v/>
      </c>
      <c r="BI76" t="str">
        <f ca="1">IFERROR(IF(0=LEN(ReferenceData!$BI$76),"",ReferenceData!$BI$76),"")</f>
        <v/>
      </c>
      <c r="BJ76" t="str">
        <f ca="1">IFERROR(IF(0=LEN(ReferenceData!$BJ$76),"",ReferenceData!$BJ$76),"")</f>
        <v/>
      </c>
      <c r="BK76" t="str">
        <f ca="1">IFERROR(IF(0=LEN(ReferenceData!$BK$76),"",ReferenceData!$BK$76),"")</f>
        <v/>
      </c>
      <c r="BL76" t="str">
        <f ca="1">IFERROR(IF(0=LEN(ReferenceData!$BL$76),"",ReferenceData!$BL$76),"")</f>
        <v/>
      </c>
      <c r="BM76" t="str">
        <f ca="1">IFERROR(IF(0=LEN(ReferenceData!$BM$76),"",ReferenceData!$BM$76),"")</f>
        <v/>
      </c>
    </row>
    <row r="77" spans="1:65" x14ac:dyDescent="0.25">
      <c r="A77" t="str">
        <f>IFERROR(IF(0=LEN(ReferenceData!$A$77),"",ReferenceData!$A$77),"")</f>
        <v xml:space="preserve">        VW Commercial Vehicles (Light)</v>
      </c>
      <c r="B77" t="str">
        <f>IFERROR(IF(0=LEN(ReferenceData!$B$77),"",ReferenceData!$B$77),"")</f>
        <v>VOW GR Equity</v>
      </c>
      <c r="C77" t="str">
        <f>IFERROR(IF(0=LEN(ReferenceData!$C$77),"",ReferenceData!$C$77),"")</f>
        <v>BI047</v>
      </c>
      <c r="D77" t="str">
        <f>IFERROR(IF(0=LEN(ReferenceData!$D$77),"",ReferenceData!$D$77),"")</f>
        <v>BICS_SEGMENT_DATA</v>
      </c>
      <c r="E77" t="str">
        <f>IFERROR(IF(0=LEN(ReferenceData!$E$77),"",ReferenceData!$E$77),"")</f>
        <v>Dynamic</v>
      </c>
      <c r="F77" t="str">
        <f ca="1">IFERROR(IF(0=LEN(ReferenceData!$F$77),"",ReferenceData!$F$77),"")</f>
        <v/>
      </c>
      <c r="G77">
        <f ca="1">IFERROR(IF(0=LEN(ReferenceData!$G$77),"",ReferenceData!$G$77),"")</f>
        <v>128558</v>
      </c>
      <c r="H77">
        <f ca="1">IFERROR(IF(0=LEN(ReferenceData!$H$77),"",ReferenceData!$H$77),"")</f>
        <v>112642</v>
      </c>
      <c r="I77">
        <f ca="1">IFERROR(IF(0=LEN(ReferenceData!$I$77),"",ReferenceData!$I$77),"")</f>
        <v>144094</v>
      </c>
      <c r="J77">
        <f ca="1">IFERROR(IF(0=LEN(ReferenceData!$J$77),"",ReferenceData!$J$77),"")</f>
        <v>114706</v>
      </c>
      <c r="K77">
        <f ca="1">IFERROR(IF(0=LEN(ReferenceData!$K$77),"",ReferenceData!$K$77),"")</f>
        <v>129966</v>
      </c>
      <c r="L77">
        <f ca="1">IFERROR(IF(0=LEN(ReferenceData!$L$77),"",ReferenceData!$L$77),"")</f>
        <v>117933</v>
      </c>
      <c r="M77">
        <f ca="1">IFERROR(IF(0=LEN(ReferenceData!$M$77),"",ReferenceData!$M$77),"")</f>
        <v>128105</v>
      </c>
      <c r="N77">
        <f ca="1">IFERROR(IF(0=LEN(ReferenceData!$N$77),"",ReferenceData!$N$77),"")</f>
        <v>121846</v>
      </c>
      <c r="O77">
        <f ca="1">IFERROR(IF(0=LEN(ReferenceData!$O$77),"",ReferenceData!$O$77),"")</f>
        <v>127141</v>
      </c>
      <c r="P77">
        <f ca="1">IFERROR(IF(0=LEN(ReferenceData!$P$77),"",ReferenceData!$P$77),"")</f>
        <v>111967</v>
      </c>
      <c r="Q77">
        <f ca="1">IFERROR(IF(0=LEN(ReferenceData!$Q$77),"",ReferenceData!$Q$77),"")</f>
        <v>125688</v>
      </c>
      <c r="R77">
        <f ca="1">IFERROR(IF(0=LEN(ReferenceData!$R$77),"",ReferenceData!$R$77),"")</f>
        <v>113136</v>
      </c>
      <c r="S77">
        <f ca="1">IFERROR(IF(0=LEN(ReferenceData!$S$77),"",ReferenceData!$S$77),"")</f>
        <v>109353</v>
      </c>
      <c r="T77">
        <f ca="1">IFERROR(IF(0=LEN(ReferenceData!$T$77),"",ReferenceData!$T$77),"")</f>
        <v>98287</v>
      </c>
      <c r="U77">
        <f ca="1">IFERROR(IF(0=LEN(ReferenceData!$U$77),"",ReferenceData!$U$77),"")</f>
        <v>114678</v>
      </c>
      <c r="V77">
        <f ca="1">IFERROR(IF(0=LEN(ReferenceData!$V$77),"",ReferenceData!$V$77),"")</f>
        <v>108483</v>
      </c>
      <c r="W77">
        <f ca="1">IFERROR(IF(0=LEN(ReferenceData!$W$77),"",ReferenceData!$W$77),"")</f>
        <v>138261</v>
      </c>
      <c r="X77">
        <f ca="1">IFERROR(IF(0=LEN(ReferenceData!$X$77),"",ReferenceData!$X$77),"")</f>
        <v>107333</v>
      </c>
      <c r="Y77">
        <f ca="1">IFERROR(IF(0=LEN(ReferenceData!$Y$77),"",ReferenceData!$Y$77),"")</f>
        <v>100133</v>
      </c>
      <c r="Z77">
        <f ca="1">IFERROR(IF(0=LEN(ReferenceData!$Z$77),"",ReferenceData!$Z$77),"")</f>
        <v>120867</v>
      </c>
      <c r="AA77">
        <f ca="1">IFERROR(IF(0=LEN(ReferenceData!$AA$77),"",ReferenceData!$AA$77),"")</f>
        <v>145305</v>
      </c>
      <c r="AB77">
        <f ca="1">IFERROR(IF(0=LEN(ReferenceData!$AB$77),"",ReferenceData!$AB$77),"")</f>
        <v>135901</v>
      </c>
      <c r="AC77">
        <f ca="1">IFERROR(IF(0=LEN(ReferenceData!$AC$77),"",ReferenceData!$AC$77),"")</f>
        <v>146540</v>
      </c>
      <c r="AD77">
        <f ca="1">IFERROR(IF(0=LEN(ReferenceData!$AD$77),"",ReferenceData!$AD$77),"")</f>
        <v>123746</v>
      </c>
      <c r="AE77">
        <f ca="1">IFERROR(IF(0=LEN(ReferenceData!$AE$77),"",ReferenceData!$AE$77),"")</f>
        <v>141071</v>
      </c>
      <c r="AF77">
        <f ca="1">IFERROR(IF(0=LEN(ReferenceData!$AF$77),"",ReferenceData!$AF$77),"")</f>
        <v>139267</v>
      </c>
      <c r="AG77">
        <f ca="1">IFERROR(IF(0=LEN(ReferenceData!$AG$77),"",ReferenceData!$AG$77),"")</f>
        <v>139301</v>
      </c>
      <c r="AH77">
        <f ca="1">IFERROR(IF(0=LEN(ReferenceData!$AH$77),"",ReferenceData!$AH$77),"")</f>
        <v>130731</v>
      </c>
      <c r="AI77">
        <f ca="1">IFERROR(IF(0=LEN(ReferenceData!$AI$77),"",ReferenceData!$AI$77),"")</f>
        <v>138815</v>
      </c>
      <c r="AJ77">
        <f ca="1">IFERROR(IF(0=LEN(ReferenceData!$AJ$77),"",ReferenceData!$AJ$77),"")</f>
        <v>129766</v>
      </c>
      <c r="AK77">
        <f ca="1">IFERROR(IF(0=LEN(ReferenceData!$AK$77),"",ReferenceData!$AK$77),"")</f>
        <v>139122</v>
      </c>
      <c r="AL77">
        <f ca="1">IFERROR(IF(0=LEN(ReferenceData!$AL$77),"",ReferenceData!$AL$77),"")</f>
        <v>121175</v>
      </c>
      <c r="AM77">
        <f ca="1">IFERROR(IF(0=LEN(ReferenceData!$AM$77),"",ReferenceData!$AM$77),"")</f>
        <v>124914</v>
      </c>
      <c r="AN77">
        <f ca="1">IFERROR(IF(0=LEN(ReferenceData!$AN$77),"",ReferenceData!$AN$77),"")</f>
        <v>108382</v>
      </c>
      <c r="AO77">
        <f ca="1">IFERROR(IF(0=LEN(ReferenceData!$AO$77),"",ReferenceData!$AO$77),"")</f>
        <v>113350</v>
      </c>
      <c r="AP77">
        <f ca="1">IFERROR(IF(0=LEN(ReferenceData!$AP$77),"",ReferenceData!$AP$77),"")</f>
        <v>88938</v>
      </c>
      <c r="AQ77">
        <f ca="1">IFERROR(IF(0=LEN(ReferenceData!$AQ$77),"",ReferenceData!$AQ$77),"")</f>
        <v>93376</v>
      </c>
      <c r="AR77">
        <f ca="1">IFERROR(IF(0=LEN(ReferenceData!$AR$77),"",ReferenceData!$AR$77),"")</f>
        <v>82063</v>
      </c>
      <c r="AS77">
        <f ca="1">IFERROR(IF(0=LEN(ReferenceData!$AS$77),"",ReferenceData!$AS$77),"")</f>
        <v>94160</v>
      </c>
      <c r="AT77">
        <f ca="1">IFERROR(IF(0=LEN(ReferenceData!$AT$77),"",ReferenceData!$AT$77),"")</f>
        <v>85106</v>
      </c>
      <c r="AU77">
        <f ca="1">IFERROR(IF(0=LEN(ReferenceData!$AU$77),"",ReferenceData!$AU$77),"")</f>
        <v>116286</v>
      </c>
      <c r="AV77">
        <f ca="1">IFERROR(IF(0=LEN(ReferenceData!$AV$77),"",ReferenceData!$AV$77),"")</f>
        <v>123137</v>
      </c>
      <c r="AW77">
        <f ca="1">IFERROR(IF(0=LEN(ReferenceData!$AW$77),"",ReferenceData!$AW$77),"")</f>
        <v>140223</v>
      </c>
      <c r="AX77">
        <f ca="1">IFERROR(IF(0=LEN(ReferenceData!$AX$77),"",ReferenceData!$AX$77),"")</f>
        <v>123379</v>
      </c>
      <c r="AY77">
        <f ca="1">IFERROR(IF(0=LEN(ReferenceData!$AY$77),"",ReferenceData!$AY$77),"")</f>
        <v>132479</v>
      </c>
      <c r="AZ77">
        <f ca="1">IFERROR(IF(0=LEN(ReferenceData!$AZ$77),"",ReferenceData!$AZ$77),"")</f>
        <v>122765</v>
      </c>
      <c r="BA77">
        <f ca="1">IFERROR(IF(0=LEN(ReferenceData!$BA$77),"",ReferenceData!$BA$77),"")</f>
        <v>123309</v>
      </c>
      <c r="BB77">
        <f ca="1">IFERROR(IF(0=LEN(ReferenceData!$BB$77),"",ReferenceData!$BB$77),"")</f>
        <v>110103</v>
      </c>
      <c r="BC77">
        <f ca="1">IFERROR(IF(0=LEN(ReferenceData!$BC$77),"",ReferenceData!$BC$77),"")</f>
        <v>121807</v>
      </c>
      <c r="BD77">
        <f ca="1">IFERROR(IF(0=LEN(ReferenceData!$BD$77),"",ReferenceData!$BD$77),"")</f>
        <v>104553</v>
      </c>
      <c r="BE77">
        <f ca="1">IFERROR(IF(0=LEN(ReferenceData!$BE$77),"",ReferenceData!$BE$77),"")</f>
        <v>115562</v>
      </c>
      <c r="BF77" t="str">
        <f ca="1">IFERROR(IF(0=LEN(ReferenceData!$BF$77),"",ReferenceData!$BF$77),"")</f>
        <v/>
      </c>
      <c r="BG77" t="str">
        <f ca="1">IFERROR(IF(0=LEN(ReferenceData!$BG$77),"",ReferenceData!$BG$77),"")</f>
        <v/>
      </c>
      <c r="BH77" t="str">
        <f ca="1">IFERROR(IF(0=LEN(ReferenceData!$BH$77),"",ReferenceData!$BH$77),"")</f>
        <v/>
      </c>
      <c r="BI77">
        <f ca="1">IFERROR(IF(0=LEN(ReferenceData!$BI$77),"",ReferenceData!$BI$77),"")</f>
        <v>106370</v>
      </c>
      <c r="BJ77">
        <f ca="1">IFERROR(IF(0=LEN(ReferenceData!$BJ$77),"",ReferenceData!$BJ$77),"")</f>
        <v>89277</v>
      </c>
      <c r="BK77" t="str">
        <f ca="1">IFERROR(IF(0=LEN(ReferenceData!$BK$77),"",ReferenceData!$BK$77),"")</f>
        <v/>
      </c>
      <c r="BL77" t="str">
        <f ca="1">IFERROR(IF(0=LEN(ReferenceData!$BL$77),"",ReferenceData!$BL$77),"")</f>
        <v/>
      </c>
      <c r="BM77" t="str">
        <f ca="1">IFERROR(IF(0=LEN(ReferenceData!$BM$77),"",ReferenceData!$BM$77),"")</f>
        <v/>
      </c>
    </row>
    <row r="78" spans="1:65" x14ac:dyDescent="0.25">
      <c r="A78" t="str">
        <f>IFERROR(IF(0=LEN(ReferenceData!$A$78),"",ReferenceData!$A$78),"")</f>
        <v xml:space="preserve">        SEAT</v>
      </c>
      <c r="B78" t="str">
        <f>IFERROR(IF(0=LEN(ReferenceData!$B$78),"",ReferenceData!$B$78),"")</f>
        <v>VOW GR Equity</v>
      </c>
      <c r="C78" t="str">
        <f>IFERROR(IF(0=LEN(ReferenceData!$C$78),"",ReferenceData!$C$78),"")</f>
        <v>BI047</v>
      </c>
      <c r="D78" t="str">
        <f>IFERROR(IF(0=LEN(ReferenceData!$D$78),"",ReferenceData!$D$78),"")</f>
        <v>BICS_SEGMENT_DATA</v>
      </c>
      <c r="E78" t="str">
        <f>IFERROR(IF(0=LEN(ReferenceData!$E$78),"",ReferenceData!$E$78),"")</f>
        <v>Dynamic</v>
      </c>
      <c r="F78" t="str">
        <f ca="1">IFERROR(IF(0=LEN(ReferenceData!$F$78),"",ReferenceData!$F$78),"")</f>
        <v/>
      </c>
      <c r="G78">
        <f ca="1">IFERROR(IF(0=LEN(ReferenceData!$G$78),"",ReferenceData!$G$78),"")</f>
        <v>102423</v>
      </c>
      <c r="H78">
        <f ca="1">IFERROR(IF(0=LEN(ReferenceData!$H$78),"",ReferenceData!$H$78),"")</f>
        <v>125629</v>
      </c>
      <c r="I78">
        <f ca="1">IFERROR(IF(0=LEN(ReferenceData!$I$78),"",ReferenceData!$I$78),"")</f>
        <v>150714</v>
      </c>
      <c r="J78">
        <f ca="1">IFERROR(IF(0=LEN(ReferenceData!$J$78),"",ReferenceData!$J$78),"")</f>
        <v>139234</v>
      </c>
      <c r="K78">
        <f ca="1">IFERROR(IF(0=LEN(ReferenceData!$K$78),"",ReferenceData!$K$78),"")</f>
        <v>113535</v>
      </c>
      <c r="L78">
        <f ca="1">IFERROR(IF(0=LEN(ReferenceData!$L$78),"",ReferenceData!$L$78),"")</f>
        <v>108401</v>
      </c>
      <c r="M78">
        <f ca="1">IFERROR(IF(0=LEN(ReferenceData!$M$78),"",ReferenceData!$M$78),"")</f>
        <v>129221</v>
      </c>
      <c r="N78">
        <f ca="1">IFERROR(IF(0=LEN(ReferenceData!$N$78),"",ReferenceData!$N$78),"")</f>
        <v>117272</v>
      </c>
      <c r="O78">
        <f ca="1">IFERROR(IF(0=LEN(ReferenceData!$O$78),"",ReferenceData!$O$78),"")</f>
        <v>95815</v>
      </c>
      <c r="P78">
        <f ca="1">IFERROR(IF(0=LEN(ReferenceData!$P$78),"",ReferenceData!$P$78),"")</f>
        <v>96045</v>
      </c>
      <c r="Q78">
        <f ca="1">IFERROR(IF(0=LEN(ReferenceData!$Q$78),"",ReferenceData!$Q$78),"")</f>
        <v>113929</v>
      </c>
      <c r="R78">
        <f ca="1">IFERROR(IF(0=LEN(ReferenceData!$R$78),"",ReferenceData!$R$78),"")</f>
        <v>102914</v>
      </c>
      <c r="S78">
        <f ca="1">IFERROR(IF(0=LEN(ReferenceData!$S$78),"",ReferenceData!$S$78),"")</f>
        <v>91658</v>
      </c>
      <c r="T78">
        <f ca="1">IFERROR(IF(0=LEN(ReferenceData!$T$78),"",ReferenceData!$T$78),"")</f>
        <v>91919</v>
      </c>
      <c r="U78">
        <f ca="1">IFERROR(IF(0=LEN(ReferenceData!$U$78),"",ReferenceData!$U$78),"")</f>
        <v>113720</v>
      </c>
      <c r="V78">
        <f ca="1">IFERROR(IF(0=LEN(ReferenceData!$V$78),"",ReferenceData!$V$78),"")</f>
        <v>102740</v>
      </c>
      <c r="W78">
        <f ca="1">IFERROR(IF(0=LEN(ReferenceData!$W$78),"",ReferenceData!$W$78),"")</f>
        <v>96522</v>
      </c>
      <c r="X78">
        <f ca="1">IFERROR(IF(0=LEN(ReferenceData!$X$78),"",ReferenceData!$X$78),"")</f>
        <v>93861</v>
      </c>
      <c r="Y78">
        <f ca="1">IFERROR(IF(0=LEN(ReferenceData!$Y$78),"",ReferenceData!$Y$78),"")</f>
        <v>106752</v>
      </c>
      <c r="Z78">
        <f ca="1">IFERROR(IF(0=LEN(ReferenceData!$Z$78),"",ReferenceData!$Z$78),"")</f>
        <v>93401</v>
      </c>
      <c r="AA78">
        <f ca="1">IFERROR(IF(0=LEN(ReferenceData!$AA$78),"",ReferenceData!$AA$78),"")</f>
        <v>88942</v>
      </c>
      <c r="AB78">
        <f ca="1">IFERROR(IF(0=LEN(ReferenceData!$AB$78),"",ReferenceData!$AB$78),"")</f>
        <v>83922</v>
      </c>
      <c r="AC78">
        <f ca="1">IFERROR(IF(0=LEN(ReferenceData!$AC$78),"",ReferenceData!$AC$78),"")</f>
        <v>95050</v>
      </c>
      <c r="AD78">
        <f ca="1">IFERROR(IF(0=LEN(ReferenceData!$AD$78),"",ReferenceData!$AD$78),"")</f>
        <v>87077</v>
      </c>
      <c r="AE78">
        <f ca="1">IFERROR(IF(0=LEN(ReferenceData!$AE$78),"",ReferenceData!$AE$78),"")</f>
        <v>82825</v>
      </c>
      <c r="AF78">
        <f ca="1">IFERROR(IF(0=LEN(ReferenceData!$AF$78),"",ReferenceData!$AF$78),"")</f>
        <v>74852</v>
      </c>
      <c r="AG78">
        <f ca="1">IFERROR(IF(0=LEN(ReferenceData!$AG$78),"",ReferenceData!$AG$78),"")</f>
        <v>83206</v>
      </c>
      <c r="AH78">
        <f ca="1">IFERROR(IF(0=LEN(ReferenceData!$AH$78),"",ReferenceData!$AH$78),"")</f>
        <v>80119</v>
      </c>
      <c r="AI78">
        <f ca="1">IFERROR(IF(0=LEN(ReferenceData!$AI$78),"",ReferenceData!$AI$78),"")</f>
        <v>83251</v>
      </c>
      <c r="AJ78">
        <f ca="1">IFERROR(IF(0=LEN(ReferenceData!$AJ$78),"",ReferenceData!$AJ$78),"")</f>
        <v>80342</v>
      </c>
      <c r="AK78">
        <f ca="1">IFERROR(IF(0=LEN(ReferenceData!$AK$78),"",ReferenceData!$AK$78),"")</f>
        <v>95764</v>
      </c>
      <c r="AL78">
        <f ca="1">IFERROR(IF(0=LEN(ReferenceData!$AL$78),"",ReferenceData!$AL$78),"")</f>
        <v>90652</v>
      </c>
      <c r="AM78">
        <f ca="1">IFERROR(IF(0=LEN(ReferenceData!$AM$78),"",ReferenceData!$AM$78),"")</f>
        <v>80447</v>
      </c>
      <c r="AN78">
        <f ca="1">IFERROR(IF(0=LEN(ReferenceData!$AN$78),"",ReferenceData!$AN$78),"")</f>
        <v>77222</v>
      </c>
      <c r="AO78">
        <f ca="1">IFERROR(IF(0=LEN(ReferenceData!$AO$78),"",ReferenceData!$AO$78),"")</f>
        <v>93496</v>
      </c>
      <c r="AP78">
        <f ca="1">IFERROR(IF(0=LEN(ReferenceData!$AP$78),"",ReferenceData!$AP$78),"")</f>
        <v>88336</v>
      </c>
      <c r="AQ78">
        <f ca="1">IFERROR(IF(0=LEN(ReferenceData!$AQ$78),"",ReferenceData!$AQ$78),"")</f>
        <v>81242</v>
      </c>
      <c r="AR78">
        <f ca="1">IFERROR(IF(0=LEN(ReferenceData!$AR$78),"",ReferenceData!$AR$78),"")</f>
        <v>82063</v>
      </c>
      <c r="AS78">
        <f ca="1">IFERROR(IF(0=LEN(ReferenceData!$AS$78),"",ReferenceData!$AS$78),"")</f>
        <v>96685</v>
      </c>
      <c r="AT78">
        <f ca="1">IFERROR(IF(0=LEN(ReferenceData!$AT$78),"",ReferenceData!$AT$78),"")</f>
        <v>76693</v>
      </c>
      <c r="AU78">
        <f ca="1">IFERROR(IF(0=LEN(ReferenceData!$AU$78),"",ReferenceData!$AU$78),"")</f>
        <v>80412</v>
      </c>
      <c r="AV78">
        <f ca="1">IFERROR(IF(0=LEN(ReferenceData!$AV$78),"",ReferenceData!$AV$78),"")</f>
        <v>81549</v>
      </c>
      <c r="AW78">
        <f ca="1">IFERROR(IF(0=LEN(ReferenceData!$AW$78),"",ReferenceData!$AW$78),"")</f>
        <v>105524</v>
      </c>
      <c r="AX78">
        <f ca="1">IFERROR(IF(0=LEN(ReferenceData!$AX$78),"",ReferenceData!$AX$78),"")</f>
        <v>100619</v>
      </c>
      <c r="AY78">
        <f ca="1">IFERROR(IF(0=LEN(ReferenceData!$AY$78),"",ReferenceData!$AY$78),"")</f>
        <v>111499</v>
      </c>
      <c r="AZ78">
        <f ca="1">IFERROR(IF(0=LEN(ReferenceData!$AZ$78),"",ReferenceData!$AZ$78),"")</f>
        <v>97421</v>
      </c>
      <c r="BA78">
        <f ca="1">IFERROR(IF(0=LEN(ReferenceData!$BA$78),"",ReferenceData!$BA$78),"")</f>
        <v>113944</v>
      </c>
      <c r="BB78">
        <f ca="1">IFERROR(IF(0=LEN(ReferenceData!$BB$78),"",ReferenceData!$BB$78),"")</f>
        <v>108160</v>
      </c>
      <c r="BC78">
        <f ca="1">IFERROR(IF(0=LEN(ReferenceData!$BC$78),"",ReferenceData!$BC$78),"")</f>
        <v>105776</v>
      </c>
      <c r="BD78">
        <f ca="1">IFERROR(IF(0=LEN(ReferenceData!$BD$78),"",ReferenceData!$BD$78),"")</f>
        <v>97467</v>
      </c>
      <c r="BE78">
        <f ca="1">IFERROR(IF(0=LEN(ReferenceData!$BE$78),"",ReferenceData!$BE$78),"")</f>
        <v>118996</v>
      </c>
      <c r="BF78" t="str">
        <f ca="1">IFERROR(IF(0=LEN(ReferenceData!$BF$78),"",ReferenceData!$BF$78),"")</f>
        <v/>
      </c>
      <c r="BG78" t="str">
        <f ca="1">IFERROR(IF(0=LEN(ReferenceData!$BG$78),"",ReferenceData!$BG$78),"")</f>
        <v/>
      </c>
      <c r="BH78" t="str">
        <f ca="1">IFERROR(IF(0=LEN(ReferenceData!$BH$78),"",ReferenceData!$BH$78),"")</f>
        <v/>
      </c>
      <c r="BI78" t="str">
        <f ca="1">IFERROR(IF(0=LEN(ReferenceData!$BI$78),"",ReferenceData!$BI$78),"")</f>
        <v/>
      </c>
      <c r="BJ78" t="str">
        <f ca="1">IFERROR(IF(0=LEN(ReferenceData!$BJ$78),"",ReferenceData!$BJ$78),"")</f>
        <v/>
      </c>
      <c r="BK78" t="str">
        <f ca="1">IFERROR(IF(0=LEN(ReferenceData!$BK$78),"",ReferenceData!$BK$78),"")</f>
        <v/>
      </c>
      <c r="BL78" t="str">
        <f ca="1">IFERROR(IF(0=LEN(ReferenceData!$BL$78),"",ReferenceData!$BL$78),"")</f>
        <v/>
      </c>
      <c r="BM78" t="str">
        <f ca="1">IFERROR(IF(0=LEN(ReferenceData!$BM$78),"",ReferenceData!$BM$78),"")</f>
        <v/>
      </c>
    </row>
    <row r="79" spans="1:65" x14ac:dyDescent="0.25">
      <c r="A79" t="str">
        <f>IFERROR(IF(0=LEN(ReferenceData!$A$79),"",ReferenceData!$A$79),"")</f>
        <v xml:space="preserve">        MAN</v>
      </c>
      <c r="B79" t="str">
        <f>IFERROR(IF(0=LEN(ReferenceData!$B$79),"",ReferenceData!$B$79),"")</f>
        <v>VOW GR Equity</v>
      </c>
      <c r="C79" t="str">
        <f>IFERROR(IF(0=LEN(ReferenceData!$C$79),"",ReferenceData!$C$79),"")</f>
        <v>BI047</v>
      </c>
      <c r="D79" t="str">
        <f>IFERROR(IF(0=LEN(ReferenceData!$D$79),"",ReferenceData!$D$79),"")</f>
        <v>BICS_SEGMENT_DATA</v>
      </c>
      <c r="E79" t="str">
        <f>IFERROR(IF(0=LEN(ReferenceData!$E$79),"",ReferenceData!$E$79),"")</f>
        <v>Dynamic</v>
      </c>
      <c r="F79" t="str">
        <f ca="1">IFERROR(IF(0=LEN(ReferenceData!$F$79),"",ReferenceData!$F$79),"")</f>
        <v/>
      </c>
      <c r="G79">
        <f ca="1">IFERROR(IF(0=LEN(ReferenceData!$G$79),"",ReferenceData!$G$79),"")</f>
        <v>39311</v>
      </c>
      <c r="H79">
        <f ca="1">IFERROR(IF(0=LEN(ReferenceData!$H$79),"",ReferenceData!$H$79),"")</f>
        <v>32333</v>
      </c>
      <c r="I79">
        <f ca="1">IFERROR(IF(0=LEN(ReferenceData!$I$79),"",ReferenceData!$I$79),"")</f>
        <v>34775</v>
      </c>
      <c r="J79">
        <f ca="1">IFERROR(IF(0=LEN(ReferenceData!$J$79),"",ReferenceData!$J$79),"")</f>
        <v>30581</v>
      </c>
      <c r="K79">
        <f ca="1">IFERROR(IF(0=LEN(ReferenceData!$K$79),"",ReferenceData!$K$79),"")</f>
        <v>33792</v>
      </c>
      <c r="L79">
        <f ca="1">IFERROR(IF(0=LEN(ReferenceData!$L$79),"",ReferenceData!$L$79),"")</f>
        <v>27619</v>
      </c>
      <c r="M79">
        <f ca="1">IFERROR(IF(0=LEN(ReferenceData!$M$79),"",ReferenceData!$M$79),"")</f>
        <v>27508</v>
      </c>
      <c r="N79">
        <f ca="1">IFERROR(IF(0=LEN(ReferenceData!$N$79),"",ReferenceData!$N$79),"")</f>
        <v>25215</v>
      </c>
      <c r="O79">
        <f ca="1">IFERROR(IF(0=LEN(ReferenceData!$O$79),"",ReferenceData!$O$79),"")</f>
        <v>28110</v>
      </c>
      <c r="P79">
        <f ca="1">IFERROR(IF(0=LEN(ReferenceData!$P$79),"",ReferenceData!$P$79),"")</f>
        <v>24794</v>
      </c>
      <c r="Q79">
        <f ca="1">IFERROR(IF(0=LEN(ReferenceData!$Q$79),"",ReferenceData!$Q$79),"")</f>
        <v>25885</v>
      </c>
      <c r="R79">
        <f ca="1">IFERROR(IF(0=LEN(ReferenceData!$R$79),"",ReferenceData!$R$79),"")</f>
        <v>23446</v>
      </c>
      <c r="S79">
        <f ca="1">IFERROR(IF(0=LEN(ReferenceData!$S$79),"",ReferenceData!$S$79),"")</f>
        <v>28029</v>
      </c>
      <c r="T79">
        <f ca="1">IFERROR(IF(0=LEN(ReferenceData!$T$79),"",ReferenceData!$T$79),"")</f>
        <v>24569</v>
      </c>
      <c r="U79">
        <f ca="1">IFERROR(IF(0=LEN(ReferenceData!$U$79),"",ReferenceData!$U$79),"")</f>
        <v>27826</v>
      </c>
      <c r="V79">
        <f ca="1">IFERROR(IF(0=LEN(ReferenceData!$V$79),"",ReferenceData!$V$79),"")</f>
        <v>22050</v>
      </c>
      <c r="W79">
        <f ca="1">IFERROR(IF(0=LEN(ReferenceData!$W$79),"",ReferenceData!$W$79),"")</f>
        <v>34410</v>
      </c>
      <c r="X79">
        <f ca="1">IFERROR(IF(0=LEN(ReferenceData!$X$79),"",ReferenceData!$X$79),"")</f>
        <v>28043</v>
      </c>
      <c r="Y79">
        <f ca="1">IFERROR(IF(0=LEN(ReferenceData!$Y$79),"",ReferenceData!$Y$79),"")</f>
        <v>31614</v>
      </c>
      <c r="Z79">
        <f ca="1">IFERROR(IF(0=LEN(ReferenceData!$Z$79),"",ReferenceData!$Z$79),"")</f>
        <v>26386</v>
      </c>
      <c r="AA79">
        <f ca="1">IFERROR(IF(0=LEN(ReferenceData!$AA$79),"",ReferenceData!$AA$79),"")</f>
        <v>42451</v>
      </c>
      <c r="AB79">
        <f ca="1">IFERROR(IF(0=LEN(ReferenceData!$AB$79),"",ReferenceData!$AB$79),"")</f>
        <v>33471</v>
      </c>
      <c r="AC79">
        <f ca="1">IFERROR(IF(0=LEN(ReferenceData!$AC$79),"",ReferenceData!$AC$79),"")</f>
        <v>34752</v>
      </c>
      <c r="AD79">
        <f ca="1">IFERROR(IF(0=LEN(ReferenceData!$AD$79),"",ReferenceData!$AD$79),"")</f>
        <v>30798</v>
      </c>
      <c r="AE79">
        <f ca="1">IFERROR(IF(0=LEN(ReferenceData!$AE$79),"",ReferenceData!$AE$79),"")</f>
        <v>34984</v>
      </c>
      <c r="AF79">
        <f ca="1">IFERROR(IF(0=LEN(ReferenceData!$AF$79),"",ReferenceData!$AF$79),"")</f>
        <v>32904</v>
      </c>
      <c r="AG79">
        <f ca="1">IFERROR(IF(0=LEN(ReferenceData!$AG$79),"",ReferenceData!$AG$79),"")</f>
        <v>33381</v>
      </c>
      <c r="AH79">
        <f ca="1">IFERROR(IF(0=LEN(ReferenceData!$AH$79),"",ReferenceData!$AH$79),"")</f>
        <v>35002</v>
      </c>
      <c r="AI79">
        <f ca="1">IFERROR(IF(0=LEN(ReferenceData!$AI$79),"",ReferenceData!$AI$79),"")</f>
        <v>40636</v>
      </c>
      <c r="AJ79">
        <f ca="1">IFERROR(IF(0=LEN(ReferenceData!$AJ$79),"",ReferenceData!$AJ$79),"")</f>
        <v>39208</v>
      </c>
      <c r="AK79" t="str">
        <f ca="1">IFERROR(IF(0=LEN(ReferenceData!$AK$79),"",ReferenceData!$AK$79),"")</f>
        <v/>
      </c>
      <c r="AL79" t="str">
        <f ca="1">IFERROR(IF(0=LEN(ReferenceData!$AL$79),"",ReferenceData!$AL$79),"")</f>
        <v/>
      </c>
      <c r="AM79" t="str">
        <f ca="1">IFERROR(IF(0=LEN(ReferenceData!$AM$79),"",ReferenceData!$AM$79),"")</f>
        <v/>
      </c>
      <c r="AN79" t="str">
        <f ca="1">IFERROR(IF(0=LEN(ReferenceData!$AN$79),"",ReferenceData!$AN$79),"")</f>
        <v/>
      </c>
      <c r="AO79" t="str">
        <f ca="1">IFERROR(IF(0=LEN(ReferenceData!$AO$79),"",ReferenceData!$AO$79),"")</f>
        <v/>
      </c>
      <c r="AP79" t="str">
        <f ca="1">IFERROR(IF(0=LEN(ReferenceData!$AP$79),"",ReferenceData!$AP$79),"")</f>
        <v/>
      </c>
      <c r="AQ79" t="str">
        <f ca="1">IFERROR(IF(0=LEN(ReferenceData!$AQ$79),"",ReferenceData!$AQ$79),"")</f>
        <v/>
      </c>
      <c r="AR79" t="str">
        <f ca="1">IFERROR(IF(0=LEN(ReferenceData!$AR$79),"",ReferenceData!$AR$79),"")</f>
        <v/>
      </c>
      <c r="AS79" t="str">
        <f ca="1">IFERROR(IF(0=LEN(ReferenceData!$AS$79),"",ReferenceData!$AS$79),"")</f>
        <v/>
      </c>
      <c r="AT79" t="str">
        <f ca="1">IFERROR(IF(0=LEN(ReferenceData!$AT$79),"",ReferenceData!$AT$79),"")</f>
        <v/>
      </c>
      <c r="AU79" t="str">
        <f ca="1">IFERROR(IF(0=LEN(ReferenceData!$AU$79),"",ReferenceData!$AU$79),"")</f>
        <v/>
      </c>
      <c r="AV79" t="str">
        <f ca="1">IFERROR(IF(0=LEN(ReferenceData!$AV$79),"",ReferenceData!$AV$79),"")</f>
        <v/>
      </c>
      <c r="AW79" t="str">
        <f ca="1">IFERROR(IF(0=LEN(ReferenceData!$AW$79),"",ReferenceData!$AW$79),"")</f>
        <v/>
      </c>
      <c r="AX79" t="str">
        <f ca="1">IFERROR(IF(0=LEN(ReferenceData!$AX$79),"",ReferenceData!$AX$79),"")</f>
        <v/>
      </c>
      <c r="AY79" t="str">
        <f ca="1">IFERROR(IF(0=LEN(ReferenceData!$AY$79),"",ReferenceData!$AY$79),"")</f>
        <v/>
      </c>
      <c r="AZ79" t="str">
        <f ca="1">IFERROR(IF(0=LEN(ReferenceData!$AZ$79),"",ReferenceData!$AZ$79),"")</f>
        <v/>
      </c>
      <c r="BA79" t="str">
        <f ca="1">IFERROR(IF(0=LEN(ReferenceData!$BA$79),"",ReferenceData!$BA$79),"")</f>
        <v/>
      </c>
      <c r="BB79" t="str">
        <f ca="1">IFERROR(IF(0=LEN(ReferenceData!$BB$79),"",ReferenceData!$BB$79),"")</f>
        <v/>
      </c>
      <c r="BC79" t="str">
        <f ca="1">IFERROR(IF(0=LEN(ReferenceData!$BC$79),"",ReferenceData!$BC$79),"")</f>
        <v/>
      </c>
      <c r="BD79" t="str">
        <f ca="1">IFERROR(IF(0=LEN(ReferenceData!$BD$79),"",ReferenceData!$BD$79),"")</f>
        <v/>
      </c>
      <c r="BE79" t="str">
        <f ca="1">IFERROR(IF(0=LEN(ReferenceData!$BE$79),"",ReferenceData!$BE$79),"")</f>
        <v/>
      </c>
      <c r="BF79" t="str">
        <f ca="1">IFERROR(IF(0=LEN(ReferenceData!$BF$79),"",ReferenceData!$BF$79),"")</f>
        <v/>
      </c>
      <c r="BG79" t="str">
        <f ca="1">IFERROR(IF(0=LEN(ReferenceData!$BG$79),"",ReferenceData!$BG$79),"")</f>
        <v/>
      </c>
      <c r="BH79" t="str">
        <f ca="1">IFERROR(IF(0=LEN(ReferenceData!$BH$79),"",ReferenceData!$BH$79),"")</f>
        <v/>
      </c>
      <c r="BI79" t="str">
        <f ca="1">IFERROR(IF(0=LEN(ReferenceData!$BI$79),"",ReferenceData!$BI$79),"")</f>
        <v/>
      </c>
      <c r="BJ79" t="str">
        <f ca="1">IFERROR(IF(0=LEN(ReferenceData!$BJ$79),"",ReferenceData!$BJ$79),"")</f>
        <v/>
      </c>
      <c r="BK79" t="str">
        <f ca="1">IFERROR(IF(0=LEN(ReferenceData!$BK$79),"",ReferenceData!$BK$79),"")</f>
        <v/>
      </c>
      <c r="BL79" t="str">
        <f ca="1">IFERROR(IF(0=LEN(ReferenceData!$BL$79),"",ReferenceData!$BL$79),"")</f>
        <v/>
      </c>
      <c r="BM79" t="str">
        <f ca="1">IFERROR(IF(0=LEN(ReferenceData!$BM$79),"",ReferenceData!$BM$79),"")</f>
        <v/>
      </c>
    </row>
    <row r="80" spans="1:65" x14ac:dyDescent="0.25">
      <c r="A80" t="str">
        <f>IFERROR(IF(0=LEN(ReferenceData!$A$80),"",ReferenceData!$A$80),"")</f>
        <v xml:space="preserve">        Scania</v>
      </c>
      <c r="B80" t="str">
        <f>IFERROR(IF(0=LEN(ReferenceData!$B$80),"",ReferenceData!$B$80),"")</f>
        <v>VOW GR Equity</v>
      </c>
      <c r="C80" t="str">
        <f>IFERROR(IF(0=LEN(ReferenceData!$C$80),"",ReferenceData!$C$80),"")</f>
        <v>BI047</v>
      </c>
      <c r="D80" t="str">
        <f>IFERROR(IF(0=LEN(ReferenceData!$D$80),"",ReferenceData!$D$80),"")</f>
        <v>BICS_SEGMENT_DATA</v>
      </c>
      <c r="E80" t="str">
        <f>IFERROR(IF(0=LEN(ReferenceData!$E$80),"",ReferenceData!$E$80),"")</f>
        <v>Dynamic</v>
      </c>
      <c r="F80" t="str">
        <f ca="1">IFERROR(IF(0=LEN(ReferenceData!$F$80),"",ReferenceData!$F$80),"")</f>
        <v/>
      </c>
      <c r="G80">
        <f ca="1">IFERROR(IF(0=LEN(ReferenceData!$G$80),"",ReferenceData!$G$80),"")</f>
        <v>449361</v>
      </c>
      <c r="H80">
        <f ca="1">IFERROR(IF(0=LEN(ReferenceData!$H$80),"",ReferenceData!$H$80),"")</f>
        <v>21861</v>
      </c>
      <c r="I80">
        <f ca="1">IFERROR(IF(0=LEN(ReferenceData!$I$80),"",ReferenceData!$I$80),"")</f>
        <v>24138</v>
      </c>
      <c r="J80">
        <f ca="1">IFERROR(IF(0=LEN(ReferenceData!$J$80),"",ReferenceData!$J$80),"")</f>
        <v>22640</v>
      </c>
      <c r="K80">
        <f ca="1">IFERROR(IF(0=LEN(ReferenceData!$K$80),"",ReferenceData!$K$80),"")</f>
        <v>26818</v>
      </c>
      <c r="L80">
        <f ca="1">IFERROR(IF(0=LEN(ReferenceData!$L$80),"",ReferenceData!$L$80),"")</f>
        <v>20351</v>
      </c>
      <c r="M80">
        <f ca="1">IFERROR(IF(0=LEN(ReferenceData!$M$80),"",ReferenceData!$M$80),"")</f>
        <v>22952</v>
      </c>
      <c r="N80">
        <f ca="1">IFERROR(IF(0=LEN(ReferenceData!$N$80),"",ReferenceData!$N$80),"")</f>
        <v>20656</v>
      </c>
      <c r="O80">
        <f ca="1">IFERROR(IF(0=LEN(ReferenceData!$O$80),"",ReferenceData!$O$80),"")</f>
        <v>22614</v>
      </c>
      <c r="P80">
        <f ca="1">IFERROR(IF(0=LEN(ReferenceData!$P$80),"",ReferenceData!$P$80),"")</f>
        <v>18422</v>
      </c>
      <c r="Q80">
        <f ca="1">IFERROR(IF(0=LEN(ReferenceData!$Q$80),"",ReferenceData!$Q$80),"")</f>
        <v>21870</v>
      </c>
      <c r="R80">
        <f ca="1">IFERROR(IF(0=LEN(ReferenceData!$R$80),"",ReferenceData!$R$80),"")</f>
        <v>18440</v>
      </c>
      <c r="S80">
        <f ca="1">IFERROR(IF(0=LEN(ReferenceData!$S$80),"",ReferenceData!$S$80),"")</f>
        <v>21626</v>
      </c>
      <c r="T80">
        <f ca="1">IFERROR(IF(0=LEN(ReferenceData!$T$80),"",ReferenceData!$T$80),"")</f>
        <v>17946</v>
      </c>
      <c r="U80">
        <f ca="1">IFERROR(IF(0=LEN(ReferenceData!$U$80),"",ReferenceData!$U$80),"")</f>
        <v>19489</v>
      </c>
      <c r="V80">
        <f ca="1">IFERROR(IF(0=LEN(ReferenceData!$V$80),"",ReferenceData!$V$80),"")</f>
        <v>17500</v>
      </c>
      <c r="W80">
        <f ca="1">IFERROR(IF(0=LEN(ReferenceData!$W$80),"",ReferenceData!$W$80),"")</f>
        <v>23589</v>
      </c>
      <c r="X80">
        <f ca="1">IFERROR(IF(0=LEN(ReferenceData!$X$80),"",ReferenceData!$X$80),"")</f>
        <v>17802</v>
      </c>
      <c r="Y80">
        <f ca="1">IFERROR(IF(0=LEN(ReferenceData!$Y$80),"",ReferenceData!$Y$80),"")</f>
        <v>19156</v>
      </c>
      <c r="Z80">
        <f ca="1">IFERROR(IF(0=LEN(ReferenceData!$Z$80),"",ReferenceData!$Z$80),"")</f>
        <v>18844</v>
      </c>
      <c r="AA80">
        <f ca="1">IFERROR(IF(0=LEN(ReferenceData!$AA$80),"",ReferenceData!$AA$80),"")</f>
        <v>24240</v>
      </c>
      <c r="AB80">
        <f ca="1">IFERROR(IF(0=LEN(ReferenceData!$AB$80),"",ReferenceData!$AB$80),"")</f>
        <v>18244</v>
      </c>
      <c r="AC80">
        <f ca="1">IFERROR(IF(0=LEN(ReferenceData!$AC$80),"",ReferenceData!$AC$80),"")</f>
        <v>21042</v>
      </c>
      <c r="AD80">
        <f ca="1">IFERROR(IF(0=LEN(ReferenceData!$AD$80),"",ReferenceData!$AD$80),"")</f>
        <v>16938</v>
      </c>
      <c r="AE80">
        <f ca="1">IFERROR(IF(0=LEN(ReferenceData!$AE$80),"",ReferenceData!$AE$80),"")</f>
        <v>20121</v>
      </c>
      <c r="AF80">
        <f ca="1">IFERROR(IF(0=LEN(ReferenceData!$AF$80),"",ReferenceData!$AF$80),"")</f>
        <v>14847</v>
      </c>
      <c r="AG80">
        <f ca="1">IFERROR(IF(0=LEN(ReferenceData!$AG$80),"",ReferenceData!$AG$80),"")</f>
        <v>15794</v>
      </c>
      <c r="AH80">
        <f ca="1">IFERROR(IF(0=LEN(ReferenceData!$AH$80),"",ReferenceData!$AH$80),"")</f>
        <v>16238</v>
      </c>
      <c r="AI80">
        <f ca="1">IFERROR(IF(0=LEN(ReferenceData!$AI$80),"",ReferenceData!$AI$80),"")</f>
        <v>21015</v>
      </c>
      <c r="AJ80">
        <f ca="1">IFERROR(IF(0=LEN(ReferenceData!$AJ$80),"",ReferenceData!$AJ$80),"")</f>
        <v>18685</v>
      </c>
      <c r="AK80">
        <f ca="1">IFERROR(IF(0=LEN(ReferenceData!$AK$80),"",ReferenceData!$AK$80),"")</f>
        <v>21235</v>
      </c>
      <c r="AL80">
        <f ca="1">IFERROR(IF(0=LEN(ReferenceData!$AL$80),"",ReferenceData!$AL$80),"")</f>
        <v>19065</v>
      </c>
      <c r="AM80">
        <f ca="1">IFERROR(IF(0=LEN(ReferenceData!$AM$80),"",ReferenceData!$AM$80),"")</f>
        <v>20163</v>
      </c>
      <c r="AN80">
        <f ca="1">IFERROR(IF(0=LEN(ReferenceData!$AN$80),"",ReferenceData!$AN$80),"")</f>
        <v>15228</v>
      </c>
      <c r="AO80">
        <f ca="1">IFERROR(IF(0=LEN(ReferenceData!$AO$80),"",ReferenceData!$AO$80),"")</f>
        <v>16374</v>
      </c>
      <c r="AP80">
        <f ca="1">IFERROR(IF(0=LEN(ReferenceData!$AP$80),"",ReferenceData!$AP$80),"")</f>
        <v>11947</v>
      </c>
      <c r="AQ80">
        <f ca="1">IFERROR(IF(0=LEN(ReferenceData!$AQ$80),"",ReferenceData!$AQ$80),"")</f>
        <v>13753</v>
      </c>
      <c r="AR80">
        <f ca="1">IFERROR(IF(0=LEN(ReferenceData!$AR$80),"",ReferenceData!$AR$80),"")</f>
        <v>9023</v>
      </c>
      <c r="AS80">
        <f ca="1">IFERROR(IF(0=LEN(ReferenceData!$AS$80),"",ReferenceData!$AS$80),"")</f>
        <v>9363</v>
      </c>
      <c r="AT80">
        <f ca="1">IFERROR(IF(0=LEN(ReferenceData!$AT$80),"",ReferenceData!$AT$80),"")</f>
        <v>11304</v>
      </c>
      <c r="AU80">
        <f ca="1">IFERROR(IF(0=LEN(ReferenceData!$AU$80),"",ReferenceData!$AU$80),"")</f>
        <v>17975</v>
      </c>
      <c r="AV80">
        <f ca="1">IFERROR(IF(0=LEN(ReferenceData!$AV$80),"",ReferenceData!$AV$80),"")</f>
        <v>12552</v>
      </c>
      <c r="AW80" t="str">
        <f ca="1">IFERROR(IF(0=LEN(ReferenceData!$AW$80),"",ReferenceData!$AW$80),"")</f>
        <v/>
      </c>
      <c r="AX80" t="str">
        <f ca="1">IFERROR(IF(0=LEN(ReferenceData!$AX$80),"",ReferenceData!$AX$80),"")</f>
        <v/>
      </c>
      <c r="AY80" t="str">
        <f ca="1">IFERROR(IF(0=LEN(ReferenceData!$AY$80),"",ReferenceData!$AY$80),"")</f>
        <v/>
      </c>
      <c r="AZ80" t="str">
        <f ca="1">IFERROR(IF(0=LEN(ReferenceData!$AZ$80),"",ReferenceData!$AZ$80),"")</f>
        <v/>
      </c>
      <c r="BA80" t="str">
        <f ca="1">IFERROR(IF(0=LEN(ReferenceData!$BA$80),"",ReferenceData!$BA$80),"")</f>
        <v/>
      </c>
      <c r="BB80" t="str">
        <f ca="1">IFERROR(IF(0=LEN(ReferenceData!$BB$80),"",ReferenceData!$BB$80),"")</f>
        <v/>
      </c>
      <c r="BC80" t="str">
        <f ca="1">IFERROR(IF(0=LEN(ReferenceData!$BC$80),"",ReferenceData!$BC$80),"")</f>
        <v/>
      </c>
      <c r="BD80" t="str">
        <f ca="1">IFERROR(IF(0=LEN(ReferenceData!$BD$80),"",ReferenceData!$BD$80),"")</f>
        <v/>
      </c>
      <c r="BE80" t="str">
        <f ca="1">IFERROR(IF(0=LEN(ReferenceData!$BE$80),"",ReferenceData!$BE$80),"")</f>
        <v/>
      </c>
      <c r="BF80" t="str">
        <f ca="1">IFERROR(IF(0=LEN(ReferenceData!$BF$80),"",ReferenceData!$BF$80),"")</f>
        <v/>
      </c>
      <c r="BG80" t="str">
        <f ca="1">IFERROR(IF(0=LEN(ReferenceData!$BG$80),"",ReferenceData!$BG$80),"")</f>
        <v/>
      </c>
      <c r="BH80" t="str">
        <f ca="1">IFERROR(IF(0=LEN(ReferenceData!$BH$80),"",ReferenceData!$BH$80),"")</f>
        <v/>
      </c>
      <c r="BI80" t="str">
        <f ca="1">IFERROR(IF(0=LEN(ReferenceData!$BI$80),"",ReferenceData!$BI$80),"")</f>
        <v/>
      </c>
      <c r="BJ80" t="str">
        <f ca="1">IFERROR(IF(0=LEN(ReferenceData!$BJ$80),"",ReferenceData!$BJ$80),"")</f>
        <v/>
      </c>
      <c r="BK80" t="str">
        <f ca="1">IFERROR(IF(0=LEN(ReferenceData!$BK$80),"",ReferenceData!$BK$80),"")</f>
        <v/>
      </c>
      <c r="BL80" t="str">
        <f ca="1">IFERROR(IF(0=LEN(ReferenceData!$BL$80),"",ReferenceData!$BL$80),"")</f>
        <v/>
      </c>
      <c r="BM80" t="str">
        <f ca="1">IFERROR(IF(0=LEN(ReferenceData!$BM$80),"",ReferenceData!$BM$80),"")</f>
        <v/>
      </c>
    </row>
    <row r="81" spans="1:65" x14ac:dyDescent="0.25">
      <c r="A81" t="str">
        <f>IFERROR(IF(0=LEN(ReferenceData!$A$81),"",ReferenceData!$A$81),"")</f>
        <v xml:space="preserve">        Porsche</v>
      </c>
      <c r="B81" t="str">
        <f>IFERROR(IF(0=LEN(ReferenceData!$B$81),"",ReferenceData!$B$81),"")</f>
        <v>VOW GR Equity</v>
      </c>
      <c r="C81" t="str">
        <f>IFERROR(IF(0=LEN(ReferenceData!$C$81),"",ReferenceData!$C$81),"")</f>
        <v>BI047</v>
      </c>
      <c r="D81" t="str">
        <f>IFERROR(IF(0=LEN(ReferenceData!$D$81),"",ReferenceData!$D$81),"")</f>
        <v>BICS_SEGMENT_DATA</v>
      </c>
      <c r="E81" t="str">
        <f>IFERROR(IF(0=LEN(ReferenceData!$E$81),"",ReferenceData!$E$81),"")</f>
        <v>Dynamic</v>
      </c>
      <c r="F81" t="str">
        <f ca="1">IFERROR(IF(0=LEN(ReferenceData!$F$81),"",ReferenceData!$F$81),"")</f>
        <v/>
      </c>
      <c r="G81">
        <f ca="1">IFERROR(IF(0=LEN(ReferenceData!$G$81),"",ReferenceData!$G$81),"")</f>
        <v>59438</v>
      </c>
      <c r="H81">
        <f ca="1">IFERROR(IF(0=LEN(ReferenceData!$H$81),"",ReferenceData!$H$81),"")</f>
        <v>65962</v>
      </c>
      <c r="I81">
        <f ca="1">IFERROR(IF(0=LEN(ReferenceData!$I$81),"",ReferenceData!$I$81),"")</f>
        <v>67122</v>
      </c>
      <c r="J81">
        <f ca="1">IFERROR(IF(0=LEN(ReferenceData!$J$81),"",ReferenceData!$J$81),"")</f>
        <v>63478</v>
      </c>
      <c r="K81">
        <f ca="1">IFERROR(IF(0=LEN(ReferenceData!$K$81),"",ReferenceData!$K$81),"")</f>
        <v>60477</v>
      </c>
      <c r="L81">
        <f ca="1">IFERROR(IF(0=LEN(ReferenceData!$L$81),"",ReferenceData!$L$81),"")</f>
        <v>59401</v>
      </c>
      <c r="M81">
        <f ca="1">IFERROR(IF(0=LEN(ReferenceData!$M$81),"",ReferenceData!$M$81),"")</f>
        <v>66808</v>
      </c>
      <c r="N81">
        <f ca="1">IFERROR(IF(0=LEN(ReferenceData!$N$81),"",ReferenceData!$N$81),"")</f>
        <v>59689</v>
      </c>
      <c r="O81">
        <f ca="1">IFERROR(IF(0=LEN(ReferenceData!$O$81),"",ReferenceData!$O$81),"")</f>
        <v>59464</v>
      </c>
      <c r="P81">
        <f ca="1">IFERROR(IF(0=LEN(ReferenceData!$P$81),"",ReferenceData!$P$81),"")</f>
        <v>60351</v>
      </c>
      <c r="Q81">
        <f ca="1">IFERROR(IF(0=LEN(ReferenceData!$Q$81),"",ReferenceData!$Q$81),"")</f>
        <v>61989</v>
      </c>
      <c r="R81">
        <f ca="1">IFERROR(IF(0=LEN(ReferenceData!$R$81),"",ReferenceData!$R$81),"")</f>
        <v>55974</v>
      </c>
      <c r="S81">
        <f ca="1">IFERROR(IF(0=LEN(ReferenceData!$S$81),"",ReferenceData!$S$81),"")</f>
        <v>52036</v>
      </c>
      <c r="T81">
        <f ca="1">IFERROR(IF(0=LEN(ReferenceData!$T$81),"",ReferenceData!$T$81),"")</f>
        <v>59101</v>
      </c>
      <c r="U81">
        <f ca="1">IFERROR(IF(0=LEN(ReferenceData!$U$81),"",ReferenceData!$U$81),"")</f>
        <v>62882</v>
      </c>
      <c r="V81">
        <f ca="1">IFERROR(IF(0=LEN(ReferenceData!$V$81),"",ReferenceData!$V$81),"")</f>
        <v>51102</v>
      </c>
      <c r="W81">
        <f ca="1">IFERROR(IF(0=LEN(ReferenceData!$W$81),"",ReferenceData!$W$81),"")</f>
        <v>54207</v>
      </c>
      <c r="X81">
        <f ca="1">IFERROR(IF(0=LEN(ReferenceData!$X$81),"",ReferenceData!$X$81),"")</f>
        <v>47839</v>
      </c>
      <c r="Y81">
        <f ca="1">IFERROR(IF(0=LEN(ReferenceData!$Y$81),"",ReferenceData!$Y$81),"")</f>
        <v>49140</v>
      </c>
      <c r="Z81">
        <f ca="1">IFERROR(IF(0=LEN(ReferenceData!$Z$81),"",ReferenceData!$Z$81),"")</f>
        <v>38663</v>
      </c>
      <c r="AA81">
        <f ca="1">IFERROR(IF(0=LEN(ReferenceData!$AA$81),"",ReferenceData!$AA$81),"")</f>
        <v>42353</v>
      </c>
      <c r="AB81">
        <f ca="1">IFERROR(IF(0=LEN(ReferenceData!$AB$81),"",ReferenceData!$AB$81),"")</f>
        <v>38182</v>
      </c>
      <c r="AC81">
        <f ca="1">IFERROR(IF(0=LEN(ReferenceData!$AC$81),"",ReferenceData!$AC$81),"")</f>
        <v>44556</v>
      </c>
      <c r="AD81">
        <f ca="1">IFERROR(IF(0=LEN(ReferenceData!$AD$81),"",ReferenceData!$AD$81),"")</f>
        <v>37009</v>
      </c>
      <c r="AE81">
        <f ca="1">IFERROR(IF(0=LEN(ReferenceData!$AE$81),"",ReferenceData!$AE$81),"")</f>
        <v>36713</v>
      </c>
      <c r="AF81">
        <f ca="1">IFERROR(IF(0=LEN(ReferenceData!$AF$81),"",ReferenceData!$AF$81),"")</f>
        <v>22800</v>
      </c>
      <c r="AG81">
        <f ca="1">IFERROR(IF(0=LEN(ReferenceData!$AG$81),"",ReferenceData!$AG$81),"")</f>
        <v>0</v>
      </c>
      <c r="AH81" t="str">
        <f ca="1">IFERROR(IF(0=LEN(ReferenceData!$AH$81),"",ReferenceData!$AH$81),"")</f>
        <v/>
      </c>
      <c r="AI81" t="str">
        <f ca="1">IFERROR(IF(0=LEN(ReferenceData!$AI$81),"",ReferenceData!$AI$81),"")</f>
        <v/>
      </c>
      <c r="AJ81" t="str">
        <f ca="1">IFERROR(IF(0=LEN(ReferenceData!$AJ$81),"",ReferenceData!$AJ$81),"")</f>
        <v/>
      </c>
      <c r="AK81" t="str">
        <f ca="1">IFERROR(IF(0=LEN(ReferenceData!$AK$81),"",ReferenceData!$AK$81),"")</f>
        <v/>
      </c>
      <c r="AL81" t="str">
        <f ca="1">IFERROR(IF(0=LEN(ReferenceData!$AL$81),"",ReferenceData!$AL$81),"")</f>
        <v/>
      </c>
      <c r="AM81" t="str">
        <f ca="1">IFERROR(IF(0=LEN(ReferenceData!$AM$81),"",ReferenceData!$AM$81),"")</f>
        <v/>
      </c>
      <c r="AN81" t="str">
        <f ca="1">IFERROR(IF(0=LEN(ReferenceData!$AN$81),"",ReferenceData!$AN$81),"")</f>
        <v/>
      </c>
      <c r="AO81" t="str">
        <f ca="1">IFERROR(IF(0=LEN(ReferenceData!$AO$81),"",ReferenceData!$AO$81),"")</f>
        <v/>
      </c>
      <c r="AP81" t="str">
        <f ca="1">IFERROR(IF(0=LEN(ReferenceData!$AP$81),"",ReferenceData!$AP$81),"")</f>
        <v/>
      </c>
      <c r="AQ81" t="str">
        <f ca="1">IFERROR(IF(0=LEN(ReferenceData!$AQ$81),"",ReferenceData!$AQ$81),"")</f>
        <v/>
      </c>
      <c r="AR81" t="str">
        <f ca="1">IFERROR(IF(0=LEN(ReferenceData!$AR$81),"",ReferenceData!$AR$81),"")</f>
        <v/>
      </c>
      <c r="AS81" t="str">
        <f ca="1">IFERROR(IF(0=LEN(ReferenceData!$AS$81),"",ReferenceData!$AS$81),"")</f>
        <v/>
      </c>
      <c r="AT81" t="str">
        <f ca="1">IFERROR(IF(0=LEN(ReferenceData!$AT$81),"",ReferenceData!$AT$81),"")</f>
        <v/>
      </c>
      <c r="AU81" t="str">
        <f ca="1">IFERROR(IF(0=LEN(ReferenceData!$AU$81),"",ReferenceData!$AU$81),"")</f>
        <v/>
      </c>
      <c r="AV81" t="str">
        <f ca="1">IFERROR(IF(0=LEN(ReferenceData!$AV$81),"",ReferenceData!$AV$81),"")</f>
        <v/>
      </c>
      <c r="AW81" t="str">
        <f ca="1">IFERROR(IF(0=LEN(ReferenceData!$AW$81),"",ReferenceData!$AW$81),"")</f>
        <v/>
      </c>
      <c r="AX81" t="str">
        <f ca="1">IFERROR(IF(0=LEN(ReferenceData!$AX$81),"",ReferenceData!$AX$81),"")</f>
        <v/>
      </c>
      <c r="AY81" t="str">
        <f ca="1">IFERROR(IF(0=LEN(ReferenceData!$AY$81),"",ReferenceData!$AY$81),"")</f>
        <v/>
      </c>
      <c r="AZ81" t="str">
        <f ca="1">IFERROR(IF(0=LEN(ReferenceData!$AZ$81),"",ReferenceData!$AZ$81),"")</f>
        <v/>
      </c>
      <c r="BA81" t="str">
        <f ca="1">IFERROR(IF(0=LEN(ReferenceData!$BA$81),"",ReferenceData!$BA$81),"")</f>
        <v/>
      </c>
      <c r="BB81" t="str">
        <f ca="1">IFERROR(IF(0=LEN(ReferenceData!$BB$81),"",ReferenceData!$BB$81),"")</f>
        <v/>
      </c>
      <c r="BC81" t="str">
        <f ca="1">IFERROR(IF(0=LEN(ReferenceData!$BC$81),"",ReferenceData!$BC$81),"")</f>
        <v/>
      </c>
      <c r="BD81" t="str">
        <f ca="1">IFERROR(IF(0=LEN(ReferenceData!$BD$81),"",ReferenceData!$BD$81),"")</f>
        <v/>
      </c>
      <c r="BE81" t="str">
        <f ca="1">IFERROR(IF(0=LEN(ReferenceData!$BE$81),"",ReferenceData!$BE$81),"")</f>
        <v/>
      </c>
      <c r="BF81" t="str">
        <f ca="1">IFERROR(IF(0=LEN(ReferenceData!$BF$81),"",ReferenceData!$BF$81),"")</f>
        <v/>
      </c>
      <c r="BG81" t="str">
        <f ca="1">IFERROR(IF(0=LEN(ReferenceData!$BG$81),"",ReferenceData!$BG$81),"")</f>
        <v/>
      </c>
      <c r="BH81" t="str">
        <f ca="1">IFERROR(IF(0=LEN(ReferenceData!$BH$81),"",ReferenceData!$BH$81),"")</f>
        <v/>
      </c>
      <c r="BI81" t="str">
        <f ca="1">IFERROR(IF(0=LEN(ReferenceData!$BI$81),"",ReferenceData!$BI$81),"")</f>
        <v/>
      </c>
      <c r="BJ81" t="str">
        <f ca="1">IFERROR(IF(0=LEN(ReferenceData!$BJ$81),"",ReferenceData!$BJ$81),"")</f>
        <v/>
      </c>
      <c r="BK81" t="str">
        <f ca="1">IFERROR(IF(0=LEN(ReferenceData!$BK$81),"",ReferenceData!$BK$81),"")</f>
        <v/>
      </c>
      <c r="BL81" t="str">
        <f ca="1">IFERROR(IF(0=LEN(ReferenceData!$BL$81),"",ReferenceData!$BL$81),"")</f>
        <v/>
      </c>
      <c r="BM81" t="str">
        <f ca="1">IFERROR(IF(0=LEN(ReferenceData!$BM$81),"",ReferenceData!$BM$81),"")</f>
        <v/>
      </c>
    </row>
    <row r="82" spans="1:65" x14ac:dyDescent="0.25">
      <c r="A82" t="str">
        <f>IFERROR(IF(0=LEN(ReferenceData!$A$82),"",ReferenceData!$A$82),"")</f>
        <v xml:space="preserve">        Bentley</v>
      </c>
      <c r="B82" t="str">
        <f>IFERROR(IF(0=LEN(ReferenceData!$B$82),"",ReferenceData!$B$82),"")</f>
        <v>VOW GR Equity</v>
      </c>
      <c r="C82" t="str">
        <f>IFERROR(IF(0=LEN(ReferenceData!$C$82),"",ReferenceData!$C$82),"")</f>
        <v>BI047</v>
      </c>
      <c r="D82" t="str">
        <f>IFERROR(IF(0=LEN(ReferenceData!$D$82),"",ReferenceData!$D$82),"")</f>
        <v>BICS_SEGMENT_DATA</v>
      </c>
      <c r="E82" t="str">
        <f>IFERROR(IF(0=LEN(ReferenceData!$E$82),"",ReferenceData!$E$82),"")</f>
        <v>Dynamic</v>
      </c>
      <c r="F82" t="str">
        <f ca="1">IFERROR(IF(0=LEN(ReferenceData!$F$82),"",ReferenceData!$F$82),"")</f>
        <v/>
      </c>
      <c r="G82" t="str">
        <f ca="1">IFERROR(IF(0=LEN(ReferenceData!$G$82),"",ReferenceData!$G$82),"")</f>
        <v/>
      </c>
      <c r="H82">
        <f ca="1">IFERROR(IF(0=LEN(ReferenceData!$H$82),"",ReferenceData!$H$82),"")</f>
        <v>2677</v>
      </c>
      <c r="I82">
        <f ca="1">IFERROR(IF(0=LEN(ReferenceData!$I$82),"",ReferenceData!$I$82),"")</f>
        <v>2232</v>
      </c>
      <c r="J82">
        <f ca="1">IFERROR(IF(0=LEN(ReferenceData!$J$82),"",ReferenceData!$J$82),"")</f>
        <v>2198</v>
      </c>
      <c r="K82">
        <f ca="1">IFERROR(IF(0=LEN(ReferenceData!$K$82),"",ReferenceData!$K$82),"")</f>
        <v>3199</v>
      </c>
      <c r="L82">
        <f ca="1">IFERROR(IF(0=LEN(ReferenceData!$L$82),"",ReferenceData!$L$82),"")</f>
        <v>2652</v>
      </c>
      <c r="M82">
        <f ca="1">IFERROR(IF(0=LEN(ReferenceData!$M$82),"",ReferenceData!$M$82),"")</f>
        <v>2861</v>
      </c>
      <c r="N82">
        <f ca="1">IFERROR(IF(0=LEN(ReferenceData!$N$82),"",ReferenceData!$N$82),"")</f>
        <v>2377</v>
      </c>
      <c r="O82">
        <f ca="1">IFERROR(IF(0=LEN(ReferenceData!$O$82),"",ReferenceData!$O$82),"")</f>
        <v>3948</v>
      </c>
      <c r="P82">
        <f ca="1">IFERROR(IF(0=LEN(ReferenceData!$P$82),"",ReferenceData!$P$82),"")</f>
        <v>3064</v>
      </c>
      <c r="Q82">
        <f ca="1">IFERROR(IF(0=LEN(ReferenceData!$Q$82),"",ReferenceData!$Q$82),"")</f>
        <v>2457</v>
      </c>
      <c r="R82">
        <f ca="1">IFERROR(IF(0=LEN(ReferenceData!$R$82),"",ReferenceData!$R$82),"")</f>
        <v>1554</v>
      </c>
      <c r="S82">
        <f ca="1">IFERROR(IF(0=LEN(ReferenceData!$S$82),"",ReferenceData!$S$82),"")</f>
        <v>3246</v>
      </c>
      <c r="T82">
        <f ca="1">IFERROR(IF(0=LEN(ReferenceData!$T$82),"",ReferenceData!$T$82),"")</f>
        <v>2215</v>
      </c>
      <c r="U82">
        <f ca="1">IFERROR(IF(0=LEN(ReferenceData!$U$82),"",ReferenceData!$U$82),"")</f>
        <v>2407</v>
      </c>
      <c r="V82">
        <f ca="1">IFERROR(IF(0=LEN(ReferenceData!$V$82),"",ReferenceData!$V$82),"")</f>
        <v>2232</v>
      </c>
      <c r="W82">
        <f ca="1">IFERROR(IF(0=LEN(ReferenceData!$W$82),"",ReferenceData!$W$82),"")</f>
        <v>3235</v>
      </c>
      <c r="X82">
        <f ca="1">IFERROR(IF(0=LEN(ReferenceData!$X$82),"",ReferenceData!$X$82),"")</f>
        <v>2532</v>
      </c>
      <c r="Y82">
        <f ca="1">IFERROR(IF(0=LEN(ReferenceData!$Y$82),"",ReferenceData!$Y$82),"")</f>
        <v>2674</v>
      </c>
      <c r="Z82">
        <f ca="1">IFERROR(IF(0=LEN(ReferenceData!$Z$82),"",ReferenceData!$Z$82),"")</f>
        <v>2580</v>
      </c>
      <c r="AA82">
        <f ca="1">IFERROR(IF(0=LEN(ReferenceData!$AA$82),"",ReferenceData!$AA$82),"")</f>
        <v>3604</v>
      </c>
      <c r="AB82">
        <f ca="1">IFERROR(IF(0=LEN(ReferenceData!$AB$82),"",ReferenceData!$AB$82),"")</f>
        <v>2237</v>
      </c>
      <c r="AC82">
        <f ca="1">IFERROR(IF(0=LEN(ReferenceData!$AC$82),"",ReferenceData!$AC$82),"")</f>
        <v>2067</v>
      </c>
      <c r="AD82">
        <f ca="1">IFERROR(IF(0=LEN(ReferenceData!$AD$82),"",ReferenceData!$AD$82),"")</f>
        <v>2212</v>
      </c>
      <c r="AE82">
        <f ca="1">IFERROR(IF(0=LEN(ReferenceData!$AE$82),"",ReferenceData!$AE$82),"")</f>
        <v>2541</v>
      </c>
      <c r="AF82">
        <f ca="1">IFERROR(IF(0=LEN(ReferenceData!$AF$82),"",ReferenceData!$AF$82),"")</f>
        <v>2040</v>
      </c>
      <c r="AG82">
        <f ca="1">IFERROR(IF(0=LEN(ReferenceData!$AG$82),"",ReferenceData!$AG$82),"")</f>
        <v>2170</v>
      </c>
      <c r="AH82">
        <f ca="1">IFERROR(IF(0=LEN(ReferenceData!$AH$82),"",ReferenceData!$AH$82),"")</f>
        <v>1759</v>
      </c>
      <c r="AI82">
        <f ca="1">IFERROR(IF(0=LEN(ReferenceData!$AI$82),"",ReferenceData!$AI$82),"")</f>
        <v>2244</v>
      </c>
      <c r="AJ82">
        <f ca="1">IFERROR(IF(0=LEN(ReferenceData!$AJ$82),"",ReferenceData!$AJ$82),"")</f>
        <v>1781</v>
      </c>
      <c r="AK82">
        <f ca="1">IFERROR(IF(0=LEN(ReferenceData!$AK$82),"",ReferenceData!$AK$82),"")</f>
        <v>1778</v>
      </c>
      <c r="AL82">
        <f ca="1">IFERROR(IF(0=LEN(ReferenceData!$AL$82),"",ReferenceData!$AL$82),"")</f>
        <v>1200</v>
      </c>
      <c r="AM82">
        <f ca="1">IFERROR(IF(0=LEN(ReferenceData!$AM$82),"",ReferenceData!$AM$82),"")</f>
        <v>1466</v>
      </c>
      <c r="AN82">
        <f ca="1">IFERROR(IF(0=LEN(ReferenceData!$AN$82),"",ReferenceData!$AN$82),"")</f>
        <v>1162</v>
      </c>
      <c r="AO82">
        <f ca="1">IFERROR(IF(0=LEN(ReferenceData!$AO$82),"",ReferenceData!$AO$82),"")</f>
        <v>1310</v>
      </c>
      <c r="AP82">
        <f ca="1">IFERROR(IF(0=LEN(ReferenceData!$AP$82),"",ReferenceData!$AP$82),"")</f>
        <v>1179</v>
      </c>
      <c r="AQ82">
        <f ca="1">IFERROR(IF(0=LEN(ReferenceData!$AQ$82),"",ReferenceData!$AQ$82),"")</f>
        <v>1303</v>
      </c>
      <c r="AR82">
        <f ca="1">IFERROR(IF(0=LEN(ReferenceData!$AR$82),"",ReferenceData!$AR$82),"")</f>
        <v>1072</v>
      </c>
      <c r="AS82">
        <f ca="1">IFERROR(IF(0=LEN(ReferenceData!$AS$82),"",ReferenceData!$AS$82),"")</f>
        <v>1222</v>
      </c>
      <c r="AT82">
        <f ca="1">IFERROR(IF(0=LEN(ReferenceData!$AT$82),"",ReferenceData!$AT$82),"")</f>
        <v>1019</v>
      </c>
      <c r="AU82">
        <f ca="1">IFERROR(IF(0=LEN(ReferenceData!$AU$82),"",ReferenceData!$AU$82),"")</f>
        <v>1367</v>
      </c>
      <c r="AV82">
        <f ca="1">IFERROR(IF(0=LEN(ReferenceData!$AV$82),"",ReferenceData!$AV$82),"")</f>
        <v>1518</v>
      </c>
      <c r="AW82">
        <f ca="1">IFERROR(IF(0=LEN(ReferenceData!$AW$82),"",ReferenceData!$AW$82),"")</f>
        <v>2428</v>
      </c>
      <c r="AX82">
        <f ca="1">IFERROR(IF(0=LEN(ReferenceData!$AX$82),"",ReferenceData!$AX$82),"")</f>
        <v>2292</v>
      </c>
      <c r="AY82">
        <f ca="1">IFERROR(IF(0=LEN(ReferenceData!$AY$82),"",ReferenceData!$AY$82),"")</f>
        <v>2180</v>
      </c>
      <c r="AZ82">
        <f ca="1">IFERROR(IF(0=LEN(ReferenceData!$AZ$82),"",ReferenceData!$AZ$82),"")</f>
        <v>2180</v>
      </c>
      <c r="BA82">
        <f ca="1">IFERROR(IF(0=LEN(ReferenceData!$BA$82),"",ReferenceData!$BA$82),"")</f>
        <v>2866</v>
      </c>
      <c r="BB82">
        <f ca="1">IFERROR(IF(0=LEN(ReferenceData!$BB$82),"",ReferenceData!$BB$82),"")</f>
        <v>2788</v>
      </c>
      <c r="BC82">
        <f ca="1">IFERROR(IF(0=LEN(ReferenceData!$BC$82),"",ReferenceData!$BC$82),"")</f>
        <v>2787</v>
      </c>
      <c r="BD82">
        <f ca="1">IFERROR(IF(0=LEN(ReferenceData!$BD$82),"",ReferenceData!$BD$82),"")</f>
        <v>1839</v>
      </c>
      <c r="BE82">
        <f ca="1">IFERROR(IF(0=LEN(ReferenceData!$BE$82),"",ReferenceData!$BE$82),"")</f>
        <v>2446</v>
      </c>
      <c r="BF82" t="str">
        <f ca="1">IFERROR(IF(0=LEN(ReferenceData!$BF$82),"",ReferenceData!$BF$82),"")</f>
        <v/>
      </c>
      <c r="BG82" t="str">
        <f ca="1">IFERROR(IF(0=LEN(ReferenceData!$BG$82),"",ReferenceData!$BG$82),"")</f>
        <v/>
      </c>
      <c r="BH82" t="str">
        <f ca="1">IFERROR(IF(0=LEN(ReferenceData!$BH$82),"",ReferenceData!$BH$82),"")</f>
        <v/>
      </c>
      <c r="BI82" t="str">
        <f ca="1">IFERROR(IF(0=LEN(ReferenceData!$BI$82),"",ReferenceData!$BI$82),"")</f>
        <v/>
      </c>
      <c r="BJ82" t="str">
        <f ca="1">IFERROR(IF(0=LEN(ReferenceData!$BJ$82),"",ReferenceData!$BJ$82),"")</f>
        <v/>
      </c>
      <c r="BK82" t="str">
        <f ca="1">IFERROR(IF(0=LEN(ReferenceData!$BK$82),"",ReferenceData!$BK$82),"")</f>
        <v/>
      </c>
      <c r="BL82" t="str">
        <f ca="1">IFERROR(IF(0=LEN(ReferenceData!$BL$82),"",ReferenceData!$BL$82),"")</f>
        <v/>
      </c>
      <c r="BM82" t="str">
        <f ca="1">IFERROR(IF(0=LEN(ReferenceData!$BM$82),"",ReferenceData!$BM$82),"")</f>
        <v/>
      </c>
    </row>
    <row r="83" spans="1:65" x14ac:dyDescent="0.25">
      <c r="A83" t="str">
        <f>IFERROR(IF(0=LEN(ReferenceData!$A$83),"",ReferenceData!$A$83),"")</f>
        <v xml:space="preserve">        Lamborghini</v>
      </c>
      <c r="B83" t="str">
        <f>IFERROR(IF(0=LEN(ReferenceData!$B$83),"",ReferenceData!$B$83),"")</f>
        <v>VOW GR Equity</v>
      </c>
      <c r="C83" t="str">
        <f>IFERROR(IF(0=LEN(ReferenceData!$C$83),"",ReferenceData!$C$83),"")</f>
        <v>BI047</v>
      </c>
      <c r="D83" t="str">
        <f>IFERROR(IF(0=LEN(ReferenceData!$D$83),"",ReferenceData!$D$83),"")</f>
        <v>BICS_SEGMENT_DATA</v>
      </c>
      <c r="E83" t="str">
        <f>IFERROR(IF(0=LEN(ReferenceData!$E$83),"",ReferenceData!$E$83),"")</f>
        <v>Dynamic</v>
      </c>
      <c r="F83" t="str">
        <f ca="1">IFERROR(IF(0=LEN(ReferenceData!$F$83),"",ReferenceData!$F$83),"")</f>
        <v/>
      </c>
      <c r="G83" t="str">
        <f ca="1">IFERROR(IF(0=LEN(ReferenceData!$G$83),"",ReferenceData!$G$83),"")</f>
        <v/>
      </c>
      <c r="H83">
        <f ca="1">IFERROR(IF(0=LEN(ReferenceData!$H$83),"",ReferenceData!$H$83),"")</f>
        <v>1227</v>
      </c>
      <c r="I83">
        <f ca="1">IFERROR(IF(0=LEN(ReferenceData!$I$83),"",ReferenceData!$I$83),"")</f>
        <v>1203</v>
      </c>
      <c r="J83">
        <f ca="1">IFERROR(IF(0=LEN(ReferenceData!$J$83),"",ReferenceData!$J$83),"")</f>
        <v>1124</v>
      </c>
      <c r="K83">
        <f ca="1">IFERROR(IF(0=LEN(ReferenceData!$K$83),"",ReferenceData!$K$83),"")</f>
        <v>885</v>
      </c>
      <c r="L83">
        <f ca="1">IFERROR(IF(0=LEN(ReferenceData!$L$83),"",ReferenceData!$L$83),"")</f>
        <v>839</v>
      </c>
      <c r="M83">
        <f ca="1">IFERROR(IF(0=LEN(ReferenceData!$M$83),"",ReferenceData!$M$83),"")</f>
        <v>1104</v>
      </c>
      <c r="N83">
        <f ca="1">IFERROR(IF(0=LEN(ReferenceData!$N$83),"",ReferenceData!$N$83),"")</f>
        <v>987</v>
      </c>
      <c r="O83">
        <f ca="1">IFERROR(IF(0=LEN(ReferenceData!$O$83),"",ReferenceData!$O$83),"")</f>
        <v>590</v>
      </c>
      <c r="P83">
        <f ca="1">IFERROR(IF(0=LEN(ReferenceData!$P$83),"",ReferenceData!$P$83),"")</f>
        <v>854</v>
      </c>
      <c r="Q83">
        <f ca="1">IFERROR(IF(0=LEN(ReferenceData!$Q$83),"",ReferenceData!$Q$83),"")</f>
        <v>1085</v>
      </c>
      <c r="R83">
        <f ca="1">IFERROR(IF(0=LEN(ReferenceData!$R$83),"",ReferenceData!$R$83),"")</f>
        <v>928</v>
      </c>
      <c r="S83">
        <f ca="1">IFERROR(IF(0=LEN(ReferenceData!$S$83),"",ReferenceData!$S$83),"")</f>
        <v>549</v>
      </c>
      <c r="T83">
        <f ca="1">IFERROR(IF(0=LEN(ReferenceData!$T$83),"",ReferenceData!$T$83),"")</f>
        <v>814</v>
      </c>
      <c r="U83">
        <f ca="1">IFERROR(IF(0=LEN(ReferenceData!$U$83),"",ReferenceData!$U$83),"")</f>
        <v>998</v>
      </c>
      <c r="V83">
        <f ca="1">IFERROR(IF(0=LEN(ReferenceData!$V$83),"",ReferenceData!$V$83),"")</f>
        <v>884</v>
      </c>
      <c r="W83">
        <f ca="1">IFERROR(IF(0=LEN(ReferenceData!$W$83),"",ReferenceData!$W$83),"")</f>
        <v>960</v>
      </c>
      <c r="X83">
        <f ca="1">IFERROR(IF(0=LEN(ReferenceData!$X$83),"",ReferenceData!$X$83),"")</f>
        <v>614</v>
      </c>
      <c r="Y83">
        <f ca="1">IFERROR(IF(0=LEN(ReferenceData!$Y$83),"",ReferenceData!$Y$83),"")</f>
        <v>427</v>
      </c>
      <c r="Z83">
        <f ca="1">IFERROR(IF(0=LEN(ReferenceData!$Z$83),"",ReferenceData!$Z$83),"")</f>
        <v>529</v>
      </c>
      <c r="AA83">
        <f ca="1">IFERROR(IF(0=LEN(ReferenceData!$AA$83),"",ReferenceData!$AA$83),"")</f>
        <v>433</v>
      </c>
      <c r="AB83">
        <f ca="1">IFERROR(IF(0=LEN(ReferenceData!$AB$83),"",ReferenceData!$AB$83),"")</f>
        <v>522</v>
      </c>
      <c r="AC83">
        <f ca="1">IFERROR(IF(0=LEN(ReferenceData!$AC$83),"",ReferenceData!$AC$83),"")</f>
        <v>647</v>
      </c>
      <c r="AD83">
        <f ca="1">IFERROR(IF(0=LEN(ReferenceData!$AD$83),"",ReferenceData!$AD$83),"")</f>
        <v>519</v>
      </c>
      <c r="AE83">
        <f ca="1">IFERROR(IF(0=LEN(ReferenceData!$AE$83),"",ReferenceData!$AE$83),"")</f>
        <v>542</v>
      </c>
      <c r="AF83">
        <f ca="1">IFERROR(IF(0=LEN(ReferenceData!$AF$83),"",ReferenceData!$AF$83),"")</f>
        <v>432</v>
      </c>
      <c r="AG83">
        <f ca="1">IFERROR(IF(0=LEN(ReferenceData!$AG$83),"",ReferenceData!$AG$83),"")</f>
        <v>604</v>
      </c>
      <c r="AH83">
        <f ca="1">IFERROR(IF(0=LEN(ReferenceData!$AH$83),"",ReferenceData!$AH$83),"")</f>
        <v>505</v>
      </c>
      <c r="AI83">
        <f ca="1">IFERROR(IF(0=LEN(ReferenceData!$AI$83),"",ReferenceData!$AI$83),"")</f>
        <v>520</v>
      </c>
      <c r="AJ83">
        <f ca="1">IFERROR(IF(0=LEN(ReferenceData!$AJ$83),"",ReferenceData!$AJ$83),"")</f>
        <v>408</v>
      </c>
      <c r="AK83">
        <f ca="1">IFERROR(IF(0=LEN(ReferenceData!$AK$83),"",ReferenceData!$AK$83),"")</f>
        <v>381</v>
      </c>
      <c r="AL83">
        <f ca="1">IFERROR(IF(0=LEN(ReferenceData!$AL$83),"",ReferenceData!$AL$83),"")</f>
        <v>293</v>
      </c>
      <c r="AM83">
        <f ca="1">IFERROR(IF(0=LEN(ReferenceData!$AM$83),"",ReferenceData!$AM$83),"")</f>
        <v>300</v>
      </c>
      <c r="AN83">
        <f ca="1">IFERROR(IF(0=LEN(ReferenceData!$AN$83),"",ReferenceData!$AN$83),"")</f>
        <v>328</v>
      </c>
      <c r="AO83">
        <f ca="1">IFERROR(IF(0=LEN(ReferenceData!$AO$83),"",ReferenceData!$AO$83),"")</f>
        <v>374</v>
      </c>
      <c r="AP83">
        <f ca="1">IFERROR(IF(0=LEN(ReferenceData!$AP$83),"",ReferenceData!$AP$83),"")</f>
        <v>300</v>
      </c>
      <c r="AQ83">
        <f ca="1">IFERROR(IF(0=LEN(ReferenceData!$AQ$83),"",ReferenceData!$AQ$83),"")</f>
        <v>305</v>
      </c>
      <c r="AR83">
        <f ca="1">IFERROR(IF(0=LEN(ReferenceData!$AR$83),"",ReferenceData!$AR$83),"")</f>
        <v>385</v>
      </c>
      <c r="AS83">
        <f ca="1">IFERROR(IF(0=LEN(ReferenceData!$AS$83),"",ReferenceData!$AS$83),"")</f>
        <v>421</v>
      </c>
      <c r="AT83">
        <f ca="1">IFERROR(IF(0=LEN(ReferenceData!$AT$83),"",ReferenceData!$AT$83),"")</f>
        <v>404</v>
      </c>
      <c r="AU83">
        <f ca="1">IFERROR(IF(0=LEN(ReferenceData!$AU$83),"",ReferenceData!$AU$83),"")</f>
        <v>514</v>
      </c>
      <c r="AV83">
        <f ca="1">IFERROR(IF(0=LEN(ReferenceData!$AV$83),"",ReferenceData!$AV$83),"")</f>
        <v>607</v>
      </c>
      <c r="AW83">
        <f ca="1">IFERROR(IF(0=LEN(ReferenceData!$AW$83),"",ReferenceData!$AW$83),"")</f>
        <v>670</v>
      </c>
      <c r="AX83">
        <f ca="1">IFERROR(IF(0=LEN(ReferenceData!$AX$83),"",ReferenceData!$AX$83),"")</f>
        <v>639</v>
      </c>
      <c r="AY83">
        <f ca="1">IFERROR(IF(0=LEN(ReferenceData!$AY$83),"",ReferenceData!$AY$83),"")</f>
        <v>595</v>
      </c>
      <c r="AZ83">
        <f ca="1">IFERROR(IF(0=LEN(ReferenceData!$AZ$83),"",ReferenceData!$AZ$83),"")</f>
        <v>572</v>
      </c>
      <c r="BA83">
        <f ca="1">IFERROR(IF(0=LEN(ReferenceData!$BA$83),"",ReferenceData!$BA$83),"")</f>
        <v>712</v>
      </c>
      <c r="BB83">
        <f ca="1">IFERROR(IF(0=LEN(ReferenceData!$BB$83),"",ReferenceData!$BB$83),"")</f>
        <v>527</v>
      </c>
      <c r="BC83">
        <f ca="1">IFERROR(IF(0=LEN(ReferenceData!$BC$83),"",ReferenceData!$BC$83),"")</f>
        <v>586</v>
      </c>
      <c r="BD83">
        <f ca="1">IFERROR(IF(0=LEN(ReferenceData!$BD$83),"",ReferenceData!$BD$83),"")</f>
        <v>554</v>
      </c>
      <c r="BE83">
        <f ca="1">IFERROR(IF(0=LEN(ReferenceData!$BE$83),"",ReferenceData!$BE$83),"")</f>
        <v>613</v>
      </c>
      <c r="BF83" t="str">
        <f ca="1">IFERROR(IF(0=LEN(ReferenceData!$BF$83),"",ReferenceData!$BF$83),"")</f>
        <v/>
      </c>
      <c r="BG83" t="str">
        <f ca="1">IFERROR(IF(0=LEN(ReferenceData!$BG$83),"",ReferenceData!$BG$83),"")</f>
        <v/>
      </c>
      <c r="BH83" t="str">
        <f ca="1">IFERROR(IF(0=LEN(ReferenceData!$BH$83),"",ReferenceData!$BH$83),"")</f>
        <v/>
      </c>
      <c r="BI83" t="str">
        <f ca="1">IFERROR(IF(0=LEN(ReferenceData!$BI$83),"",ReferenceData!$BI$83),"")</f>
        <v/>
      </c>
      <c r="BJ83" t="str">
        <f ca="1">IFERROR(IF(0=LEN(ReferenceData!$BJ$83),"",ReferenceData!$BJ$83),"")</f>
        <v/>
      </c>
      <c r="BK83" t="str">
        <f ca="1">IFERROR(IF(0=LEN(ReferenceData!$BK$83),"",ReferenceData!$BK$83),"")</f>
        <v/>
      </c>
      <c r="BL83" t="str">
        <f ca="1">IFERROR(IF(0=LEN(ReferenceData!$BL$83),"",ReferenceData!$BL$83),"")</f>
        <v/>
      </c>
      <c r="BM83" t="str">
        <f ca="1">IFERROR(IF(0=LEN(ReferenceData!$BM$83),"",ReferenceData!$BM$83),"")</f>
        <v/>
      </c>
    </row>
    <row r="84" spans="1:65" x14ac:dyDescent="0.25">
      <c r="A84" t="str">
        <f>IFERROR(IF(0=LEN(ReferenceData!$A$84),"",ReferenceData!$A$84),"")</f>
        <v xml:space="preserve">        Bugatti</v>
      </c>
      <c r="B84" t="str">
        <f>IFERROR(IF(0=LEN(ReferenceData!$B$84),"",ReferenceData!$B$84),"")</f>
        <v>VOW GR Equity</v>
      </c>
      <c r="C84" t="str">
        <f>IFERROR(IF(0=LEN(ReferenceData!$C$84),"",ReferenceData!$C$84),"")</f>
        <v>BI047</v>
      </c>
      <c r="D84" t="str">
        <f>IFERROR(IF(0=LEN(ReferenceData!$D$84),"",ReferenceData!$D$84),"")</f>
        <v>BICS_SEGMENT_DATA</v>
      </c>
      <c r="E84" t="str">
        <f>IFERROR(IF(0=LEN(ReferenceData!$E$84),"",ReferenceData!$E$84),"")</f>
        <v>Dynamic</v>
      </c>
      <c r="F84" t="str">
        <f ca="1">IFERROR(IF(0=LEN(ReferenceData!$F$84),"",ReferenceData!$F$84),"")</f>
        <v/>
      </c>
      <c r="G84" t="str">
        <f ca="1">IFERROR(IF(0=LEN(ReferenceData!$G$84),"",ReferenceData!$G$84),"")</f>
        <v/>
      </c>
      <c r="H84">
        <f ca="1">IFERROR(IF(0=LEN(ReferenceData!$H$84),"",ReferenceData!$H$84),"")</f>
        <v>18</v>
      </c>
      <c r="I84">
        <f ca="1">IFERROR(IF(0=LEN(ReferenceData!$I$84),"",ReferenceData!$I$84),"")</f>
        <v>17</v>
      </c>
      <c r="J84">
        <f ca="1">IFERROR(IF(0=LEN(ReferenceData!$J$84),"",ReferenceData!$J$84),"")</f>
        <v>17</v>
      </c>
      <c r="K84">
        <f ca="1">IFERROR(IF(0=LEN(ReferenceData!$K$84),"",ReferenceData!$K$84),"")</f>
        <v>29</v>
      </c>
      <c r="L84">
        <f ca="1">IFERROR(IF(0=LEN(ReferenceData!$L$84),"",ReferenceData!$L$84),"")</f>
        <v>22</v>
      </c>
      <c r="M84">
        <f ca="1">IFERROR(IF(0=LEN(ReferenceData!$M$84),"",ReferenceData!$M$84),"")</f>
        <v>18</v>
      </c>
      <c r="N84">
        <f ca="1">IFERROR(IF(0=LEN(ReferenceData!$N$84),"",ReferenceData!$N$84),"")</f>
        <v>2</v>
      </c>
      <c r="O84">
        <f ca="1">IFERROR(IF(0=LEN(ReferenceData!$O$84),"",ReferenceData!$O$84),"")</f>
        <v>0</v>
      </c>
      <c r="P84">
        <f ca="1">IFERROR(IF(0=LEN(ReferenceData!$P$84),"",ReferenceData!$P$84),"")</f>
        <v>1</v>
      </c>
      <c r="Q84">
        <f ca="1">IFERROR(IF(0=LEN(ReferenceData!$Q$84),"",ReferenceData!$Q$84),"")</f>
        <v>0</v>
      </c>
      <c r="R84">
        <f ca="1">IFERROR(IF(0=LEN(ReferenceData!$R$84),"",ReferenceData!$R$84),"")</f>
        <v>0</v>
      </c>
      <c r="S84">
        <f ca="1">IFERROR(IF(0=LEN(ReferenceData!$S$84),"",ReferenceData!$S$84),"")</f>
        <v>4</v>
      </c>
      <c r="T84">
        <f ca="1">IFERROR(IF(0=LEN(ReferenceData!$T$84),"",ReferenceData!$T$84),"")</f>
        <v>2</v>
      </c>
      <c r="U84">
        <f ca="1">IFERROR(IF(0=LEN(ReferenceData!$U$84),"",ReferenceData!$U$84),"")</f>
        <v>7</v>
      </c>
      <c r="V84">
        <f ca="1">IFERROR(IF(0=LEN(ReferenceData!$V$84),"",ReferenceData!$V$84),"")</f>
        <v>10</v>
      </c>
      <c r="W84">
        <f ca="1">IFERROR(IF(0=LEN(ReferenceData!$W$84),"",ReferenceData!$W$84),"")</f>
        <v>9</v>
      </c>
      <c r="X84">
        <f ca="1">IFERROR(IF(0=LEN(ReferenceData!$X$84),"",ReferenceData!$X$84),"")</f>
        <v>17</v>
      </c>
      <c r="Y84">
        <f ca="1">IFERROR(IF(0=LEN(ReferenceData!$Y$84),"",ReferenceData!$Y$84),"")</f>
        <v>11</v>
      </c>
      <c r="Z84">
        <f ca="1">IFERROR(IF(0=LEN(ReferenceData!$Z$84),"",ReferenceData!$Z$84),"")</f>
        <v>8</v>
      </c>
      <c r="AA84">
        <f ca="1">IFERROR(IF(0=LEN(ReferenceData!$AA$84),"",ReferenceData!$AA$84),"")</f>
        <v>21</v>
      </c>
      <c r="AB84">
        <f ca="1">IFERROR(IF(0=LEN(ReferenceData!$AB$84),"",ReferenceData!$AB$84),"")</f>
        <v>10</v>
      </c>
      <c r="AC84">
        <f ca="1">IFERROR(IF(0=LEN(ReferenceData!$AC$84),"",ReferenceData!$AC$84),"")</f>
        <v>9</v>
      </c>
      <c r="AD84">
        <f ca="1">IFERROR(IF(0=LEN(ReferenceData!$AD$84),"",ReferenceData!$AD$84),"")</f>
        <v>7</v>
      </c>
      <c r="AE84">
        <f ca="1">IFERROR(IF(0=LEN(ReferenceData!$AE$84),"",ReferenceData!$AE$84),"")</f>
        <v>9</v>
      </c>
      <c r="AF84">
        <f ca="1">IFERROR(IF(0=LEN(ReferenceData!$AF$84),"",ReferenceData!$AF$84),"")</f>
        <v>8</v>
      </c>
      <c r="AG84">
        <f ca="1">IFERROR(IF(0=LEN(ReferenceData!$AG$84),"",ReferenceData!$AG$84),"")</f>
        <v>7</v>
      </c>
      <c r="AH84">
        <f ca="1">IFERROR(IF(0=LEN(ReferenceData!$AH$84),"",ReferenceData!$AH$84),"")</f>
        <v>7</v>
      </c>
      <c r="AI84">
        <f ca="1">IFERROR(IF(0=LEN(ReferenceData!$AI$84),"",ReferenceData!$AI$84),"")</f>
        <v>13</v>
      </c>
      <c r="AJ84">
        <f ca="1">IFERROR(IF(0=LEN(ReferenceData!$AJ$84),"",ReferenceData!$AJ$84),"")</f>
        <v>11</v>
      </c>
      <c r="AK84">
        <f ca="1">IFERROR(IF(0=LEN(ReferenceData!$AK$84),"",ReferenceData!$AK$84),"")</f>
        <v>8</v>
      </c>
      <c r="AL84">
        <f ca="1">IFERROR(IF(0=LEN(ReferenceData!$AL$84),"",ReferenceData!$AL$84),"")</f>
        <v>6</v>
      </c>
      <c r="AM84">
        <f ca="1">IFERROR(IF(0=LEN(ReferenceData!$AM$84),"",ReferenceData!$AM$84),"")</f>
        <v>12</v>
      </c>
      <c r="AN84">
        <f ca="1">IFERROR(IF(0=LEN(ReferenceData!$AN$84),"",ReferenceData!$AN$84),"")</f>
        <v>7</v>
      </c>
      <c r="AO84">
        <f ca="1">IFERROR(IF(0=LEN(ReferenceData!$AO$84),"",ReferenceData!$AO$84),"")</f>
        <v>10</v>
      </c>
      <c r="AP84">
        <f ca="1">IFERROR(IF(0=LEN(ReferenceData!$AP$84),"",ReferenceData!$AP$84),"")</f>
        <v>11</v>
      </c>
      <c r="AQ84">
        <f ca="1">IFERROR(IF(0=LEN(ReferenceData!$AQ$84),"",ReferenceData!$AQ$84),"")</f>
        <v>17</v>
      </c>
      <c r="AR84">
        <f ca="1">IFERROR(IF(0=LEN(ReferenceData!$AR$84),"",ReferenceData!$AR$84),"")</f>
        <v>10</v>
      </c>
      <c r="AS84">
        <f ca="1">IFERROR(IF(0=LEN(ReferenceData!$AS$84),"",ReferenceData!$AS$84),"")</f>
        <v>11</v>
      </c>
      <c r="AT84">
        <f ca="1">IFERROR(IF(0=LEN(ReferenceData!$AT$84),"",ReferenceData!$AT$84),"")</f>
        <v>12</v>
      </c>
      <c r="AU84">
        <f ca="1">IFERROR(IF(0=LEN(ReferenceData!$AU$84),"",ReferenceData!$AU$84),"")</f>
        <v>20</v>
      </c>
      <c r="AV84">
        <f ca="1">IFERROR(IF(0=LEN(ReferenceData!$AV$84),"",ReferenceData!$AV$84),"")</f>
        <v>16</v>
      </c>
      <c r="AW84">
        <f ca="1">IFERROR(IF(0=LEN(ReferenceData!$AW$84),"",ReferenceData!$AW$84),"")</f>
        <v>20</v>
      </c>
      <c r="AX84">
        <f ca="1">IFERROR(IF(0=LEN(ReferenceData!$AX$84),"",ReferenceData!$AX$84),"")</f>
        <v>15</v>
      </c>
      <c r="AY84">
        <f ca="1">IFERROR(IF(0=LEN(ReferenceData!$AY$84),"",ReferenceData!$AY$84),"")</f>
        <v>22</v>
      </c>
      <c r="AZ84">
        <f ca="1">IFERROR(IF(0=LEN(ReferenceData!$AZ$84),"",ReferenceData!$AZ$84),"")</f>
        <v>22</v>
      </c>
      <c r="BA84">
        <f ca="1">IFERROR(IF(0=LEN(ReferenceData!$BA$84),"",ReferenceData!$BA$84),"")</f>
        <v>19</v>
      </c>
      <c r="BB84">
        <f ca="1">IFERROR(IF(0=LEN(ReferenceData!$BB$84),"",ReferenceData!$BB$84),"")</f>
        <v>18</v>
      </c>
      <c r="BC84">
        <f ca="1">IFERROR(IF(0=LEN(ReferenceData!$BC$84),"",ReferenceData!$BC$84),"")</f>
        <v>20</v>
      </c>
      <c r="BD84">
        <f ca="1">IFERROR(IF(0=LEN(ReferenceData!$BD$84),"",ReferenceData!$BD$84),"")</f>
        <v>9</v>
      </c>
      <c r="BE84">
        <f ca="1">IFERROR(IF(0=LEN(ReferenceData!$BE$84),"",ReferenceData!$BE$84),"")</f>
        <v>11</v>
      </c>
      <c r="BF84" t="str">
        <f ca="1">IFERROR(IF(0=LEN(ReferenceData!$BF$84),"",ReferenceData!$BF$84),"")</f>
        <v/>
      </c>
      <c r="BG84" t="str">
        <f ca="1">IFERROR(IF(0=LEN(ReferenceData!$BG$84),"",ReferenceData!$BG$84),"")</f>
        <v/>
      </c>
      <c r="BH84" t="str">
        <f ca="1">IFERROR(IF(0=LEN(ReferenceData!$BH$84),"",ReferenceData!$BH$84),"")</f>
        <v/>
      </c>
      <c r="BI84" t="str">
        <f ca="1">IFERROR(IF(0=LEN(ReferenceData!$BI$84),"",ReferenceData!$BI$84),"")</f>
        <v/>
      </c>
      <c r="BJ84" t="str">
        <f ca="1">IFERROR(IF(0=LEN(ReferenceData!$BJ$84),"",ReferenceData!$BJ$84),"")</f>
        <v/>
      </c>
      <c r="BK84" t="str">
        <f ca="1">IFERROR(IF(0=LEN(ReferenceData!$BK$84),"",ReferenceData!$BK$84),"")</f>
        <v/>
      </c>
      <c r="BL84" t="str">
        <f ca="1">IFERROR(IF(0=LEN(ReferenceData!$BL$84),"",ReferenceData!$BL$84),"")</f>
        <v/>
      </c>
      <c r="BM84" t="str">
        <f ca="1">IFERROR(IF(0=LEN(ReferenceData!$BM$84),"",ReferenceData!$BM$84),"")</f>
        <v/>
      </c>
    </row>
    <row r="85" spans="1:65" x14ac:dyDescent="0.25">
      <c r="A85" t="str">
        <f>IFERROR(IF(0=LEN(ReferenceData!$A$85),"",ReferenceData!$A$85),"")</f>
        <v xml:space="preserve">    General Motors Co</v>
      </c>
      <c r="B85" t="str">
        <f>IFERROR(IF(0=LEN(ReferenceData!$B$85),"",ReferenceData!$B$85),"")</f>
        <v/>
      </c>
      <c r="C85" t="str">
        <f>IFERROR(IF(0=LEN(ReferenceData!$C$85),"",ReferenceData!$C$85),"")</f>
        <v/>
      </c>
      <c r="D85" t="str">
        <f>IFERROR(IF(0=LEN(ReferenceData!$D$85),"",ReferenceData!$D$85),"")</f>
        <v/>
      </c>
      <c r="E85" t="str">
        <f>IFERROR(IF(0=LEN(ReferenceData!$E$85),"",ReferenceData!$E$85),"")</f>
        <v>Sum</v>
      </c>
      <c r="F85" t="str">
        <f ca="1">IFERROR(IF(0=LEN(ReferenceData!$F$85),"",ReferenceData!$F$85),"")</f>
        <v/>
      </c>
      <c r="G85">
        <f ca="1">IFERROR(IF(0=LEN(ReferenceData!$G$85),"",ReferenceData!$G$85),"")</f>
        <v>2248000</v>
      </c>
      <c r="H85">
        <f ca="1">IFERROR(IF(0=LEN(ReferenceData!$H$85),"",ReferenceData!$H$85),"")</f>
        <v>1977000</v>
      </c>
      <c r="I85">
        <f ca="1">IFERROR(IF(0=LEN(ReferenceData!$I$85),"",ReferenceData!$I$85),"")</f>
        <v>2063000</v>
      </c>
      <c r="J85">
        <f ca="1">IFERROR(IF(0=LEN(ReferenceData!$J$85),"",ReferenceData!$J$85),"")</f>
        <v>2096000</v>
      </c>
      <c r="K85">
        <f ca="1">IFERROR(IF(0=LEN(ReferenceData!$K$85),"",ReferenceData!$K$85),"")</f>
        <v>2596000</v>
      </c>
      <c r="L85">
        <f ca="1">IFERROR(IF(0=LEN(ReferenceData!$L$85),"",ReferenceData!$L$85),"")</f>
        <v>2319000</v>
      </c>
      <c r="M85">
        <f ca="1">IFERROR(IF(0=LEN(ReferenceData!$M$85),"",ReferenceData!$M$85),"")</f>
        <v>2343000</v>
      </c>
      <c r="N85">
        <f ca="1">IFERROR(IF(0=LEN(ReferenceData!$N$85),"",ReferenceData!$N$85),"")</f>
        <v>2344000</v>
      </c>
      <c r="O85">
        <f ca="1">IFERROR(IF(0=LEN(ReferenceData!$O$85),"",ReferenceData!$O$85),"")</f>
        <v>2856000</v>
      </c>
      <c r="P85">
        <f ca="1">IFERROR(IF(0=LEN(ReferenceData!$P$85),"",ReferenceData!$P$85),"")</f>
        <v>2391000</v>
      </c>
      <c r="Q85">
        <f ca="1">IFERROR(IF(0=LEN(ReferenceData!$Q$85),"",ReferenceData!$Q$85),"")</f>
        <v>2390000</v>
      </c>
      <c r="R85">
        <f ca="1">IFERROR(IF(0=LEN(ReferenceData!$R$85),"",ReferenceData!$R$85),"")</f>
        <v>2378000</v>
      </c>
      <c r="S85">
        <f ca="1">IFERROR(IF(0=LEN(ReferenceData!$S$85),"",ReferenceData!$S$85),"")</f>
        <v>2721000</v>
      </c>
      <c r="T85">
        <f ca="1">IFERROR(IF(0=LEN(ReferenceData!$T$85),"",ReferenceData!$T$85),"")</f>
        <v>2376000</v>
      </c>
      <c r="U85">
        <f ca="1">IFERROR(IF(0=LEN(ReferenceData!$U$85),"",ReferenceData!$U$85),"")</f>
        <v>2462000</v>
      </c>
      <c r="V85">
        <f ca="1">IFERROR(IF(0=LEN(ReferenceData!$V$85),"",ReferenceData!$V$85),"")</f>
        <v>2399000</v>
      </c>
      <c r="W85">
        <f ca="1">IFERROR(IF(0=LEN(ReferenceData!$W$85),"",ReferenceData!$W$85),"")</f>
        <v>2553000</v>
      </c>
      <c r="X85">
        <f ca="1">IFERROR(IF(0=LEN(ReferenceData!$X$85),"",ReferenceData!$X$85),"")</f>
        <v>2450000</v>
      </c>
      <c r="Y85">
        <f ca="1">IFERROR(IF(0=LEN(ReferenceData!$Y$85),"",ReferenceData!$Y$85),"")</f>
        <v>2506000</v>
      </c>
      <c r="Z85">
        <f ca="1">IFERROR(IF(0=LEN(ReferenceData!$Z$85),"",ReferenceData!$Z$85),"")</f>
        <v>2416000</v>
      </c>
      <c r="AA85">
        <f ca="1">IFERROR(IF(0=LEN(ReferenceData!$AA$85),"",ReferenceData!$AA$85),"")</f>
        <v>2471000</v>
      </c>
      <c r="AB85">
        <f ca="1">IFERROR(IF(0=LEN(ReferenceData!$AB$85),"",ReferenceData!$AB$85),"")</f>
        <v>2397000</v>
      </c>
      <c r="AC85">
        <f ca="1">IFERROR(IF(0=LEN(ReferenceData!$AC$85),"",ReferenceData!$AC$85),"")</f>
        <v>2492000</v>
      </c>
      <c r="AD85">
        <f ca="1">IFERROR(IF(0=LEN(ReferenceData!$AD$85),"",ReferenceData!$AD$85),"")</f>
        <v>2361000</v>
      </c>
      <c r="AE85">
        <f ca="1">IFERROR(IF(0=LEN(ReferenceData!$AE$85),"",ReferenceData!$AE$85),"")</f>
        <v>2334000</v>
      </c>
      <c r="AF85">
        <f ca="1">IFERROR(IF(0=LEN(ReferenceData!$AF$85),"",ReferenceData!$AF$85),"")</f>
        <v>2273000</v>
      </c>
      <c r="AG85">
        <f ca="1">IFERROR(IF(0=LEN(ReferenceData!$AG$85),"",ReferenceData!$AG$85),"")</f>
        <v>2392000</v>
      </c>
      <c r="AH85">
        <f ca="1">IFERROR(IF(0=LEN(ReferenceData!$AH$85),"",ReferenceData!$AH$85),"")</f>
        <v>2278000</v>
      </c>
      <c r="AI85">
        <f ca="1">IFERROR(IF(0=LEN(ReferenceData!$AI$85),"",ReferenceData!$AI$85),"")</f>
        <v>2236000</v>
      </c>
      <c r="AJ85">
        <f ca="1">IFERROR(IF(0=LEN(ReferenceData!$AJ$85),"",ReferenceData!$AJ$85),"")</f>
        <v>2245000</v>
      </c>
      <c r="AK85">
        <f ca="1">IFERROR(IF(0=LEN(ReferenceData!$AK$85),"",ReferenceData!$AK$85),"")</f>
        <v>2320000</v>
      </c>
      <c r="AL85">
        <f ca="1">IFERROR(IF(0=LEN(ReferenceData!$AL$85),"",ReferenceData!$AL$85),"")</f>
        <v>2218000</v>
      </c>
      <c r="AM85">
        <f ca="1">IFERROR(IF(0=LEN(ReferenceData!$AM$85),"",ReferenceData!$AM$85),"")</f>
        <v>2172000</v>
      </c>
      <c r="AN85">
        <f ca="1">IFERROR(IF(0=LEN(ReferenceData!$AN$85),"",ReferenceData!$AN$85),"")</f>
        <v>2062000</v>
      </c>
      <c r="AO85">
        <f ca="1">IFERROR(IF(0=LEN(ReferenceData!$AO$85),"",ReferenceData!$AO$85),"")</f>
        <v>2162000</v>
      </c>
      <c r="AP85">
        <f ca="1">IFERROR(IF(0=LEN(ReferenceData!$AP$85),"",ReferenceData!$AP$85),"")</f>
        <v>1999000</v>
      </c>
      <c r="AQ85">
        <f ca="1">IFERROR(IF(0=LEN(ReferenceData!$AQ$85),"",ReferenceData!$AQ$85),"")</f>
        <v>1952000</v>
      </c>
      <c r="AR85">
        <f ca="1">IFERROR(IF(0=LEN(ReferenceData!$AR$85),"",ReferenceData!$AR$85),"")</f>
        <v>1972000</v>
      </c>
      <c r="AS85">
        <f ca="1">IFERROR(IF(0=LEN(ReferenceData!$AS$85),"",ReferenceData!$AS$85),"")</f>
        <v>3876000</v>
      </c>
      <c r="AT85">
        <f ca="1">IFERROR(IF(0=LEN(ReferenceData!$AT$85),"",ReferenceData!$AT$85),"")</f>
        <v>3233000</v>
      </c>
      <c r="AU85">
        <f ca="1">IFERROR(IF(0=LEN(ReferenceData!$AU$85),"",ReferenceData!$AU$85),"")</f>
        <v>1701000</v>
      </c>
      <c r="AV85">
        <f ca="1">IFERROR(IF(0=LEN(ReferenceData!$AV$85),"",ReferenceData!$AV$85),"")</f>
        <v>2115000</v>
      </c>
      <c r="AW85">
        <f ca="1">IFERROR(IF(0=LEN(ReferenceData!$AW$85),"",ReferenceData!$AW$85),"")</f>
        <v>2287000</v>
      </c>
      <c r="AX85">
        <f ca="1">IFERROR(IF(0=LEN(ReferenceData!$AX$85),"",ReferenceData!$AX$85),"")</f>
        <v>2253000</v>
      </c>
      <c r="AY85">
        <f ca="1">IFERROR(IF(0=LEN(ReferenceData!$AY$85),"",ReferenceData!$AY$85),"")</f>
        <v>2309000</v>
      </c>
      <c r="AZ85">
        <f ca="1">IFERROR(IF(0=LEN(ReferenceData!$AZ$85),"",ReferenceData!$AZ$85),"")</f>
        <v>2388000</v>
      </c>
      <c r="BA85">
        <f ca="1">IFERROR(IF(0=LEN(ReferenceData!$BA$85),"",ReferenceData!$BA$85),"")</f>
        <v>2406000</v>
      </c>
      <c r="BB85">
        <f ca="1">IFERROR(IF(0=LEN(ReferenceData!$BB$85),"",ReferenceData!$BB$85),"")</f>
        <v>2267000</v>
      </c>
      <c r="BC85">
        <f ca="1">IFERROR(IF(0=LEN(ReferenceData!$BC$85),"",ReferenceData!$BC$85),"")</f>
        <v>2200000</v>
      </c>
      <c r="BD85">
        <f ca="1">IFERROR(IF(0=LEN(ReferenceData!$BD$85),"",ReferenceData!$BD$85),"")</f>
        <v>2295000</v>
      </c>
      <c r="BE85">
        <f ca="1">IFERROR(IF(0=LEN(ReferenceData!$BE$85),"",ReferenceData!$BE$85),"")</f>
        <v>2396000</v>
      </c>
      <c r="BF85">
        <f ca="1">IFERROR(IF(0=LEN(ReferenceData!$BF$85),"",ReferenceData!$BF$85),"")</f>
        <v>2200000</v>
      </c>
      <c r="BG85">
        <f ca="1">IFERROR(IF(0=LEN(ReferenceData!$BG$85),"",ReferenceData!$BG$85),"")</f>
        <v>2104000</v>
      </c>
      <c r="BH85">
        <f ca="1">IFERROR(IF(0=LEN(ReferenceData!$BH$85),"",ReferenceData!$BH$85),"")</f>
        <v>2174000</v>
      </c>
      <c r="BI85">
        <f ca="1">IFERROR(IF(0=LEN(ReferenceData!$BI$85),"",ReferenceData!$BI$85),"")</f>
        <v>2344000</v>
      </c>
      <c r="BJ85">
        <f ca="1">IFERROR(IF(0=LEN(ReferenceData!$BJ$85),"",ReferenceData!$BJ$85),"")</f>
        <v>2211000</v>
      </c>
      <c r="BK85">
        <f ca="1">IFERROR(IF(0=LEN(ReferenceData!$BK$85),"",ReferenceData!$BK$85),"")</f>
        <v>2120000</v>
      </c>
      <c r="BL85">
        <f ca="1">IFERROR(IF(0=LEN(ReferenceData!$BL$85),"",ReferenceData!$BL$85),"")</f>
        <v>2119000</v>
      </c>
      <c r="BM85">
        <f ca="1">IFERROR(IF(0=LEN(ReferenceData!$BM$85),"",ReferenceData!$BM$85),"")</f>
        <v>2402000</v>
      </c>
    </row>
    <row r="86" spans="1:65" x14ac:dyDescent="0.25">
      <c r="A86" t="str">
        <f>IFERROR(IF(0=LEN(ReferenceData!$A$86),"",ReferenceData!$A$86),"")</f>
        <v xml:space="preserve">        New GM</v>
      </c>
      <c r="B86" t="str">
        <f>IFERROR(IF(0=LEN(ReferenceData!$B$86),"",ReferenceData!$B$86),"")</f>
        <v>GM US Equity</v>
      </c>
      <c r="C86" t="str">
        <f>IFERROR(IF(0=LEN(ReferenceData!$C$86),"",ReferenceData!$C$86),"")</f>
        <v>FS265</v>
      </c>
      <c r="D86" t="str">
        <f>IFERROR(IF(0=LEN(ReferenceData!$D$86),"",ReferenceData!$D$86),"")</f>
        <v>AUTO_VEHICLES_SOLD_WW</v>
      </c>
      <c r="E86" t="str">
        <f>IFERROR(IF(0=LEN(ReferenceData!$E$86),"",ReferenceData!$E$86),"")</f>
        <v>Dynamic</v>
      </c>
      <c r="F86" t="str">
        <f ca="1">IFERROR(IF(0=LEN(ReferenceData!$F$86),"",ReferenceData!$F$86),"")</f>
        <v/>
      </c>
      <c r="G86">
        <f ca="1">IFERROR(IF(0=LEN(ReferenceData!$G$86),"",ReferenceData!$G$86),"")</f>
        <v>2248000</v>
      </c>
      <c r="H86">
        <f ca="1">IFERROR(IF(0=LEN(ReferenceData!$H$86),"",ReferenceData!$H$86),"")</f>
        <v>1977000</v>
      </c>
      <c r="I86">
        <f ca="1">IFERROR(IF(0=LEN(ReferenceData!$I$86),"",ReferenceData!$I$86),"")</f>
        <v>2063000</v>
      </c>
      <c r="J86">
        <f ca="1">IFERROR(IF(0=LEN(ReferenceData!$J$86),"",ReferenceData!$J$86),"")</f>
        <v>2096000</v>
      </c>
      <c r="K86">
        <f ca="1">IFERROR(IF(0=LEN(ReferenceData!$K$86),"",ReferenceData!$K$86),"")</f>
        <v>2596000</v>
      </c>
      <c r="L86">
        <f ca="1">IFERROR(IF(0=LEN(ReferenceData!$L$86),"",ReferenceData!$L$86),"")</f>
        <v>2319000</v>
      </c>
      <c r="M86">
        <f ca="1">IFERROR(IF(0=LEN(ReferenceData!$M$86),"",ReferenceData!$M$86),"")</f>
        <v>2343000</v>
      </c>
      <c r="N86">
        <f ca="1">IFERROR(IF(0=LEN(ReferenceData!$N$86),"",ReferenceData!$N$86),"")</f>
        <v>2344000</v>
      </c>
      <c r="O86">
        <f ca="1">IFERROR(IF(0=LEN(ReferenceData!$O$86),"",ReferenceData!$O$86),"")</f>
        <v>2856000</v>
      </c>
      <c r="P86">
        <f ca="1">IFERROR(IF(0=LEN(ReferenceData!$P$86),"",ReferenceData!$P$86),"")</f>
        <v>2391000</v>
      </c>
      <c r="Q86">
        <f ca="1">IFERROR(IF(0=LEN(ReferenceData!$Q$86),"",ReferenceData!$Q$86),"")</f>
        <v>2390000</v>
      </c>
      <c r="R86">
        <f ca="1">IFERROR(IF(0=LEN(ReferenceData!$R$86),"",ReferenceData!$R$86),"")</f>
        <v>2378000</v>
      </c>
      <c r="S86">
        <f ca="1">IFERROR(IF(0=LEN(ReferenceData!$S$86),"",ReferenceData!$S$86),"")</f>
        <v>2721000</v>
      </c>
      <c r="T86">
        <f ca="1">IFERROR(IF(0=LEN(ReferenceData!$T$86),"",ReferenceData!$T$86),"")</f>
        <v>2376000</v>
      </c>
      <c r="U86">
        <f ca="1">IFERROR(IF(0=LEN(ReferenceData!$U$86),"",ReferenceData!$U$86),"")</f>
        <v>2462000</v>
      </c>
      <c r="V86">
        <f ca="1">IFERROR(IF(0=LEN(ReferenceData!$V$86),"",ReferenceData!$V$86),"")</f>
        <v>2399000</v>
      </c>
      <c r="W86">
        <f ca="1">IFERROR(IF(0=LEN(ReferenceData!$W$86),"",ReferenceData!$W$86),"")</f>
        <v>2553000</v>
      </c>
      <c r="X86">
        <f ca="1">IFERROR(IF(0=LEN(ReferenceData!$X$86),"",ReferenceData!$X$86),"")</f>
        <v>2450000</v>
      </c>
      <c r="Y86">
        <f ca="1">IFERROR(IF(0=LEN(ReferenceData!$Y$86),"",ReferenceData!$Y$86),"")</f>
        <v>2506000</v>
      </c>
      <c r="Z86">
        <f ca="1">IFERROR(IF(0=LEN(ReferenceData!$Z$86),"",ReferenceData!$Z$86),"")</f>
        <v>2416000</v>
      </c>
      <c r="AA86">
        <f ca="1">IFERROR(IF(0=LEN(ReferenceData!$AA$86),"",ReferenceData!$AA$86),"")</f>
        <v>2471000</v>
      </c>
      <c r="AB86">
        <f ca="1">IFERROR(IF(0=LEN(ReferenceData!$AB$86),"",ReferenceData!$AB$86),"")</f>
        <v>2397000</v>
      </c>
      <c r="AC86">
        <f ca="1">IFERROR(IF(0=LEN(ReferenceData!$AC$86),"",ReferenceData!$AC$86),"")</f>
        <v>2492000</v>
      </c>
      <c r="AD86">
        <f ca="1">IFERROR(IF(0=LEN(ReferenceData!$AD$86),"",ReferenceData!$AD$86),"")</f>
        <v>2361000</v>
      </c>
      <c r="AE86">
        <f ca="1">IFERROR(IF(0=LEN(ReferenceData!$AE$86),"",ReferenceData!$AE$86),"")</f>
        <v>2334000</v>
      </c>
      <c r="AF86">
        <f ca="1">IFERROR(IF(0=LEN(ReferenceData!$AF$86),"",ReferenceData!$AF$86),"")</f>
        <v>2273000</v>
      </c>
      <c r="AG86">
        <f ca="1">IFERROR(IF(0=LEN(ReferenceData!$AG$86),"",ReferenceData!$AG$86),"")</f>
        <v>2392000</v>
      </c>
      <c r="AH86">
        <f ca="1">IFERROR(IF(0=LEN(ReferenceData!$AH$86),"",ReferenceData!$AH$86),"")</f>
        <v>2278000</v>
      </c>
      <c r="AI86">
        <f ca="1">IFERROR(IF(0=LEN(ReferenceData!$AI$86),"",ReferenceData!$AI$86),"")</f>
        <v>2236000</v>
      </c>
      <c r="AJ86">
        <f ca="1">IFERROR(IF(0=LEN(ReferenceData!$AJ$86),"",ReferenceData!$AJ$86),"")</f>
        <v>2245000</v>
      </c>
      <c r="AK86">
        <f ca="1">IFERROR(IF(0=LEN(ReferenceData!$AK$86),"",ReferenceData!$AK$86),"")</f>
        <v>2320000</v>
      </c>
      <c r="AL86">
        <f ca="1">IFERROR(IF(0=LEN(ReferenceData!$AL$86),"",ReferenceData!$AL$86),"")</f>
        <v>2218000</v>
      </c>
      <c r="AM86">
        <f ca="1">IFERROR(IF(0=LEN(ReferenceData!$AM$86),"",ReferenceData!$AM$86),"")</f>
        <v>2172000</v>
      </c>
      <c r="AN86">
        <f ca="1">IFERROR(IF(0=LEN(ReferenceData!$AN$86),"",ReferenceData!$AN$86),"")</f>
        <v>2062000</v>
      </c>
      <c r="AO86">
        <f ca="1">IFERROR(IF(0=LEN(ReferenceData!$AO$86),"",ReferenceData!$AO$86),"")</f>
        <v>2162000</v>
      </c>
      <c r="AP86">
        <f ca="1">IFERROR(IF(0=LEN(ReferenceData!$AP$86),"",ReferenceData!$AP$86),"")</f>
        <v>1999000</v>
      </c>
      <c r="AQ86">
        <f ca="1">IFERROR(IF(0=LEN(ReferenceData!$AQ$86),"",ReferenceData!$AQ$86),"")</f>
        <v>1952000</v>
      </c>
      <c r="AR86">
        <f ca="1">IFERROR(IF(0=LEN(ReferenceData!$AR$86),"",ReferenceData!$AR$86),"")</f>
        <v>1972000</v>
      </c>
      <c r="AS86">
        <f ca="1">IFERROR(IF(0=LEN(ReferenceData!$AS$86),"",ReferenceData!$AS$86),"")</f>
        <v>1938000</v>
      </c>
      <c r="AT86">
        <f ca="1">IFERROR(IF(0=LEN(ReferenceData!$AT$86),"",ReferenceData!$AT$86),"")</f>
        <v>1617000</v>
      </c>
      <c r="AU86" t="str">
        <f ca="1">IFERROR(IF(0=LEN(ReferenceData!$AU$86),"",ReferenceData!$AU$86),"")</f>
        <v/>
      </c>
      <c r="AV86" t="str">
        <f ca="1">IFERROR(IF(0=LEN(ReferenceData!$AV$86),"",ReferenceData!$AV$86),"")</f>
        <v/>
      </c>
      <c r="AW86" t="str">
        <f ca="1">IFERROR(IF(0=LEN(ReferenceData!$AW$86),"",ReferenceData!$AW$86),"")</f>
        <v/>
      </c>
      <c r="AX86" t="str">
        <f ca="1">IFERROR(IF(0=LEN(ReferenceData!$AX$86),"",ReferenceData!$AX$86),"")</f>
        <v/>
      </c>
      <c r="AY86" t="str">
        <f ca="1">IFERROR(IF(0=LEN(ReferenceData!$AY$86),"",ReferenceData!$AY$86),"")</f>
        <v/>
      </c>
      <c r="AZ86" t="str">
        <f ca="1">IFERROR(IF(0=LEN(ReferenceData!$AZ$86),"",ReferenceData!$AZ$86),"")</f>
        <v/>
      </c>
      <c r="BA86" t="str">
        <f ca="1">IFERROR(IF(0=LEN(ReferenceData!$BA$86),"",ReferenceData!$BA$86),"")</f>
        <v/>
      </c>
      <c r="BB86" t="str">
        <f ca="1">IFERROR(IF(0=LEN(ReferenceData!$BB$86),"",ReferenceData!$BB$86),"")</f>
        <v/>
      </c>
      <c r="BC86" t="str">
        <f ca="1">IFERROR(IF(0=LEN(ReferenceData!$BC$86),"",ReferenceData!$BC$86),"")</f>
        <v/>
      </c>
      <c r="BD86" t="str">
        <f ca="1">IFERROR(IF(0=LEN(ReferenceData!$BD$86),"",ReferenceData!$BD$86),"")</f>
        <v/>
      </c>
      <c r="BE86" t="str">
        <f ca="1">IFERROR(IF(0=LEN(ReferenceData!$BE$86),"",ReferenceData!$BE$86),"")</f>
        <v/>
      </c>
      <c r="BF86" t="str">
        <f ca="1">IFERROR(IF(0=LEN(ReferenceData!$BF$86),"",ReferenceData!$BF$86),"")</f>
        <v/>
      </c>
      <c r="BG86" t="str">
        <f ca="1">IFERROR(IF(0=LEN(ReferenceData!$BG$86),"",ReferenceData!$BG$86),"")</f>
        <v/>
      </c>
      <c r="BH86" t="str">
        <f ca="1">IFERROR(IF(0=LEN(ReferenceData!$BH$86),"",ReferenceData!$BH$86),"")</f>
        <v/>
      </c>
      <c r="BI86" t="str">
        <f ca="1">IFERROR(IF(0=LEN(ReferenceData!$BI$86),"",ReferenceData!$BI$86),"")</f>
        <v/>
      </c>
      <c r="BJ86" t="str">
        <f ca="1">IFERROR(IF(0=LEN(ReferenceData!$BJ$86),"",ReferenceData!$BJ$86),"")</f>
        <v/>
      </c>
      <c r="BK86" t="str">
        <f ca="1">IFERROR(IF(0=LEN(ReferenceData!$BK$86),"",ReferenceData!$BK$86),"")</f>
        <v/>
      </c>
      <c r="BL86" t="str">
        <f ca="1">IFERROR(IF(0=LEN(ReferenceData!$BL$86),"",ReferenceData!$BL$86),"")</f>
        <v/>
      </c>
      <c r="BM86" t="str">
        <f ca="1">IFERROR(IF(0=LEN(ReferenceData!$BM$86),"",ReferenceData!$BM$86),"")</f>
        <v/>
      </c>
    </row>
    <row r="87" spans="1:65" x14ac:dyDescent="0.25">
      <c r="A87" t="str">
        <f>IFERROR(IF(0=LEN(ReferenceData!$A$87),"",ReferenceData!$A$87),"")</f>
        <v xml:space="preserve">        Old GM</v>
      </c>
      <c r="B87" t="str">
        <f>IFERROR(IF(0=LEN(ReferenceData!$B$87),"",ReferenceData!$B$87),"")</f>
        <v>MTLQQ US Equity</v>
      </c>
      <c r="C87" t="str">
        <f>IFERROR(IF(0=LEN(ReferenceData!$C$87),"",ReferenceData!$C$87),"")</f>
        <v>FS265</v>
      </c>
      <c r="D87" t="str">
        <f>IFERROR(IF(0=LEN(ReferenceData!$D$87),"",ReferenceData!$D$87),"")</f>
        <v>AUTO_VEHICLES_SOLD_WW</v>
      </c>
      <c r="E87" t="str">
        <f>IFERROR(IF(0=LEN(ReferenceData!$E$87),"",ReferenceData!$E$87),"")</f>
        <v>Dynamic</v>
      </c>
      <c r="F87" t="str">
        <f ca="1">IFERROR(IF(0=LEN(ReferenceData!$F$87),"",ReferenceData!$F$87),"")</f>
        <v/>
      </c>
      <c r="G87" t="str">
        <f ca="1">IFERROR(IF(0=LEN(ReferenceData!$G$87),"",ReferenceData!$G$87),"")</f>
        <v/>
      </c>
      <c r="H87" t="str">
        <f ca="1">IFERROR(IF(0=LEN(ReferenceData!$H$87),"",ReferenceData!$H$87),"")</f>
        <v/>
      </c>
      <c r="I87" t="str">
        <f ca="1">IFERROR(IF(0=LEN(ReferenceData!$I$87),"",ReferenceData!$I$87),"")</f>
        <v/>
      </c>
      <c r="J87" t="str">
        <f ca="1">IFERROR(IF(0=LEN(ReferenceData!$J$87),"",ReferenceData!$J$87),"")</f>
        <v/>
      </c>
      <c r="K87" t="str">
        <f ca="1">IFERROR(IF(0=LEN(ReferenceData!$K$87),"",ReferenceData!$K$87),"")</f>
        <v/>
      </c>
      <c r="L87" t="str">
        <f ca="1">IFERROR(IF(0=LEN(ReferenceData!$L$87),"",ReferenceData!$L$87),"")</f>
        <v/>
      </c>
      <c r="M87" t="str">
        <f ca="1">IFERROR(IF(0=LEN(ReferenceData!$M$87),"",ReferenceData!$M$87),"")</f>
        <v/>
      </c>
      <c r="N87" t="str">
        <f ca="1">IFERROR(IF(0=LEN(ReferenceData!$N$87),"",ReferenceData!$N$87),"")</f>
        <v/>
      </c>
      <c r="O87" t="str">
        <f ca="1">IFERROR(IF(0=LEN(ReferenceData!$O$87),"",ReferenceData!$O$87),"")</f>
        <v/>
      </c>
      <c r="P87" t="str">
        <f ca="1">IFERROR(IF(0=LEN(ReferenceData!$P$87),"",ReferenceData!$P$87),"")</f>
        <v/>
      </c>
      <c r="Q87" t="str">
        <f ca="1">IFERROR(IF(0=LEN(ReferenceData!$Q$87),"",ReferenceData!$Q$87),"")</f>
        <v/>
      </c>
      <c r="R87" t="str">
        <f ca="1">IFERROR(IF(0=LEN(ReferenceData!$R$87),"",ReferenceData!$R$87),"")</f>
        <v/>
      </c>
      <c r="S87" t="str">
        <f ca="1">IFERROR(IF(0=LEN(ReferenceData!$S$87),"",ReferenceData!$S$87),"")</f>
        <v/>
      </c>
      <c r="T87" t="str">
        <f ca="1">IFERROR(IF(0=LEN(ReferenceData!$T$87),"",ReferenceData!$T$87),"")</f>
        <v/>
      </c>
      <c r="U87" t="str">
        <f ca="1">IFERROR(IF(0=LEN(ReferenceData!$U$87),"",ReferenceData!$U$87),"")</f>
        <v/>
      </c>
      <c r="V87" t="str">
        <f ca="1">IFERROR(IF(0=LEN(ReferenceData!$V$87),"",ReferenceData!$V$87),"")</f>
        <v/>
      </c>
      <c r="W87" t="str">
        <f ca="1">IFERROR(IF(0=LEN(ReferenceData!$W$87),"",ReferenceData!$W$87),"")</f>
        <v/>
      </c>
      <c r="X87" t="str">
        <f ca="1">IFERROR(IF(0=LEN(ReferenceData!$X$87),"",ReferenceData!$X$87),"")</f>
        <v/>
      </c>
      <c r="Y87" t="str">
        <f ca="1">IFERROR(IF(0=LEN(ReferenceData!$Y$87),"",ReferenceData!$Y$87),"")</f>
        <v/>
      </c>
      <c r="Z87" t="str">
        <f ca="1">IFERROR(IF(0=LEN(ReferenceData!$Z$87),"",ReferenceData!$Z$87),"")</f>
        <v/>
      </c>
      <c r="AA87" t="str">
        <f ca="1">IFERROR(IF(0=LEN(ReferenceData!$AA$87),"",ReferenceData!$AA$87),"")</f>
        <v/>
      </c>
      <c r="AB87" t="str">
        <f ca="1">IFERROR(IF(0=LEN(ReferenceData!$AB$87),"",ReferenceData!$AB$87),"")</f>
        <v/>
      </c>
      <c r="AC87" t="str">
        <f ca="1">IFERROR(IF(0=LEN(ReferenceData!$AC$87),"",ReferenceData!$AC$87),"")</f>
        <v/>
      </c>
      <c r="AD87" t="str">
        <f ca="1">IFERROR(IF(0=LEN(ReferenceData!$AD$87),"",ReferenceData!$AD$87),"")</f>
        <v/>
      </c>
      <c r="AE87" t="str">
        <f ca="1">IFERROR(IF(0=LEN(ReferenceData!$AE$87),"",ReferenceData!$AE$87),"")</f>
        <v/>
      </c>
      <c r="AF87" t="str">
        <f ca="1">IFERROR(IF(0=LEN(ReferenceData!$AF$87),"",ReferenceData!$AF$87),"")</f>
        <v/>
      </c>
      <c r="AG87" t="str">
        <f ca="1">IFERROR(IF(0=LEN(ReferenceData!$AG$87),"",ReferenceData!$AG$87),"")</f>
        <v/>
      </c>
      <c r="AH87" t="str">
        <f ca="1">IFERROR(IF(0=LEN(ReferenceData!$AH$87),"",ReferenceData!$AH$87),"")</f>
        <v/>
      </c>
      <c r="AI87" t="str">
        <f ca="1">IFERROR(IF(0=LEN(ReferenceData!$AI$87),"",ReferenceData!$AI$87),"")</f>
        <v/>
      </c>
      <c r="AJ87" t="str">
        <f ca="1">IFERROR(IF(0=LEN(ReferenceData!$AJ$87),"",ReferenceData!$AJ$87),"")</f>
        <v/>
      </c>
      <c r="AK87" t="str">
        <f ca="1">IFERROR(IF(0=LEN(ReferenceData!$AK$87),"",ReferenceData!$AK$87),"")</f>
        <v/>
      </c>
      <c r="AL87" t="str">
        <f ca="1">IFERROR(IF(0=LEN(ReferenceData!$AL$87),"",ReferenceData!$AL$87),"")</f>
        <v/>
      </c>
      <c r="AM87" t="str">
        <f ca="1">IFERROR(IF(0=LEN(ReferenceData!$AM$87),"",ReferenceData!$AM$87),"")</f>
        <v/>
      </c>
      <c r="AN87" t="str">
        <f ca="1">IFERROR(IF(0=LEN(ReferenceData!$AN$87),"",ReferenceData!$AN$87),"")</f>
        <v/>
      </c>
      <c r="AO87" t="str">
        <f ca="1">IFERROR(IF(0=LEN(ReferenceData!$AO$87),"",ReferenceData!$AO$87),"")</f>
        <v/>
      </c>
      <c r="AP87" t="str">
        <f ca="1">IFERROR(IF(0=LEN(ReferenceData!$AP$87),"",ReferenceData!$AP$87),"")</f>
        <v/>
      </c>
      <c r="AQ87" t="str">
        <f ca="1">IFERROR(IF(0=LEN(ReferenceData!$AQ$87),"",ReferenceData!$AQ$87),"")</f>
        <v/>
      </c>
      <c r="AR87" t="str">
        <f ca="1">IFERROR(IF(0=LEN(ReferenceData!$AR$87),"",ReferenceData!$AR$87),"")</f>
        <v/>
      </c>
      <c r="AS87">
        <f ca="1">IFERROR(IF(0=LEN(ReferenceData!$AS$87),"",ReferenceData!$AS$87),"")</f>
        <v>1938000</v>
      </c>
      <c r="AT87">
        <f ca="1">IFERROR(IF(0=LEN(ReferenceData!$AT$87),"",ReferenceData!$AT$87),"")</f>
        <v>1616000</v>
      </c>
      <c r="AU87">
        <f ca="1">IFERROR(IF(0=LEN(ReferenceData!$AU$87),"",ReferenceData!$AU$87),"")</f>
        <v>1701000</v>
      </c>
      <c r="AV87">
        <f ca="1">IFERROR(IF(0=LEN(ReferenceData!$AV$87),"",ReferenceData!$AV$87),"")</f>
        <v>2115000</v>
      </c>
      <c r="AW87">
        <f ca="1">IFERROR(IF(0=LEN(ReferenceData!$AW$87),"",ReferenceData!$AW$87),"")</f>
        <v>2287000</v>
      </c>
      <c r="AX87">
        <f ca="1">IFERROR(IF(0=LEN(ReferenceData!$AX$87),"",ReferenceData!$AX$87),"")</f>
        <v>2253000</v>
      </c>
      <c r="AY87">
        <f ca="1">IFERROR(IF(0=LEN(ReferenceData!$AY$87),"",ReferenceData!$AY$87),"")</f>
        <v>2309000</v>
      </c>
      <c r="AZ87">
        <f ca="1">IFERROR(IF(0=LEN(ReferenceData!$AZ$87),"",ReferenceData!$AZ$87),"")</f>
        <v>2388000</v>
      </c>
      <c r="BA87">
        <f ca="1">IFERROR(IF(0=LEN(ReferenceData!$BA$87),"",ReferenceData!$BA$87),"")</f>
        <v>2406000</v>
      </c>
      <c r="BB87">
        <f ca="1">IFERROR(IF(0=LEN(ReferenceData!$BB$87),"",ReferenceData!$BB$87),"")</f>
        <v>2267000</v>
      </c>
      <c r="BC87">
        <f ca="1">IFERROR(IF(0=LEN(ReferenceData!$BC$87),"",ReferenceData!$BC$87),"")</f>
        <v>2200000</v>
      </c>
      <c r="BD87">
        <f ca="1">IFERROR(IF(0=LEN(ReferenceData!$BD$87),"",ReferenceData!$BD$87),"")</f>
        <v>2295000</v>
      </c>
      <c r="BE87">
        <f ca="1">IFERROR(IF(0=LEN(ReferenceData!$BE$87),"",ReferenceData!$BE$87),"")</f>
        <v>2396000</v>
      </c>
      <c r="BF87">
        <f ca="1">IFERROR(IF(0=LEN(ReferenceData!$BF$87),"",ReferenceData!$BF$87),"")</f>
        <v>2200000</v>
      </c>
      <c r="BG87">
        <f ca="1">IFERROR(IF(0=LEN(ReferenceData!$BG$87),"",ReferenceData!$BG$87),"")</f>
        <v>2104000</v>
      </c>
      <c r="BH87">
        <f ca="1">IFERROR(IF(0=LEN(ReferenceData!$BH$87),"",ReferenceData!$BH$87),"")</f>
        <v>2174000</v>
      </c>
      <c r="BI87">
        <f ca="1">IFERROR(IF(0=LEN(ReferenceData!$BI$87),"",ReferenceData!$BI$87),"")</f>
        <v>2344000</v>
      </c>
      <c r="BJ87">
        <f ca="1">IFERROR(IF(0=LEN(ReferenceData!$BJ$87),"",ReferenceData!$BJ$87),"")</f>
        <v>2211000</v>
      </c>
      <c r="BK87">
        <f ca="1">IFERROR(IF(0=LEN(ReferenceData!$BK$87),"",ReferenceData!$BK$87),"")</f>
        <v>2120000</v>
      </c>
      <c r="BL87">
        <f ca="1">IFERROR(IF(0=LEN(ReferenceData!$BL$87),"",ReferenceData!$BL$87),"")</f>
        <v>2119000</v>
      </c>
      <c r="BM87">
        <f ca="1">IFERROR(IF(0=LEN(ReferenceData!$BM$87),"",ReferenceData!$BM$87),"")</f>
        <v>2402000</v>
      </c>
    </row>
    <row r="88" spans="1:65" x14ac:dyDescent="0.25">
      <c r="A88" t="str">
        <f>IFERROR(IF(0=LEN(ReferenceData!$A$88),"",ReferenceData!$A$88),"")</f>
        <v xml:space="preserve">    Hyundai - Kia Group</v>
      </c>
      <c r="B88" t="str">
        <f>IFERROR(IF(0=LEN(ReferenceData!$B$88),"",ReferenceData!$B$88),"")</f>
        <v/>
      </c>
      <c r="C88" t="str">
        <f>IFERROR(IF(0=LEN(ReferenceData!$C$88),"",ReferenceData!$C$88),"")</f>
        <v/>
      </c>
      <c r="D88" t="str">
        <f>IFERROR(IF(0=LEN(ReferenceData!$D$88),"",ReferenceData!$D$88),"")</f>
        <v/>
      </c>
      <c r="E88" t="str">
        <f>IFERROR(IF(0=LEN(ReferenceData!$E$88),"",ReferenceData!$E$88),"")</f>
        <v>Sum</v>
      </c>
      <c r="F88" t="str">
        <f ca="1">IFERROR(IF(0=LEN(ReferenceData!$F$88),"",ReferenceData!$F$88),"")</f>
        <v/>
      </c>
      <c r="G88" t="str">
        <f ca="1">IFERROR(IF(0=LEN(ReferenceData!$G$88),"",ReferenceData!$G$88),"")</f>
        <v/>
      </c>
      <c r="H88">
        <f ca="1">IFERROR(IF(0=LEN(ReferenceData!$H$88),"",ReferenceData!$H$88),"")</f>
        <v>1788866</v>
      </c>
      <c r="I88">
        <f ca="1">IFERROR(IF(0=LEN(ReferenceData!$I$88),"",ReferenceData!$I$88),"")</f>
        <v>928420</v>
      </c>
      <c r="J88">
        <f ca="1">IFERROR(IF(0=LEN(ReferenceData!$J$88),"",ReferenceData!$J$88),"")</f>
        <v>1671258</v>
      </c>
      <c r="K88">
        <f ca="1">IFERROR(IF(0=LEN(ReferenceData!$K$88),"",ReferenceData!$K$88),"")</f>
        <v>1919623</v>
      </c>
      <c r="L88">
        <f ca="1">IFERROR(IF(0=LEN(ReferenceData!$L$88),"",ReferenceData!$L$88),"")</f>
        <v>1761292</v>
      </c>
      <c r="M88">
        <f ca="1">IFERROR(IF(0=LEN(ReferenceData!$M$88),"",ReferenceData!$M$88),"")</f>
        <v>1797851</v>
      </c>
      <c r="N88">
        <f ca="1">IFERROR(IF(0=LEN(ReferenceData!$N$88),"",ReferenceData!$N$88),"")</f>
        <v>1719396</v>
      </c>
      <c r="O88">
        <f ca="1">IFERROR(IF(0=LEN(ReferenceData!$O$88),"",ReferenceData!$O$88),"")</f>
        <v>2197195</v>
      </c>
      <c r="P88">
        <f ca="1">IFERROR(IF(0=LEN(ReferenceData!$P$88),"",ReferenceData!$P$88),"")</f>
        <v>1803868</v>
      </c>
      <c r="Q88">
        <f ca="1">IFERROR(IF(0=LEN(ReferenceData!$Q$88),"",ReferenceData!$Q$88),"")</f>
        <v>2069388</v>
      </c>
      <c r="R88">
        <f ca="1">IFERROR(IF(0=LEN(ReferenceData!$R$88),"",ReferenceData!$R$88),"")</f>
        <v>1793539</v>
      </c>
      <c r="S88">
        <f ca="1">IFERROR(IF(0=LEN(ReferenceData!$S$88),"",ReferenceData!$S$88),"")</f>
        <v>2215958</v>
      </c>
      <c r="T88">
        <f ca="1">IFERROR(IF(0=LEN(ReferenceData!$T$88),"",ReferenceData!$T$88),"")</f>
        <v>1809779</v>
      </c>
      <c r="U88">
        <f ca="1">IFERROR(IF(0=LEN(ReferenceData!$U$88),"",ReferenceData!$U$88),"")</f>
        <v>1980184</v>
      </c>
      <c r="V88">
        <f ca="1">IFERROR(IF(0=LEN(ReferenceData!$V$88),"",ReferenceData!$V$88),"")</f>
        <v>1873669</v>
      </c>
      <c r="W88">
        <f ca="1">IFERROR(IF(0=LEN(ReferenceData!$W$88),"",ReferenceData!$W$88),"")</f>
        <v>2192215</v>
      </c>
      <c r="X88">
        <f ca="1">IFERROR(IF(0=LEN(ReferenceData!$X$88),"",ReferenceData!$X$88),"")</f>
        <v>1737596</v>
      </c>
      <c r="Y88">
        <f ca="1">IFERROR(IF(0=LEN(ReferenceData!$Y$88),"",ReferenceData!$Y$88),"")</f>
        <v>2025000</v>
      </c>
      <c r="Z88">
        <f ca="1">IFERROR(IF(0=LEN(ReferenceData!$Z$88),"",ReferenceData!$Z$88),"")</f>
        <v>1914189</v>
      </c>
      <c r="AA88">
        <f ca="1">IFERROR(IF(0=LEN(ReferenceData!$AA$88),"",ReferenceData!$AA$88),"")</f>
        <v>1904822</v>
      </c>
      <c r="AB88">
        <f ca="1">IFERROR(IF(0=LEN(ReferenceData!$AB$88),"",ReferenceData!$AB$88),"")</f>
        <v>1799502</v>
      </c>
      <c r="AC88">
        <f ca="1">IFERROR(IF(0=LEN(ReferenceData!$AC$88),"",ReferenceData!$AC$88),"")</f>
        <v>1949412</v>
      </c>
      <c r="AD88">
        <f ca="1">IFERROR(IF(0=LEN(ReferenceData!$AD$88),"",ReferenceData!$AD$88),"")</f>
        <v>1825581</v>
      </c>
      <c r="AE88">
        <f ca="1">IFERROR(IF(0=LEN(ReferenceData!$AE$88),"",ReferenceData!$AE$88),"")</f>
        <v>675095</v>
      </c>
      <c r="AF88">
        <f ca="1">IFERROR(IF(0=LEN(ReferenceData!$AF$88),"",ReferenceData!$AF$88),"")</f>
        <v>1686851</v>
      </c>
      <c r="AG88">
        <f ca="1">IFERROR(IF(0=LEN(ReferenceData!$AG$88),"",ReferenceData!$AG$88),"")</f>
        <v>1822147</v>
      </c>
      <c r="AH88">
        <f ca="1">IFERROR(IF(0=LEN(ReferenceData!$AH$88),"",ReferenceData!$AH$88),"")</f>
        <v>1708179</v>
      </c>
      <c r="AI88">
        <f ca="1">IFERROR(IF(0=LEN(ReferenceData!$AI$88),"",ReferenceData!$AI$88),"")</f>
        <v>1760613</v>
      </c>
      <c r="AJ88">
        <f ca="1">IFERROR(IF(0=LEN(ReferenceData!$AJ$88),"",ReferenceData!$AJ$88),"")</f>
        <v>1617186</v>
      </c>
      <c r="AK88">
        <f ca="1">IFERROR(IF(0=LEN(ReferenceData!$AK$88),"",ReferenceData!$AK$88),"")</f>
        <v>1683056</v>
      </c>
      <c r="AL88">
        <f ca="1">IFERROR(IF(0=LEN(ReferenceData!$AL$88),"",ReferenceData!$AL$88),"")</f>
        <v>1486735</v>
      </c>
      <c r="AM88">
        <f ca="1">IFERROR(IF(0=LEN(ReferenceData!$AM$88),"",ReferenceData!$AM$88),"")</f>
        <v>1491665</v>
      </c>
      <c r="AN88">
        <f ca="1">IFERROR(IF(0=LEN(ReferenceData!$AN$88),"",ReferenceData!$AN$88),"")</f>
        <v>1423500</v>
      </c>
      <c r="AO88">
        <f ca="1">IFERROR(IF(0=LEN(ReferenceData!$AO$88),"",ReferenceData!$AO$88),"")</f>
        <v>927848</v>
      </c>
      <c r="AP88">
        <f ca="1">IFERROR(IF(0=LEN(ReferenceData!$AP$88),"",ReferenceData!$AP$88),"")</f>
        <v>846551</v>
      </c>
      <c r="AQ88" t="str">
        <f ca="1">IFERROR(IF(0=LEN(ReferenceData!$AQ$88),"",ReferenceData!$AQ$88),"")</f>
        <v/>
      </c>
      <c r="AR88" t="str">
        <f ca="1">IFERROR(IF(0=LEN(ReferenceData!$AR$88),"",ReferenceData!$AR$88),"")</f>
        <v/>
      </c>
      <c r="AS88" t="str">
        <f ca="1">IFERROR(IF(0=LEN(ReferenceData!$AS$88),"",ReferenceData!$AS$88),"")</f>
        <v/>
      </c>
      <c r="AT88" t="str">
        <f ca="1">IFERROR(IF(0=LEN(ReferenceData!$AT$88),"",ReferenceData!$AT$88),"")</f>
        <v/>
      </c>
      <c r="AU88">
        <f ca="1">IFERROR(IF(0=LEN(ReferenceData!$AU$88),"",ReferenceData!$AU$88),"")</f>
        <v>1044968</v>
      </c>
      <c r="AV88">
        <f ca="1">IFERROR(IF(0=LEN(ReferenceData!$AV$88),"",ReferenceData!$AV$88),"")</f>
        <v>928332</v>
      </c>
      <c r="AW88">
        <f ca="1">IFERROR(IF(0=LEN(ReferenceData!$AW$88),"",ReferenceData!$AW$88),"")</f>
        <v>1159239</v>
      </c>
      <c r="AX88">
        <f ca="1">IFERROR(IF(0=LEN(ReferenceData!$AX$88),"",ReferenceData!$AX$88),"")</f>
        <v>1047486</v>
      </c>
      <c r="AY88">
        <f ca="1">IFERROR(IF(0=LEN(ReferenceData!$AY$88),"",ReferenceData!$AY$88),"")</f>
        <v>1049134</v>
      </c>
      <c r="AZ88">
        <f ca="1">IFERROR(IF(0=LEN(ReferenceData!$AZ$88),"",ReferenceData!$AZ$88),"")</f>
        <v>915353</v>
      </c>
      <c r="BA88">
        <f ca="1">IFERROR(IF(0=LEN(ReferenceData!$BA$88),"",ReferenceData!$BA$88),"")</f>
        <v>1013011</v>
      </c>
      <c r="BB88">
        <f ca="1">IFERROR(IF(0=LEN(ReferenceData!$BB$88),"",ReferenceData!$BB$88),"")</f>
        <v>909130</v>
      </c>
      <c r="BC88">
        <f ca="1">IFERROR(IF(0=LEN(ReferenceData!$BC$88),"",ReferenceData!$BC$88),"")</f>
        <v>1014611</v>
      </c>
      <c r="BD88">
        <f ca="1">IFERROR(IF(0=LEN(ReferenceData!$BD$88),"",ReferenceData!$BD$88),"")</f>
        <v>870161</v>
      </c>
      <c r="BE88">
        <f ca="1">IFERROR(IF(0=LEN(ReferenceData!$BE$88),"",ReferenceData!$BE$88),"")</f>
        <v>970311</v>
      </c>
      <c r="BF88">
        <f ca="1">IFERROR(IF(0=LEN(ReferenceData!$BF$88),"",ReferenceData!$BF$88),"")</f>
        <v>851868</v>
      </c>
      <c r="BG88">
        <f ca="1">IFERROR(IF(0=LEN(ReferenceData!$BG$88),"",ReferenceData!$BG$88),"")</f>
        <v>997766</v>
      </c>
      <c r="BH88">
        <f ca="1">IFERROR(IF(0=LEN(ReferenceData!$BH$88),"",ReferenceData!$BH$88),"")</f>
        <v>853856</v>
      </c>
      <c r="BI88">
        <f ca="1">IFERROR(IF(0=LEN(ReferenceData!$BI$88),"",ReferenceData!$BI$88),"")</f>
        <v>909309</v>
      </c>
      <c r="BJ88">
        <f ca="1">IFERROR(IF(0=LEN(ReferenceData!$BJ$88),"",ReferenceData!$BJ$88),"")</f>
        <v>798288</v>
      </c>
      <c r="BK88">
        <f ca="1">IFERROR(IF(0=LEN(ReferenceData!$BK$88),"",ReferenceData!$BK$88),"")</f>
        <v>879229</v>
      </c>
      <c r="BL88">
        <f ca="1">IFERROR(IF(0=LEN(ReferenceData!$BL$88),"",ReferenceData!$BL$88),"")</f>
        <v>767843</v>
      </c>
      <c r="BM88">
        <f ca="1">IFERROR(IF(0=LEN(ReferenceData!$BM$88),"",ReferenceData!$BM$88),"")</f>
        <v>783810</v>
      </c>
    </row>
    <row r="89" spans="1:65" x14ac:dyDescent="0.25">
      <c r="A89" t="str">
        <f>IFERROR(IF(0=LEN(ReferenceData!$A$89),"",ReferenceData!$A$89),"")</f>
        <v xml:space="preserve">        Hyundai Motor Corp</v>
      </c>
      <c r="B89" t="str">
        <f>IFERROR(IF(0=LEN(ReferenceData!$B$89),"",ReferenceData!$B$89),"")</f>
        <v>005380 KS Equity</v>
      </c>
      <c r="C89" t="str">
        <f>IFERROR(IF(0=LEN(ReferenceData!$C$89),"",ReferenceData!$C$89),"")</f>
        <v>FS265</v>
      </c>
      <c r="D89" t="str">
        <f>IFERROR(IF(0=LEN(ReferenceData!$D$89),"",ReferenceData!$D$89),"")</f>
        <v>AUTO_VEHICLES_SOLD_WW</v>
      </c>
      <c r="E89" t="str">
        <f>IFERROR(IF(0=LEN(ReferenceData!$E$89),"",ReferenceData!$E$89),"")</f>
        <v>Dynamic</v>
      </c>
      <c r="F89" t="str">
        <f ca="1">IFERROR(IF(0=LEN(ReferenceData!$F$89),"",ReferenceData!$F$89),"")</f>
        <v/>
      </c>
      <c r="G89" t="str">
        <f ca="1">IFERROR(IF(0=LEN(ReferenceData!$G$89),"",ReferenceData!$G$89),"")</f>
        <v/>
      </c>
      <c r="H89">
        <f ca="1">IFERROR(IF(0=LEN(ReferenceData!$H$89),"",ReferenceData!$H$89),"")</f>
        <v>1092572</v>
      </c>
      <c r="I89">
        <f ca="1">IFERROR(IF(0=LEN(ReferenceData!$I$89),"",ReferenceData!$I$89),"")</f>
        <v>182484</v>
      </c>
      <c r="J89">
        <f ca="1">IFERROR(IF(0=LEN(ReferenceData!$J$89),"",ReferenceData!$J$89),"")</f>
        <v>1018100</v>
      </c>
      <c r="K89">
        <f ca="1">IFERROR(IF(0=LEN(ReferenceData!$K$89),"",ReferenceData!$K$89),"")</f>
        <v>1203558</v>
      </c>
      <c r="L89">
        <f ca="1">IFERROR(IF(0=LEN(ReferenceData!$L$89),"",ReferenceData!$L$89),"")</f>
        <v>1071496</v>
      </c>
      <c r="M89">
        <f ca="1">IFERROR(IF(0=LEN(ReferenceData!$M$89),"",ReferenceData!$M$89),"")</f>
        <v>1108089</v>
      </c>
      <c r="N89">
        <f ca="1">IFERROR(IF(0=LEN(ReferenceData!$N$89),"",ReferenceData!$N$89),"")</f>
        <v>1089600</v>
      </c>
      <c r="O89">
        <f ca="1">IFERROR(IF(0=LEN(ReferenceData!$O$89),"",ReferenceData!$O$89),"")</f>
        <v>1380024</v>
      </c>
      <c r="P89">
        <f ca="1">IFERROR(IF(0=LEN(ReferenceData!$P$89),"",ReferenceData!$P$89),"")</f>
        <v>1084674</v>
      </c>
      <c r="Q89">
        <f ca="1">IFERROR(IF(0=LEN(ReferenceData!$Q$89),"",ReferenceData!$Q$89),"")</f>
        <v>1285860</v>
      </c>
      <c r="R89">
        <f ca="1">IFERROR(IF(0=LEN(ReferenceData!$R$89),"",ReferenceData!$R$89),"")</f>
        <v>1107377</v>
      </c>
      <c r="S89">
        <f ca="1">IFERROR(IF(0=LEN(ReferenceData!$S$89),"",ReferenceData!$S$89),"")</f>
        <v>1425456</v>
      </c>
      <c r="T89">
        <f ca="1">IFERROR(IF(0=LEN(ReferenceData!$T$89),"",ReferenceData!$T$89),"")</f>
        <v>1121796</v>
      </c>
      <c r="U89">
        <f ca="1">IFERROR(IF(0=LEN(ReferenceData!$U$89),"",ReferenceData!$U$89),"")</f>
        <v>1234184</v>
      </c>
      <c r="V89">
        <f ca="1">IFERROR(IF(0=LEN(ReferenceData!$V$89),"",ReferenceData!$V$89),"")</f>
        <v>1182669</v>
      </c>
      <c r="W89">
        <f ca="1">IFERROR(IF(0=LEN(ReferenceData!$W$89),"",ReferenceData!$W$89),"")</f>
        <v>1440784</v>
      </c>
      <c r="X89">
        <f ca="1">IFERROR(IF(0=LEN(ReferenceData!$X$89),"",ReferenceData!$X$89),"")</f>
        <v>1025216</v>
      </c>
      <c r="Y89">
        <f ca="1">IFERROR(IF(0=LEN(ReferenceData!$Y$89),"",ReferenceData!$Y$89),"")</f>
        <v>1269000</v>
      </c>
      <c r="Z89">
        <f ca="1">IFERROR(IF(0=LEN(ReferenceData!$Z$89),"",ReferenceData!$Z$89),"")</f>
        <v>1227000</v>
      </c>
      <c r="AA89">
        <f ca="1">IFERROR(IF(0=LEN(ReferenceData!$AA$89),"",ReferenceData!$AA$89),"")</f>
        <v>1232344</v>
      </c>
      <c r="AB89">
        <f ca="1">IFERROR(IF(0=LEN(ReferenceData!$AB$89),"",ReferenceData!$AB$89),"")</f>
        <v>1109205</v>
      </c>
      <c r="AC89">
        <f ca="1">IFERROR(IF(0=LEN(ReferenceData!$AC$89),"",ReferenceData!$AC$89),"")</f>
        <v>1219118</v>
      </c>
      <c r="AD89">
        <f ca="1">IFERROR(IF(0=LEN(ReferenceData!$AD$89),"",ReferenceData!$AD$89),"")</f>
        <v>1171804</v>
      </c>
      <c r="AE89" t="str">
        <f ca="1">IFERROR(IF(0=LEN(ReferenceData!$AE$89),"",ReferenceData!$AE$89),"")</f>
        <v/>
      </c>
      <c r="AF89">
        <f ca="1">IFERROR(IF(0=LEN(ReferenceData!$AF$89),"",ReferenceData!$AF$89),"")</f>
        <v>1000742</v>
      </c>
      <c r="AG89">
        <f ca="1">IFERROR(IF(0=LEN(ReferenceData!$AG$89),"",ReferenceData!$AG$89),"")</f>
        <v>1110089</v>
      </c>
      <c r="AH89">
        <f ca="1">IFERROR(IF(0=LEN(ReferenceData!$AH$89),"",ReferenceData!$AH$89),"")</f>
        <v>1072680</v>
      </c>
      <c r="AI89">
        <f ca="1">IFERROR(IF(0=LEN(ReferenceData!$AI$89),"",ReferenceData!$AI$89),"")</f>
        <v>1109545</v>
      </c>
      <c r="AJ89">
        <f ca="1">IFERROR(IF(0=LEN(ReferenceData!$AJ$89),"",ReferenceData!$AJ$89),"")</f>
        <v>994020</v>
      </c>
      <c r="AK89">
        <f ca="1">IFERROR(IF(0=LEN(ReferenceData!$AK$89),"",ReferenceData!$AK$89),"")</f>
        <v>1044772</v>
      </c>
      <c r="AL89">
        <f ca="1">IFERROR(IF(0=LEN(ReferenceData!$AL$89),"",ReferenceData!$AL$89),"")</f>
        <v>921585</v>
      </c>
      <c r="AM89">
        <f ca="1">IFERROR(IF(0=LEN(ReferenceData!$AM$89),"",ReferenceData!$AM$89),"")</f>
        <v>948957</v>
      </c>
      <c r="AN89">
        <f ca="1">IFERROR(IF(0=LEN(ReferenceData!$AN$89),"",ReferenceData!$AN$89),"")</f>
        <v>908835</v>
      </c>
      <c r="AO89">
        <f ca="1">IFERROR(IF(0=LEN(ReferenceData!$AO$89),"",ReferenceData!$AO$89),"")</f>
        <v>927848</v>
      </c>
      <c r="AP89">
        <f ca="1">IFERROR(IF(0=LEN(ReferenceData!$AP$89),"",ReferenceData!$AP$89),"")</f>
        <v>846551</v>
      </c>
      <c r="AQ89" t="str">
        <f ca="1">IFERROR(IF(0=LEN(ReferenceData!$AQ$89),"",ReferenceData!$AQ$89),"")</f>
        <v/>
      </c>
      <c r="AR89" t="str">
        <f ca="1">IFERROR(IF(0=LEN(ReferenceData!$AR$89),"",ReferenceData!$AR$89),"")</f>
        <v/>
      </c>
      <c r="AS89" t="str">
        <f ca="1">IFERROR(IF(0=LEN(ReferenceData!$AS$89),"",ReferenceData!$AS$89),"")</f>
        <v/>
      </c>
      <c r="AT89" t="str">
        <f ca="1">IFERROR(IF(0=LEN(ReferenceData!$AT$89),"",ReferenceData!$AT$89),"")</f>
        <v/>
      </c>
      <c r="AU89">
        <f ca="1">IFERROR(IF(0=LEN(ReferenceData!$AU$89),"",ReferenceData!$AU$89),"")</f>
        <v>732619</v>
      </c>
      <c r="AV89">
        <f ca="1">IFERROR(IF(0=LEN(ReferenceData!$AV$89),"",ReferenceData!$AV$89),"")</f>
        <v>583016</v>
      </c>
      <c r="AW89">
        <f ca="1">IFERROR(IF(0=LEN(ReferenceData!$AW$89),"",ReferenceData!$AW$89),"")</f>
        <v>773007</v>
      </c>
      <c r="AX89">
        <f ca="1">IFERROR(IF(0=LEN(ReferenceData!$AX$89),"",ReferenceData!$AX$89),"")</f>
        <v>716801</v>
      </c>
      <c r="AY89">
        <f ca="1">IFERROR(IF(0=LEN(ReferenceData!$AY$89),"",ReferenceData!$AY$89),"")</f>
        <v>708471</v>
      </c>
      <c r="AZ89">
        <f ca="1">IFERROR(IF(0=LEN(ReferenceData!$AZ$89),"",ReferenceData!$AZ$89),"")</f>
        <v>606316</v>
      </c>
      <c r="BA89">
        <f ca="1">IFERROR(IF(0=LEN(ReferenceData!$BA$89),"",ReferenceData!$BA$89),"")</f>
        <v>688500</v>
      </c>
      <c r="BB89">
        <f ca="1">IFERROR(IF(0=LEN(ReferenceData!$BB$89),"",ReferenceData!$BB$89),"")</f>
        <v>614698</v>
      </c>
      <c r="BC89">
        <f ca="1">IFERROR(IF(0=LEN(ReferenceData!$BC$89),"",ReferenceData!$BC$89),"")</f>
        <v>682447</v>
      </c>
      <c r="BD89">
        <f ca="1">IFERROR(IF(0=LEN(ReferenceData!$BD$89),"",ReferenceData!$BD$89),"")</f>
        <v>576791</v>
      </c>
      <c r="BE89">
        <f ca="1">IFERROR(IF(0=LEN(ReferenceData!$BE$89),"",ReferenceData!$BE$89),"")</f>
        <v>638272</v>
      </c>
      <c r="BF89">
        <f ca="1">IFERROR(IF(0=LEN(ReferenceData!$BF$89),"",ReferenceData!$BF$89),"")</f>
        <v>566808</v>
      </c>
      <c r="BG89">
        <f ca="1">IFERROR(IF(0=LEN(ReferenceData!$BG$89),"",ReferenceData!$BG$89),"")</f>
        <v>694448</v>
      </c>
      <c r="BH89">
        <f ca="1">IFERROR(IF(0=LEN(ReferenceData!$BH$89),"",ReferenceData!$BH$89),"")</f>
        <v>544073</v>
      </c>
      <c r="BI89">
        <f ca="1">IFERROR(IF(0=LEN(ReferenceData!$BI$89),"",ReferenceData!$BI$89),"")</f>
        <v>593744</v>
      </c>
      <c r="BJ89">
        <f ca="1">IFERROR(IF(0=LEN(ReferenceData!$BJ$89),"",ReferenceData!$BJ$89),"")</f>
        <v>539542</v>
      </c>
      <c r="BK89">
        <f ca="1">IFERROR(IF(0=LEN(ReferenceData!$BK$89),"",ReferenceData!$BK$89),"")</f>
        <v>623460</v>
      </c>
      <c r="BL89">
        <f ca="1">IFERROR(IF(0=LEN(ReferenceData!$BL$89),"",ReferenceData!$BL$89),"")</f>
        <v>519430</v>
      </c>
      <c r="BM89">
        <f ca="1">IFERROR(IF(0=LEN(ReferenceData!$BM$89),"",ReferenceData!$BM$89),"")</f>
        <v>529130</v>
      </c>
    </row>
    <row r="90" spans="1:65" x14ac:dyDescent="0.25">
      <c r="A90" t="str">
        <f>IFERROR(IF(0=LEN(ReferenceData!$A$90),"",ReferenceData!$A$90),"")</f>
        <v xml:space="preserve">        Kia Motors Corp</v>
      </c>
      <c r="B90" t="str">
        <f>IFERROR(IF(0=LEN(ReferenceData!$B$90),"",ReferenceData!$B$90),"")</f>
        <v>000270 KS Equity</v>
      </c>
      <c r="C90" t="str">
        <f>IFERROR(IF(0=LEN(ReferenceData!$C$90),"",ReferenceData!$C$90),"")</f>
        <v>FS265</v>
      </c>
      <c r="D90" t="str">
        <f>IFERROR(IF(0=LEN(ReferenceData!$D$90),"",ReferenceData!$D$90),"")</f>
        <v>AUTO_VEHICLES_SOLD_WW</v>
      </c>
      <c r="E90" t="str">
        <f>IFERROR(IF(0=LEN(ReferenceData!$E$90),"",ReferenceData!$E$90),"")</f>
        <v>Dynamic</v>
      </c>
      <c r="F90" t="str">
        <f ca="1">IFERROR(IF(0=LEN(ReferenceData!$F$90),"",ReferenceData!$F$90),"")</f>
        <v/>
      </c>
      <c r="G90" t="str">
        <f ca="1">IFERROR(IF(0=LEN(ReferenceData!$G$90),"",ReferenceData!$G$90),"")</f>
        <v/>
      </c>
      <c r="H90">
        <f ca="1">IFERROR(IF(0=LEN(ReferenceData!$H$90),"",ReferenceData!$H$90),"")</f>
        <v>696294</v>
      </c>
      <c r="I90">
        <f ca="1">IFERROR(IF(0=LEN(ReferenceData!$I$90),"",ReferenceData!$I$90),"")</f>
        <v>745936</v>
      </c>
      <c r="J90">
        <f ca="1">IFERROR(IF(0=LEN(ReferenceData!$J$90),"",ReferenceData!$J$90),"")</f>
        <v>653158</v>
      </c>
      <c r="K90">
        <f ca="1">IFERROR(IF(0=LEN(ReferenceData!$K$90),"",ReferenceData!$K$90),"")</f>
        <v>716065</v>
      </c>
      <c r="L90">
        <f ca="1">IFERROR(IF(0=LEN(ReferenceData!$L$90),"",ReferenceData!$L$90),"")</f>
        <v>689796</v>
      </c>
      <c r="M90">
        <f ca="1">IFERROR(IF(0=LEN(ReferenceData!$M$90),"",ReferenceData!$M$90),"")</f>
        <v>689762</v>
      </c>
      <c r="N90">
        <f ca="1">IFERROR(IF(0=LEN(ReferenceData!$N$90),"",ReferenceData!$N$90),"")</f>
        <v>629796</v>
      </c>
      <c r="O90">
        <f ca="1">IFERROR(IF(0=LEN(ReferenceData!$O$90),"",ReferenceData!$O$90),"")</f>
        <v>817171</v>
      </c>
      <c r="P90">
        <f ca="1">IFERROR(IF(0=LEN(ReferenceData!$P$90),"",ReferenceData!$P$90),"")</f>
        <v>719194</v>
      </c>
      <c r="Q90">
        <f ca="1">IFERROR(IF(0=LEN(ReferenceData!$Q$90),"",ReferenceData!$Q$90),"")</f>
        <v>783528</v>
      </c>
      <c r="R90">
        <f ca="1">IFERROR(IF(0=LEN(ReferenceData!$R$90),"",ReferenceData!$R$90),"")</f>
        <v>686162</v>
      </c>
      <c r="S90">
        <f ca="1">IFERROR(IF(0=LEN(ReferenceData!$S$90),"",ReferenceData!$S$90),"")</f>
        <v>790502</v>
      </c>
      <c r="T90">
        <f ca="1">IFERROR(IF(0=LEN(ReferenceData!$T$90),"",ReferenceData!$T$90),"")</f>
        <v>687983</v>
      </c>
      <c r="U90">
        <f ca="1">IFERROR(IF(0=LEN(ReferenceData!$U$90),"",ReferenceData!$U$90),"")</f>
        <v>746000</v>
      </c>
      <c r="V90">
        <f ca="1">IFERROR(IF(0=LEN(ReferenceData!$V$90),"",ReferenceData!$V$90),"")</f>
        <v>691000</v>
      </c>
      <c r="W90">
        <f ca="1">IFERROR(IF(0=LEN(ReferenceData!$W$90),"",ReferenceData!$W$90),"")</f>
        <v>751431</v>
      </c>
      <c r="X90">
        <f ca="1">IFERROR(IF(0=LEN(ReferenceData!$X$90),"",ReferenceData!$X$90),"")</f>
        <v>712380</v>
      </c>
      <c r="Y90">
        <f ca="1">IFERROR(IF(0=LEN(ReferenceData!$Y$90),"",ReferenceData!$Y$90),"")</f>
        <v>756000</v>
      </c>
      <c r="Z90">
        <f ca="1">IFERROR(IF(0=LEN(ReferenceData!$Z$90),"",ReferenceData!$Z$90),"")</f>
        <v>687189</v>
      </c>
      <c r="AA90">
        <f ca="1">IFERROR(IF(0=LEN(ReferenceData!$AA$90),"",ReferenceData!$AA$90),"")</f>
        <v>672478</v>
      </c>
      <c r="AB90">
        <f ca="1">IFERROR(IF(0=LEN(ReferenceData!$AB$90),"",ReferenceData!$AB$90),"")</f>
        <v>690297</v>
      </c>
      <c r="AC90">
        <f ca="1">IFERROR(IF(0=LEN(ReferenceData!$AC$90),"",ReferenceData!$AC$90),"")</f>
        <v>730294</v>
      </c>
      <c r="AD90">
        <f ca="1">IFERROR(IF(0=LEN(ReferenceData!$AD$90),"",ReferenceData!$AD$90),"")</f>
        <v>653777</v>
      </c>
      <c r="AE90">
        <f ca="1">IFERROR(IF(0=LEN(ReferenceData!$AE$90),"",ReferenceData!$AE$90),"")</f>
        <v>675095</v>
      </c>
      <c r="AF90">
        <f ca="1">IFERROR(IF(0=LEN(ReferenceData!$AF$90),"",ReferenceData!$AF$90),"")</f>
        <v>686109</v>
      </c>
      <c r="AG90">
        <f ca="1">IFERROR(IF(0=LEN(ReferenceData!$AG$90),"",ReferenceData!$AG$90),"")</f>
        <v>712058</v>
      </c>
      <c r="AH90">
        <f ca="1">IFERROR(IF(0=LEN(ReferenceData!$AH$90),"",ReferenceData!$AH$90),"")</f>
        <v>635499</v>
      </c>
      <c r="AI90">
        <f ca="1">IFERROR(IF(0=LEN(ReferenceData!$AI$90),"",ReferenceData!$AI$90),"")</f>
        <v>651068</v>
      </c>
      <c r="AJ90">
        <f ca="1">IFERROR(IF(0=LEN(ReferenceData!$AJ$90),"",ReferenceData!$AJ$90),"")</f>
        <v>623166</v>
      </c>
      <c r="AK90">
        <f ca="1">IFERROR(IF(0=LEN(ReferenceData!$AK$90),"",ReferenceData!$AK$90),"")</f>
        <v>638284</v>
      </c>
      <c r="AL90">
        <f ca="1">IFERROR(IF(0=LEN(ReferenceData!$AL$90),"",ReferenceData!$AL$90),"")</f>
        <v>565150</v>
      </c>
      <c r="AM90">
        <f ca="1">IFERROR(IF(0=LEN(ReferenceData!$AM$90),"",ReferenceData!$AM$90),"")</f>
        <v>542708</v>
      </c>
      <c r="AN90">
        <f ca="1">IFERROR(IF(0=LEN(ReferenceData!$AN$90),"",ReferenceData!$AN$90),"")</f>
        <v>514665</v>
      </c>
      <c r="AO90" t="str">
        <f ca="1">IFERROR(IF(0=LEN(ReferenceData!$AO$90),"",ReferenceData!$AO$90),"")</f>
        <v/>
      </c>
      <c r="AP90" t="str">
        <f ca="1">IFERROR(IF(0=LEN(ReferenceData!$AP$90),"",ReferenceData!$AP$90),"")</f>
        <v/>
      </c>
      <c r="AQ90" t="str">
        <f ca="1">IFERROR(IF(0=LEN(ReferenceData!$AQ$90),"",ReferenceData!$AQ$90),"")</f>
        <v/>
      </c>
      <c r="AR90" t="str">
        <f ca="1">IFERROR(IF(0=LEN(ReferenceData!$AR$90),"",ReferenceData!$AR$90),"")</f>
        <v/>
      </c>
      <c r="AS90" t="str">
        <f ca="1">IFERROR(IF(0=LEN(ReferenceData!$AS$90),"",ReferenceData!$AS$90),"")</f>
        <v/>
      </c>
      <c r="AT90" t="str">
        <f ca="1">IFERROR(IF(0=LEN(ReferenceData!$AT$90),"",ReferenceData!$AT$90),"")</f>
        <v/>
      </c>
      <c r="AU90">
        <f ca="1">IFERROR(IF(0=LEN(ReferenceData!$AU$90),"",ReferenceData!$AU$90),"")</f>
        <v>312349</v>
      </c>
      <c r="AV90">
        <f ca="1">IFERROR(IF(0=LEN(ReferenceData!$AV$90),"",ReferenceData!$AV$90),"")</f>
        <v>345316</v>
      </c>
      <c r="AW90">
        <f ca="1">IFERROR(IF(0=LEN(ReferenceData!$AW$90),"",ReferenceData!$AW$90),"")</f>
        <v>386232</v>
      </c>
      <c r="AX90">
        <f ca="1">IFERROR(IF(0=LEN(ReferenceData!$AX$90),"",ReferenceData!$AX$90),"")</f>
        <v>330685</v>
      </c>
      <c r="AY90">
        <f ca="1">IFERROR(IF(0=LEN(ReferenceData!$AY$90),"",ReferenceData!$AY$90),"")</f>
        <v>340663</v>
      </c>
      <c r="AZ90">
        <f ca="1">IFERROR(IF(0=LEN(ReferenceData!$AZ$90),"",ReferenceData!$AZ$90),"")</f>
        <v>309037</v>
      </c>
      <c r="BA90">
        <f ca="1">IFERROR(IF(0=LEN(ReferenceData!$BA$90),"",ReferenceData!$BA$90),"")</f>
        <v>324511</v>
      </c>
      <c r="BB90">
        <f ca="1">IFERROR(IF(0=LEN(ReferenceData!$BB$90),"",ReferenceData!$BB$90),"")</f>
        <v>294432</v>
      </c>
      <c r="BC90">
        <f ca="1">IFERROR(IF(0=LEN(ReferenceData!$BC$90),"",ReferenceData!$BC$90),"")</f>
        <v>332164</v>
      </c>
      <c r="BD90">
        <f ca="1">IFERROR(IF(0=LEN(ReferenceData!$BD$90),"",ReferenceData!$BD$90),"")</f>
        <v>293370</v>
      </c>
      <c r="BE90">
        <f ca="1">IFERROR(IF(0=LEN(ReferenceData!$BE$90),"",ReferenceData!$BE$90),"")</f>
        <v>332039</v>
      </c>
      <c r="BF90">
        <f ca="1">IFERROR(IF(0=LEN(ReferenceData!$BF$90),"",ReferenceData!$BF$90),"")</f>
        <v>285060</v>
      </c>
      <c r="BG90">
        <f ca="1">IFERROR(IF(0=LEN(ReferenceData!$BG$90),"",ReferenceData!$BG$90),"")</f>
        <v>303318</v>
      </c>
      <c r="BH90">
        <f ca="1">IFERROR(IF(0=LEN(ReferenceData!$BH$90),"",ReferenceData!$BH$90),"")</f>
        <v>309783</v>
      </c>
      <c r="BI90">
        <f ca="1">IFERROR(IF(0=LEN(ReferenceData!$BI$90),"",ReferenceData!$BI$90),"")</f>
        <v>315565</v>
      </c>
      <c r="BJ90">
        <f ca="1">IFERROR(IF(0=LEN(ReferenceData!$BJ$90),"",ReferenceData!$BJ$90),"")</f>
        <v>258746</v>
      </c>
      <c r="BK90">
        <f ca="1">IFERROR(IF(0=LEN(ReferenceData!$BK$90),"",ReferenceData!$BK$90),"")</f>
        <v>255769</v>
      </c>
      <c r="BL90">
        <f ca="1">IFERROR(IF(0=LEN(ReferenceData!$BL$90),"",ReferenceData!$BL$90),"")</f>
        <v>248413</v>
      </c>
      <c r="BM90">
        <f ca="1">IFERROR(IF(0=LEN(ReferenceData!$BM$90),"",ReferenceData!$BM$90),"")</f>
        <v>254680</v>
      </c>
    </row>
    <row r="91" spans="1:65" x14ac:dyDescent="0.25">
      <c r="A91" t="str">
        <f>IFERROR(IF(0=LEN(ReferenceData!$A$91),"",ReferenceData!$A$91),"")</f>
        <v xml:space="preserve">    Renault - Nissan - Mitsubishi Alliance</v>
      </c>
      <c r="B91" t="str">
        <f>IFERROR(IF(0=LEN(ReferenceData!$B$91),"",ReferenceData!$B$91),"")</f>
        <v/>
      </c>
      <c r="C91" t="str">
        <f>IFERROR(IF(0=LEN(ReferenceData!$C$91),"",ReferenceData!$C$91),"")</f>
        <v/>
      </c>
      <c r="D91" t="str">
        <f>IFERROR(IF(0=LEN(ReferenceData!$D$91),"",ReferenceData!$D$91),"")</f>
        <v/>
      </c>
      <c r="E91" t="str">
        <f>IFERROR(IF(0=LEN(ReferenceData!$E$91),"",ReferenceData!$E$91),"")</f>
        <v>Sum</v>
      </c>
      <c r="F91" t="str">
        <f ca="1">IFERROR(IF(0=LEN(ReferenceData!$F$91),"",ReferenceData!$F$91),"")</f>
        <v/>
      </c>
      <c r="G91" t="str">
        <f ca="1">IFERROR(IF(0=LEN(ReferenceData!$G$91),"",ReferenceData!$G$91),"")</f>
        <v/>
      </c>
      <c r="H91">
        <f ca="1">IFERROR(IF(0=LEN(ReferenceData!$H$91),"",ReferenceData!$H$91),"")</f>
        <v>902823</v>
      </c>
      <c r="I91">
        <f ca="1">IFERROR(IF(0=LEN(ReferenceData!$I$91),"",ReferenceData!$I$91),"")</f>
        <v>1132659</v>
      </c>
      <c r="J91">
        <f ca="1">IFERROR(IF(0=LEN(ReferenceData!$J$91),"",ReferenceData!$J$91),"")</f>
        <v>935036</v>
      </c>
      <c r="K91">
        <f ca="1">IFERROR(IF(0=LEN(ReferenceData!$K$91),"",ReferenceData!$K$91),"")</f>
        <v>1015774</v>
      </c>
      <c r="L91">
        <f ca="1">IFERROR(IF(0=LEN(ReferenceData!$L$91),"",ReferenceData!$L$91),"")</f>
        <v>866621</v>
      </c>
      <c r="M91">
        <f ca="1">IFERROR(IF(0=LEN(ReferenceData!$M$91),"",ReferenceData!$M$91),"")</f>
        <v>1005610</v>
      </c>
      <c r="N91">
        <f ca="1">IFERROR(IF(0=LEN(ReferenceData!$N$91),"",ReferenceData!$N$91),"")</f>
        <v>873678</v>
      </c>
      <c r="O91">
        <f ca="1">IFERROR(IF(0=LEN(ReferenceData!$O$91),"",ReferenceData!$O$91),"")</f>
        <v>892409</v>
      </c>
      <c r="P91">
        <f ca="1">IFERROR(IF(0=LEN(ReferenceData!$P$91),"",ReferenceData!$P$91),"")</f>
        <v>722242</v>
      </c>
      <c r="Q91">
        <f ca="1">IFERROR(IF(0=LEN(ReferenceData!$Q$91),"",ReferenceData!$Q$91),"")</f>
        <v>875521</v>
      </c>
      <c r="R91">
        <f ca="1">IFERROR(IF(0=LEN(ReferenceData!$R$91),"",ReferenceData!$R$91),"")</f>
        <v>692453</v>
      </c>
      <c r="S91">
        <f ca="1">IFERROR(IF(0=LEN(ReferenceData!$S$91),"",ReferenceData!$S$91),"")</f>
        <v>2138081</v>
      </c>
      <c r="T91">
        <f ca="1">IFERROR(IF(0=LEN(ReferenceData!$T$91),"",ReferenceData!$T$91),"")</f>
        <v>1947801</v>
      </c>
      <c r="U91">
        <f ca="1">IFERROR(IF(0=LEN(ReferenceData!$U$91),"",ReferenceData!$U$91),"")</f>
        <v>1998412</v>
      </c>
      <c r="V91">
        <f ca="1">IFERROR(IF(0=LEN(ReferenceData!$V$91),"",ReferenceData!$V$91),"")</f>
        <v>1947997</v>
      </c>
      <c r="W91">
        <f ca="1">IFERROR(IF(0=LEN(ReferenceData!$W$91),"",ReferenceData!$W$91),"")</f>
        <v>2090309</v>
      </c>
      <c r="X91">
        <f ca="1">IFERROR(IF(0=LEN(ReferenceData!$X$91),"",ReferenceData!$X$91),"")</f>
        <v>1933599</v>
      </c>
      <c r="Y91">
        <f ca="1">IFERROR(IF(0=LEN(ReferenceData!$Y$91),"",ReferenceData!$Y$91),"")</f>
        <v>1966365</v>
      </c>
      <c r="Z91">
        <f ca="1">IFERROR(IF(0=LEN(ReferenceData!$Z$91),"",ReferenceData!$Z$91),"")</f>
        <v>2206150</v>
      </c>
      <c r="AA91">
        <f ca="1">IFERROR(IF(0=LEN(ReferenceData!$AA$91),"",ReferenceData!$AA$91),"")</f>
        <v>1958455</v>
      </c>
      <c r="AB91">
        <f ca="1">IFERROR(IF(0=LEN(ReferenceData!$AB$91),"",ReferenceData!$AB$91),"")</f>
        <v>1855605</v>
      </c>
      <c r="AC91">
        <f ca="1">IFERROR(IF(0=LEN(ReferenceData!$AC$91),"",ReferenceData!$AC$91),"")</f>
        <v>1807495</v>
      </c>
      <c r="AD91">
        <f ca="1">IFERROR(IF(0=LEN(ReferenceData!$AD$91),"",ReferenceData!$AD$91),"")</f>
        <v>2136030</v>
      </c>
      <c r="AE91">
        <f ca="1">IFERROR(IF(0=LEN(ReferenceData!$AE$91),"",ReferenceData!$AE$91),"")</f>
        <v>1947224</v>
      </c>
      <c r="AF91">
        <f ca="1">IFERROR(IF(0=LEN(ReferenceData!$AF$91),"",ReferenceData!$AF$91),"")</f>
        <v>1992150</v>
      </c>
      <c r="AG91">
        <f ca="1">IFERROR(IF(0=LEN(ReferenceData!$AG$91),"",ReferenceData!$AG$91),"")</f>
        <v>1968844</v>
      </c>
      <c r="AH91">
        <f ca="1">IFERROR(IF(0=LEN(ReferenceData!$AH$91),"",ReferenceData!$AH$91),"")</f>
        <v>2195412</v>
      </c>
      <c r="AI91">
        <f ca="1">IFERROR(IF(0=LEN(ReferenceData!$AI$91),"",ReferenceData!$AI$91),"")</f>
        <v>2083413</v>
      </c>
      <c r="AJ91">
        <f ca="1">IFERROR(IF(0=LEN(ReferenceData!$AJ$91),"",ReferenceData!$AJ$91),"")</f>
        <v>1962615</v>
      </c>
      <c r="AK91">
        <f ca="1">IFERROR(IF(0=LEN(ReferenceData!$AK$91),"",ReferenceData!$AK$91),"")</f>
        <v>1881675</v>
      </c>
      <c r="AL91">
        <f ca="1">IFERROR(IF(0=LEN(ReferenceData!$AL$91),"",ReferenceData!$AL$91),"")</f>
        <v>2080667</v>
      </c>
      <c r="AM91">
        <f ca="1">IFERROR(IF(0=LEN(ReferenceData!$AM$91),"",ReferenceData!$AM$91),"")</f>
        <v>1813215</v>
      </c>
      <c r="AN91">
        <f ca="1">IFERROR(IF(0=LEN(ReferenceData!$AN$91),"",ReferenceData!$AN$91),"")</f>
        <v>1769015</v>
      </c>
      <c r="AO91">
        <f ca="1">IFERROR(IF(0=LEN(ReferenceData!$AO$91),"",ReferenceData!$AO$91),"")</f>
        <v>1739333</v>
      </c>
      <c r="AP91">
        <f ca="1">IFERROR(IF(0=LEN(ReferenceData!$AP$91),"",ReferenceData!$AP$91),"")</f>
        <v>1785583</v>
      </c>
      <c r="AQ91">
        <f ca="1">IFERROR(IF(0=LEN(ReferenceData!$AQ$91),"",ReferenceData!$AQ$91),"")</f>
        <v>1665777</v>
      </c>
      <c r="AR91">
        <f ca="1">IFERROR(IF(0=LEN(ReferenceData!$AR$91),"",ReferenceData!$AR$91),"")</f>
        <v>1503576</v>
      </c>
      <c r="AS91">
        <f ca="1">IFERROR(IF(0=LEN(ReferenceData!$AS$91),"",ReferenceData!$AS$91),"")</f>
        <v>1345576</v>
      </c>
      <c r="AT91">
        <f ca="1">IFERROR(IF(0=LEN(ReferenceData!$AT$91),"",ReferenceData!$AT$91),"")</f>
        <v>1323911</v>
      </c>
      <c r="AU91">
        <f ca="1">IFERROR(IF(0=LEN(ReferenceData!$AU$91),"",ReferenceData!$AU$91),"")</f>
        <v>1356552</v>
      </c>
      <c r="AV91">
        <f ca="1">IFERROR(IF(0=LEN(ReferenceData!$AV$91),"",ReferenceData!$AV$91),"")</f>
        <v>1688575</v>
      </c>
      <c r="AW91">
        <f ca="1">IFERROR(IF(0=LEN(ReferenceData!$AW$91),"",ReferenceData!$AW$91),"")</f>
        <v>1544934</v>
      </c>
      <c r="AX91">
        <f ca="1">IFERROR(IF(0=LEN(ReferenceData!$AX$91),"",ReferenceData!$AX$91),"")</f>
        <v>1434844</v>
      </c>
      <c r="AY91">
        <f ca="1">IFERROR(IF(0=LEN(ReferenceData!$AY$91),"",ReferenceData!$AY$91),"")</f>
        <v>1254465</v>
      </c>
      <c r="AZ91">
        <f ca="1">IFERROR(IF(0=LEN(ReferenceData!$AZ$91),"",ReferenceData!$AZ$91),"")</f>
        <v>1230451</v>
      </c>
      <c r="BA91">
        <f ca="1">IFERROR(IF(0=LEN(ReferenceData!$BA$91),"",ReferenceData!$BA$91),"")</f>
        <v>1137007</v>
      </c>
      <c r="BB91">
        <f ca="1">IFERROR(IF(0=LEN(ReferenceData!$BB$91),"",ReferenceData!$BB$91),"")</f>
        <v>1619352</v>
      </c>
      <c r="BC91">
        <f ca="1">IFERROR(IF(0=LEN(ReferenceData!$BC$91),"",ReferenceData!$BC$91),"")</f>
        <v>1108324</v>
      </c>
      <c r="BD91">
        <f ca="1">IFERROR(IF(0=LEN(ReferenceData!$BD$91),"",ReferenceData!$BD$91),"")</f>
        <v>1146071</v>
      </c>
      <c r="BE91">
        <f ca="1">IFERROR(IF(0=LEN(ReferenceData!$BE$91),"",ReferenceData!$BE$91),"")</f>
        <v>1058000</v>
      </c>
      <c r="BF91">
        <f ca="1">IFERROR(IF(0=LEN(ReferenceData!$BF$91),"",ReferenceData!$BF$91),"")</f>
        <v>1322000</v>
      </c>
      <c r="BG91" t="str">
        <f ca="1">IFERROR(IF(0=LEN(ReferenceData!$BG$91),"",ReferenceData!$BG$91),"")</f>
        <v/>
      </c>
      <c r="BH91" t="str">
        <f ca="1">IFERROR(IF(0=LEN(ReferenceData!$BH$91),"",ReferenceData!$BH$91),"")</f>
        <v/>
      </c>
      <c r="BI91" t="str">
        <f ca="1">IFERROR(IF(0=LEN(ReferenceData!$BI$91),"",ReferenceData!$BI$91),"")</f>
        <v/>
      </c>
      <c r="BJ91" t="str">
        <f ca="1">IFERROR(IF(0=LEN(ReferenceData!$BJ$91),"",ReferenceData!$BJ$91),"")</f>
        <v/>
      </c>
      <c r="BK91" t="str">
        <f ca="1">IFERROR(IF(0=LEN(ReferenceData!$BK$91),"",ReferenceData!$BK$91),"")</f>
        <v/>
      </c>
      <c r="BL91" t="str">
        <f ca="1">IFERROR(IF(0=LEN(ReferenceData!$BL$91),"",ReferenceData!$BL$91),"")</f>
        <v/>
      </c>
      <c r="BM91" t="str">
        <f ca="1">IFERROR(IF(0=LEN(ReferenceData!$BM$91),"",ReferenceData!$BM$91),"")</f>
        <v/>
      </c>
    </row>
    <row r="92" spans="1:65" x14ac:dyDescent="0.25">
      <c r="A92" t="str">
        <f>IFERROR(IF(0=LEN(ReferenceData!$A$92),"",ReferenceData!$A$92),"")</f>
        <v xml:space="preserve">        Nissan Motor Co Ltd</v>
      </c>
      <c r="B92" t="str">
        <f>IFERROR(IF(0=LEN(ReferenceData!$B$92),"",ReferenceData!$B$92),"")</f>
        <v>7201 JP Equity</v>
      </c>
      <c r="C92" t="str">
        <f>IFERROR(IF(0=LEN(ReferenceData!$C$92),"",ReferenceData!$C$92),"")</f>
        <v/>
      </c>
      <c r="D92" t="str">
        <f>IFERROR(IF(0=LEN(ReferenceData!$D$92),"",ReferenceData!$D$92),"")</f>
        <v/>
      </c>
      <c r="E92" t="str">
        <f>IFERROR(IF(0=LEN(ReferenceData!$E$92),"",ReferenceData!$E$92),"")</f>
        <v>Static</v>
      </c>
      <c r="F92" t="str">
        <f ca="1">IFERROR(IF(0=LEN(ReferenceData!$F$92),"",ReferenceData!$F$92),"")</f>
        <v/>
      </c>
      <c r="G92" t="str">
        <f ca="1">IFERROR(IF(0=LEN(ReferenceData!$G$92),"",ReferenceData!$G$92),"")</f>
        <v/>
      </c>
      <c r="H92" t="str">
        <f ca="1">IFERROR(IF(0=LEN(ReferenceData!$H$92),"",ReferenceData!$H$92),"")</f>
        <v/>
      </c>
      <c r="I92" t="str">
        <f ca="1">IFERROR(IF(0=LEN(ReferenceData!$I$92),"",ReferenceData!$I$92),"")</f>
        <v/>
      </c>
      <c r="J92" t="str">
        <f ca="1">IFERROR(IF(0=LEN(ReferenceData!$J$92),"",ReferenceData!$J$92),"")</f>
        <v/>
      </c>
      <c r="K92" t="str">
        <f ca="1">IFERROR(IF(0=LEN(ReferenceData!$K$92),"",ReferenceData!$K$92),"")</f>
        <v/>
      </c>
      <c r="L92" t="str">
        <f ca="1">IFERROR(IF(0=LEN(ReferenceData!$L$92),"",ReferenceData!$L$92),"")</f>
        <v/>
      </c>
      <c r="M92" t="str">
        <f ca="1">IFERROR(IF(0=LEN(ReferenceData!$M$92),"",ReferenceData!$M$92),"")</f>
        <v/>
      </c>
      <c r="N92" t="str">
        <f ca="1">IFERROR(IF(0=LEN(ReferenceData!$N$92),"",ReferenceData!$N$92),"")</f>
        <v/>
      </c>
      <c r="O92" t="str">
        <f ca="1">IFERROR(IF(0=LEN(ReferenceData!$O$92),"",ReferenceData!$O$92),"")</f>
        <v/>
      </c>
      <c r="P92" t="str">
        <f ca="1">IFERROR(IF(0=LEN(ReferenceData!$P$92),"",ReferenceData!$P$92),"")</f>
        <v/>
      </c>
      <c r="Q92" t="str">
        <f ca="1">IFERROR(IF(0=LEN(ReferenceData!$Q$92),"",ReferenceData!$Q$92),"")</f>
        <v/>
      </c>
      <c r="R92" t="str">
        <f ca="1">IFERROR(IF(0=LEN(ReferenceData!$R$92),"",ReferenceData!$R$92),"")</f>
        <v/>
      </c>
      <c r="S92">
        <f ca="1">IFERROR(IF(0=LEN(ReferenceData!$S$92),"",ReferenceData!$S$92),"")</f>
        <v>1022997</v>
      </c>
      <c r="T92">
        <f ca="1">IFERROR(IF(0=LEN(ReferenceData!$T$92),"",ReferenceData!$T$92),"")</f>
        <v>1015482</v>
      </c>
      <c r="U92">
        <f ca="1">IFERROR(IF(0=LEN(ReferenceData!$U$92),"",ReferenceData!$U$92),"")</f>
        <v>971825</v>
      </c>
      <c r="V92">
        <f ca="1">IFERROR(IF(0=LEN(ReferenceData!$V$92),"",ReferenceData!$V$92),"")</f>
        <v>967000</v>
      </c>
      <c r="W92">
        <f ca="1">IFERROR(IF(0=LEN(ReferenceData!$W$92),"",ReferenceData!$W$92),"")</f>
        <v>1027231</v>
      </c>
      <c r="X92">
        <f ca="1">IFERROR(IF(0=LEN(ReferenceData!$X$92),"",ReferenceData!$X$92),"")</f>
        <v>1009665</v>
      </c>
      <c r="Y92">
        <f ca="1">IFERROR(IF(0=LEN(ReferenceData!$Y$92),"",ReferenceData!$Y$92),"")</f>
        <v>921377</v>
      </c>
      <c r="Z92">
        <f ca="1">IFERROR(IF(0=LEN(ReferenceData!$Z$92),"",ReferenceData!$Z$92),"")</f>
        <v>1228150</v>
      </c>
      <c r="AA92">
        <f ca="1">IFERROR(IF(0=LEN(ReferenceData!$AA$92),"",ReferenceData!$AA$92),"")</f>
        <v>970812</v>
      </c>
      <c r="AB92">
        <f ca="1">IFERROR(IF(0=LEN(ReferenceData!$AB$92),"",ReferenceData!$AB$92),"")</f>
        <v>990890</v>
      </c>
      <c r="AC92">
        <f ca="1">IFERROR(IF(0=LEN(ReferenceData!$AC$92),"",ReferenceData!$AC$92),"")</f>
        <v>868599</v>
      </c>
      <c r="AD92">
        <f ca="1">IFERROR(IF(0=LEN(ReferenceData!$AD$92),"",ReferenceData!$AD$92),"")</f>
        <v>1260076</v>
      </c>
      <c r="AE92">
        <f ca="1">IFERROR(IF(0=LEN(ReferenceData!$AE$92),"",ReferenceData!$AE$92),"")</f>
        <v>1075668</v>
      </c>
      <c r="AF92">
        <f ca="1">IFERROR(IF(0=LEN(ReferenceData!$AF$92),"",ReferenceData!$AF$92),"")</f>
        <v>1157143</v>
      </c>
      <c r="AG92">
        <f ca="1">IFERROR(IF(0=LEN(ReferenceData!$AG$92),"",ReferenceData!$AG$92),"")</f>
        <v>1039905</v>
      </c>
      <c r="AH92">
        <f ca="1">IFERROR(IF(0=LEN(ReferenceData!$AH$92),"",ReferenceData!$AH$92),"")</f>
        <v>1310914</v>
      </c>
      <c r="AI92">
        <f ca="1">IFERROR(IF(0=LEN(ReferenceData!$AI$92),"",ReferenceData!$AI$92),"")</f>
        <v>1132867</v>
      </c>
      <c r="AJ92">
        <f ca="1">IFERROR(IF(0=LEN(ReferenceData!$AJ$92),"",ReferenceData!$AJ$92),"")</f>
        <v>1078265</v>
      </c>
      <c r="AK92">
        <f ca="1">IFERROR(IF(0=LEN(ReferenceData!$AK$92),"",ReferenceData!$AK$92),"")</f>
        <v>933752</v>
      </c>
      <c r="AL92">
        <f ca="1">IFERROR(IF(0=LEN(ReferenceData!$AL$92),"",ReferenceData!$AL$92),"")</f>
        <v>1088616</v>
      </c>
      <c r="AM92">
        <f ca="1">IFERROR(IF(0=LEN(ReferenceData!$AM$92),"",ReferenceData!$AM$92),"")</f>
        <v>940653</v>
      </c>
      <c r="AN92">
        <f ca="1">IFERROR(IF(0=LEN(ReferenceData!$AN$92),"",ReferenceData!$AN$92),"")</f>
        <v>985215</v>
      </c>
      <c r="AO92">
        <f ca="1">IFERROR(IF(0=LEN(ReferenceData!$AO$92),"",ReferenceData!$AO$92),"")</f>
        <v>873528</v>
      </c>
      <c r="AP92">
        <f ca="1">IFERROR(IF(0=LEN(ReferenceData!$AP$92),"",ReferenceData!$AP$92),"")</f>
        <v>937353</v>
      </c>
      <c r="AQ92">
        <f ca="1">IFERROR(IF(0=LEN(ReferenceData!$AQ$92),"",ReferenceData!$AQ$92),"")</f>
        <v>856488</v>
      </c>
      <c r="AR92">
        <f ca="1">IFERROR(IF(0=LEN(ReferenceData!$AR$92),"",ReferenceData!$AR$92),"")</f>
        <v>772637</v>
      </c>
      <c r="AS92">
        <f ca="1">IFERROR(IF(0=LEN(ReferenceData!$AS$92),"",ReferenceData!$AS$92),"")</f>
        <v>592565</v>
      </c>
      <c r="AT92">
        <f ca="1">IFERROR(IF(0=LEN(ReferenceData!$AT$92),"",ReferenceData!$AT$92),"")</f>
        <v>676433</v>
      </c>
      <c r="AU92">
        <f ca="1">IFERROR(IF(0=LEN(ReferenceData!$AU$92),"",ReferenceData!$AU$92),"")</f>
        <v>689376</v>
      </c>
      <c r="AV92">
        <f ca="1">IFERROR(IF(0=LEN(ReferenceData!$AV$92),"",ReferenceData!$AV$92),"")</f>
        <v>926920</v>
      </c>
      <c r="AW92">
        <f ca="1">IFERROR(IF(0=LEN(ReferenceData!$AW$92),"",ReferenceData!$AW$92),"")</f>
        <v>844926</v>
      </c>
      <c r="AX92">
        <f ca="1">IFERROR(IF(0=LEN(ReferenceData!$AX$92),"",ReferenceData!$AX$92),"")</f>
        <v>1091844</v>
      </c>
      <c r="AY92">
        <f ca="1">IFERROR(IF(0=LEN(ReferenceData!$AY$92),"",ReferenceData!$AY$92),"")</f>
        <v>928465</v>
      </c>
      <c r="AZ92">
        <f ca="1">IFERROR(IF(0=LEN(ReferenceData!$AZ$92),"",ReferenceData!$AZ$92),"")</f>
        <v>874451</v>
      </c>
      <c r="BA92">
        <f ca="1">IFERROR(IF(0=LEN(ReferenceData!$BA$92),"",ReferenceData!$BA$92),"")</f>
        <v>803007</v>
      </c>
      <c r="BB92">
        <f ca="1">IFERROR(IF(0=LEN(ReferenceData!$BB$92),"",ReferenceData!$BB$92),"")</f>
        <v>1286352</v>
      </c>
      <c r="BC92">
        <f ca="1">IFERROR(IF(0=LEN(ReferenceData!$BC$92),"",ReferenceData!$BC$92),"")</f>
        <v>808324</v>
      </c>
      <c r="BD92">
        <f ca="1">IFERROR(IF(0=LEN(ReferenceData!$BD$92),"",ReferenceData!$BD$92),"")</f>
        <v>839071</v>
      </c>
      <c r="BE92">
        <f ca="1">IFERROR(IF(0=LEN(ReferenceData!$BE$92),"",ReferenceData!$BE$92),"")</f>
        <v>766000</v>
      </c>
      <c r="BF92">
        <f ca="1">IFERROR(IF(0=LEN(ReferenceData!$BF$92),"",ReferenceData!$BF$92),"")</f>
        <v>963000</v>
      </c>
      <c r="BG92" t="str">
        <f ca="1">IFERROR(IF(0=LEN(ReferenceData!$BG$92),"",ReferenceData!$BG$92),"")</f>
        <v/>
      </c>
      <c r="BH92" t="str">
        <f ca="1">IFERROR(IF(0=LEN(ReferenceData!$BH$92),"",ReferenceData!$BH$92),"")</f>
        <v/>
      </c>
      <c r="BI92" t="str">
        <f ca="1">IFERROR(IF(0=LEN(ReferenceData!$BI$92),"",ReferenceData!$BI$92),"")</f>
        <v/>
      </c>
      <c r="BJ92" t="str">
        <f ca="1">IFERROR(IF(0=LEN(ReferenceData!$BJ$92),"",ReferenceData!$BJ$92),"")</f>
        <v/>
      </c>
      <c r="BK92" t="str">
        <f ca="1">IFERROR(IF(0=LEN(ReferenceData!$BK$92),"",ReferenceData!$BK$92),"")</f>
        <v/>
      </c>
      <c r="BL92" t="str">
        <f ca="1">IFERROR(IF(0=LEN(ReferenceData!$BL$92),"",ReferenceData!$BL$92),"")</f>
        <v/>
      </c>
      <c r="BM92" t="str">
        <f ca="1">IFERROR(IF(0=LEN(ReferenceData!$BM$92),"",ReferenceData!$BM$92),"")</f>
        <v/>
      </c>
    </row>
    <row r="93" spans="1:65" x14ac:dyDescent="0.25">
      <c r="A93" t="str">
        <f>IFERROR(IF(0=LEN(ReferenceData!$A$93),"",ReferenceData!$A$93),"")</f>
        <v xml:space="preserve">        Renault SA</v>
      </c>
      <c r="B93" t="str">
        <f>IFERROR(IF(0=LEN(ReferenceData!$B$93),"",ReferenceData!$B$93),"")</f>
        <v>RNO FP Equity</v>
      </c>
      <c r="C93" t="str">
        <f>IFERROR(IF(0=LEN(ReferenceData!$C$93),"",ReferenceData!$C$93),"")</f>
        <v>FS265</v>
      </c>
      <c r="D93" t="str">
        <f>IFERROR(IF(0=LEN(ReferenceData!$D$93),"",ReferenceData!$D$93),"")</f>
        <v>AUTO_VEHICLES_SOLD_WW</v>
      </c>
      <c r="E93" t="str">
        <f>IFERROR(IF(0=LEN(ReferenceData!$E$93),"",ReferenceData!$E$93),"")</f>
        <v>Dynamic</v>
      </c>
      <c r="F93" t="str">
        <f ca="1">IFERROR(IF(0=LEN(ReferenceData!$F$93),"",ReferenceData!$F$93),"")</f>
        <v/>
      </c>
      <c r="G93" t="str">
        <f ca="1">IFERROR(IF(0=LEN(ReferenceData!$G$93),"",ReferenceData!$G$93),"")</f>
        <v/>
      </c>
      <c r="H93">
        <f ca="1">IFERROR(IF(0=LEN(ReferenceData!$H$93),"",ReferenceData!$H$93),"")</f>
        <v>902823</v>
      </c>
      <c r="I93">
        <f ca="1">IFERROR(IF(0=LEN(ReferenceData!$I$93),"",ReferenceData!$I$93),"")</f>
        <v>1132659</v>
      </c>
      <c r="J93">
        <f ca="1">IFERROR(IF(0=LEN(ReferenceData!$J$93),"",ReferenceData!$J$93),"")</f>
        <v>935036</v>
      </c>
      <c r="K93">
        <f ca="1">IFERROR(IF(0=LEN(ReferenceData!$K$93),"",ReferenceData!$K$93),"")</f>
        <v>1015774</v>
      </c>
      <c r="L93">
        <f ca="1">IFERROR(IF(0=LEN(ReferenceData!$L$93),"",ReferenceData!$L$93),"")</f>
        <v>866621</v>
      </c>
      <c r="M93">
        <f ca="1">IFERROR(IF(0=LEN(ReferenceData!$M$93),"",ReferenceData!$M$93),"")</f>
        <v>1005610</v>
      </c>
      <c r="N93">
        <f ca="1">IFERROR(IF(0=LEN(ReferenceData!$N$93),"",ReferenceData!$N$93),"")</f>
        <v>873678</v>
      </c>
      <c r="O93">
        <f ca="1">IFERROR(IF(0=LEN(ReferenceData!$O$93),"",ReferenceData!$O$93),"")</f>
        <v>892409</v>
      </c>
      <c r="P93">
        <f ca="1">IFERROR(IF(0=LEN(ReferenceData!$P$93),"",ReferenceData!$P$93),"")</f>
        <v>722242</v>
      </c>
      <c r="Q93">
        <f ca="1">IFERROR(IF(0=LEN(ReferenceData!$Q$93),"",ReferenceData!$Q$93),"")</f>
        <v>875521</v>
      </c>
      <c r="R93">
        <f ca="1">IFERROR(IF(0=LEN(ReferenceData!$R$93),"",ReferenceData!$R$93),"")</f>
        <v>692453</v>
      </c>
      <c r="S93">
        <f ca="1">IFERROR(IF(0=LEN(ReferenceData!$S$93),"",ReferenceData!$S$93),"")</f>
        <v>804084</v>
      </c>
      <c r="T93">
        <f ca="1">IFERROR(IF(0=LEN(ReferenceData!$T$93),"",ReferenceData!$T$93),"")</f>
        <v>620319</v>
      </c>
      <c r="U93">
        <f ca="1">IFERROR(IF(0=LEN(ReferenceData!$U$93),"",ReferenceData!$U$93),"")</f>
        <v>735587</v>
      </c>
      <c r="V93">
        <f ca="1">IFERROR(IF(0=LEN(ReferenceData!$V$93),"",ReferenceData!$V$93),"")</f>
        <v>640997</v>
      </c>
      <c r="W93">
        <f ca="1">IFERROR(IF(0=LEN(ReferenceData!$W$93),"",ReferenceData!$W$93),"")</f>
        <v>733078</v>
      </c>
      <c r="X93">
        <f ca="1">IFERROR(IF(0=LEN(ReferenceData!$X$93),"",ReferenceData!$X$93),"")</f>
        <v>612934</v>
      </c>
      <c r="Y93">
        <f ca="1">IFERROR(IF(0=LEN(ReferenceData!$Y$93),"",ReferenceData!$Y$93),"")</f>
        <v>729988</v>
      </c>
      <c r="Z93">
        <f ca="1">IFERROR(IF(0=LEN(ReferenceData!$Z$93),"",ReferenceData!$Z$93),"")</f>
        <v>636000</v>
      </c>
      <c r="AA93">
        <f ca="1">IFERROR(IF(0=LEN(ReferenceData!$AA$93),"",ReferenceData!$AA$93),"")</f>
        <v>710643</v>
      </c>
      <c r="AB93">
        <f ca="1">IFERROR(IF(0=LEN(ReferenceData!$AB$93),"",ReferenceData!$AB$93),"")</f>
        <v>614715</v>
      </c>
      <c r="AC93">
        <f ca="1">IFERROR(IF(0=LEN(ReferenceData!$AC$93),"",ReferenceData!$AC$93),"")</f>
        <v>689896</v>
      </c>
      <c r="AD93">
        <f ca="1">IFERROR(IF(0=LEN(ReferenceData!$AD$93),"",ReferenceData!$AD$93),"")</f>
        <v>612954</v>
      </c>
      <c r="AE93">
        <f ca="1">IFERROR(IF(0=LEN(ReferenceData!$AE$93),"",ReferenceData!$AE$93),"")</f>
        <v>625556</v>
      </c>
      <c r="AF93">
        <f ca="1">IFERROR(IF(0=LEN(ReferenceData!$AF$93),"",ReferenceData!$AF$93),"")</f>
        <v>596007</v>
      </c>
      <c r="AG93">
        <f ca="1">IFERROR(IF(0=LEN(ReferenceData!$AG$93),"",ReferenceData!$AG$93),"")</f>
        <v>689939</v>
      </c>
      <c r="AH93">
        <f ca="1">IFERROR(IF(0=LEN(ReferenceData!$AH$93),"",ReferenceData!$AH$93),"")</f>
        <v>638498</v>
      </c>
      <c r="AI93">
        <f ca="1">IFERROR(IF(0=LEN(ReferenceData!$AI$93),"",ReferenceData!$AI$93),"")</f>
        <v>714546</v>
      </c>
      <c r="AJ93">
        <f ca="1">IFERROR(IF(0=LEN(ReferenceData!$AJ$93),"",ReferenceData!$AJ$93),"")</f>
        <v>632350</v>
      </c>
      <c r="AK93">
        <f ca="1">IFERROR(IF(0=LEN(ReferenceData!$AK$93),"",ReferenceData!$AK$93),"")</f>
        <v>680923</v>
      </c>
      <c r="AL93">
        <f ca="1">IFERROR(IF(0=LEN(ReferenceData!$AL$93),"",ReferenceData!$AL$93),"")</f>
        <v>694243</v>
      </c>
      <c r="AM93">
        <f ca="1">IFERROR(IF(0=LEN(ReferenceData!$AM$93),"",ReferenceData!$AM$93),"")</f>
        <v>592423</v>
      </c>
      <c r="AN93">
        <f ca="1">IFERROR(IF(0=LEN(ReferenceData!$AN$93),"",ReferenceData!$AN$93),"")</f>
        <v>514063</v>
      </c>
      <c r="AO93">
        <f ca="1">IFERROR(IF(0=LEN(ReferenceData!$AO$93),"",ReferenceData!$AO$93),"")</f>
        <v>608489</v>
      </c>
      <c r="AP93">
        <f ca="1">IFERROR(IF(0=LEN(ReferenceData!$AP$93),"",ReferenceData!$AP$93),"")</f>
        <v>577188</v>
      </c>
      <c r="AQ93">
        <f ca="1">IFERROR(IF(0=LEN(ReferenceData!$AQ$93),"",ReferenceData!$AQ$93),"")</f>
        <v>564747</v>
      </c>
      <c r="AR93">
        <f ca="1">IFERROR(IF(0=LEN(ReferenceData!$AR$93),"",ReferenceData!$AR$93),"")</f>
        <v>498998</v>
      </c>
      <c r="AS93">
        <f ca="1">IFERROR(IF(0=LEN(ReferenceData!$AS$93),"",ReferenceData!$AS$93),"")</f>
        <v>540424</v>
      </c>
      <c r="AT93">
        <f ca="1">IFERROR(IF(0=LEN(ReferenceData!$AT$93),"",ReferenceData!$AT$93),"")</f>
        <v>429126</v>
      </c>
      <c r="AU93">
        <f ca="1">IFERROR(IF(0=LEN(ReferenceData!$AU$93),"",ReferenceData!$AU$93),"")</f>
        <v>422602</v>
      </c>
      <c r="AV93">
        <f ca="1">IFERROR(IF(0=LEN(ReferenceData!$AV$93),"",ReferenceData!$AV$93),"")</f>
        <v>472787</v>
      </c>
      <c r="AW93">
        <f ca="1">IFERROR(IF(0=LEN(ReferenceData!$AW$93),"",ReferenceData!$AW$93),"")</f>
        <v>386197</v>
      </c>
      <c r="AX93" t="str">
        <f ca="1">IFERROR(IF(0=LEN(ReferenceData!$AX$93),"",ReferenceData!$AX$93),"")</f>
        <v/>
      </c>
      <c r="AY93" t="str">
        <f ca="1">IFERROR(IF(0=LEN(ReferenceData!$AY$93),"",ReferenceData!$AY$93),"")</f>
        <v/>
      </c>
      <c r="AZ93" t="str">
        <f ca="1">IFERROR(IF(0=LEN(ReferenceData!$AZ$93),"",ReferenceData!$AZ$93),"")</f>
        <v/>
      </c>
      <c r="BA93" t="str">
        <f ca="1">IFERROR(IF(0=LEN(ReferenceData!$BA$93),"",ReferenceData!$BA$93),"")</f>
        <v/>
      </c>
      <c r="BB93" t="str">
        <f ca="1">IFERROR(IF(0=LEN(ReferenceData!$BB$93),"",ReferenceData!$BB$93),"")</f>
        <v/>
      </c>
      <c r="BC93" t="str">
        <f ca="1">IFERROR(IF(0=LEN(ReferenceData!$BC$93),"",ReferenceData!$BC$93),"")</f>
        <v/>
      </c>
      <c r="BD93" t="str">
        <f ca="1">IFERROR(IF(0=LEN(ReferenceData!$BD$93),"",ReferenceData!$BD$93),"")</f>
        <v/>
      </c>
      <c r="BE93" t="str">
        <f ca="1">IFERROR(IF(0=LEN(ReferenceData!$BE$93),"",ReferenceData!$BE$93),"")</f>
        <v/>
      </c>
      <c r="BF93" t="str">
        <f ca="1">IFERROR(IF(0=LEN(ReferenceData!$BF$93),"",ReferenceData!$BF$93),"")</f>
        <v/>
      </c>
      <c r="BG93" t="str">
        <f ca="1">IFERROR(IF(0=LEN(ReferenceData!$BG$93),"",ReferenceData!$BG$93),"")</f>
        <v/>
      </c>
      <c r="BH93" t="str">
        <f ca="1">IFERROR(IF(0=LEN(ReferenceData!$BH$93),"",ReferenceData!$BH$93),"")</f>
        <v/>
      </c>
      <c r="BI93" t="str">
        <f ca="1">IFERROR(IF(0=LEN(ReferenceData!$BI$93),"",ReferenceData!$BI$93),"")</f>
        <v/>
      </c>
      <c r="BJ93" t="str">
        <f ca="1">IFERROR(IF(0=LEN(ReferenceData!$BJ$93),"",ReferenceData!$BJ$93),"")</f>
        <v/>
      </c>
      <c r="BK93" t="str">
        <f ca="1">IFERROR(IF(0=LEN(ReferenceData!$BK$93),"",ReferenceData!$BK$93),"")</f>
        <v/>
      </c>
      <c r="BL93" t="str">
        <f ca="1">IFERROR(IF(0=LEN(ReferenceData!$BL$93),"",ReferenceData!$BL$93),"")</f>
        <v/>
      </c>
      <c r="BM93" t="str">
        <f ca="1">IFERROR(IF(0=LEN(ReferenceData!$BM$93),"",ReferenceData!$BM$93),"")</f>
        <v/>
      </c>
    </row>
    <row r="94" spans="1:65" x14ac:dyDescent="0.25">
      <c r="A94" t="str">
        <f>IFERROR(IF(0=LEN(ReferenceData!$A$94),"",ReferenceData!$A$94),"")</f>
        <v xml:space="preserve">        Mitsubishi Motors Corp</v>
      </c>
      <c r="B94" t="str">
        <f>IFERROR(IF(0=LEN(ReferenceData!$B$94),"",ReferenceData!$B$94),"")</f>
        <v>7211 JP Equity</v>
      </c>
      <c r="C94" t="str">
        <f>IFERROR(IF(0=LEN(ReferenceData!$C$94),"",ReferenceData!$C$94),"")</f>
        <v/>
      </c>
      <c r="D94" t="str">
        <f>IFERROR(IF(0=LEN(ReferenceData!$D$94),"",ReferenceData!$D$94),"")</f>
        <v/>
      </c>
      <c r="E94" t="str">
        <f>IFERROR(IF(0=LEN(ReferenceData!$E$94),"",ReferenceData!$E$94),"")</f>
        <v>Static</v>
      </c>
      <c r="F94" t="str">
        <f ca="1">IFERROR(IF(0=LEN(ReferenceData!$F$94),"",ReferenceData!$F$94),"")</f>
        <v/>
      </c>
      <c r="G94" t="str">
        <f ca="1">IFERROR(IF(0=LEN(ReferenceData!$G$94),"",ReferenceData!$G$94),"")</f>
        <v/>
      </c>
      <c r="H94" t="str">
        <f ca="1">IFERROR(IF(0=LEN(ReferenceData!$H$94),"",ReferenceData!$H$94),"")</f>
        <v/>
      </c>
      <c r="I94" t="str">
        <f ca="1">IFERROR(IF(0=LEN(ReferenceData!$I$94),"",ReferenceData!$I$94),"")</f>
        <v/>
      </c>
      <c r="J94" t="str">
        <f ca="1">IFERROR(IF(0=LEN(ReferenceData!$J$94),"",ReferenceData!$J$94),"")</f>
        <v/>
      </c>
      <c r="K94" t="str">
        <f ca="1">IFERROR(IF(0=LEN(ReferenceData!$K$94),"",ReferenceData!$K$94),"")</f>
        <v/>
      </c>
      <c r="L94" t="str">
        <f ca="1">IFERROR(IF(0=LEN(ReferenceData!$L$94),"",ReferenceData!$L$94),"")</f>
        <v/>
      </c>
      <c r="M94" t="str">
        <f ca="1">IFERROR(IF(0=LEN(ReferenceData!$M$94),"",ReferenceData!$M$94),"")</f>
        <v/>
      </c>
      <c r="N94" t="str">
        <f ca="1">IFERROR(IF(0=LEN(ReferenceData!$N$94),"",ReferenceData!$N$94),"")</f>
        <v/>
      </c>
      <c r="O94" t="str">
        <f ca="1">IFERROR(IF(0=LEN(ReferenceData!$O$94),"",ReferenceData!$O$94),"")</f>
        <v/>
      </c>
      <c r="P94" t="str">
        <f ca="1">IFERROR(IF(0=LEN(ReferenceData!$P$94),"",ReferenceData!$P$94),"")</f>
        <v/>
      </c>
      <c r="Q94" t="str">
        <f ca="1">IFERROR(IF(0=LEN(ReferenceData!$Q$94),"",ReferenceData!$Q$94),"")</f>
        <v/>
      </c>
      <c r="R94" t="str">
        <f ca="1">IFERROR(IF(0=LEN(ReferenceData!$R$94),"",ReferenceData!$R$94),"")</f>
        <v/>
      </c>
      <c r="S94">
        <f ca="1">IFERROR(IF(0=LEN(ReferenceData!$S$94),"",ReferenceData!$S$94),"")</f>
        <v>311000</v>
      </c>
      <c r="T94">
        <f ca="1">IFERROR(IF(0=LEN(ReferenceData!$T$94),"",ReferenceData!$T$94),"")</f>
        <v>312000</v>
      </c>
      <c r="U94">
        <f ca="1">IFERROR(IF(0=LEN(ReferenceData!$U$94),"",ReferenceData!$U$94),"")</f>
        <v>291000</v>
      </c>
      <c r="V94">
        <f ca="1">IFERROR(IF(0=LEN(ReferenceData!$V$94),"",ReferenceData!$V$94),"")</f>
        <v>340000</v>
      </c>
      <c r="W94">
        <f ca="1">IFERROR(IF(0=LEN(ReferenceData!$W$94),"",ReferenceData!$W$94),"")</f>
        <v>330000</v>
      </c>
      <c r="X94">
        <f ca="1">IFERROR(IF(0=LEN(ReferenceData!$X$94),"",ReferenceData!$X$94),"")</f>
        <v>311000</v>
      </c>
      <c r="Y94">
        <f ca="1">IFERROR(IF(0=LEN(ReferenceData!$Y$94),"",ReferenceData!$Y$94),"")</f>
        <v>315000</v>
      </c>
      <c r="Z94">
        <f ca="1">IFERROR(IF(0=LEN(ReferenceData!$Z$94),"",ReferenceData!$Z$94),"")</f>
        <v>342000</v>
      </c>
      <c r="AA94">
        <f ca="1">IFERROR(IF(0=LEN(ReferenceData!$AA$94),"",ReferenceData!$AA$94),"")</f>
        <v>277000</v>
      </c>
      <c r="AB94">
        <f ca="1">IFERROR(IF(0=LEN(ReferenceData!$AB$94),"",ReferenceData!$AB$94),"")</f>
        <v>250000</v>
      </c>
      <c r="AC94">
        <f ca="1">IFERROR(IF(0=LEN(ReferenceData!$AC$94),"",ReferenceData!$AC$94),"")</f>
        <v>249000</v>
      </c>
      <c r="AD94">
        <f ca="1">IFERROR(IF(0=LEN(ReferenceData!$AD$94),"",ReferenceData!$AD$94),"")</f>
        <v>263000</v>
      </c>
      <c r="AE94">
        <f ca="1">IFERROR(IF(0=LEN(ReferenceData!$AE$94),"",ReferenceData!$AE$94),"")</f>
        <v>246000</v>
      </c>
      <c r="AF94">
        <f ca="1">IFERROR(IF(0=LEN(ReferenceData!$AF$94),"",ReferenceData!$AF$94),"")</f>
        <v>239000</v>
      </c>
      <c r="AG94">
        <f ca="1">IFERROR(IF(0=LEN(ReferenceData!$AG$94),"",ReferenceData!$AG$94),"")</f>
        <v>239000</v>
      </c>
      <c r="AH94">
        <f ca="1">IFERROR(IF(0=LEN(ReferenceData!$AH$94),"",ReferenceData!$AH$94),"")</f>
        <v>246000</v>
      </c>
      <c r="AI94">
        <f ca="1">IFERROR(IF(0=LEN(ReferenceData!$AI$94),"",ReferenceData!$AI$94),"")</f>
        <v>236000</v>
      </c>
      <c r="AJ94">
        <f ca="1">IFERROR(IF(0=LEN(ReferenceData!$AJ$94),"",ReferenceData!$AJ$94),"")</f>
        <v>252000</v>
      </c>
      <c r="AK94">
        <f ca="1">IFERROR(IF(0=LEN(ReferenceData!$AK$94),"",ReferenceData!$AK$94),"")</f>
        <v>267000</v>
      </c>
      <c r="AL94">
        <f ca="1">IFERROR(IF(0=LEN(ReferenceData!$AL$94),"",ReferenceData!$AL$94),"")</f>
        <v>297808</v>
      </c>
      <c r="AM94">
        <f ca="1">IFERROR(IF(0=LEN(ReferenceData!$AM$94),"",ReferenceData!$AM$94),"")</f>
        <v>280139</v>
      </c>
      <c r="AN94">
        <f ca="1">IFERROR(IF(0=LEN(ReferenceData!$AN$94),"",ReferenceData!$AN$94),"")</f>
        <v>269737</v>
      </c>
      <c r="AO94">
        <f ca="1">IFERROR(IF(0=LEN(ReferenceData!$AO$94),"",ReferenceData!$AO$94),"")</f>
        <v>257316</v>
      </c>
      <c r="AP94">
        <f ca="1">IFERROR(IF(0=LEN(ReferenceData!$AP$94),"",ReferenceData!$AP$94),"")</f>
        <v>271042</v>
      </c>
      <c r="AQ94">
        <f ca="1">IFERROR(IF(0=LEN(ReferenceData!$AQ$94),"",ReferenceData!$AQ$94),"")</f>
        <v>244542</v>
      </c>
      <c r="AR94">
        <f ca="1">IFERROR(IF(0=LEN(ReferenceData!$AR$94),"",ReferenceData!$AR$94),"")</f>
        <v>231941</v>
      </c>
      <c r="AS94">
        <f ca="1">IFERROR(IF(0=LEN(ReferenceData!$AS$94),"",ReferenceData!$AS$94),"")</f>
        <v>212587</v>
      </c>
      <c r="AT94">
        <f ca="1">IFERROR(IF(0=LEN(ReferenceData!$AT$94),"",ReferenceData!$AT$94),"")</f>
        <v>218352</v>
      </c>
      <c r="AU94">
        <f ca="1">IFERROR(IF(0=LEN(ReferenceData!$AU$94),"",ReferenceData!$AU$94),"")</f>
        <v>244574</v>
      </c>
      <c r="AV94">
        <f ca="1">IFERROR(IF(0=LEN(ReferenceData!$AV$94),"",ReferenceData!$AV$94),"")</f>
        <v>288868</v>
      </c>
      <c r="AW94">
        <f ca="1">IFERROR(IF(0=LEN(ReferenceData!$AW$94),"",ReferenceData!$AW$94),"")</f>
        <v>313811</v>
      </c>
      <c r="AX94">
        <f ca="1">IFERROR(IF(0=LEN(ReferenceData!$AX$94),"",ReferenceData!$AX$94),"")</f>
        <v>343000</v>
      </c>
      <c r="AY94">
        <f ca="1">IFERROR(IF(0=LEN(ReferenceData!$AY$94),"",ReferenceData!$AY$94),"")</f>
        <v>326000</v>
      </c>
      <c r="AZ94">
        <f ca="1">IFERROR(IF(0=LEN(ReferenceData!$AZ$94),"",ReferenceData!$AZ$94),"")</f>
        <v>356000</v>
      </c>
      <c r="BA94">
        <f ca="1">IFERROR(IF(0=LEN(ReferenceData!$BA$94),"",ReferenceData!$BA$94),"")</f>
        <v>334000</v>
      </c>
      <c r="BB94">
        <f ca="1">IFERROR(IF(0=LEN(ReferenceData!$BB$94),"",ReferenceData!$BB$94),"")</f>
        <v>333000</v>
      </c>
      <c r="BC94">
        <f ca="1">IFERROR(IF(0=LEN(ReferenceData!$BC$94),"",ReferenceData!$BC$94),"")</f>
        <v>300000</v>
      </c>
      <c r="BD94">
        <f ca="1">IFERROR(IF(0=LEN(ReferenceData!$BD$94),"",ReferenceData!$BD$94),"")</f>
        <v>307000</v>
      </c>
      <c r="BE94">
        <f ca="1">IFERROR(IF(0=LEN(ReferenceData!$BE$94),"",ReferenceData!$BE$94),"")</f>
        <v>292000</v>
      </c>
      <c r="BF94">
        <f ca="1">IFERROR(IF(0=LEN(ReferenceData!$BF$94),"",ReferenceData!$BF$94),"")</f>
        <v>359000</v>
      </c>
      <c r="BG94" t="str">
        <f ca="1">IFERROR(IF(0=LEN(ReferenceData!$BG$94),"",ReferenceData!$BG$94),"")</f>
        <v/>
      </c>
      <c r="BH94" t="str">
        <f ca="1">IFERROR(IF(0=LEN(ReferenceData!$BH$94),"",ReferenceData!$BH$94),"")</f>
        <v/>
      </c>
      <c r="BI94" t="str">
        <f ca="1">IFERROR(IF(0=LEN(ReferenceData!$BI$94),"",ReferenceData!$BI$94),"")</f>
        <v/>
      </c>
      <c r="BJ94" t="str">
        <f ca="1">IFERROR(IF(0=LEN(ReferenceData!$BJ$94),"",ReferenceData!$BJ$94),"")</f>
        <v/>
      </c>
      <c r="BK94" t="str">
        <f ca="1">IFERROR(IF(0=LEN(ReferenceData!$BK$94),"",ReferenceData!$BK$94),"")</f>
        <v/>
      </c>
      <c r="BL94" t="str">
        <f ca="1">IFERROR(IF(0=LEN(ReferenceData!$BL$94),"",ReferenceData!$BL$94),"")</f>
        <v/>
      </c>
      <c r="BM94" t="str">
        <f ca="1">IFERROR(IF(0=LEN(ReferenceData!$BM$94),"",ReferenceData!$BM$94),"")</f>
        <v/>
      </c>
    </row>
    <row r="95" spans="1:65" x14ac:dyDescent="0.25">
      <c r="A95" t="str">
        <f>IFERROR(IF(0=LEN(ReferenceData!$A$95),"",ReferenceData!$A$95),"")</f>
        <v xml:space="preserve">        AvtoVaz(25% held by Renault SA)</v>
      </c>
      <c r="B95" t="str">
        <f>IFERROR(IF(0=LEN(ReferenceData!$B$95),"",ReferenceData!$B$95),"")</f>
        <v>AVAZ RU Equity</v>
      </c>
      <c r="C95" t="str">
        <f>IFERROR(IF(0=LEN(ReferenceData!$C$95),"",ReferenceData!$C$95),"")</f>
        <v>FS265</v>
      </c>
      <c r="D95" t="str">
        <f>IFERROR(IF(0=LEN(ReferenceData!$D$95),"",ReferenceData!$D$95),"")</f>
        <v>AUTO_VEHICLES_SOLD_WW</v>
      </c>
      <c r="E95" t="str">
        <f>IFERROR(IF(0=LEN(ReferenceData!$E$95),"",ReferenceData!$E$95),"")</f>
        <v>Dynamic</v>
      </c>
      <c r="F95" t="str">
        <f ca="1">IFERROR(IF(0=LEN(ReferenceData!$F$95),"",ReferenceData!$F$95),"")</f>
        <v/>
      </c>
      <c r="G95" t="str">
        <f ca="1">IFERROR(IF(0=LEN(ReferenceData!$G$95),"",ReferenceData!$G$95),"")</f>
        <v/>
      </c>
      <c r="H95" t="str">
        <f ca="1">IFERROR(IF(0=LEN(ReferenceData!$H$95),"",ReferenceData!$H$95),"")</f>
        <v/>
      </c>
      <c r="I95" t="str">
        <f ca="1">IFERROR(IF(0=LEN(ReferenceData!$I$95),"",ReferenceData!$I$95),"")</f>
        <v/>
      </c>
      <c r="J95" t="str">
        <f ca="1">IFERROR(IF(0=LEN(ReferenceData!$J$95),"",ReferenceData!$J$95),"")</f>
        <v/>
      </c>
      <c r="K95" t="str">
        <f ca="1">IFERROR(IF(0=LEN(ReferenceData!$K$95),"",ReferenceData!$K$95),"")</f>
        <v/>
      </c>
      <c r="L95" t="str">
        <f ca="1">IFERROR(IF(0=LEN(ReferenceData!$L$95),"",ReferenceData!$L$95),"")</f>
        <v/>
      </c>
      <c r="M95" t="str">
        <f ca="1">IFERROR(IF(0=LEN(ReferenceData!$M$95),"",ReferenceData!$M$95),"")</f>
        <v/>
      </c>
      <c r="N95" t="str">
        <f ca="1">IFERROR(IF(0=LEN(ReferenceData!$N$95),"",ReferenceData!$N$95),"")</f>
        <v/>
      </c>
      <c r="O95" t="str">
        <f ca="1">IFERROR(IF(0=LEN(ReferenceData!$O$95),"",ReferenceData!$O$95),"")</f>
        <v/>
      </c>
      <c r="P95" t="str">
        <f ca="1">IFERROR(IF(0=LEN(ReferenceData!$P$95),"",ReferenceData!$P$95),"")</f>
        <v/>
      </c>
      <c r="Q95" t="str">
        <f ca="1">IFERROR(IF(0=LEN(ReferenceData!$Q$95),"",ReferenceData!$Q$95),"")</f>
        <v/>
      </c>
      <c r="R95" t="str">
        <f ca="1">IFERROR(IF(0=LEN(ReferenceData!$R$95),"",ReferenceData!$R$95),"")</f>
        <v/>
      </c>
      <c r="S95" t="str">
        <f ca="1">IFERROR(IF(0=LEN(ReferenceData!$S$95),"",ReferenceData!$S$95),"")</f>
        <v/>
      </c>
      <c r="T95" t="str">
        <f ca="1">IFERROR(IF(0=LEN(ReferenceData!$T$95),"",ReferenceData!$T$95),"")</f>
        <v/>
      </c>
      <c r="U95" t="str">
        <f ca="1">IFERROR(IF(0=LEN(ReferenceData!$U$95),"",ReferenceData!$U$95),"")</f>
        <v/>
      </c>
      <c r="V95" t="str">
        <f ca="1">IFERROR(IF(0=LEN(ReferenceData!$V$95),"",ReferenceData!$V$95),"")</f>
        <v/>
      </c>
      <c r="W95" t="str">
        <f ca="1">IFERROR(IF(0=LEN(ReferenceData!$W$95),"",ReferenceData!$W$95),"")</f>
        <v/>
      </c>
      <c r="X95" t="str">
        <f ca="1">IFERROR(IF(0=LEN(ReferenceData!$X$95),"",ReferenceData!$X$95),"")</f>
        <v/>
      </c>
      <c r="Y95" t="str">
        <f ca="1">IFERROR(IF(0=LEN(ReferenceData!$Y$95),"",ReferenceData!$Y$95),"")</f>
        <v/>
      </c>
      <c r="Z95" t="str">
        <f ca="1">IFERROR(IF(0=LEN(ReferenceData!$Z$95),"",ReferenceData!$Z$95),"")</f>
        <v/>
      </c>
      <c r="AA95" t="str">
        <f ca="1">IFERROR(IF(0=LEN(ReferenceData!$AA$95),"",ReferenceData!$AA$95),"")</f>
        <v/>
      </c>
      <c r="AB95" t="str">
        <f ca="1">IFERROR(IF(0=LEN(ReferenceData!$AB$95),"",ReferenceData!$AB$95),"")</f>
        <v/>
      </c>
      <c r="AC95" t="str">
        <f ca="1">IFERROR(IF(0=LEN(ReferenceData!$AC$95),"",ReferenceData!$AC$95),"")</f>
        <v/>
      </c>
      <c r="AD95" t="str">
        <f ca="1">IFERROR(IF(0=LEN(ReferenceData!$AD$95),"",ReferenceData!$AD$95),"")</f>
        <v/>
      </c>
      <c r="AE95" t="str">
        <f ca="1">IFERROR(IF(0=LEN(ReferenceData!$AE$95),"",ReferenceData!$AE$95),"")</f>
        <v/>
      </c>
      <c r="AF95" t="str">
        <f ca="1">IFERROR(IF(0=LEN(ReferenceData!$AF$95),"",ReferenceData!$AF$95),"")</f>
        <v/>
      </c>
      <c r="AG95" t="str">
        <f ca="1">IFERROR(IF(0=LEN(ReferenceData!$AG$95),"",ReferenceData!$AG$95),"")</f>
        <v/>
      </c>
      <c r="AH95" t="str">
        <f ca="1">IFERROR(IF(0=LEN(ReferenceData!$AH$95),"",ReferenceData!$AH$95),"")</f>
        <v/>
      </c>
      <c r="AI95" t="str">
        <f ca="1">IFERROR(IF(0=LEN(ReferenceData!$AI$95),"",ReferenceData!$AI$95),"")</f>
        <v/>
      </c>
      <c r="AJ95" t="str">
        <f ca="1">IFERROR(IF(0=LEN(ReferenceData!$AJ$95),"",ReferenceData!$AJ$95),"")</f>
        <v/>
      </c>
      <c r="AK95" t="str">
        <f ca="1">IFERROR(IF(0=LEN(ReferenceData!$AK$95),"",ReferenceData!$AK$95),"")</f>
        <v/>
      </c>
      <c r="AL95" t="str">
        <f ca="1">IFERROR(IF(0=LEN(ReferenceData!$AL$95),"",ReferenceData!$AL$95),"")</f>
        <v/>
      </c>
      <c r="AM95" t="str">
        <f ca="1">IFERROR(IF(0=LEN(ReferenceData!$AM$95),"",ReferenceData!$AM$95),"")</f>
        <v/>
      </c>
      <c r="AN95" t="str">
        <f ca="1">IFERROR(IF(0=LEN(ReferenceData!$AN$95),"",ReferenceData!$AN$95),"")</f>
        <v/>
      </c>
      <c r="AO95" t="str">
        <f ca="1">IFERROR(IF(0=LEN(ReferenceData!$AO$95),"",ReferenceData!$AO$95),"")</f>
        <v/>
      </c>
      <c r="AP95" t="str">
        <f ca="1">IFERROR(IF(0=LEN(ReferenceData!$AP$95),"",ReferenceData!$AP$95),"")</f>
        <v/>
      </c>
      <c r="AQ95" t="str">
        <f ca="1">IFERROR(IF(0=LEN(ReferenceData!$AQ$95),"",ReferenceData!$AQ$95),"")</f>
        <v/>
      </c>
      <c r="AR95" t="str">
        <f ca="1">IFERROR(IF(0=LEN(ReferenceData!$AR$95),"",ReferenceData!$AR$95),"")</f>
        <v/>
      </c>
      <c r="AS95" t="str">
        <f ca="1">IFERROR(IF(0=LEN(ReferenceData!$AS$95),"",ReferenceData!$AS$95),"")</f>
        <v/>
      </c>
      <c r="AT95" t="str">
        <f ca="1">IFERROR(IF(0=LEN(ReferenceData!$AT$95),"",ReferenceData!$AT$95),"")</f>
        <v/>
      </c>
      <c r="AU95" t="str">
        <f ca="1">IFERROR(IF(0=LEN(ReferenceData!$AU$95),"",ReferenceData!$AU$95),"")</f>
        <v/>
      </c>
      <c r="AV95" t="str">
        <f ca="1">IFERROR(IF(0=LEN(ReferenceData!$AV$95),"",ReferenceData!$AV$95),"")</f>
        <v/>
      </c>
      <c r="AW95" t="str">
        <f ca="1">IFERROR(IF(0=LEN(ReferenceData!$AW$95),"",ReferenceData!$AW$95),"")</f>
        <v/>
      </c>
      <c r="AX95" t="str">
        <f ca="1">IFERROR(IF(0=LEN(ReferenceData!$AX$95),"",ReferenceData!$AX$95),"")</f>
        <v/>
      </c>
      <c r="AY95" t="str">
        <f ca="1">IFERROR(IF(0=LEN(ReferenceData!$AY$95),"",ReferenceData!$AY$95),"")</f>
        <v/>
      </c>
      <c r="AZ95" t="str">
        <f ca="1">IFERROR(IF(0=LEN(ReferenceData!$AZ$95),"",ReferenceData!$AZ$95),"")</f>
        <v/>
      </c>
      <c r="BA95" t="str">
        <f ca="1">IFERROR(IF(0=LEN(ReferenceData!$BA$95),"",ReferenceData!$BA$95),"")</f>
        <v/>
      </c>
      <c r="BB95" t="str">
        <f ca="1">IFERROR(IF(0=LEN(ReferenceData!$BB$95),"",ReferenceData!$BB$95),"")</f>
        <v/>
      </c>
      <c r="BC95" t="str">
        <f ca="1">IFERROR(IF(0=LEN(ReferenceData!$BC$95),"",ReferenceData!$BC$95),"")</f>
        <v/>
      </c>
      <c r="BD95" t="str">
        <f ca="1">IFERROR(IF(0=LEN(ReferenceData!$BD$95),"",ReferenceData!$BD$95),"")</f>
        <v/>
      </c>
      <c r="BE95" t="str">
        <f ca="1">IFERROR(IF(0=LEN(ReferenceData!$BE$95),"",ReferenceData!$BE$95),"")</f>
        <v/>
      </c>
      <c r="BF95" t="str">
        <f ca="1">IFERROR(IF(0=LEN(ReferenceData!$BF$95),"",ReferenceData!$BF$95),"")</f>
        <v/>
      </c>
      <c r="BG95" t="str">
        <f ca="1">IFERROR(IF(0=LEN(ReferenceData!$BG$95),"",ReferenceData!$BG$95),"")</f>
        <v/>
      </c>
      <c r="BH95" t="str">
        <f ca="1">IFERROR(IF(0=LEN(ReferenceData!$BH$95),"",ReferenceData!$BH$95),"")</f>
        <v/>
      </c>
      <c r="BI95" t="str">
        <f ca="1">IFERROR(IF(0=LEN(ReferenceData!$BI$95),"",ReferenceData!$BI$95),"")</f>
        <v/>
      </c>
      <c r="BJ95" t="str">
        <f ca="1">IFERROR(IF(0=LEN(ReferenceData!$BJ$95),"",ReferenceData!$BJ$95),"")</f>
        <v/>
      </c>
      <c r="BK95" t="str">
        <f ca="1">IFERROR(IF(0=LEN(ReferenceData!$BK$95),"",ReferenceData!$BK$95),"")</f>
        <v/>
      </c>
      <c r="BL95" t="str">
        <f ca="1">IFERROR(IF(0=LEN(ReferenceData!$BL$95),"",ReferenceData!$BL$95),"")</f>
        <v/>
      </c>
      <c r="BM95" t="str">
        <f ca="1">IFERROR(IF(0=LEN(ReferenceData!$BM$95),"",ReferenceData!$BM$95),"")</f>
        <v/>
      </c>
    </row>
    <row r="96" spans="1:65" x14ac:dyDescent="0.25">
      <c r="A96" t="str">
        <f>IFERROR(IF(0=LEN(ReferenceData!$A$96),"",ReferenceData!$A$96),"")</f>
        <v xml:space="preserve">    Ford Motor Co</v>
      </c>
      <c r="B96" t="str">
        <f>IFERROR(IF(0=LEN(ReferenceData!$B$96),"",ReferenceData!$B$96),"")</f>
        <v>F US Equity</v>
      </c>
      <c r="C96" t="str">
        <f>IFERROR(IF(0=LEN(ReferenceData!$C$96),"",ReferenceData!$C$96),"")</f>
        <v>FS265</v>
      </c>
      <c r="D96" t="str">
        <f>IFERROR(IF(0=LEN(ReferenceData!$D$96),"",ReferenceData!$D$96),"")</f>
        <v>AUTO_VEHICLES_SOLD_WW</v>
      </c>
      <c r="E96" t="str">
        <f>IFERROR(IF(0=LEN(ReferenceData!$E$96),"",ReferenceData!$E$96),"")</f>
        <v>Dynamic</v>
      </c>
      <c r="F96" t="str">
        <f ca="1">IFERROR(IF(0=LEN(ReferenceData!$F$96),"",ReferenceData!$F$96),"")</f>
        <v/>
      </c>
      <c r="G96">
        <f ca="1">IFERROR(IF(0=LEN(ReferenceData!$G$96),"",ReferenceData!$G$96),"")</f>
        <v>1474000</v>
      </c>
      <c r="H96">
        <f ca="1">IFERROR(IF(0=LEN(ReferenceData!$H$96),"",ReferenceData!$H$96),"")</f>
        <v>1353000</v>
      </c>
      <c r="I96">
        <f ca="1">IFERROR(IF(0=LEN(ReferenceData!$I$96),"",ReferenceData!$I$96),"")</f>
        <v>1493000</v>
      </c>
      <c r="J96">
        <f ca="1">IFERROR(IF(0=LEN(ReferenceData!$J$96),"",ReferenceData!$J$96),"")</f>
        <v>1662000</v>
      </c>
      <c r="K96">
        <f ca="1">IFERROR(IF(0=LEN(ReferenceData!$K$96),"",ReferenceData!$K$96),"")</f>
        <v>1749000</v>
      </c>
      <c r="L96">
        <f ca="1">IFERROR(IF(0=LEN(ReferenceData!$L$96),"",ReferenceData!$L$96),"")</f>
        <v>1504000</v>
      </c>
      <c r="M96">
        <f ca="1">IFERROR(IF(0=LEN(ReferenceData!$M$96),"",ReferenceData!$M$96),"")</f>
        <v>1651000</v>
      </c>
      <c r="N96">
        <f ca="1">IFERROR(IF(0=LEN(ReferenceData!$N$96),"",ReferenceData!$N$96),"")</f>
        <v>1703000</v>
      </c>
      <c r="O96">
        <f ca="1">IFERROR(IF(0=LEN(ReferenceData!$O$96),"",ReferenceData!$O$96),"")</f>
        <v>1707000</v>
      </c>
      <c r="P96">
        <f ca="1">IFERROR(IF(0=LEN(ReferenceData!$P$96),"",ReferenceData!$P$96),"")</f>
        <v>1530000</v>
      </c>
      <c r="Q96">
        <f ca="1">IFERROR(IF(0=LEN(ReferenceData!$Q$96),"",ReferenceData!$Q$96),"")</f>
        <v>1694000</v>
      </c>
      <c r="R96">
        <f ca="1">IFERROR(IF(0=LEN(ReferenceData!$R$96),"",ReferenceData!$R$96),"")</f>
        <v>1720000</v>
      </c>
      <c r="S96">
        <f ca="1">IFERROR(IF(0=LEN(ReferenceData!$S$96),"",ReferenceData!$S$96),"")</f>
        <v>1775000</v>
      </c>
      <c r="T96">
        <f ca="1">IFERROR(IF(0=LEN(ReferenceData!$T$96),"",ReferenceData!$T$96),"")</f>
        <v>1596000</v>
      </c>
      <c r="U96">
        <f ca="1">IFERROR(IF(0=LEN(ReferenceData!$U$96),"",ReferenceData!$U$96),"")</f>
        <v>1696000</v>
      </c>
      <c r="V96">
        <f ca="1">IFERROR(IF(0=LEN(ReferenceData!$V$96),"",ReferenceData!$V$96),"")</f>
        <v>1568000</v>
      </c>
      <c r="W96">
        <f ca="1">IFERROR(IF(0=LEN(ReferenceData!$W$96),"",ReferenceData!$W$96),"")</f>
        <v>1580000</v>
      </c>
      <c r="X96">
        <f ca="1">IFERROR(IF(0=LEN(ReferenceData!$X$96),"",ReferenceData!$X$96),"")</f>
        <v>1493000</v>
      </c>
      <c r="Y96">
        <f ca="1">IFERROR(IF(0=LEN(ReferenceData!$Y$96),"",ReferenceData!$Y$96),"")</f>
        <v>1661000</v>
      </c>
      <c r="Z96">
        <f ca="1">IFERROR(IF(0=LEN(ReferenceData!$Z$96),"",ReferenceData!$Z$96),"")</f>
        <v>1589000</v>
      </c>
      <c r="AA96">
        <f ca="1">IFERROR(IF(0=LEN(ReferenceData!$AA$96),"",ReferenceData!$AA$96),"")</f>
        <v>1610000</v>
      </c>
      <c r="AB96">
        <f ca="1">IFERROR(IF(0=LEN(ReferenceData!$AB$96),"",ReferenceData!$AB$96),"")</f>
        <v>1545000</v>
      </c>
      <c r="AC96">
        <f ca="1">IFERROR(IF(0=LEN(ReferenceData!$AC$96),"",ReferenceData!$AC$96),"")</f>
        <v>1678000</v>
      </c>
      <c r="AD96">
        <f ca="1">IFERROR(IF(0=LEN(ReferenceData!$AD$96),"",ReferenceData!$AD$96),"")</f>
        <v>1497000</v>
      </c>
      <c r="AE96">
        <f ca="1">IFERROR(IF(0=LEN(ReferenceData!$AE$96),"",ReferenceData!$AE$96),"")</f>
        <v>1534000</v>
      </c>
      <c r="AF96">
        <f ca="1">IFERROR(IF(0=LEN(ReferenceData!$AF$96),"",ReferenceData!$AF$96),"")</f>
        <v>1329000</v>
      </c>
      <c r="AG96">
        <f ca="1">IFERROR(IF(0=LEN(ReferenceData!$AG$96),"",ReferenceData!$AG$96),"")</f>
        <v>1447000</v>
      </c>
      <c r="AH96">
        <f ca="1">IFERROR(IF(0=LEN(ReferenceData!$AH$96),"",ReferenceData!$AH$96),"")</f>
        <v>1358000</v>
      </c>
      <c r="AI96">
        <f ca="1">IFERROR(IF(0=LEN(ReferenceData!$AI$96),"",ReferenceData!$AI$96),"")</f>
        <v>1427000</v>
      </c>
      <c r="AJ96">
        <f ca="1">IFERROR(IF(0=LEN(ReferenceData!$AJ$96),"",ReferenceData!$AJ$96),"")</f>
        <v>1346000</v>
      </c>
      <c r="AK96">
        <f ca="1">IFERROR(IF(0=LEN(ReferenceData!$AK$96),"",ReferenceData!$AK$96),"")</f>
        <v>1519000</v>
      </c>
      <c r="AL96">
        <f ca="1">IFERROR(IF(0=LEN(ReferenceData!$AL$96),"",ReferenceData!$AL$96),"")</f>
        <v>1403000</v>
      </c>
      <c r="AM96">
        <f ca="1">IFERROR(IF(0=LEN(ReferenceData!$AM$96),"",ReferenceData!$AM$96),"")</f>
        <v>1389000</v>
      </c>
      <c r="AN96">
        <f ca="1">IFERROR(IF(0=LEN(ReferenceData!$AN$96),"",ReferenceData!$AN$96),"")</f>
        <v>1273000</v>
      </c>
      <c r="AO96">
        <f ca="1">IFERROR(IF(0=LEN(ReferenceData!$AO$96),"",ReferenceData!$AO$96),"")</f>
        <v>1517000</v>
      </c>
      <c r="AP96">
        <f ca="1">IFERROR(IF(0=LEN(ReferenceData!$AP$96),"",ReferenceData!$AP$96),"")</f>
        <v>1345000</v>
      </c>
      <c r="AQ96">
        <f ca="1">IFERROR(IF(0=LEN(ReferenceData!$AQ$96),"",ReferenceData!$AQ$96),"")</f>
        <v>1489000</v>
      </c>
      <c r="AR96">
        <f ca="1">IFERROR(IF(0=LEN(ReferenceData!$AR$96),"",ReferenceData!$AR$96),"")</f>
        <v>1238000</v>
      </c>
      <c r="AS96">
        <f ca="1">IFERROR(IF(0=LEN(ReferenceData!$AS$96),"",ReferenceData!$AS$96),"")</f>
        <v>1194000</v>
      </c>
      <c r="AT96">
        <f ca="1">IFERROR(IF(0=LEN(ReferenceData!$AT$96),"",ReferenceData!$AT$96),"")</f>
        <v>986000</v>
      </c>
      <c r="AU96">
        <f ca="1">IFERROR(IF(0=LEN(ReferenceData!$AU$96),"",ReferenceData!$AU$96),"")</f>
        <v>1139000</v>
      </c>
      <c r="AV96">
        <f ca="1">IFERROR(IF(0=LEN(ReferenceData!$AV$96),"",ReferenceData!$AV$96),"")</f>
        <v>1175000</v>
      </c>
      <c r="AW96">
        <f ca="1">IFERROR(IF(0=LEN(ReferenceData!$AW$96),"",ReferenceData!$AW$96),"")</f>
        <v>1613000</v>
      </c>
      <c r="AX96">
        <f ca="1">IFERROR(IF(0=LEN(ReferenceData!$AX$96),"",ReferenceData!$AX$96),"")</f>
        <v>1605000</v>
      </c>
      <c r="AY96">
        <f ca="1">IFERROR(IF(0=LEN(ReferenceData!$AY$96),"",ReferenceData!$AY$96),"")</f>
        <v>1643000</v>
      </c>
      <c r="AZ96">
        <f ca="1">IFERROR(IF(0=LEN(ReferenceData!$AZ$96),"",ReferenceData!$AZ$96),"")</f>
        <v>1487000</v>
      </c>
      <c r="BA96">
        <f ca="1">IFERROR(IF(0=LEN(ReferenceData!$BA$96),"",ReferenceData!$BA$96),"")</f>
        <v>1773000</v>
      </c>
      <c r="BB96">
        <f ca="1">IFERROR(IF(0=LEN(ReferenceData!$BB$96),"",ReferenceData!$BB$96),"")</f>
        <v>1650000</v>
      </c>
      <c r="BC96">
        <f ca="1">IFERROR(IF(0=LEN(ReferenceData!$BC$96),"",ReferenceData!$BC$96),"")</f>
        <v>1676000</v>
      </c>
      <c r="BD96">
        <f ca="1">IFERROR(IF(0=LEN(ReferenceData!$BD$96),"",ReferenceData!$BD$96),"")</f>
        <v>1467000</v>
      </c>
      <c r="BE96">
        <f ca="1">IFERROR(IF(0=LEN(ReferenceData!$BE$96),"",ReferenceData!$BE$96),"")</f>
        <v>1806000</v>
      </c>
      <c r="BF96">
        <f ca="1">IFERROR(IF(0=LEN(ReferenceData!$BF$96),"",ReferenceData!$BF$96),"")</f>
        <v>1722000</v>
      </c>
      <c r="BG96">
        <f ca="1">IFERROR(IF(0=LEN(ReferenceData!$BG$96),"",ReferenceData!$BG$96),"")</f>
        <v>1853000</v>
      </c>
      <c r="BH96">
        <f ca="1">IFERROR(IF(0=LEN(ReferenceData!$BH$96),"",ReferenceData!$BH$96),"")</f>
        <v>1531000</v>
      </c>
      <c r="BI96">
        <f ca="1">IFERROR(IF(0=LEN(ReferenceData!$BI$96),"",ReferenceData!$BI$96),"")</f>
        <v>1718000</v>
      </c>
      <c r="BJ96">
        <f ca="1">IFERROR(IF(0=LEN(ReferenceData!$BJ$96),"",ReferenceData!$BJ$96),"")</f>
        <v>1716000</v>
      </c>
      <c r="BK96">
        <f ca="1">IFERROR(IF(0=LEN(ReferenceData!$BK$96),"",ReferenceData!$BK$96),"")</f>
        <v>1754000</v>
      </c>
      <c r="BL96">
        <f ca="1">IFERROR(IF(0=LEN(ReferenceData!$BL$96),"",ReferenceData!$BL$96),"")</f>
        <v>1508000</v>
      </c>
      <c r="BM96">
        <f ca="1">IFERROR(IF(0=LEN(ReferenceData!$BM$96),"",ReferenceData!$BM$96),"")</f>
        <v>1748000</v>
      </c>
    </row>
    <row r="97" spans="1:65" x14ac:dyDescent="0.25">
      <c r="A97" t="str">
        <f>IFERROR(IF(0=LEN(ReferenceData!$A$97),"",ReferenceData!$A$97),"")</f>
        <v xml:space="preserve">    SAIC Motor Corp Ltd</v>
      </c>
      <c r="B97" t="str">
        <f>IFERROR(IF(0=LEN(ReferenceData!$B$97),"",ReferenceData!$B$97),"")</f>
        <v>600104 CH Equity</v>
      </c>
      <c r="C97" t="str">
        <f>IFERROR(IF(0=LEN(ReferenceData!$C$97),"",ReferenceData!$C$97),"")</f>
        <v>FS265</v>
      </c>
      <c r="D97" t="str">
        <f>IFERROR(IF(0=LEN(ReferenceData!$D$97),"",ReferenceData!$D$97),"")</f>
        <v>AUTO_VEHICLES_SOLD_WW</v>
      </c>
      <c r="E97" t="str">
        <f>IFERROR(IF(0=LEN(ReferenceData!$E$97),"",ReferenceData!$E$97),"")</f>
        <v>Dynamic</v>
      </c>
      <c r="F97" t="str">
        <f ca="1">IFERROR(IF(0=LEN(ReferenceData!$F$97),"",ReferenceData!$F$97),"")</f>
        <v/>
      </c>
      <c r="G97" t="str">
        <f ca="1">IFERROR(IF(0=LEN(ReferenceData!$G$97),"",ReferenceData!$G$97),"")</f>
        <v/>
      </c>
      <c r="H97">
        <f ca="1">IFERROR(IF(0=LEN(ReferenceData!$H$97),"",ReferenceData!$H$97),"")</f>
        <v>1623556</v>
      </c>
      <c r="I97" t="str">
        <f ca="1">IFERROR(IF(0=LEN(ReferenceData!$I$97),"",ReferenceData!$I$97),"")</f>
        <v/>
      </c>
      <c r="J97" t="str">
        <f ca="1">IFERROR(IF(0=LEN(ReferenceData!$J$97),"",ReferenceData!$J$97),"")</f>
        <v/>
      </c>
      <c r="K97">
        <f ca="1">IFERROR(IF(0=LEN(ReferenceData!$K$97),"",ReferenceData!$K$97),"")</f>
        <v>2108633</v>
      </c>
      <c r="L97">
        <f ca="1">IFERROR(IF(0=LEN(ReferenceData!$L$97),"",ReferenceData!$L$97),"")</f>
        <v>1646367</v>
      </c>
      <c r="M97">
        <f ca="1">IFERROR(IF(0=LEN(ReferenceData!$M$97),"",ReferenceData!$M$97),"")</f>
        <v>1519200</v>
      </c>
      <c r="N97">
        <f ca="1">IFERROR(IF(0=LEN(ReferenceData!$N$97),"",ReferenceData!$N$97),"")</f>
        <v>1655800</v>
      </c>
      <c r="O97">
        <f ca="1">IFERROR(IF(0=LEN(ReferenceData!$O$97),"",ReferenceData!$O$97),"")</f>
        <v>2006990</v>
      </c>
      <c r="P97">
        <f ca="1">IFERROR(IF(0=LEN(ReferenceData!$P$97),"",ReferenceData!$P$97),"")</f>
        <v>1480010</v>
      </c>
      <c r="Q97">
        <f ca="1">IFERROR(IF(0=LEN(ReferenceData!$Q$97),"",ReferenceData!$Q$97),"")</f>
        <v>1394400</v>
      </c>
      <c r="R97">
        <f ca="1">IFERROR(IF(0=LEN(ReferenceData!$R$97),"",ReferenceData!$R$97),"")</f>
        <v>1607600</v>
      </c>
      <c r="S97">
        <f ca="1">IFERROR(IF(0=LEN(ReferenceData!$S$97),"",ReferenceData!$S$97),"")</f>
        <v>1768088</v>
      </c>
      <c r="T97">
        <f ca="1">IFERROR(IF(0=LEN(ReferenceData!$T$97),"",ReferenceData!$T$97),"")</f>
        <v>1271800</v>
      </c>
      <c r="U97">
        <f ca="1">IFERROR(IF(0=LEN(ReferenceData!$U$97),"",ReferenceData!$U$97),"")</f>
        <v>1323400</v>
      </c>
      <c r="V97">
        <f ca="1">IFERROR(IF(0=LEN(ReferenceData!$V$97),"",ReferenceData!$V$97),"")</f>
        <v>1538600</v>
      </c>
      <c r="W97">
        <f ca="1">IFERROR(IF(0=LEN(ReferenceData!$W$97),"",ReferenceData!$W$97),"")</f>
        <v>1432800</v>
      </c>
      <c r="X97">
        <f ca="1">IFERROR(IF(0=LEN(ReferenceData!$X$97),"",ReferenceData!$X$97),"")</f>
        <v>1326400</v>
      </c>
      <c r="Y97">
        <f ca="1">IFERROR(IF(0=LEN(ReferenceData!$Y$97),"",ReferenceData!$Y$97),"")</f>
        <v>1397867</v>
      </c>
      <c r="Z97">
        <f ca="1">IFERROR(IF(0=LEN(ReferenceData!$Z$97),"",ReferenceData!$Z$97),"")</f>
        <v>1463133</v>
      </c>
      <c r="AA97" t="str">
        <f ca="1">IFERROR(IF(0=LEN(ReferenceData!$AA$97),"",ReferenceData!$AA$97),"")</f>
        <v/>
      </c>
      <c r="AB97">
        <f ca="1">IFERROR(IF(0=LEN(ReferenceData!$AB$97),"",ReferenceData!$AB$97),"")</f>
        <v>1219400</v>
      </c>
      <c r="AC97">
        <f ca="1">IFERROR(IF(0=LEN(ReferenceData!$AC$97),"",ReferenceData!$AC$97),"")</f>
        <v>1237400</v>
      </c>
      <c r="AD97">
        <f ca="1">IFERROR(IF(0=LEN(ReferenceData!$AD$97),"",ReferenceData!$AD$97),"")</f>
        <v>1328001</v>
      </c>
      <c r="AE97">
        <f ca="1">IFERROR(IF(0=LEN(ReferenceData!$AE$97),"",ReferenceData!$AE$97),"")</f>
        <v>1184700</v>
      </c>
      <c r="AF97">
        <f ca="1">IFERROR(IF(0=LEN(ReferenceData!$AF$97),"",ReferenceData!$AF$97),"")</f>
        <v>1072300</v>
      </c>
      <c r="AG97">
        <f ca="1">IFERROR(IF(0=LEN(ReferenceData!$AG$97),"",ReferenceData!$AG$97),"")</f>
        <v>1081100</v>
      </c>
      <c r="AH97">
        <f ca="1">IFERROR(IF(0=LEN(ReferenceData!$AH$97),"",ReferenceData!$AH$97),"")</f>
        <v>1141900</v>
      </c>
      <c r="AI97">
        <f ca="1">IFERROR(IF(0=LEN(ReferenceData!$AI$97),"",ReferenceData!$AI$97),"")</f>
        <v>1019700</v>
      </c>
      <c r="AJ97">
        <f ca="1">IFERROR(IF(0=LEN(ReferenceData!$AJ$97),"",ReferenceData!$AJ$97),"")</f>
        <v>975300</v>
      </c>
      <c r="AK97">
        <f ca="1">IFERROR(IF(0=LEN(ReferenceData!$AK$97),"",ReferenceData!$AK$97),"")</f>
        <v>949100</v>
      </c>
      <c r="AL97">
        <f ca="1">IFERROR(IF(0=LEN(ReferenceData!$AL$97),"",ReferenceData!$AL$97),"")</f>
        <v>1055900</v>
      </c>
      <c r="AM97">
        <f ca="1">IFERROR(IF(0=LEN(ReferenceData!$AM$97),"",ReferenceData!$AM$97),"")</f>
        <v>916600</v>
      </c>
      <c r="AN97">
        <f ca="1">IFERROR(IF(0=LEN(ReferenceData!$AN$97),"",ReferenceData!$AN$97),"")</f>
        <v>890400</v>
      </c>
      <c r="AO97">
        <f ca="1">IFERROR(IF(0=LEN(ReferenceData!$AO$97),"",ReferenceData!$AO$97),"")</f>
        <v>884200</v>
      </c>
      <c r="AP97">
        <f ca="1">IFERROR(IF(0=LEN(ReferenceData!$AP$97),"",ReferenceData!$AP$97),"")</f>
        <v>891800</v>
      </c>
      <c r="AQ97">
        <f ca="1">IFERROR(IF(0=LEN(ReferenceData!$AQ$97),"",ReferenceData!$AQ$97),"")</f>
        <v>775000</v>
      </c>
      <c r="AR97">
        <f ca="1">IFERROR(IF(0=LEN(ReferenceData!$AR$97),"",ReferenceData!$AR$97),"")</f>
        <v>724000</v>
      </c>
      <c r="AS97">
        <f ca="1">IFERROR(IF(0=LEN(ReferenceData!$AS$97),"",ReferenceData!$AS$97),"")</f>
        <v>680923</v>
      </c>
      <c r="AT97">
        <f ca="1">IFERROR(IF(0=LEN(ReferenceData!$AT$97),"",ReferenceData!$AT$97),"")</f>
        <v>545077</v>
      </c>
      <c r="AU97" t="str">
        <f ca="1">IFERROR(IF(0=LEN(ReferenceData!$AU$97),"",ReferenceData!$AU$97),"")</f>
        <v/>
      </c>
      <c r="AV97" t="str">
        <f ca="1">IFERROR(IF(0=LEN(ReferenceData!$AV$97),"",ReferenceData!$AV$97),"")</f>
        <v/>
      </c>
      <c r="AW97" t="str">
        <f ca="1">IFERROR(IF(0=LEN(ReferenceData!$AW$97),"",ReferenceData!$AW$97),"")</f>
        <v/>
      </c>
      <c r="AX97" t="str">
        <f ca="1">IFERROR(IF(0=LEN(ReferenceData!$AX$97),"",ReferenceData!$AX$97),"")</f>
        <v/>
      </c>
      <c r="AY97" t="str">
        <f ca="1">IFERROR(IF(0=LEN(ReferenceData!$AY$97),"",ReferenceData!$AY$97),"")</f>
        <v/>
      </c>
      <c r="AZ97" t="str">
        <f ca="1">IFERROR(IF(0=LEN(ReferenceData!$AZ$97),"",ReferenceData!$AZ$97),"")</f>
        <v/>
      </c>
      <c r="BA97" t="str">
        <f ca="1">IFERROR(IF(0=LEN(ReferenceData!$BA$97),"",ReferenceData!$BA$97),"")</f>
        <v/>
      </c>
      <c r="BB97" t="str">
        <f ca="1">IFERROR(IF(0=LEN(ReferenceData!$BB$97),"",ReferenceData!$BB$97),"")</f>
        <v/>
      </c>
      <c r="BC97" t="str">
        <f ca="1">IFERROR(IF(0=LEN(ReferenceData!$BC$97),"",ReferenceData!$BC$97),"")</f>
        <v/>
      </c>
      <c r="BD97" t="str">
        <f ca="1">IFERROR(IF(0=LEN(ReferenceData!$BD$97),"",ReferenceData!$BD$97),"")</f>
        <v/>
      </c>
      <c r="BE97" t="str">
        <f ca="1">IFERROR(IF(0=LEN(ReferenceData!$BE$97),"",ReferenceData!$BE$97),"")</f>
        <v/>
      </c>
      <c r="BF97" t="str">
        <f ca="1">IFERROR(IF(0=LEN(ReferenceData!$BF$97),"",ReferenceData!$BF$97),"")</f>
        <v/>
      </c>
      <c r="BG97" t="str">
        <f ca="1">IFERROR(IF(0=LEN(ReferenceData!$BG$97),"",ReferenceData!$BG$97),"")</f>
        <v/>
      </c>
      <c r="BH97" t="str">
        <f ca="1">IFERROR(IF(0=LEN(ReferenceData!$BH$97),"",ReferenceData!$BH$97),"")</f>
        <v/>
      </c>
      <c r="BI97" t="str">
        <f ca="1">IFERROR(IF(0=LEN(ReferenceData!$BI$97),"",ReferenceData!$BI$97),"")</f>
        <v/>
      </c>
      <c r="BJ97" t="str">
        <f ca="1">IFERROR(IF(0=LEN(ReferenceData!$BJ$97),"",ReferenceData!$BJ$97),"")</f>
        <v/>
      </c>
      <c r="BK97" t="str">
        <f ca="1">IFERROR(IF(0=LEN(ReferenceData!$BK$97),"",ReferenceData!$BK$97),"")</f>
        <v/>
      </c>
      <c r="BL97" t="str">
        <f ca="1">IFERROR(IF(0=LEN(ReferenceData!$BL$97),"",ReferenceData!$BL$97),"")</f>
        <v/>
      </c>
      <c r="BM97" t="str">
        <f ca="1">IFERROR(IF(0=LEN(ReferenceData!$BM$97),"",ReferenceData!$BM$97),"")</f>
        <v/>
      </c>
    </row>
    <row r="98" spans="1:65" x14ac:dyDescent="0.25">
      <c r="A98" t="str">
        <f>IFERROR(IF(0=LEN(ReferenceData!$A$98),"",ReferenceData!$A$98),"")</f>
        <v xml:space="preserve">    Fiat Chrysler</v>
      </c>
      <c r="B98" t="str">
        <f>IFERROR(IF(0=LEN(ReferenceData!$B$98),"",ReferenceData!$B$98),"")</f>
        <v>FCAU US Equity</v>
      </c>
      <c r="C98" t="str">
        <f>IFERROR(IF(0=LEN(ReferenceData!$C$98),"",ReferenceData!$C$98),"")</f>
        <v>BI047</v>
      </c>
      <c r="D98" t="str">
        <f>IFERROR(IF(0=LEN(ReferenceData!$D$98),"",ReferenceData!$D$98),"")</f>
        <v>BICS_SEGMENT_DATA</v>
      </c>
      <c r="E98" t="str">
        <f>IFERROR(IF(0=LEN(ReferenceData!$E$98),"",ReferenceData!$E$98),"")</f>
        <v>Dynamic</v>
      </c>
      <c r="F98" t="str">
        <f ca="1">IFERROR(IF(0=LEN(ReferenceData!$F$98),"",ReferenceData!$F$98),"")</f>
        <v/>
      </c>
      <c r="G98" t="str">
        <f ca="1">IFERROR(IF(0=LEN(ReferenceData!$G$98),"",ReferenceData!$G$98),"")</f>
        <v/>
      </c>
      <c r="H98" t="str">
        <f ca="1">IFERROR(IF(0=LEN(ReferenceData!$H$98),"",ReferenceData!$H$98),"")</f>
        <v/>
      </c>
      <c r="I98" t="str">
        <f ca="1">IFERROR(IF(0=LEN(ReferenceData!$I$98),"",ReferenceData!$I$98),"")</f>
        <v/>
      </c>
      <c r="J98" t="str">
        <f ca="1">IFERROR(IF(0=LEN(ReferenceData!$J$98),"",ReferenceData!$J$98),"")</f>
        <v/>
      </c>
      <c r="K98" t="str">
        <f ca="1">IFERROR(IF(0=LEN(ReferenceData!$K$98),"",ReferenceData!$K$98),"")</f>
        <v/>
      </c>
      <c r="L98" t="str">
        <f ca="1">IFERROR(IF(0=LEN(ReferenceData!$L$98),"",ReferenceData!$L$98),"")</f>
        <v/>
      </c>
      <c r="M98" t="str">
        <f ca="1">IFERROR(IF(0=LEN(ReferenceData!$M$98),"",ReferenceData!$M$98),"")</f>
        <v/>
      </c>
      <c r="N98">
        <f ca="1">IFERROR(IF(0=LEN(ReferenceData!$N$98),"",ReferenceData!$N$98),"")</f>
        <v>1078000</v>
      </c>
      <c r="O98">
        <f ca="1">IFERROR(IF(0=LEN(ReferenceData!$O$98),"",ReferenceData!$O$98),"")</f>
        <v>1155000</v>
      </c>
      <c r="P98">
        <f ca="1">IFERROR(IF(0=LEN(ReferenceData!$P$98),"",ReferenceData!$P$98),"")</f>
        <v>1066000</v>
      </c>
      <c r="Q98">
        <f ca="1">IFERROR(IF(0=LEN(ReferenceData!$Q$98),"",ReferenceData!$Q$98),"")</f>
        <v>1175000</v>
      </c>
      <c r="R98">
        <f ca="1">IFERROR(IF(0=LEN(ReferenceData!$R$98),"",ReferenceData!$R$98),"")</f>
        <v>1086000</v>
      </c>
      <c r="S98">
        <f ca="1">IFERROR(IF(0=LEN(ReferenceData!$S$98),"",ReferenceData!$S$98),"")</f>
        <v>1208000</v>
      </c>
      <c r="T98">
        <f ca="1">IFERROR(IF(0=LEN(ReferenceData!$T$98),"",ReferenceData!$T$98),"")</f>
        <v>1114000</v>
      </c>
      <c r="U98">
        <f ca="1">IFERROR(IF(0=LEN(ReferenceData!$U$98),"",ReferenceData!$U$98),"")</f>
        <v>1193000</v>
      </c>
      <c r="V98">
        <f ca="1">IFERROR(IF(0=LEN(ReferenceData!$V$98),"",ReferenceData!$V$98),"")</f>
        <v>1095000</v>
      </c>
      <c r="W98">
        <f ca="1">IFERROR(IF(0=LEN(ReferenceData!$W$98),"",ReferenceData!$W$98),"")</f>
        <v>1215000</v>
      </c>
      <c r="X98" t="str">
        <f ca="1">IFERROR(IF(0=LEN(ReferenceData!$X$98),"",ReferenceData!$X$98),"")</f>
        <v/>
      </c>
      <c r="Y98" t="str">
        <f ca="1">IFERROR(IF(0=LEN(ReferenceData!$Y$98),"",ReferenceData!$Y$98),"")</f>
        <v/>
      </c>
      <c r="Z98" t="str">
        <f ca="1">IFERROR(IF(0=LEN(ReferenceData!$Z$98),"",ReferenceData!$Z$98),"")</f>
        <v/>
      </c>
      <c r="AA98" t="str">
        <f ca="1">IFERROR(IF(0=LEN(ReferenceData!$AA$98),"",ReferenceData!$AA$98),"")</f>
        <v/>
      </c>
      <c r="AB98" t="str">
        <f ca="1">IFERROR(IF(0=LEN(ReferenceData!$AB$98),"",ReferenceData!$AB$98),"")</f>
        <v/>
      </c>
      <c r="AC98" t="str">
        <f ca="1">IFERROR(IF(0=LEN(ReferenceData!$AC$98),"",ReferenceData!$AC$98),"")</f>
        <v/>
      </c>
      <c r="AD98" t="str">
        <f ca="1">IFERROR(IF(0=LEN(ReferenceData!$AD$98),"",ReferenceData!$AD$98),"")</f>
        <v/>
      </c>
      <c r="AE98" t="str">
        <f ca="1">IFERROR(IF(0=LEN(ReferenceData!$AE$98),"",ReferenceData!$AE$98),"")</f>
        <v/>
      </c>
      <c r="AF98" t="str">
        <f ca="1">IFERROR(IF(0=LEN(ReferenceData!$AF$98),"",ReferenceData!$AF$98),"")</f>
        <v/>
      </c>
      <c r="AG98" t="str">
        <f ca="1">IFERROR(IF(0=LEN(ReferenceData!$AG$98),"",ReferenceData!$AG$98),"")</f>
        <v/>
      </c>
      <c r="AH98" t="str">
        <f ca="1">IFERROR(IF(0=LEN(ReferenceData!$AH$98),"",ReferenceData!$AH$98),"")</f>
        <v/>
      </c>
      <c r="AI98" t="str">
        <f ca="1">IFERROR(IF(0=LEN(ReferenceData!$AI$98),"",ReferenceData!$AI$98),"")</f>
        <v/>
      </c>
      <c r="AJ98">
        <f ca="1">IFERROR(IF(0=LEN(ReferenceData!$AJ$98),"",ReferenceData!$AJ$98),"")</f>
        <v>2058000</v>
      </c>
      <c r="AK98">
        <f ca="1">IFERROR(IF(0=LEN(ReferenceData!$AK$98),"",ReferenceData!$AK$98),"")</f>
        <v>1616000</v>
      </c>
      <c r="AL98">
        <f ca="1">IFERROR(IF(0=LEN(ReferenceData!$AL$98),"",ReferenceData!$AL$98),"")</f>
        <v>2099000</v>
      </c>
      <c r="AM98">
        <f ca="1">IFERROR(IF(0=LEN(ReferenceData!$AM$98),"",ReferenceData!$AM$98),"")</f>
        <v>2086000</v>
      </c>
      <c r="AN98">
        <f ca="1">IFERROR(IF(0=LEN(ReferenceData!$AN$98),"",ReferenceData!$AN$98),"")</f>
        <v>2166000</v>
      </c>
      <c r="AO98">
        <f ca="1">IFERROR(IF(0=LEN(ReferenceData!$AO$98),"",ReferenceData!$AO$98),"")</f>
        <v>2072000</v>
      </c>
      <c r="AP98">
        <f ca="1">IFERROR(IF(0=LEN(ReferenceData!$AP$98),"",ReferenceData!$AP$98),"")</f>
        <v>2093000</v>
      </c>
      <c r="AQ98">
        <f ca="1">IFERROR(IF(0=LEN(ReferenceData!$AQ$98),"",ReferenceData!$AQ$98),"")</f>
        <v>2167000</v>
      </c>
      <c r="AR98">
        <f ca="1">IFERROR(IF(0=LEN(ReferenceData!$AR$98),"",ReferenceData!$AR$98),"")</f>
        <v>2081000</v>
      </c>
      <c r="AS98">
        <f ca="1">IFERROR(IF(0=LEN(ReferenceData!$AS$98),"",ReferenceData!$AS$98),"")</f>
        <v>1796000</v>
      </c>
      <c r="AT98">
        <f ca="1">IFERROR(IF(0=LEN(ReferenceData!$AT$98),"",ReferenceData!$AT$98),"")</f>
        <v>1768000</v>
      </c>
      <c r="AU98">
        <f ca="1">IFERROR(IF(0=LEN(ReferenceData!$AU$98),"",ReferenceData!$AU$98),"")</f>
        <v>1920000</v>
      </c>
      <c r="AV98">
        <f ca="1">IFERROR(IF(0=LEN(ReferenceData!$AV$98),"",ReferenceData!$AV$98),"")</f>
        <v>2233000</v>
      </c>
      <c r="AW98">
        <f ca="1">IFERROR(IF(0=LEN(ReferenceData!$AW$98),"",ReferenceData!$AW$98),"")</f>
        <v>2406000</v>
      </c>
      <c r="AX98">
        <f ca="1">IFERROR(IF(0=LEN(ReferenceData!$AX$98),"",ReferenceData!$AX$98),"")</f>
        <v>2413000</v>
      </c>
      <c r="AY98">
        <f ca="1">IFERROR(IF(0=LEN(ReferenceData!$AY$98),"",ReferenceData!$AY$98),"")</f>
        <v>2316000</v>
      </c>
      <c r="AZ98">
        <f ca="1">IFERROR(IF(0=LEN(ReferenceData!$AZ$98),"",ReferenceData!$AZ$98),"")</f>
        <v>2336000</v>
      </c>
      <c r="BA98">
        <f ca="1">IFERROR(IF(0=LEN(ReferenceData!$BA$98),"",ReferenceData!$BA$98),"")</f>
        <v>2365000</v>
      </c>
      <c r="BB98">
        <f ca="1">IFERROR(IF(0=LEN(ReferenceData!$BB$98),"",ReferenceData!$BB$98),"")</f>
        <v>2345000</v>
      </c>
      <c r="BC98">
        <f ca="1">IFERROR(IF(0=LEN(ReferenceData!$BC$98),"",ReferenceData!$BC$98),"")</f>
        <v>2200000</v>
      </c>
      <c r="BD98">
        <f ca="1">IFERROR(IF(0=LEN(ReferenceData!$BD$98),"",ReferenceData!$BD$98),"")</f>
        <v>2252000</v>
      </c>
      <c r="BE98">
        <f ca="1">IFERROR(IF(0=LEN(ReferenceData!$BE$98),"",ReferenceData!$BE$98),"")</f>
        <v>2208000</v>
      </c>
      <c r="BF98">
        <f ca="1">IFERROR(IF(0=LEN(ReferenceData!$BF$98),"",ReferenceData!$BF$98),"")</f>
        <v>2152000</v>
      </c>
      <c r="BG98">
        <f ca="1">IFERROR(IF(0=LEN(ReferenceData!$BG$98),"",ReferenceData!$BG$98),"")</f>
        <v>2007000</v>
      </c>
      <c r="BH98">
        <f ca="1">IFERROR(IF(0=LEN(ReferenceData!$BH$98),"",ReferenceData!$BH$98),"")</f>
        <v>2035000</v>
      </c>
      <c r="BI98">
        <f ca="1">IFERROR(IF(0=LEN(ReferenceData!$BI$98),"",ReferenceData!$BI$98),"")</f>
        <v>2058000</v>
      </c>
      <c r="BJ98">
        <f ca="1">IFERROR(IF(0=LEN(ReferenceData!$BJ$98),"",ReferenceData!$BJ$98),"")</f>
        <v>2017000</v>
      </c>
      <c r="BK98" t="str">
        <f ca="1">IFERROR(IF(0=LEN(ReferenceData!$BK$98),"",ReferenceData!$BK$98),"")</f>
        <v/>
      </c>
      <c r="BL98" t="str">
        <f ca="1">IFERROR(IF(0=LEN(ReferenceData!$BL$98),"",ReferenceData!$BL$98),"")</f>
        <v/>
      </c>
      <c r="BM98" t="str">
        <f ca="1">IFERROR(IF(0=LEN(ReferenceData!$BM$98),"",ReferenceData!$BM$98),"")</f>
        <v/>
      </c>
    </row>
    <row r="99" spans="1:65" x14ac:dyDescent="0.25">
      <c r="A99" t="str">
        <f>IFERROR(IF(0=LEN(ReferenceData!$A$99),"",ReferenceData!$A$99),"")</f>
        <v xml:space="preserve">    The Fiat Group</v>
      </c>
      <c r="B99" t="str">
        <f>IFERROR(IF(0=LEN(ReferenceData!$B$99),"",ReferenceData!$B$99),"")</f>
        <v/>
      </c>
      <c r="C99" t="str">
        <f>IFERROR(IF(0=LEN(ReferenceData!$C$99),"",ReferenceData!$C$99),"")</f>
        <v/>
      </c>
      <c r="D99" t="str">
        <f>IFERROR(IF(0=LEN(ReferenceData!$D$99),"",ReferenceData!$D$99),"")</f>
        <v/>
      </c>
      <c r="E99" t="str">
        <f>IFERROR(IF(0=LEN(ReferenceData!$E$99),"",ReferenceData!$E$99),"")</f>
        <v>Sum</v>
      </c>
      <c r="F99" t="str">
        <f ca="1">IFERROR(IF(0=LEN(ReferenceData!$F$99),"",ReferenceData!$F$99),"")</f>
        <v/>
      </c>
      <c r="G99" t="str">
        <f ca="1">IFERROR(IF(0=LEN(ReferenceData!$G$99),"",ReferenceData!$G$99),"")</f>
        <v/>
      </c>
      <c r="H99" t="str">
        <f ca="1">IFERROR(IF(0=LEN(ReferenceData!$H$99),"",ReferenceData!$H$99),"")</f>
        <v/>
      </c>
      <c r="I99" t="str">
        <f ca="1">IFERROR(IF(0=LEN(ReferenceData!$I$99),"",ReferenceData!$I$99),"")</f>
        <v/>
      </c>
      <c r="J99" t="str">
        <f ca="1">IFERROR(IF(0=LEN(ReferenceData!$J$99),"",ReferenceData!$J$99),"")</f>
        <v/>
      </c>
      <c r="K99" t="str">
        <f ca="1">IFERROR(IF(0=LEN(ReferenceData!$K$99),"",ReferenceData!$K$99),"")</f>
        <v/>
      </c>
      <c r="L99" t="str">
        <f ca="1">IFERROR(IF(0=LEN(ReferenceData!$L$99),"",ReferenceData!$L$99),"")</f>
        <v/>
      </c>
      <c r="M99" t="str">
        <f ca="1">IFERROR(IF(0=LEN(ReferenceData!$M$99),"",ReferenceData!$M$99),"")</f>
        <v/>
      </c>
      <c r="N99" t="str">
        <f ca="1">IFERROR(IF(0=LEN(ReferenceData!$N$99),"",ReferenceData!$N$99),"")</f>
        <v/>
      </c>
      <c r="O99" t="str">
        <f ca="1">IFERROR(IF(0=LEN(ReferenceData!$O$99),"",ReferenceData!$O$99),"")</f>
        <v/>
      </c>
      <c r="P99" t="str">
        <f ca="1">IFERROR(IF(0=LEN(ReferenceData!$P$99),"",ReferenceData!$P$99),"")</f>
        <v/>
      </c>
      <c r="Q99" t="str">
        <f ca="1">IFERROR(IF(0=LEN(ReferenceData!$Q$99),"",ReferenceData!$Q$99),"")</f>
        <v/>
      </c>
      <c r="R99" t="str">
        <f ca="1">IFERROR(IF(0=LEN(ReferenceData!$R$99),"",ReferenceData!$R$99),"")</f>
        <v/>
      </c>
      <c r="S99" t="str">
        <f ca="1">IFERROR(IF(0=LEN(ReferenceData!$S$99),"",ReferenceData!$S$99),"")</f>
        <v/>
      </c>
      <c r="T99" t="str">
        <f ca="1">IFERROR(IF(0=LEN(ReferenceData!$T$99),"",ReferenceData!$T$99),"")</f>
        <v/>
      </c>
      <c r="U99" t="str">
        <f ca="1">IFERROR(IF(0=LEN(ReferenceData!$U$99),"",ReferenceData!$U$99),"")</f>
        <v/>
      </c>
      <c r="V99" t="str">
        <f ca="1">IFERROR(IF(0=LEN(ReferenceData!$V$99),"",ReferenceData!$V$99),"")</f>
        <v/>
      </c>
      <c r="W99" t="str">
        <f ca="1">IFERROR(IF(0=LEN(ReferenceData!$W$99),"",ReferenceData!$W$99),"")</f>
        <v/>
      </c>
      <c r="X99">
        <f ca="1">IFERROR(IF(0=LEN(ReferenceData!$X$99),"",ReferenceData!$X$99),"")</f>
        <v>1099000</v>
      </c>
      <c r="Y99">
        <f ca="1">IFERROR(IF(0=LEN(ReferenceData!$Y$99),"",ReferenceData!$Y$99),"")</f>
        <v>1181000</v>
      </c>
      <c r="Z99">
        <f ca="1">IFERROR(IF(0=LEN(ReferenceData!$Z$99),"",ReferenceData!$Z$99),"")</f>
        <v>1112740</v>
      </c>
      <c r="AA99">
        <f ca="1">IFERROR(IF(0=LEN(ReferenceData!$AA$99),"",ReferenceData!$AA$99),"")</f>
        <v>1024102</v>
      </c>
      <c r="AB99">
        <f ca="1">IFERROR(IF(0=LEN(ReferenceData!$AB$99),"",ReferenceData!$AB$99),"")</f>
        <v>1009452</v>
      </c>
      <c r="AC99">
        <f ca="1">IFERROR(IF(0=LEN(ReferenceData!$AC$99),"",ReferenceData!$AC$99),"")</f>
        <v>1177260</v>
      </c>
      <c r="AD99">
        <f ca="1">IFERROR(IF(0=LEN(ReferenceData!$AD$99),"",ReferenceData!$AD$99),"")</f>
        <v>1013898</v>
      </c>
      <c r="AE99">
        <f ca="1">IFERROR(IF(0=LEN(ReferenceData!$AE$99),"",ReferenceData!$AE$99),"")</f>
        <v>858837</v>
      </c>
      <c r="AF99">
        <f ca="1">IFERROR(IF(0=LEN(ReferenceData!$AF$99),"",ReferenceData!$AF$99),"")</f>
        <v>1004000</v>
      </c>
      <c r="AG99">
        <f ca="1">IFERROR(IF(0=LEN(ReferenceData!$AG$99),"",ReferenceData!$AG$99),"")</f>
        <v>1102000</v>
      </c>
      <c r="AH99">
        <f ca="1">IFERROR(IF(0=LEN(ReferenceData!$AH$99),"",ReferenceData!$AH$99),"")</f>
        <v>523000</v>
      </c>
      <c r="AI99">
        <f ca="1">IFERROR(IF(0=LEN(ReferenceData!$AI$99),"",ReferenceData!$AI$99),"")</f>
        <v>543000</v>
      </c>
      <c r="AJ99">
        <f ca="1">IFERROR(IF(0=LEN(ReferenceData!$AJ$99),"",ReferenceData!$AJ$99),"")</f>
        <v>469000</v>
      </c>
      <c r="AK99">
        <f ca="1">IFERROR(IF(0=LEN(ReferenceData!$AK$99),"",ReferenceData!$AK$99),"")</f>
        <v>486000</v>
      </c>
      <c r="AL99">
        <f ca="1">IFERROR(IF(0=LEN(ReferenceData!$AL$99),"",ReferenceData!$AL$99),"")</f>
        <v>394000</v>
      </c>
      <c r="AM99">
        <f ca="1">IFERROR(IF(0=LEN(ReferenceData!$AM$99),"",ReferenceData!$AM$99),"")</f>
        <v>374000</v>
      </c>
      <c r="AN99">
        <f ca="1">IFERROR(IF(0=LEN(ReferenceData!$AN$99),"",ReferenceData!$AN$99),"")</f>
        <v>401000</v>
      </c>
      <c r="AO99">
        <f ca="1">IFERROR(IF(0=LEN(ReferenceData!$AO$99),"",ReferenceData!$AO$99),"")</f>
        <v>407000</v>
      </c>
      <c r="AP99">
        <f ca="1">IFERROR(IF(0=LEN(ReferenceData!$AP$99),"",ReferenceData!$AP$99),"")</f>
        <v>334000</v>
      </c>
      <c r="AQ99" t="str">
        <f ca="1">IFERROR(IF(0=LEN(ReferenceData!$AQ$99),"",ReferenceData!$AQ$99),"")</f>
        <v/>
      </c>
      <c r="AR99" t="str">
        <f ca="1">IFERROR(IF(0=LEN(ReferenceData!$AR$99),"",ReferenceData!$AR$99),"")</f>
        <v/>
      </c>
      <c r="AS99" t="str">
        <f ca="1">IFERROR(IF(0=LEN(ReferenceData!$AS$99),"",ReferenceData!$AS$99),"")</f>
        <v/>
      </c>
      <c r="AT99" t="str">
        <f ca="1">IFERROR(IF(0=LEN(ReferenceData!$AT$99),"",ReferenceData!$AT$99),"")</f>
        <v/>
      </c>
      <c r="AU99" t="str">
        <f ca="1">IFERROR(IF(0=LEN(ReferenceData!$AU$99),"",ReferenceData!$AU$99),"")</f>
        <v/>
      </c>
      <c r="AV99" t="str">
        <f ca="1">IFERROR(IF(0=LEN(ReferenceData!$AV$99),"",ReferenceData!$AV$99),"")</f>
        <v/>
      </c>
      <c r="AW99" t="str">
        <f ca="1">IFERROR(IF(0=LEN(ReferenceData!$AW$99),"",ReferenceData!$AW$99),"")</f>
        <v/>
      </c>
      <c r="AX99" t="str">
        <f ca="1">IFERROR(IF(0=LEN(ReferenceData!$AX$99),"",ReferenceData!$AX$99),"")</f>
        <v/>
      </c>
      <c r="AY99" t="str">
        <f ca="1">IFERROR(IF(0=LEN(ReferenceData!$AY$99),"",ReferenceData!$AY$99),"")</f>
        <v/>
      </c>
      <c r="AZ99" t="str">
        <f ca="1">IFERROR(IF(0=LEN(ReferenceData!$AZ$99),"",ReferenceData!$AZ$99),"")</f>
        <v/>
      </c>
      <c r="BA99" t="str">
        <f ca="1">IFERROR(IF(0=LEN(ReferenceData!$BA$99),"",ReferenceData!$BA$99),"")</f>
        <v/>
      </c>
      <c r="BB99" t="str">
        <f ca="1">IFERROR(IF(0=LEN(ReferenceData!$BB$99),"",ReferenceData!$BB$99),"")</f>
        <v/>
      </c>
      <c r="BC99" t="str">
        <f ca="1">IFERROR(IF(0=LEN(ReferenceData!$BC$99),"",ReferenceData!$BC$99),"")</f>
        <v/>
      </c>
      <c r="BD99" t="str">
        <f ca="1">IFERROR(IF(0=LEN(ReferenceData!$BD$99),"",ReferenceData!$BD$99),"")</f>
        <v/>
      </c>
      <c r="BE99" t="str">
        <f ca="1">IFERROR(IF(0=LEN(ReferenceData!$BE$99),"",ReferenceData!$BE$99),"")</f>
        <v/>
      </c>
      <c r="BF99" t="str">
        <f ca="1">IFERROR(IF(0=LEN(ReferenceData!$BF$99),"",ReferenceData!$BF$99),"")</f>
        <v/>
      </c>
      <c r="BG99">
        <f ca="1">IFERROR(IF(0=LEN(ReferenceData!$BG$99),"",ReferenceData!$BG$99),"")</f>
        <v>469307</v>
      </c>
      <c r="BH99" t="str">
        <f ca="1">IFERROR(IF(0=LEN(ReferenceData!$BH$99),"",ReferenceData!$BH$99),"")</f>
        <v/>
      </c>
      <c r="BI99" t="str">
        <f ca="1">IFERROR(IF(0=LEN(ReferenceData!$BI$99),"",ReferenceData!$BI$99),"")</f>
        <v/>
      </c>
      <c r="BJ99" t="str">
        <f ca="1">IFERROR(IF(0=LEN(ReferenceData!$BJ$99),"",ReferenceData!$BJ$99),"")</f>
        <v/>
      </c>
      <c r="BK99" t="str">
        <f ca="1">IFERROR(IF(0=LEN(ReferenceData!$BK$99),"",ReferenceData!$BK$99),"")</f>
        <v/>
      </c>
      <c r="BL99" t="str">
        <f ca="1">IFERROR(IF(0=LEN(ReferenceData!$BL$99),"",ReferenceData!$BL$99),"")</f>
        <v/>
      </c>
      <c r="BM99" t="str">
        <f ca="1">IFERROR(IF(0=LEN(ReferenceData!$BM$99),"",ReferenceData!$BM$99),"")</f>
        <v/>
      </c>
    </row>
    <row r="100" spans="1:65" x14ac:dyDescent="0.25">
      <c r="A100" t="str">
        <f>IFERROR(IF(0=LEN(ReferenceData!$A$100),"",ReferenceData!$A$100),"")</f>
        <v xml:space="preserve">        Fiat SpA</v>
      </c>
      <c r="B100" t="str">
        <f>IFERROR(IF(0=LEN(ReferenceData!$B$100),"",ReferenceData!$B$100),"")</f>
        <v/>
      </c>
      <c r="C100" t="str">
        <f>IFERROR(IF(0=LEN(ReferenceData!$C$100),"",ReferenceData!$C$100),"")</f>
        <v/>
      </c>
      <c r="D100" t="str">
        <f>IFERROR(IF(0=LEN(ReferenceData!$D$100),"",ReferenceData!$D$100),"")</f>
        <v/>
      </c>
      <c r="E100" t="str">
        <f>IFERROR(IF(0=LEN(ReferenceData!$E$100),"",ReferenceData!$E$100),"")</f>
        <v>Sum</v>
      </c>
      <c r="F100" t="str">
        <f ca="1">IFERROR(IF(0=LEN(ReferenceData!$F$100),"",ReferenceData!$F$100),"")</f>
        <v/>
      </c>
      <c r="G100" t="str">
        <f ca="1">IFERROR(IF(0=LEN(ReferenceData!$G$100),"",ReferenceData!$G$100),"")</f>
        <v/>
      </c>
      <c r="H100" t="str">
        <f ca="1">IFERROR(IF(0=LEN(ReferenceData!$H$100),"",ReferenceData!$H$100),"")</f>
        <v/>
      </c>
      <c r="I100" t="str">
        <f ca="1">IFERROR(IF(0=LEN(ReferenceData!$I$100),"",ReferenceData!$I$100),"")</f>
        <v/>
      </c>
      <c r="J100" t="str">
        <f ca="1">IFERROR(IF(0=LEN(ReferenceData!$J$100),"",ReferenceData!$J$100),"")</f>
        <v/>
      </c>
      <c r="K100" t="str">
        <f ca="1">IFERROR(IF(0=LEN(ReferenceData!$K$100),"",ReferenceData!$K$100),"")</f>
        <v/>
      </c>
      <c r="L100" t="str">
        <f ca="1">IFERROR(IF(0=LEN(ReferenceData!$L$100),"",ReferenceData!$L$100),"")</f>
        <v/>
      </c>
      <c r="M100" t="str">
        <f ca="1">IFERROR(IF(0=LEN(ReferenceData!$M$100),"",ReferenceData!$M$100),"")</f>
        <v/>
      </c>
      <c r="N100" t="str">
        <f ca="1">IFERROR(IF(0=LEN(ReferenceData!$N$100),"",ReferenceData!$N$100),"")</f>
        <v/>
      </c>
      <c r="O100" t="str">
        <f ca="1">IFERROR(IF(0=LEN(ReferenceData!$O$100),"",ReferenceData!$O$100),"")</f>
        <v/>
      </c>
      <c r="P100" t="str">
        <f ca="1">IFERROR(IF(0=LEN(ReferenceData!$P$100),"",ReferenceData!$P$100),"")</f>
        <v/>
      </c>
      <c r="Q100" t="str">
        <f ca="1">IFERROR(IF(0=LEN(ReferenceData!$Q$100),"",ReferenceData!$Q$100),"")</f>
        <v/>
      </c>
      <c r="R100" t="str">
        <f ca="1">IFERROR(IF(0=LEN(ReferenceData!$R$100),"",ReferenceData!$R$100),"")</f>
        <v/>
      </c>
      <c r="S100" t="str">
        <f ca="1">IFERROR(IF(0=LEN(ReferenceData!$S$100),"",ReferenceData!$S$100),"")</f>
        <v/>
      </c>
      <c r="T100" t="str">
        <f ca="1">IFERROR(IF(0=LEN(ReferenceData!$T$100),"",ReferenceData!$T$100),"")</f>
        <v/>
      </c>
      <c r="U100" t="str">
        <f ca="1">IFERROR(IF(0=LEN(ReferenceData!$U$100),"",ReferenceData!$U$100),"")</f>
        <v/>
      </c>
      <c r="V100" t="str">
        <f ca="1">IFERROR(IF(0=LEN(ReferenceData!$V$100),"",ReferenceData!$V$100),"")</f>
        <v/>
      </c>
      <c r="W100" t="str">
        <f ca="1">IFERROR(IF(0=LEN(ReferenceData!$W$100),"",ReferenceData!$W$100),"")</f>
        <v/>
      </c>
      <c r="X100">
        <f ca="1">IFERROR(IF(0=LEN(ReferenceData!$X$100),"",ReferenceData!$X$100),"")</f>
        <v>388000</v>
      </c>
      <c r="Y100">
        <f ca="1">IFERROR(IF(0=LEN(ReferenceData!$Y$100),"",ReferenceData!$Y$100),"")</f>
        <v>454000</v>
      </c>
      <c r="Z100">
        <f ca="1">IFERROR(IF(0=LEN(ReferenceData!$Z$100),"",ReferenceData!$Z$100),"")</f>
        <v>444740</v>
      </c>
      <c r="AA100">
        <f ca="1">IFERROR(IF(0=LEN(ReferenceData!$AA$100),"",ReferenceData!$AA$100),"")</f>
        <v>433102</v>
      </c>
      <c r="AB100">
        <f ca="1">IFERROR(IF(0=LEN(ReferenceData!$AB$100),"",ReferenceData!$AB$100),"")</f>
        <v>406452</v>
      </c>
      <c r="AC100">
        <f ca="1">IFERROR(IF(0=LEN(ReferenceData!$AC$100),"",ReferenceData!$AC$100),"")</f>
        <v>534260</v>
      </c>
      <c r="AD100">
        <f ca="1">IFERROR(IF(0=LEN(ReferenceData!$AD$100),"",ReferenceData!$AD$100),"")</f>
        <v>450898</v>
      </c>
      <c r="AE100">
        <f ca="1">IFERROR(IF(0=LEN(ReferenceData!$AE$100),"",ReferenceData!$AE$100),"")</f>
        <v>325837</v>
      </c>
      <c r="AF100">
        <f ca="1">IFERROR(IF(0=LEN(ReferenceData!$AF$100),"",ReferenceData!$AF$100),"")</f>
        <v>448000</v>
      </c>
      <c r="AG100">
        <f ca="1">IFERROR(IF(0=LEN(ReferenceData!$AG$100),"",ReferenceData!$AG$100),"")</f>
        <v>507000</v>
      </c>
      <c r="AH100" t="str">
        <f ca="1">IFERROR(IF(0=LEN(ReferenceData!$AH$100),"",ReferenceData!$AH$100),"")</f>
        <v/>
      </c>
      <c r="AI100" t="str">
        <f ca="1">IFERROR(IF(0=LEN(ReferenceData!$AI$100),"",ReferenceData!$AI$100),"")</f>
        <v/>
      </c>
      <c r="AJ100" t="str">
        <f ca="1">IFERROR(IF(0=LEN(ReferenceData!$AJ$100),"",ReferenceData!$AJ$100),"")</f>
        <v/>
      </c>
      <c r="AK100" t="str">
        <f ca="1">IFERROR(IF(0=LEN(ReferenceData!$AK$100),"",ReferenceData!$AK$100),"")</f>
        <v/>
      </c>
      <c r="AL100" t="str">
        <f ca="1">IFERROR(IF(0=LEN(ReferenceData!$AL$100),"",ReferenceData!$AL$100),"")</f>
        <v/>
      </c>
      <c r="AM100" t="str">
        <f ca="1">IFERROR(IF(0=LEN(ReferenceData!$AM$100),"",ReferenceData!$AM$100),"")</f>
        <v/>
      </c>
      <c r="AN100" t="str">
        <f ca="1">IFERROR(IF(0=LEN(ReferenceData!$AN$100),"",ReferenceData!$AN$100),"")</f>
        <v/>
      </c>
      <c r="AO100" t="str">
        <f ca="1">IFERROR(IF(0=LEN(ReferenceData!$AO$100),"",ReferenceData!$AO$100),"")</f>
        <v/>
      </c>
      <c r="AP100" t="str">
        <f ca="1">IFERROR(IF(0=LEN(ReferenceData!$AP$100),"",ReferenceData!$AP$100),"")</f>
        <v/>
      </c>
      <c r="AQ100" t="str">
        <f ca="1">IFERROR(IF(0=LEN(ReferenceData!$AQ$100),"",ReferenceData!$AQ$100),"")</f>
        <v/>
      </c>
      <c r="AR100" t="str">
        <f ca="1">IFERROR(IF(0=LEN(ReferenceData!$AR$100),"",ReferenceData!$AR$100),"")</f>
        <v/>
      </c>
      <c r="AS100" t="str">
        <f ca="1">IFERROR(IF(0=LEN(ReferenceData!$AS$100),"",ReferenceData!$AS$100),"")</f>
        <v/>
      </c>
      <c r="AT100" t="str">
        <f ca="1">IFERROR(IF(0=LEN(ReferenceData!$AT$100),"",ReferenceData!$AT$100),"")</f>
        <v/>
      </c>
      <c r="AU100" t="str">
        <f ca="1">IFERROR(IF(0=LEN(ReferenceData!$AU$100),"",ReferenceData!$AU$100),"")</f>
        <v/>
      </c>
      <c r="AV100" t="str">
        <f ca="1">IFERROR(IF(0=LEN(ReferenceData!$AV$100),"",ReferenceData!$AV$100),"")</f>
        <v/>
      </c>
      <c r="AW100" t="str">
        <f ca="1">IFERROR(IF(0=LEN(ReferenceData!$AW$100),"",ReferenceData!$AW$100),"")</f>
        <v/>
      </c>
      <c r="AX100" t="str">
        <f ca="1">IFERROR(IF(0=LEN(ReferenceData!$AX$100),"",ReferenceData!$AX$100),"")</f>
        <v/>
      </c>
      <c r="AY100" t="str">
        <f ca="1">IFERROR(IF(0=LEN(ReferenceData!$AY$100),"",ReferenceData!$AY$100),"")</f>
        <v/>
      </c>
      <c r="AZ100" t="str">
        <f ca="1">IFERROR(IF(0=LEN(ReferenceData!$AZ$100),"",ReferenceData!$AZ$100),"")</f>
        <v/>
      </c>
      <c r="BA100" t="str">
        <f ca="1">IFERROR(IF(0=LEN(ReferenceData!$BA$100),"",ReferenceData!$BA$100),"")</f>
        <v/>
      </c>
      <c r="BB100" t="str">
        <f ca="1">IFERROR(IF(0=LEN(ReferenceData!$BB$100),"",ReferenceData!$BB$100),"")</f>
        <v/>
      </c>
      <c r="BC100" t="str">
        <f ca="1">IFERROR(IF(0=LEN(ReferenceData!$BC$100),"",ReferenceData!$BC$100),"")</f>
        <v/>
      </c>
      <c r="BD100" t="str">
        <f ca="1">IFERROR(IF(0=LEN(ReferenceData!$BD$100),"",ReferenceData!$BD$100),"")</f>
        <v/>
      </c>
      <c r="BE100" t="str">
        <f ca="1">IFERROR(IF(0=LEN(ReferenceData!$BE$100),"",ReferenceData!$BE$100),"")</f>
        <v/>
      </c>
      <c r="BF100" t="str">
        <f ca="1">IFERROR(IF(0=LEN(ReferenceData!$BF$100),"",ReferenceData!$BF$100),"")</f>
        <v/>
      </c>
      <c r="BG100">
        <f ca="1">IFERROR(IF(0=LEN(ReferenceData!$BG$100),"",ReferenceData!$BG$100),"")</f>
        <v>469307</v>
      </c>
      <c r="BH100" t="str">
        <f ca="1">IFERROR(IF(0=LEN(ReferenceData!$BH$100),"",ReferenceData!$BH$100),"")</f>
        <v/>
      </c>
      <c r="BI100" t="str">
        <f ca="1">IFERROR(IF(0=LEN(ReferenceData!$BI$100),"",ReferenceData!$BI$100),"")</f>
        <v/>
      </c>
      <c r="BJ100" t="str">
        <f ca="1">IFERROR(IF(0=LEN(ReferenceData!$BJ$100),"",ReferenceData!$BJ$100),"")</f>
        <v/>
      </c>
      <c r="BK100" t="str">
        <f ca="1">IFERROR(IF(0=LEN(ReferenceData!$BK$100),"",ReferenceData!$BK$100),"")</f>
        <v/>
      </c>
      <c r="BL100" t="str">
        <f ca="1">IFERROR(IF(0=LEN(ReferenceData!$BL$100),"",ReferenceData!$BL$100),"")</f>
        <v/>
      </c>
      <c r="BM100" t="str">
        <f ca="1">IFERROR(IF(0=LEN(ReferenceData!$BM$100),"",ReferenceData!$BM$100),"")</f>
        <v/>
      </c>
    </row>
    <row r="101" spans="1:65" x14ac:dyDescent="0.25">
      <c r="A101" t="str">
        <f>IFERROR(IF(0=LEN(ReferenceData!$A$101),"",ReferenceData!$A$101),"")</f>
        <v xml:space="preserve">            Fiat Automobile</v>
      </c>
      <c r="B101" t="str">
        <f>IFERROR(IF(0=LEN(ReferenceData!$B$101),"",ReferenceData!$B$101),"")</f>
        <v>F IM Equity</v>
      </c>
      <c r="C101" t="str">
        <f>IFERROR(IF(0=LEN(ReferenceData!$C$101),"",ReferenceData!$C$101),"")</f>
        <v/>
      </c>
      <c r="D101" t="str">
        <f>IFERROR(IF(0=LEN(ReferenceData!$D$101),"",ReferenceData!$D$101),"")</f>
        <v/>
      </c>
      <c r="E101" t="str">
        <f>IFERROR(IF(0=LEN(ReferenceData!$E$101),"",ReferenceData!$E$101),"")</f>
        <v>Static</v>
      </c>
      <c r="F101" t="str">
        <f ca="1">IFERROR(IF(0=LEN(ReferenceData!$F$101),"",ReferenceData!$F$101),"")</f>
        <v/>
      </c>
      <c r="G101" t="str">
        <f ca="1">IFERROR(IF(0=LEN(ReferenceData!$G$101),"",ReferenceData!$G$101),"")</f>
        <v/>
      </c>
      <c r="H101" t="str">
        <f ca="1">IFERROR(IF(0=LEN(ReferenceData!$H$101),"",ReferenceData!$H$101),"")</f>
        <v/>
      </c>
      <c r="I101" t="str">
        <f ca="1">IFERROR(IF(0=LEN(ReferenceData!$I$101),"",ReferenceData!$I$101),"")</f>
        <v/>
      </c>
      <c r="J101" t="str">
        <f ca="1">IFERROR(IF(0=LEN(ReferenceData!$J$101),"",ReferenceData!$J$101),"")</f>
        <v/>
      </c>
      <c r="K101" t="str">
        <f ca="1">IFERROR(IF(0=LEN(ReferenceData!$K$101),"",ReferenceData!$K$101),"")</f>
        <v/>
      </c>
      <c r="L101" t="str">
        <f ca="1">IFERROR(IF(0=LEN(ReferenceData!$L$101),"",ReferenceData!$L$101),"")</f>
        <v/>
      </c>
      <c r="M101" t="str">
        <f ca="1">IFERROR(IF(0=LEN(ReferenceData!$M$101),"",ReferenceData!$M$101),"")</f>
        <v/>
      </c>
      <c r="N101" t="str">
        <f ca="1">IFERROR(IF(0=LEN(ReferenceData!$N$101),"",ReferenceData!$N$101),"")</f>
        <v/>
      </c>
      <c r="O101" t="str">
        <f ca="1">IFERROR(IF(0=LEN(ReferenceData!$O$101),"",ReferenceData!$O$101),"")</f>
        <v/>
      </c>
      <c r="P101" t="str">
        <f ca="1">IFERROR(IF(0=LEN(ReferenceData!$P$101),"",ReferenceData!$P$101),"")</f>
        <v/>
      </c>
      <c r="Q101" t="str">
        <f ca="1">IFERROR(IF(0=LEN(ReferenceData!$Q$101),"",ReferenceData!$Q$101),"")</f>
        <v/>
      </c>
      <c r="R101" t="str">
        <f ca="1">IFERROR(IF(0=LEN(ReferenceData!$R$101),"",ReferenceData!$R$101),"")</f>
        <v/>
      </c>
      <c r="S101" t="str">
        <f ca="1">IFERROR(IF(0=LEN(ReferenceData!$S$101),"",ReferenceData!$S$101),"")</f>
        <v/>
      </c>
      <c r="T101" t="str">
        <f ca="1">IFERROR(IF(0=LEN(ReferenceData!$T$101),"",ReferenceData!$T$101),"")</f>
        <v/>
      </c>
      <c r="U101" t="str">
        <f ca="1">IFERROR(IF(0=LEN(ReferenceData!$U$101),"",ReferenceData!$U$101),"")</f>
        <v/>
      </c>
      <c r="V101" t="str">
        <f ca="1">IFERROR(IF(0=LEN(ReferenceData!$V$101),"",ReferenceData!$V$101),"")</f>
        <v/>
      </c>
      <c r="W101" t="str">
        <f ca="1">IFERROR(IF(0=LEN(ReferenceData!$W$101),"",ReferenceData!$W$101),"")</f>
        <v/>
      </c>
      <c r="X101">
        <f ca="1">IFERROR(IF(0=LEN(ReferenceData!$X$101),"",ReferenceData!$X$101),"")</f>
        <v>377492</v>
      </c>
      <c r="Y101">
        <f ca="1">IFERROR(IF(0=LEN(ReferenceData!$Y$101),"",ReferenceData!$Y$101),"")</f>
        <v>442577</v>
      </c>
      <c r="Z101">
        <f ca="1">IFERROR(IF(0=LEN(ReferenceData!$Z$101),"",ReferenceData!$Z$101),"")</f>
        <v>435000</v>
      </c>
      <c r="AA101">
        <f ca="1">IFERROR(IF(0=LEN(ReferenceData!$AA$101),"",ReferenceData!$AA$101),"")</f>
        <v>433102</v>
      </c>
      <c r="AB101">
        <f ca="1">IFERROR(IF(0=LEN(ReferenceData!$AB$101),"",ReferenceData!$AB$101),"")</f>
        <v>401000</v>
      </c>
      <c r="AC101">
        <f ca="1">IFERROR(IF(0=LEN(ReferenceData!$AC$101),"",ReferenceData!$AC$101),"")</f>
        <v>530000</v>
      </c>
      <c r="AD101">
        <f ca="1">IFERROR(IF(0=LEN(ReferenceData!$AD$101),"",ReferenceData!$AD$101),"")</f>
        <v>450898</v>
      </c>
      <c r="AE101">
        <f ca="1">IFERROR(IF(0=LEN(ReferenceData!$AE$101),"",ReferenceData!$AE$101),"")</f>
        <v>325837</v>
      </c>
      <c r="AF101">
        <f ca="1">IFERROR(IF(0=LEN(ReferenceData!$AF$101),"",ReferenceData!$AF$101),"")</f>
        <v>448000</v>
      </c>
      <c r="AG101">
        <f ca="1">IFERROR(IF(0=LEN(ReferenceData!$AG$101),"",ReferenceData!$AG$101),"")</f>
        <v>507000</v>
      </c>
      <c r="AH101" t="str">
        <f ca="1">IFERROR(IF(0=LEN(ReferenceData!$AH$101),"",ReferenceData!$AH$101),"")</f>
        <v/>
      </c>
      <c r="AI101" t="str">
        <f ca="1">IFERROR(IF(0=LEN(ReferenceData!$AI$101),"",ReferenceData!$AI$101),"")</f>
        <v/>
      </c>
      <c r="AJ101" t="str">
        <f ca="1">IFERROR(IF(0=LEN(ReferenceData!$AJ$101),"",ReferenceData!$AJ$101),"")</f>
        <v/>
      </c>
      <c r="AK101" t="str">
        <f ca="1">IFERROR(IF(0=LEN(ReferenceData!$AK$101),"",ReferenceData!$AK$101),"")</f>
        <v/>
      </c>
      <c r="AL101" t="str">
        <f ca="1">IFERROR(IF(0=LEN(ReferenceData!$AL$101),"",ReferenceData!$AL$101),"")</f>
        <v/>
      </c>
      <c r="AM101" t="str">
        <f ca="1">IFERROR(IF(0=LEN(ReferenceData!$AM$101),"",ReferenceData!$AM$101),"")</f>
        <v/>
      </c>
      <c r="AN101" t="str">
        <f ca="1">IFERROR(IF(0=LEN(ReferenceData!$AN$101),"",ReferenceData!$AN$101),"")</f>
        <v/>
      </c>
      <c r="AO101" t="str">
        <f ca="1">IFERROR(IF(0=LEN(ReferenceData!$AO$101),"",ReferenceData!$AO$101),"")</f>
        <v/>
      </c>
      <c r="AP101" t="str">
        <f ca="1">IFERROR(IF(0=LEN(ReferenceData!$AP$101),"",ReferenceData!$AP$101),"")</f>
        <v/>
      </c>
      <c r="AQ101" t="str">
        <f ca="1">IFERROR(IF(0=LEN(ReferenceData!$AQ$101),"",ReferenceData!$AQ$101),"")</f>
        <v/>
      </c>
      <c r="AR101" t="str">
        <f ca="1">IFERROR(IF(0=LEN(ReferenceData!$AR$101),"",ReferenceData!$AR$101),"")</f>
        <v/>
      </c>
      <c r="AS101" t="str">
        <f ca="1">IFERROR(IF(0=LEN(ReferenceData!$AS$101),"",ReferenceData!$AS$101),"")</f>
        <v/>
      </c>
      <c r="AT101" t="str">
        <f ca="1">IFERROR(IF(0=LEN(ReferenceData!$AT$101),"",ReferenceData!$AT$101),"")</f>
        <v/>
      </c>
      <c r="AU101" t="str">
        <f ca="1">IFERROR(IF(0=LEN(ReferenceData!$AU$101),"",ReferenceData!$AU$101),"")</f>
        <v/>
      </c>
      <c r="AV101" t="str">
        <f ca="1">IFERROR(IF(0=LEN(ReferenceData!$AV$101),"",ReferenceData!$AV$101),"")</f>
        <v/>
      </c>
      <c r="AW101" t="str">
        <f ca="1">IFERROR(IF(0=LEN(ReferenceData!$AW$101),"",ReferenceData!$AW$101),"")</f>
        <v/>
      </c>
      <c r="AX101" t="str">
        <f ca="1">IFERROR(IF(0=LEN(ReferenceData!$AX$101),"",ReferenceData!$AX$101),"")</f>
        <v/>
      </c>
      <c r="AY101" t="str">
        <f ca="1">IFERROR(IF(0=LEN(ReferenceData!$AY$101),"",ReferenceData!$AY$101),"")</f>
        <v/>
      </c>
      <c r="AZ101" t="str">
        <f ca="1">IFERROR(IF(0=LEN(ReferenceData!$AZ$101),"",ReferenceData!$AZ$101),"")</f>
        <v/>
      </c>
      <c r="BA101" t="str">
        <f ca="1">IFERROR(IF(0=LEN(ReferenceData!$BA$101),"",ReferenceData!$BA$101),"")</f>
        <v/>
      </c>
      <c r="BB101" t="str">
        <f ca="1">IFERROR(IF(0=LEN(ReferenceData!$BB$101),"",ReferenceData!$BB$101),"")</f>
        <v/>
      </c>
      <c r="BC101" t="str">
        <f ca="1">IFERROR(IF(0=LEN(ReferenceData!$BC$101),"",ReferenceData!$BC$101),"")</f>
        <v/>
      </c>
      <c r="BD101" t="str">
        <f ca="1">IFERROR(IF(0=LEN(ReferenceData!$BD$101),"",ReferenceData!$BD$101),"")</f>
        <v/>
      </c>
      <c r="BE101" t="str">
        <f ca="1">IFERROR(IF(0=LEN(ReferenceData!$BE$101),"",ReferenceData!$BE$101),"")</f>
        <v/>
      </c>
      <c r="BF101" t="str">
        <f ca="1">IFERROR(IF(0=LEN(ReferenceData!$BF$101),"",ReferenceData!$BF$101),"")</f>
        <v/>
      </c>
      <c r="BG101">
        <f ca="1">IFERROR(IF(0=LEN(ReferenceData!$BG$101),"",ReferenceData!$BG$101),"")</f>
        <v>466600</v>
      </c>
      <c r="BH101" t="str">
        <f ca="1">IFERROR(IF(0=LEN(ReferenceData!$BH$101),"",ReferenceData!$BH$101),"")</f>
        <v/>
      </c>
      <c r="BI101" t="str">
        <f ca="1">IFERROR(IF(0=LEN(ReferenceData!$BI$101),"",ReferenceData!$BI$101),"")</f>
        <v/>
      </c>
      <c r="BJ101" t="str">
        <f ca="1">IFERROR(IF(0=LEN(ReferenceData!$BJ$101),"",ReferenceData!$BJ$101),"")</f>
        <v/>
      </c>
      <c r="BK101" t="str">
        <f ca="1">IFERROR(IF(0=LEN(ReferenceData!$BK$101),"",ReferenceData!$BK$101),"")</f>
        <v/>
      </c>
      <c r="BL101" t="str">
        <f ca="1">IFERROR(IF(0=LEN(ReferenceData!$BL$101),"",ReferenceData!$BL$101),"")</f>
        <v/>
      </c>
      <c r="BM101" t="str">
        <f ca="1">IFERROR(IF(0=LEN(ReferenceData!$BM$101),"",ReferenceData!$BM$101),"")</f>
        <v/>
      </c>
    </row>
    <row r="102" spans="1:65" x14ac:dyDescent="0.25">
      <c r="A102" t="str">
        <f>IFERROR(IF(0=LEN(ReferenceData!$A$102),"",ReferenceData!$A$102),"")</f>
        <v xml:space="preserve">            Ferrari</v>
      </c>
      <c r="B102" t="str">
        <f>IFERROR(IF(0=LEN(ReferenceData!$B$102),"",ReferenceData!$B$102),"")</f>
        <v>F IM Equity</v>
      </c>
      <c r="C102" t="str">
        <f>IFERROR(IF(0=LEN(ReferenceData!$C$102),"",ReferenceData!$C$102),"")</f>
        <v/>
      </c>
      <c r="D102" t="str">
        <f>IFERROR(IF(0=LEN(ReferenceData!$D$102),"",ReferenceData!$D$102),"")</f>
        <v/>
      </c>
      <c r="E102" t="str">
        <f>IFERROR(IF(0=LEN(ReferenceData!$E$102),"",ReferenceData!$E$102),"")</f>
        <v>Static</v>
      </c>
      <c r="F102" t="str">
        <f ca="1">IFERROR(IF(0=LEN(ReferenceData!$F$102),"",ReferenceData!$F$102),"")</f>
        <v/>
      </c>
      <c r="G102" t="str">
        <f ca="1">IFERROR(IF(0=LEN(ReferenceData!$G$102),"",ReferenceData!$G$102),"")</f>
        <v/>
      </c>
      <c r="H102" t="str">
        <f ca="1">IFERROR(IF(0=LEN(ReferenceData!$H$102),"",ReferenceData!$H$102),"")</f>
        <v/>
      </c>
      <c r="I102" t="str">
        <f ca="1">IFERROR(IF(0=LEN(ReferenceData!$I$102),"",ReferenceData!$I$102),"")</f>
        <v/>
      </c>
      <c r="J102" t="str">
        <f ca="1">IFERROR(IF(0=LEN(ReferenceData!$J$102),"",ReferenceData!$J$102),"")</f>
        <v/>
      </c>
      <c r="K102" t="str">
        <f ca="1">IFERROR(IF(0=LEN(ReferenceData!$K$102),"",ReferenceData!$K$102),"")</f>
        <v/>
      </c>
      <c r="L102" t="str">
        <f ca="1">IFERROR(IF(0=LEN(ReferenceData!$L$102),"",ReferenceData!$L$102),"")</f>
        <v/>
      </c>
      <c r="M102" t="str">
        <f ca="1">IFERROR(IF(0=LEN(ReferenceData!$M$102),"",ReferenceData!$M$102),"")</f>
        <v/>
      </c>
      <c r="N102" t="str">
        <f ca="1">IFERROR(IF(0=LEN(ReferenceData!$N$102),"",ReferenceData!$N$102),"")</f>
        <v/>
      </c>
      <c r="O102" t="str">
        <f ca="1">IFERROR(IF(0=LEN(ReferenceData!$O$102),"",ReferenceData!$O$102),"")</f>
        <v/>
      </c>
      <c r="P102" t="str">
        <f ca="1">IFERROR(IF(0=LEN(ReferenceData!$P$102),"",ReferenceData!$P$102),"")</f>
        <v/>
      </c>
      <c r="Q102" t="str">
        <f ca="1">IFERROR(IF(0=LEN(ReferenceData!$Q$102),"",ReferenceData!$Q$102),"")</f>
        <v/>
      </c>
      <c r="R102" t="str">
        <f ca="1">IFERROR(IF(0=LEN(ReferenceData!$R$102),"",ReferenceData!$R$102),"")</f>
        <v/>
      </c>
      <c r="S102" t="str">
        <f ca="1">IFERROR(IF(0=LEN(ReferenceData!$S$102),"",ReferenceData!$S$102),"")</f>
        <v/>
      </c>
      <c r="T102" t="str">
        <f ca="1">IFERROR(IF(0=LEN(ReferenceData!$T$102),"",ReferenceData!$T$102),"")</f>
        <v/>
      </c>
      <c r="U102" t="str">
        <f ca="1">IFERROR(IF(0=LEN(ReferenceData!$U$102),"",ReferenceData!$U$102),"")</f>
        <v/>
      </c>
      <c r="V102" t="str">
        <f ca="1">IFERROR(IF(0=LEN(ReferenceData!$V$102),"",ReferenceData!$V$102),"")</f>
        <v/>
      </c>
      <c r="W102" t="str">
        <f ca="1">IFERROR(IF(0=LEN(ReferenceData!$W$102),"",ReferenceData!$W$102),"")</f>
        <v/>
      </c>
      <c r="X102">
        <f ca="1">IFERROR(IF(0=LEN(ReferenceData!$X$102),"",ReferenceData!$X$102),"")</f>
        <v>1612</v>
      </c>
      <c r="Y102">
        <f ca="1">IFERROR(IF(0=LEN(ReferenceData!$Y$102),"",ReferenceData!$Y$102),"")</f>
        <v>1932</v>
      </c>
      <c r="Z102">
        <f ca="1">IFERROR(IF(0=LEN(ReferenceData!$Z$102),"",ReferenceData!$Z$102),"")</f>
        <v>1699</v>
      </c>
      <c r="AA102" t="str">
        <f ca="1">IFERROR(IF(0=LEN(ReferenceData!$AA$102),"",ReferenceData!$AA$102),"")</f>
        <v/>
      </c>
      <c r="AB102">
        <f ca="1">IFERROR(IF(0=LEN(ReferenceData!$AB$102),"",ReferenceData!$AB$102),"")</f>
        <v>1499</v>
      </c>
      <c r="AC102">
        <f ca="1">IFERROR(IF(0=LEN(ReferenceData!$AC$102),"",ReferenceData!$AC$102),"")</f>
        <v>1969</v>
      </c>
      <c r="AD102" t="str">
        <f ca="1">IFERROR(IF(0=LEN(ReferenceData!$AD$102),"",ReferenceData!$AD$102),"")</f>
        <v/>
      </c>
      <c r="AE102" t="str">
        <f ca="1">IFERROR(IF(0=LEN(ReferenceData!$AE$102),"",ReferenceData!$AE$102),"")</f>
        <v/>
      </c>
      <c r="AF102" t="str">
        <f ca="1">IFERROR(IF(0=LEN(ReferenceData!$AF$102),"",ReferenceData!$AF$102),"")</f>
        <v/>
      </c>
      <c r="AG102" t="str">
        <f ca="1">IFERROR(IF(0=LEN(ReferenceData!$AG$102),"",ReferenceData!$AG$102),"")</f>
        <v/>
      </c>
      <c r="AH102" t="str">
        <f ca="1">IFERROR(IF(0=LEN(ReferenceData!$AH$102),"",ReferenceData!$AH$102),"")</f>
        <v/>
      </c>
      <c r="AI102" t="str">
        <f ca="1">IFERROR(IF(0=LEN(ReferenceData!$AI$102),"",ReferenceData!$AI$102),"")</f>
        <v/>
      </c>
      <c r="AJ102" t="str">
        <f ca="1">IFERROR(IF(0=LEN(ReferenceData!$AJ$102),"",ReferenceData!$AJ$102),"")</f>
        <v/>
      </c>
      <c r="AK102" t="str">
        <f ca="1">IFERROR(IF(0=LEN(ReferenceData!$AK$102),"",ReferenceData!$AK$102),"")</f>
        <v/>
      </c>
      <c r="AL102" t="str">
        <f ca="1">IFERROR(IF(0=LEN(ReferenceData!$AL$102),"",ReferenceData!$AL$102),"")</f>
        <v/>
      </c>
      <c r="AM102" t="str">
        <f ca="1">IFERROR(IF(0=LEN(ReferenceData!$AM$102),"",ReferenceData!$AM$102),"")</f>
        <v/>
      </c>
      <c r="AN102" t="str">
        <f ca="1">IFERROR(IF(0=LEN(ReferenceData!$AN$102),"",ReferenceData!$AN$102),"")</f>
        <v/>
      </c>
      <c r="AO102" t="str">
        <f ca="1">IFERROR(IF(0=LEN(ReferenceData!$AO$102),"",ReferenceData!$AO$102),"")</f>
        <v/>
      </c>
      <c r="AP102" t="str">
        <f ca="1">IFERROR(IF(0=LEN(ReferenceData!$AP$102),"",ReferenceData!$AP$102),"")</f>
        <v/>
      </c>
      <c r="AQ102" t="str">
        <f ca="1">IFERROR(IF(0=LEN(ReferenceData!$AQ$102),"",ReferenceData!$AQ$102),"")</f>
        <v/>
      </c>
      <c r="AR102" t="str">
        <f ca="1">IFERROR(IF(0=LEN(ReferenceData!$AR$102),"",ReferenceData!$AR$102),"")</f>
        <v/>
      </c>
      <c r="AS102" t="str">
        <f ca="1">IFERROR(IF(0=LEN(ReferenceData!$AS$102),"",ReferenceData!$AS$102),"")</f>
        <v/>
      </c>
      <c r="AT102" t="str">
        <f ca="1">IFERROR(IF(0=LEN(ReferenceData!$AT$102),"",ReferenceData!$AT$102),"")</f>
        <v/>
      </c>
      <c r="AU102" t="str">
        <f ca="1">IFERROR(IF(0=LEN(ReferenceData!$AU$102),"",ReferenceData!$AU$102),"")</f>
        <v/>
      </c>
      <c r="AV102" t="str">
        <f ca="1">IFERROR(IF(0=LEN(ReferenceData!$AV$102),"",ReferenceData!$AV$102),"")</f>
        <v/>
      </c>
      <c r="AW102" t="str">
        <f ca="1">IFERROR(IF(0=LEN(ReferenceData!$AW$102),"",ReferenceData!$AW$102),"")</f>
        <v/>
      </c>
      <c r="AX102" t="str">
        <f ca="1">IFERROR(IF(0=LEN(ReferenceData!$AX$102),"",ReferenceData!$AX$102),"")</f>
        <v/>
      </c>
      <c r="AY102" t="str">
        <f ca="1">IFERROR(IF(0=LEN(ReferenceData!$AY$102),"",ReferenceData!$AY$102),"")</f>
        <v/>
      </c>
      <c r="AZ102" t="str">
        <f ca="1">IFERROR(IF(0=LEN(ReferenceData!$AZ$102),"",ReferenceData!$AZ$102),"")</f>
        <v/>
      </c>
      <c r="BA102" t="str">
        <f ca="1">IFERROR(IF(0=LEN(ReferenceData!$BA$102),"",ReferenceData!$BA$102),"")</f>
        <v/>
      </c>
      <c r="BB102" t="str">
        <f ca="1">IFERROR(IF(0=LEN(ReferenceData!$BB$102),"",ReferenceData!$BB$102),"")</f>
        <v/>
      </c>
      <c r="BC102" t="str">
        <f ca="1">IFERROR(IF(0=LEN(ReferenceData!$BC$102),"",ReferenceData!$BC$102),"")</f>
        <v/>
      </c>
      <c r="BD102" t="str">
        <f ca="1">IFERROR(IF(0=LEN(ReferenceData!$BD$102),"",ReferenceData!$BD$102),"")</f>
        <v/>
      </c>
      <c r="BE102" t="str">
        <f ca="1">IFERROR(IF(0=LEN(ReferenceData!$BE$102),"",ReferenceData!$BE$102),"")</f>
        <v/>
      </c>
      <c r="BF102" t="str">
        <f ca="1">IFERROR(IF(0=LEN(ReferenceData!$BF$102),"",ReferenceData!$BF$102),"")</f>
        <v/>
      </c>
      <c r="BG102">
        <f ca="1">IFERROR(IF(0=LEN(ReferenceData!$BG$102),"",ReferenceData!$BG$102),"")</f>
        <v>1323</v>
      </c>
      <c r="BH102" t="str">
        <f ca="1">IFERROR(IF(0=LEN(ReferenceData!$BH$102),"",ReferenceData!$BH$102),"")</f>
        <v/>
      </c>
      <c r="BI102" t="str">
        <f ca="1">IFERROR(IF(0=LEN(ReferenceData!$BI$102),"",ReferenceData!$BI$102),"")</f>
        <v/>
      </c>
      <c r="BJ102" t="str">
        <f ca="1">IFERROR(IF(0=LEN(ReferenceData!$BJ$102),"",ReferenceData!$BJ$102),"")</f>
        <v/>
      </c>
      <c r="BK102" t="str">
        <f ca="1">IFERROR(IF(0=LEN(ReferenceData!$BK$102),"",ReferenceData!$BK$102),"")</f>
        <v/>
      </c>
      <c r="BL102" t="str">
        <f ca="1">IFERROR(IF(0=LEN(ReferenceData!$BL$102),"",ReferenceData!$BL$102),"")</f>
        <v/>
      </c>
      <c r="BM102" t="str">
        <f ca="1">IFERROR(IF(0=LEN(ReferenceData!$BM$102),"",ReferenceData!$BM$102),"")</f>
        <v/>
      </c>
    </row>
    <row r="103" spans="1:65" x14ac:dyDescent="0.25">
      <c r="A103" t="str">
        <f>IFERROR(IF(0=LEN(ReferenceData!$A$103),"",ReferenceData!$A$103),"")</f>
        <v xml:space="preserve">            Maserati</v>
      </c>
      <c r="B103" t="str">
        <f>IFERROR(IF(0=LEN(ReferenceData!$B$103),"",ReferenceData!$B$103),"")</f>
        <v>F IM Equity</v>
      </c>
      <c r="C103" t="str">
        <f>IFERROR(IF(0=LEN(ReferenceData!$C$103),"",ReferenceData!$C$103),"")</f>
        <v/>
      </c>
      <c r="D103" t="str">
        <f>IFERROR(IF(0=LEN(ReferenceData!$D$103),"",ReferenceData!$D$103),"")</f>
        <v/>
      </c>
      <c r="E103" t="str">
        <f>IFERROR(IF(0=LEN(ReferenceData!$E$103),"",ReferenceData!$E$103),"")</f>
        <v>Static</v>
      </c>
      <c r="F103" t="str">
        <f ca="1">IFERROR(IF(0=LEN(ReferenceData!$F$103),"",ReferenceData!$F$103),"")</f>
        <v/>
      </c>
      <c r="G103" t="str">
        <f ca="1">IFERROR(IF(0=LEN(ReferenceData!$G$103),"",ReferenceData!$G$103),"")</f>
        <v/>
      </c>
      <c r="H103" t="str">
        <f ca="1">IFERROR(IF(0=LEN(ReferenceData!$H$103),"",ReferenceData!$H$103),"")</f>
        <v/>
      </c>
      <c r="I103" t="str">
        <f ca="1">IFERROR(IF(0=LEN(ReferenceData!$I$103),"",ReferenceData!$I$103),"")</f>
        <v/>
      </c>
      <c r="J103" t="str">
        <f ca="1">IFERROR(IF(0=LEN(ReferenceData!$J$103),"",ReferenceData!$J$103),"")</f>
        <v/>
      </c>
      <c r="K103" t="str">
        <f ca="1">IFERROR(IF(0=LEN(ReferenceData!$K$103),"",ReferenceData!$K$103),"")</f>
        <v/>
      </c>
      <c r="L103" t="str">
        <f ca="1">IFERROR(IF(0=LEN(ReferenceData!$L$103),"",ReferenceData!$L$103),"")</f>
        <v/>
      </c>
      <c r="M103" t="str">
        <f ca="1">IFERROR(IF(0=LEN(ReferenceData!$M$103),"",ReferenceData!$M$103),"")</f>
        <v/>
      </c>
      <c r="N103" t="str">
        <f ca="1">IFERROR(IF(0=LEN(ReferenceData!$N$103),"",ReferenceData!$N$103),"")</f>
        <v/>
      </c>
      <c r="O103" t="str">
        <f ca="1">IFERROR(IF(0=LEN(ReferenceData!$O$103),"",ReferenceData!$O$103),"")</f>
        <v/>
      </c>
      <c r="P103" t="str">
        <f ca="1">IFERROR(IF(0=LEN(ReferenceData!$P$103),"",ReferenceData!$P$103),"")</f>
        <v/>
      </c>
      <c r="Q103" t="str">
        <f ca="1">IFERROR(IF(0=LEN(ReferenceData!$Q$103),"",ReferenceData!$Q$103),"")</f>
        <v/>
      </c>
      <c r="R103" t="str">
        <f ca="1">IFERROR(IF(0=LEN(ReferenceData!$R$103),"",ReferenceData!$R$103),"")</f>
        <v/>
      </c>
      <c r="S103" t="str">
        <f ca="1">IFERROR(IF(0=LEN(ReferenceData!$S$103),"",ReferenceData!$S$103),"")</f>
        <v/>
      </c>
      <c r="T103" t="str">
        <f ca="1">IFERROR(IF(0=LEN(ReferenceData!$T$103),"",ReferenceData!$T$103),"")</f>
        <v/>
      </c>
      <c r="U103" t="str">
        <f ca="1">IFERROR(IF(0=LEN(ReferenceData!$U$103),"",ReferenceData!$U$103),"")</f>
        <v/>
      </c>
      <c r="V103" t="str">
        <f ca="1">IFERROR(IF(0=LEN(ReferenceData!$V$103),"",ReferenceData!$V$103),"")</f>
        <v/>
      </c>
      <c r="W103" t="str">
        <f ca="1">IFERROR(IF(0=LEN(ReferenceData!$W$103),"",ReferenceData!$W$103),"")</f>
        <v/>
      </c>
      <c r="X103">
        <f ca="1">IFERROR(IF(0=LEN(ReferenceData!$X$103),"",ReferenceData!$X$103),"")</f>
        <v>8896</v>
      </c>
      <c r="Y103">
        <f ca="1">IFERROR(IF(0=LEN(ReferenceData!$Y$103),"",ReferenceData!$Y$103),"")</f>
        <v>9491</v>
      </c>
      <c r="Z103">
        <f ca="1">IFERROR(IF(0=LEN(ReferenceData!$Z$103),"",ReferenceData!$Z$103),"")</f>
        <v>8041</v>
      </c>
      <c r="AA103" t="str">
        <f ca="1">IFERROR(IF(0=LEN(ReferenceData!$AA$103),"",ReferenceData!$AA$103),"")</f>
        <v/>
      </c>
      <c r="AB103">
        <f ca="1">IFERROR(IF(0=LEN(ReferenceData!$AB$103),"",ReferenceData!$AB$103),"")</f>
        <v>3953</v>
      </c>
      <c r="AC103">
        <f ca="1">IFERROR(IF(0=LEN(ReferenceData!$AC$103),"",ReferenceData!$AC$103),"")</f>
        <v>2291</v>
      </c>
      <c r="AD103" t="str">
        <f ca="1">IFERROR(IF(0=LEN(ReferenceData!$AD$103),"",ReferenceData!$AD$103),"")</f>
        <v/>
      </c>
      <c r="AE103" t="str">
        <f ca="1">IFERROR(IF(0=LEN(ReferenceData!$AE$103),"",ReferenceData!$AE$103),"")</f>
        <v/>
      </c>
      <c r="AF103" t="str">
        <f ca="1">IFERROR(IF(0=LEN(ReferenceData!$AF$103),"",ReferenceData!$AF$103),"")</f>
        <v/>
      </c>
      <c r="AG103" t="str">
        <f ca="1">IFERROR(IF(0=LEN(ReferenceData!$AG$103),"",ReferenceData!$AG$103),"")</f>
        <v/>
      </c>
      <c r="AH103" t="str">
        <f ca="1">IFERROR(IF(0=LEN(ReferenceData!$AH$103),"",ReferenceData!$AH$103),"")</f>
        <v/>
      </c>
      <c r="AI103" t="str">
        <f ca="1">IFERROR(IF(0=LEN(ReferenceData!$AI$103),"",ReferenceData!$AI$103),"")</f>
        <v/>
      </c>
      <c r="AJ103" t="str">
        <f ca="1">IFERROR(IF(0=LEN(ReferenceData!$AJ$103),"",ReferenceData!$AJ$103),"")</f>
        <v/>
      </c>
      <c r="AK103" t="str">
        <f ca="1">IFERROR(IF(0=LEN(ReferenceData!$AK$103),"",ReferenceData!$AK$103),"")</f>
        <v/>
      </c>
      <c r="AL103" t="str">
        <f ca="1">IFERROR(IF(0=LEN(ReferenceData!$AL$103),"",ReferenceData!$AL$103),"")</f>
        <v/>
      </c>
      <c r="AM103" t="str">
        <f ca="1">IFERROR(IF(0=LEN(ReferenceData!$AM$103),"",ReferenceData!$AM$103),"")</f>
        <v/>
      </c>
      <c r="AN103" t="str">
        <f ca="1">IFERROR(IF(0=LEN(ReferenceData!$AN$103),"",ReferenceData!$AN$103),"")</f>
        <v/>
      </c>
      <c r="AO103" t="str">
        <f ca="1">IFERROR(IF(0=LEN(ReferenceData!$AO$103),"",ReferenceData!$AO$103),"")</f>
        <v/>
      </c>
      <c r="AP103" t="str">
        <f ca="1">IFERROR(IF(0=LEN(ReferenceData!$AP$103),"",ReferenceData!$AP$103),"")</f>
        <v/>
      </c>
      <c r="AQ103" t="str">
        <f ca="1">IFERROR(IF(0=LEN(ReferenceData!$AQ$103),"",ReferenceData!$AQ$103),"")</f>
        <v/>
      </c>
      <c r="AR103" t="str">
        <f ca="1">IFERROR(IF(0=LEN(ReferenceData!$AR$103),"",ReferenceData!$AR$103),"")</f>
        <v/>
      </c>
      <c r="AS103" t="str">
        <f ca="1">IFERROR(IF(0=LEN(ReferenceData!$AS$103),"",ReferenceData!$AS$103),"")</f>
        <v/>
      </c>
      <c r="AT103" t="str">
        <f ca="1">IFERROR(IF(0=LEN(ReferenceData!$AT$103),"",ReferenceData!$AT$103),"")</f>
        <v/>
      </c>
      <c r="AU103" t="str">
        <f ca="1">IFERROR(IF(0=LEN(ReferenceData!$AU$103),"",ReferenceData!$AU$103),"")</f>
        <v/>
      </c>
      <c r="AV103" t="str">
        <f ca="1">IFERROR(IF(0=LEN(ReferenceData!$AV$103),"",ReferenceData!$AV$103),"")</f>
        <v/>
      </c>
      <c r="AW103" t="str">
        <f ca="1">IFERROR(IF(0=LEN(ReferenceData!$AW$103),"",ReferenceData!$AW$103),"")</f>
        <v/>
      </c>
      <c r="AX103" t="str">
        <f ca="1">IFERROR(IF(0=LEN(ReferenceData!$AX$103),"",ReferenceData!$AX$103),"")</f>
        <v/>
      </c>
      <c r="AY103" t="str">
        <f ca="1">IFERROR(IF(0=LEN(ReferenceData!$AY$103),"",ReferenceData!$AY$103),"")</f>
        <v/>
      </c>
      <c r="AZ103" t="str">
        <f ca="1">IFERROR(IF(0=LEN(ReferenceData!$AZ$103),"",ReferenceData!$AZ$103),"")</f>
        <v/>
      </c>
      <c r="BA103" t="str">
        <f ca="1">IFERROR(IF(0=LEN(ReferenceData!$BA$103),"",ReferenceData!$BA$103),"")</f>
        <v/>
      </c>
      <c r="BB103" t="str">
        <f ca="1">IFERROR(IF(0=LEN(ReferenceData!$BB$103),"",ReferenceData!$BB$103),"")</f>
        <v/>
      </c>
      <c r="BC103" t="str">
        <f ca="1">IFERROR(IF(0=LEN(ReferenceData!$BC$103),"",ReferenceData!$BC$103),"")</f>
        <v/>
      </c>
      <c r="BD103" t="str">
        <f ca="1">IFERROR(IF(0=LEN(ReferenceData!$BD$103),"",ReferenceData!$BD$103),"")</f>
        <v/>
      </c>
      <c r="BE103" t="str">
        <f ca="1">IFERROR(IF(0=LEN(ReferenceData!$BE$103),"",ReferenceData!$BE$103),"")</f>
        <v/>
      </c>
      <c r="BF103" t="str">
        <f ca="1">IFERROR(IF(0=LEN(ReferenceData!$BF$103),"",ReferenceData!$BF$103),"")</f>
        <v/>
      </c>
      <c r="BG103">
        <f ca="1">IFERROR(IF(0=LEN(ReferenceData!$BG$103),"",ReferenceData!$BG$103),"")</f>
        <v>1384</v>
      </c>
      <c r="BH103" t="str">
        <f ca="1">IFERROR(IF(0=LEN(ReferenceData!$BH$103),"",ReferenceData!$BH$103),"")</f>
        <v/>
      </c>
      <c r="BI103" t="str">
        <f ca="1">IFERROR(IF(0=LEN(ReferenceData!$BI$103),"",ReferenceData!$BI$103),"")</f>
        <v/>
      </c>
      <c r="BJ103" t="str">
        <f ca="1">IFERROR(IF(0=LEN(ReferenceData!$BJ$103),"",ReferenceData!$BJ$103),"")</f>
        <v/>
      </c>
      <c r="BK103" t="str">
        <f ca="1">IFERROR(IF(0=LEN(ReferenceData!$BK$103),"",ReferenceData!$BK$103),"")</f>
        <v/>
      </c>
      <c r="BL103" t="str">
        <f ca="1">IFERROR(IF(0=LEN(ReferenceData!$BL$103),"",ReferenceData!$BL$103),"")</f>
        <v/>
      </c>
      <c r="BM103" t="str">
        <f ca="1">IFERROR(IF(0=LEN(ReferenceData!$BM$103),"",ReferenceData!$BM$103),"")</f>
        <v/>
      </c>
    </row>
    <row r="104" spans="1:65" x14ac:dyDescent="0.25">
      <c r="A104" t="str">
        <f>IFERROR(IF(0=LEN(ReferenceData!$A$104),"",ReferenceData!$A$104),"")</f>
        <v xml:space="preserve">        Chrysler Group LLC</v>
      </c>
      <c r="B104" t="str">
        <f>IFERROR(IF(0=LEN(ReferenceData!$B$104),"",ReferenceData!$B$104),"")</f>
        <v>3318058Z US Equity</v>
      </c>
      <c r="C104" t="str">
        <f>IFERROR(IF(0=LEN(ReferenceData!$C$104),"",ReferenceData!$C$104),"")</f>
        <v/>
      </c>
      <c r="D104" t="str">
        <f>IFERROR(IF(0=LEN(ReferenceData!$D$104),"",ReferenceData!$D$104),"")</f>
        <v/>
      </c>
      <c r="E104" t="str">
        <f>IFERROR(IF(0=LEN(ReferenceData!$E$104),"",ReferenceData!$E$104),"")</f>
        <v>Static</v>
      </c>
      <c r="F104" t="str">
        <f ca="1">IFERROR(IF(0=LEN(ReferenceData!$F$104),"",ReferenceData!$F$104),"")</f>
        <v/>
      </c>
      <c r="G104" t="str">
        <f ca="1">IFERROR(IF(0=LEN(ReferenceData!$G$104),"",ReferenceData!$G$104),"")</f>
        <v/>
      </c>
      <c r="H104" t="str">
        <f ca="1">IFERROR(IF(0=LEN(ReferenceData!$H$104),"",ReferenceData!$H$104),"")</f>
        <v/>
      </c>
      <c r="I104" t="str">
        <f ca="1">IFERROR(IF(0=LEN(ReferenceData!$I$104),"",ReferenceData!$I$104),"")</f>
        <v/>
      </c>
      <c r="J104" t="str">
        <f ca="1">IFERROR(IF(0=LEN(ReferenceData!$J$104),"",ReferenceData!$J$104),"")</f>
        <v/>
      </c>
      <c r="K104" t="str">
        <f ca="1">IFERROR(IF(0=LEN(ReferenceData!$K$104),"",ReferenceData!$K$104),"")</f>
        <v/>
      </c>
      <c r="L104" t="str">
        <f ca="1">IFERROR(IF(0=LEN(ReferenceData!$L$104),"",ReferenceData!$L$104),"")</f>
        <v/>
      </c>
      <c r="M104" t="str">
        <f ca="1">IFERROR(IF(0=LEN(ReferenceData!$M$104),"",ReferenceData!$M$104),"")</f>
        <v/>
      </c>
      <c r="N104" t="str">
        <f ca="1">IFERROR(IF(0=LEN(ReferenceData!$N$104),"",ReferenceData!$N$104),"")</f>
        <v/>
      </c>
      <c r="O104" t="str">
        <f ca="1">IFERROR(IF(0=LEN(ReferenceData!$O$104),"",ReferenceData!$O$104),"")</f>
        <v/>
      </c>
      <c r="P104" t="str">
        <f ca="1">IFERROR(IF(0=LEN(ReferenceData!$P$104),"",ReferenceData!$P$104),"")</f>
        <v/>
      </c>
      <c r="Q104" t="str">
        <f ca="1">IFERROR(IF(0=LEN(ReferenceData!$Q$104),"",ReferenceData!$Q$104),"")</f>
        <v/>
      </c>
      <c r="R104" t="str">
        <f ca="1">IFERROR(IF(0=LEN(ReferenceData!$R$104),"",ReferenceData!$R$104),"")</f>
        <v/>
      </c>
      <c r="S104" t="str">
        <f ca="1">IFERROR(IF(0=LEN(ReferenceData!$S$104),"",ReferenceData!$S$104),"")</f>
        <v/>
      </c>
      <c r="T104" t="str">
        <f ca="1">IFERROR(IF(0=LEN(ReferenceData!$T$104),"",ReferenceData!$T$104),"")</f>
        <v/>
      </c>
      <c r="U104" t="str">
        <f ca="1">IFERROR(IF(0=LEN(ReferenceData!$U$104),"",ReferenceData!$U$104),"")</f>
        <v/>
      </c>
      <c r="V104" t="str">
        <f ca="1">IFERROR(IF(0=LEN(ReferenceData!$V$104),"",ReferenceData!$V$104),"")</f>
        <v/>
      </c>
      <c r="W104" t="str">
        <f ca="1">IFERROR(IF(0=LEN(ReferenceData!$W$104),"",ReferenceData!$W$104),"")</f>
        <v/>
      </c>
      <c r="X104">
        <f ca="1">IFERROR(IF(0=LEN(ReferenceData!$X$104),"",ReferenceData!$X$104),"")</f>
        <v>711000</v>
      </c>
      <c r="Y104">
        <f ca="1">IFERROR(IF(0=LEN(ReferenceData!$Y$104),"",ReferenceData!$Y$104),"")</f>
        <v>727000</v>
      </c>
      <c r="Z104">
        <f ca="1">IFERROR(IF(0=LEN(ReferenceData!$Z$104),"",ReferenceData!$Z$104),"")</f>
        <v>668000</v>
      </c>
      <c r="AA104">
        <f ca="1">IFERROR(IF(0=LEN(ReferenceData!$AA$104),"",ReferenceData!$AA$104),"")</f>
        <v>591000</v>
      </c>
      <c r="AB104">
        <f ca="1">IFERROR(IF(0=LEN(ReferenceData!$AB$104),"",ReferenceData!$AB$104),"")</f>
        <v>603000</v>
      </c>
      <c r="AC104">
        <f ca="1">IFERROR(IF(0=LEN(ReferenceData!$AC$104),"",ReferenceData!$AC$104),"")</f>
        <v>643000</v>
      </c>
      <c r="AD104">
        <f ca="1">IFERROR(IF(0=LEN(ReferenceData!$AD$104),"",ReferenceData!$AD$104),"")</f>
        <v>563000</v>
      </c>
      <c r="AE104">
        <f ca="1">IFERROR(IF(0=LEN(ReferenceData!$AE$104),"",ReferenceData!$AE$104),"")</f>
        <v>533000</v>
      </c>
      <c r="AF104">
        <f ca="1">IFERROR(IF(0=LEN(ReferenceData!$AF$104),"",ReferenceData!$AF$104),"")</f>
        <v>556000</v>
      </c>
      <c r="AG104">
        <f ca="1">IFERROR(IF(0=LEN(ReferenceData!$AG$104),"",ReferenceData!$AG$104),"")</f>
        <v>595000</v>
      </c>
      <c r="AH104">
        <f ca="1">IFERROR(IF(0=LEN(ReferenceData!$AH$104),"",ReferenceData!$AH$104),"")</f>
        <v>523000</v>
      </c>
      <c r="AI104">
        <f ca="1">IFERROR(IF(0=LEN(ReferenceData!$AI$104),"",ReferenceData!$AI$104),"")</f>
        <v>543000</v>
      </c>
      <c r="AJ104">
        <f ca="1">IFERROR(IF(0=LEN(ReferenceData!$AJ$104),"",ReferenceData!$AJ$104),"")</f>
        <v>469000</v>
      </c>
      <c r="AK104">
        <f ca="1">IFERROR(IF(0=LEN(ReferenceData!$AK$104),"",ReferenceData!$AK$104),"")</f>
        <v>486000</v>
      </c>
      <c r="AL104">
        <f ca="1">IFERROR(IF(0=LEN(ReferenceData!$AL$104),"",ReferenceData!$AL$104),"")</f>
        <v>394000</v>
      </c>
      <c r="AM104">
        <f ca="1">IFERROR(IF(0=LEN(ReferenceData!$AM$104),"",ReferenceData!$AM$104),"")</f>
        <v>374000</v>
      </c>
      <c r="AN104">
        <f ca="1">IFERROR(IF(0=LEN(ReferenceData!$AN$104),"",ReferenceData!$AN$104),"")</f>
        <v>401000</v>
      </c>
      <c r="AO104">
        <f ca="1">IFERROR(IF(0=LEN(ReferenceData!$AO$104),"",ReferenceData!$AO$104),"")</f>
        <v>407000</v>
      </c>
      <c r="AP104">
        <f ca="1">IFERROR(IF(0=LEN(ReferenceData!$AP$104),"",ReferenceData!$AP$104),"")</f>
        <v>334000</v>
      </c>
      <c r="AQ104" t="str">
        <f ca="1">IFERROR(IF(0=LEN(ReferenceData!$AQ$104),"",ReferenceData!$AQ$104),"")</f>
        <v/>
      </c>
      <c r="AR104" t="str">
        <f ca="1">IFERROR(IF(0=LEN(ReferenceData!$AR$104),"",ReferenceData!$AR$104),"")</f>
        <v/>
      </c>
      <c r="AS104" t="str">
        <f ca="1">IFERROR(IF(0=LEN(ReferenceData!$AS$104),"",ReferenceData!$AS$104),"")</f>
        <v/>
      </c>
      <c r="AT104" t="str">
        <f ca="1">IFERROR(IF(0=LEN(ReferenceData!$AT$104),"",ReferenceData!$AT$104),"")</f>
        <v/>
      </c>
      <c r="AU104" t="str">
        <f ca="1">IFERROR(IF(0=LEN(ReferenceData!$AU$104),"",ReferenceData!$AU$104),"")</f>
        <v/>
      </c>
      <c r="AV104" t="str">
        <f ca="1">IFERROR(IF(0=LEN(ReferenceData!$AV$104),"",ReferenceData!$AV$104),"")</f>
        <v/>
      </c>
      <c r="AW104" t="str">
        <f ca="1">IFERROR(IF(0=LEN(ReferenceData!$AW$104),"",ReferenceData!$AW$104),"")</f>
        <v/>
      </c>
      <c r="AX104" t="str">
        <f ca="1">IFERROR(IF(0=LEN(ReferenceData!$AX$104),"",ReferenceData!$AX$104),"")</f>
        <v/>
      </c>
      <c r="AY104" t="str">
        <f ca="1">IFERROR(IF(0=LEN(ReferenceData!$AY$104),"",ReferenceData!$AY$104),"")</f>
        <v/>
      </c>
      <c r="AZ104" t="str">
        <f ca="1">IFERROR(IF(0=LEN(ReferenceData!$AZ$104),"",ReferenceData!$AZ$104),"")</f>
        <v/>
      </c>
      <c r="BA104" t="str">
        <f ca="1">IFERROR(IF(0=LEN(ReferenceData!$BA$104),"",ReferenceData!$BA$104),"")</f>
        <v/>
      </c>
      <c r="BB104" t="str">
        <f ca="1">IFERROR(IF(0=LEN(ReferenceData!$BB$104),"",ReferenceData!$BB$104),"")</f>
        <v/>
      </c>
      <c r="BC104" t="str">
        <f ca="1">IFERROR(IF(0=LEN(ReferenceData!$BC$104),"",ReferenceData!$BC$104),"")</f>
        <v/>
      </c>
      <c r="BD104" t="str">
        <f ca="1">IFERROR(IF(0=LEN(ReferenceData!$BD$104),"",ReferenceData!$BD$104),"")</f>
        <v/>
      </c>
      <c r="BE104" t="str">
        <f ca="1">IFERROR(IF(0=LEN(ReferenceData!$BE$104),"",ReferenceData!$BE$104),"")</f>
        <v/>
      </c>
      <c r="BF104" t="str">
        <f ca="1">IFERROR(IF(0=LEN(ReferenceData!$BF$104),"",ReferenceData!$BF$104),"")</f>
        <v/>
      </c>
      <c r="BG104" t="str">
        <f ca="1">IFERROR(IF(0=LEN(ReferenceData!$BG$104),"",ReferenceData!$BG$104),"")</f>
        <v/>
      </c>
      <c r="BH104" t="str">
        <f ca="1">IFERROR(IF(0=LEN(ReferenceData!$BH$104),"",ReferenceData!$BH$104),"")</f>
        <v/>
      </c>
      <c r="BI104" t="str">
        <f ca="1">IFERROR(IF(0=LEN(ReferenceData!$BI$104),"",ReferenceData!$BI$104),"")</f>
        <v/>
      </c>
      <c r="BJ104" t="str">
        <f ca="1">IFERROR(IF(0=LEN(ReferenceData!$BJ$104),"",ReferenceData!$BJ$104),"")</f>
        <v/>
      </c>
      <c r="BK104" t="str">
        <f ca="1">IFERROR(IF(0=LEN(ReferenceData!$BK$104),"",ReferenceData!$BK$104),"")</f>
        <v/>
      </c>
      <c r="BL104" t="str">
        <f ca="1">IFERROR(IF(0=LEN(ReferenceData!$BL$104),"",ReferenceData!$BL$104),"")</f>
        <v/>
      </c>
      <c r="BM104" t="str">
        <f ca="1">IFERROR(IF(0=LEN(ReferenceData!$BM$104),"",ReferenceData!$BM$104),"")</f>
        <v/>
      </c>
    </row>
    <row r="105" spans="1:65" x14ac:dyDescent="0.25">
      <c r="A105" t="str">
        <f>IFERROR(IF(0=LEN(ReferenceData!$A$105),"",ReferenceData!$A$105),"")</f>
        <v xml:space="preserve">    Chrysler Corp</v>
      </c>
      <c r="B105" t="str">
        <f>IFERROR(IF(0=LEN(ReferenceData!$B$105),"",ReferenceData!$B$105),"")</f>
        <v>2251Q US Equity</v>
      </c>
      <c r="C105" t="str">
        <f>IFERROR(IF(0=LEN(ReferenceData!$C$105),"",ReferenceData!$C$105),"")</f>
        <v/>
      </c>
      <c r="D105" t="str">
        <f>IFERROR(IF(0=LEN(ReferenceData!$D$105),"",ReferenceData!$D$105),"")</f>
        <v/>
      </c>
      <c r="E105" t="str">
        <f>IFERROR(IF(0=LEN(ReferenceData!$E$105),"",ReferenceData!$E$105),"")</f>
        <v>Static</v>
      </c>
      <c r="F105" t="str">
        <f ca="1">IFERROR(IF(0=LEN(ReferenceData!$F$105),"",ReferenceData!$F$105),"")</f>
        <v/>
      </c>
      <c r="G105" t="str">
        <f ca="1">IFERROR(IF(0=LEN(ReferenceData!$G$105),"",ReferenceData!$G$105),"")</f>
        <v/>
      </c>
      <c r="H105" t="str">
        <f ca="1">IFERROR(IF(0=LEN(ReferenceData!$H$105),"",ReferenceData!$H$105),"")</f>
        <v/>
      </c>
      <c r="I105" t="str">
        <f ca="1">IFERROR(IF(0=LEN(ReferenceData!$I$105),"",ReferenceData!$I$105),"")</f>
        <v/>
      </c>
      <c r="J105" t="str">
        <f ca="1">IFERROR(IF(0=LEN(ReferenceData!$J$105),"",ReferenceData!$J$105),"")</f>
        <v/>
      </c>
      <c r="K105" t="str">
        <f ca="1">IFERROR(IF(0=LEN(ReferenceData!$K$105),"",ReferenceData!$K$105),"")</f>
        <v/>
      </c>
      <c r="L105" t="str">
        <f ca="1">IFERROR(IF(0=LEN(ReferenceData!$L$105),"",ReferenceData!$L$105),"")</f>
        <v/>
      </c>
      <c r="M105" t="str">
        <f ca="1">IFERROR(IF(0=LEN(ReferenceData!$M$105),"",ReferenceData!$M$105),"")</f>
        <v/>
      </c>
      <c r="N105" t="str">
        <f ca="1">IFERROR(IF(0=LEN(ReferenceData!$N$105),"",ReferenceData!$N$105),"")</f>
        <v/>
      </c>
      <c r="O105" t="str">
        <f ca="1">IFERROR(IF(0=LEN(ReferenceData!$O$105),"",ReferenceData!$O$105),"")</f>
        <v/>
      </c>
      <c r="P105" t="str">
        <f ca="1">IFERROR(IF(0=LEN(ReferenceData!$P$105),"",ReferenceData!$P$105),"")</f>
        <v/>
      </c>
      <c r="Q105" t="str">
        <f ca="1">IFERROR(IF(0=LEN(ReferenceData!$Q$105),"",ReferenceData!$Q$105),"")</f>
        <v/>
      </c>
      <c r="R105" t="str">
        <f ca="1">IFERROR(IF(0=LEN(ReferenceData!$R$105),"",ReferenceData!$R$105),"")</f>
        <v/>
      </c>
      <c r="S105" t="str">
        <f ca="1">IFERROR(IF(0=LEN(ReferenceData!$S$105),"",ReferenceData!$S$105),"")</f>
        <v/>
      </c>
      <c r="T105" t="str">
        <f ca="1">IFERROR(IF(0=LEN(ReferenceData!$T$105),"",ReferenceData!$T$105),"")</f>
        <v/>
      </c>
      <c r="U105" t="str">
        <f ca="1">IFERROR(IF(0=LEN(ReferenceData!$U$105),"",ReferenceData!$U$105),"")</f>
        <v/>
      </c>
      <c r="V105" t="str">
        <f ca="1">IFERROR(IF(0=LEN(ReferenceData!$V$105),"",ReferenceData!$V$105),"")</f>
        <v/>
      </c>
      <c r="W105" t="str">
        <f ca="1">IFERROR(IF(0=LEN(ReferenceData!$W$105),"",ReferenceData!$W$105),"")</f>
        <v/>
      </c>
      <c r="X105" t="str">
        <f ca="1">IFERROR(IF(0=LEN(ReferenceData!$X$105),"",ReferenceData!$X$105),"")</f>
        <v/>
      </c>
      <c r="Y105" t="str">
        <f ca="1">IFERROR(IF(0=LEN(ReferenceData!$Y$105),"",ReferenceData!$Y$105),"")</f>
        <v/>
      </c>
      <c r="Z105" t="str">
        <f ca="1">IFERROR(IF(0=LEN(ReferenceData!$Z$105),"",ReferenceData!$Z$105),"")</f>
        <v/>
      </c>
      <c r="AA105" t="str">
        <f ca="1">IFERROR(IF(0=LEN(ReferenceData!$AA$105),"",ReferenceData!$AA$105),"")</f>
        <v/>
      </c>
      <c r="AB105" t="str">
        <f ca="1">IFERROR(IF(0=LEN(ReferenceData!$AB$105),"",ReferenceData!$AB$105),"")</f>
        <v/>
      </c>
      <c r="AC105" t="str">
        <f ca="1">IFERROR(IF(0=LEN(ReferenceData!$AC$105),"",ReferenceData!$AC$105),"")</f>
        <v/>
      </c>
      <c r="AD105" t="str">
        <f ca="1">IFERROR(IF(0=LEN(ReferenceData!$AD$105),"",ReferenceData!$AD$105),"")</f>
        <v/>
      </c>
      <c r="AE105" t="str">
        <f ca="1">IFERROR(IF(0=LEN(ReferenceData!$AE$105),"",ReferenceData!$AE$105),"")</f>
        <v/>
      </c>
      <c r="AF105" t="str">
        <f ca="1">IFERROR(IF(0=LEN(ReferenceData!$AF$105),"",ReferenceData!$AF$105),"")</f>
        <v/>
      </c>
      <c r="AG105" t="str">
        <f ca="1">IFERROR(IF(0=LEN(ReferenceData!$AG$105),"",ReferenceData!$AG$105),"")</f>
        <v/>
      </c>
      <c r="AH105" t="str">
        <f ca="1">IFERROR(IF(0=LEN(ReferenceData!$AH$105),"",ReferenceData!$AH$105),"")</f>
        <v/>
      </c>
      <c r="AI105" t="str">
        <f ca="1">IFERROR(IF(0=LEN(ReferenceData!$AI$105),"",ReferenceData!$AI$105),"")</f>
        <v/>
      </c>
      <c r="AJ105" t="str">
        <f ca="1">IFERROR(IF(0=LEN(ReferenceData!$AJ$105),"",ReferenceData!$AJ$105),"")</f>
        <v/>
      </c>
      <c r="AK105" t="str">
        <f ca="1">IFERROR(IF(0=LEN(ReferenceData!$AK$105),"",ReferenceData!$AK$105),"")</f>
        <v/>
      </c>
      <c r="AL105" t="str">
        <f ca="1">IFERROR(IF(0=LEN(ReferenceData!$AL$105),"",ReferenceData!$AL$105),"")</f>
        <v/>
      </c>
      <c r="AM105" t="str">
        <f ca="1">IFERROR(IF(0=LEN(ReferenceData!$AM$105),"",ReferenceData!$AM$105),"")</f>
        <v/>
      </c>
      <c r="AN105" t="str">
        <f ca="1">IFERROR(IF(0=LEN(ReferenceData!$AN$105),"",ReferenceData!$AN$105),"")</f>
        <v/>
      </c>
      <c r="AO105" t="str">
        <f ca="1">IFERROR(IF(0=LEN(ReferenceData!$AO$105),"",ReferenceData!$AO$105),"")</f>
        <v/>
      </c>
      <c r="AP105" t="str">
        <f ca="1">IFERROR(IF(0=LEN(ReferenceData!$AP$105),"",ReferenceData!$AP$105),"")</f>
        <v/>
      </c>
      <c r="AQ105" t="str">
        <f ca="1">IFERROR(IF(0=LEN(ReferenceData!$AQ$105),"",ReferenceData!$AQ$105),"")</f>
        <v/>
      </c>
      <c r="AR105" t="str">
        <f ca="1">IFERROR(IF(0=LEN(ReferenceData!$AR$105),"",ReferenceData!$AR$105),"")</f>
        <v/>
      </c>
      <c r="AS105" t="str">
        <f ca="1">IFERROR(IF(0=LEN(ReferenceData!$AS$105),"",ReferenceData!$AS$105),"")</f>
        <v/>
      </c>
      <c r="AT105" t="str">
        <f ca="1">IFERROR(IF(0=LEN(ReferenceData!$AT$105),"",ReferenceData!$AT$105),"")</f>
        <v/>
      </c>
      <c r="AU105" t="str">
        <f ca="1">IFERROR(IF(0=LEN(ReferenceData!$AU$105),"",ReferenceData!$AU$105),"")</f>
        <v/>
      </c>
      <c r="AV105" t="str">
        <f ca="1">IFERROR(IF(0=LEN(ReferenceData!$AV$105),"",ReferenceData!$AV$105),"")</f>
        <v/>
      </c>
      <c r="AW105" t="str">
        <f ca="1">IFERROR(IF(0=LEN(ReferenceData!$AW$105),"",ReferenceData!$AW$105),"")</f>
        <v/>
      </c>
      <c r="AX105" t="str">
        <f ca="1">IFERROR(IF(0=LEN(ReferenceData!$AX$105),"",ReferenceData!$AX$105),"")</f>
        <v/>
      </c>
      <c r="AY105" t="str">
        <f ca="1">IFERROR(IF(0=LEN(ReferenceData!$AY$105),"",ReferenceData!$AY$105),"")</f>
        <v/>
      </c>
      <c r="AZ105" t="str">
        <f ca="1">IFERROR(IF(0=LEN(ReferenceData!$AZ$105),"",ReferenceData!$AZ$105),"")</f>
        <v/>
      </c>
      <c r="BA105" t="str">
        <f ca="1">IFERROR(IF(0=LEN(ReferenceData!$BA$105),"",ReferenceData!$BA$105),"")</f>
        <v/>
      </c>
      <c r="BB105" t="str">
        <f ca="1">IFERROR(IF(0=LEN(ReferenceData!$BB$105),"",ReferenceData!$BB$105),"")</f>
        <v/>
      </c>
      <c r="BC105" t="str">
        <f ca="1">IFERROR(IF(0=LEN(ReferenceData!$BC$105),"",ReferenceData!$BC$105),"")</f>
        <v/>
      </c>
      <c r="BD105" t="str">
        <f ca="1">IFERROR(IF(0=LEN(ReferenceData!$BD$105),"",ReferenceData!$BD$105),"")</f>
        <v/>
      </c>
      <c r="BE105" t="str">
        <f ca="1">IFERROR(IF(0=LEN(ReferenceData!$BE$105),"",ReferenceData!$BE$105),"")</f>
        <v/>
      </c>
      <c r="BF105" t="str">
        <f ca="1">IFERROR(IF(0=LEN(ReferenceData!$BF$105),"",ReferenceData!$BF$105),"")</f>
        <v/>
      </c>
      <c r="BG105" t="str">
        <f ca="1">IFERROR(IF(0=LEN(ReferenceData!$BG$105),"",ReferenceData!$BG$105),"")</f>
        <v/>
      </c>
      <c r="BH105" t="str">
        <f ca="1">IFERROR(IF(0=LEN(ReferenceData!$BH$105),"",ReferenceData!$BH$105),"")</f>
        <v/>
      </c>
      <c r="BI105" t="str">
        <f ca="1">IFERROR(IF(0=LEN(ReferenceData!$BI$105),"",ReferenceData!$BI$105),"")</f>
        <v/>
      </c>
      <c r="BJ105" t="str">
        <f ca="1">IFERROR(IF(0=LEN(ReferenceData!$BJ$105),"",ReferenceData!$BJ$105),"")</f>
        <v/>
      </c>
      <c r="BK105" t="str">
        <f ca="1">IFERROR(IF(0=LEN(ReferenceData!$BK$105),"",ReferenceData!$BK$105),"")</f>
        <v/>
      </c>
      <c r="BL105" t="str">
        <f ca="1">IFERROR(IF(0=LEN(ReferenceData!$BL$105),"",ReferenceData!$BL$105),"")</f>
        <v/>
      </c>
      <c r="BM105" t="str">
        <f ca="1">IFERROR(IF(0=LEN(ReferenceData!$BM$105),"",ReferenceData!$BM$105),"")</f>
        <v/>
      </c>
    </row>
    <row r="106" spans="1:65" x14ac:dyDescent="0.25">
      <c r="A106" t="str">
        <f>IFERROR(IF(0=LEN(ReferenceData!$A$106),"",ReferenceData!$A$106),"")</f>
        <v xml:space="preserve">    Honda Motor Co Ltd</v>
      </c>
      <c r="B106" t="str">
        <f>IFERROR(IF(0=LEN(ReferenceData!$B$106),"",ReferenceData!$B$106),"")</f>
        <v>7267 JP Equity</v>
      </c>
      <c r="C106" t="str">
        <f>IFERROR(IF(0=LEN(ReferenceData!$C$106),"",ReferenceData!$C$106),"")</f>
        <v/>
      </c>
      <c r="D106" t="str">
        <f>IFERROR(IF(0=LEN(ReferenceData!$D$106),"",ReferenceData!$D$106),"")</f>
        <v/>
      </c>
      <c r="E106" t="str">
        <f>IFERROR(IF(0=LEN(ReferenceData!$E$106),"",ReferenceData!$E$106),"")</f>
        <v>Static</v>
      </c>
      <c r="F106" t="str">
        <f ca="1">IFERROR(IF(0=LEN(ReferenceData!$F$106),"",ReferenceData!$F$106),"")</f>
        <v/>
      </c>
      <c r="G106" t="str">
        <f ca="1">IFERROR(IF(0=LEN(ReferenceData!$G$106),"",ReferenceData!$G$106),"")</f>
        <v/>
      </c>
      <c r="H106" t="str">
        <f ca="1">IFERROR(IF(0=LEN(ReferenceData!$H$106),"",ReferenceData!$H$106),"")</f>
        <v/>
      </c>
      <c r="I106" t="str">
        <f ca="1">IFERROR(IF(0=LEN(ReferenceData!$I$106),"",ReferenceData!$I$106),"")</f>
        <v/>
      </c>
      <c r="J106" t="str">
        <f ca="1">IFERROR(IF(0=LEN(ReferenceData!$J$106),"",ReferenceData!$J$106),"")</f>
        <v/>
      </c>
      <c r="K106" t="str">
        <f ca="1">IFERROR(IF(0=LEN(ReferenceData!$K$106),"",ReferenceData!$K$106),"")</f>
        <v/>
      </c>
      <c r="L106" t="str">
        <f ca="1">IFERROR(IF(0=LEN(ReferenceData!$L$106),"",ReferenceData!$L$106),"")</f>
        <v/>
      </c>
      <c r="M106" t="str">
        <f ca="1">IFERROR(IF(0=LEN(ReferenceData!$M$106),"",ReferenceData!$M$106),"")</f>
        <v/>
      </c>
      <c r="N106" t="str">
        <f ca="1">IFERROR(IF(0=LEN(ReferenceData!$N$106),"",ReferenceData!$N$106),"")</f>
        <v/>
      </c>
      <c r="O106" t="str">
        <f ca="1">IFERROR(IF(0=LEN(ReferenceData!$O$106),"",ReferenceData!$O$106),"")</f>
        <v/>
      </c>
      <c r="P106" t="str">
        <f ca="1">IFERROR(IF(0=LEN(ReferenceData!$P$106),"",ReferenceData!$P$106),"")</f>
        <v/>
      </c>
      <c r="Q106" t="str">
        <f ca="1">IFERROR(IF(0=LEN(ReferenceData!$Q$106),"",ReferenceData!$Q$106),"")</f>
        <v/>
      </c>
      <c r="R106" t="str">
        <f ca="1">IFERROR(IF(0=LEN(ReferenceData!$R$106),"",ReferenceData!$R$106),"")</f>
        <v/>
      </c>
      <c r="S106">
        <f ca="1">IFERROR(IF(0=LEN(ReferenceData!$S$106),"",ReferenceData!$S$106),"")</f>
        <v>879000</v>
      </c>
      <c r="T106">
        <f ca="1">IFERROR(IF(0=LEN(ReferenceData!$T$106),"",ReferenceData!$T$106),"")</f>
        <v>889000</v>
      </c>
      <c r="U106">
        <f ca="1">IFERROR(IF(0=LEN(ReferenceData!$U$106),"",ReferenceData!$U$106),"")</f>
        <v>888000</v>
      </c>
      <c r="V106">
        <f ca="1">IFERROR(IF(0=LEN(ReferenceData!$V$106),"",ReferenceData!$V$106),"")</f>
        <v>915000</v>
      </c>
      <c r="W106">
        <f ca="1">IFERROR(IF(0=LEN(ReferenceData!$W$106),"",ReferenceData!$W$106),"")</f>
        <v>877000</v>
      </c>
      <c r="X106">
        <f ca="1">IFERROR(IF(0=LEN(ReferenceData!$X$106),"",ReferenceData!$X$106),"")</f>
        <v>880000</v>
      </c>
      <c r="Y106">
        <f ca="1">IFERROR(IF(0=LEN(ReferenceData!$Y$106),"",ReferenceData!$Y$106),"")</f>
        <v>895000</v>
      </c>
      <c r="Z106">
        <f ca="1">IFERROR(IF(0=LEN(ReferenceData!$Z$106),"",ReferenceData!$Z$106),"")</f>
        <v>933000</v>
      </c>
      <c r="AA106">
        <f ca="1">IFERROR(IF(0=LEN(ReferenceData!$AA$106),"",ReferenceData!$AA$106),"")</f>
        <v>900000</v>
      </c>
      <c r="AB106">
        <f ca="1">IFERROR(IF(0=LEN(ReferenceData!$AB$106),"",ReferenceData!$AB$106),"")</f>
        <v>869000</v>
      </c>
      <c r="AC106">
        <f ca="1">IFERROR(IF(0=LEN(ReferenceData!$AC$106),"",ReferenceData!$AC$106),"")</f>
        <v>858000</v>
      </c>
      <c r="AD106">
        <f ca="1">IFERROR(IF(0=LEN(ReferenceData!$AD$106),"",ReferenceData!$AD$106),"")</f>
        <v>902000</v>
      </c>
      <c r="AE106">
        <f ca="1">IFERROR(IF(0=LEN(ReferenceData!$AE$106),"",ReferenceData!$AE$106),"")</f>
        <v>841000</v>
      </c>
      <c r="AF106">
        <f ca="1">IFERROR(IF(0=LEN(ReferenceData!$AF$106),"",ReferenceData!$AF$106),"")</f>
        <v>816000</v>
      </c>
      <c r="AG106">
        <f ca="1">IFERROR(IF(0=LEN(ReferenceData!$AG$106),"",ReferenceData!$AG$106),"")</f>
        <v>849000</v>
      </c>
      <c r="AH106">
        <f ca="1">IFERROR(IF(0=LEN(ReferenceData!$AH$106),"",ReferenceData!$AH$106),"")</f>
        <v>988000</v>
      </c>
      <c r="AI106">
        <f ca="1">IFERROR(IF(0=LEN(ReferenceData!$AI$106),"",ReferenceData!$AI$106),"")</f>
        <v>830000</v>
      </c>
      <c r="AJ106">
        <f ca="1">IFERROR(IF(0=LEN(ReferenceData!$AJ$106),"",ReferenceData!$AJ$106),"")</f>
        <v>772000</v>
      </c>
      <c r="AK106">
        <f ca="1">IFERROR(IF(0=LEN(ReferenceData!$AK$106),"",ReferenceData!$AK$106),"")</f>
        <v>547000</v>
      </c>
      <c r="AL106">
        <f ca="1">IFERROR(IF(0=LEN(ReferenceData!$AL$106),"",ReferenceData!$AL$106),"")</f>
        <v>860000</v>
      </c>
      <c r="AM106">
        <f ca="1">IFERROR(IF(0=LEN(ReferenceData!$AM$106),"",ReferenceData!$AM$106),"")</f>
        <v>855000</v>
      </c>
      <c r="AN106">
        <f ca="1">IFERROR(IF(0=LEN(ReferenceData!$AN$106),"",ReferenceData!$AN$106),"")</f>
        <v>898000</v>
      </c>
      <c r="AO106">
        <f ca="1">IFERROR(IF(0=LEN(ReferenceData!$AO$106),"",ReferenceData!$AO$106),"")</f>
        <v>899000</v>
      </c>
      <c r="AP106">
        <f ca="1">IFERROR(IF(0=LEN(ReferenceData!$AP$106),"",ReferenceData!$AP$106),"")</f>
        <v>874000</v>
      </c>
      <c r="AQ106">
        <f ca="1">IFERROR(IF(0=LEN(ReferenceData!$AQ$106),"",ReferenceData!$AQ$106),"")</f>
        <v>914000</v>
      </c>
      <c r="AR106">
        <f ca="1">IFERROR(IF(0=LEN(ReferenceData!$AR$106),"",ReferenceData!$AR$106),"")</f>
        <v>838000</v>
      </c>
      <c r="AS106">
        <f ca="1">IFERROR(IF(0=LEN(ReferenceData!$AS$106),"",ReferenceData!$AS$106),"")</f>
        <v>766000</v>
      </c>
      <c r="AT106">
        <f ca="1">IFERROR(IF(0=LEN(ReferenceData!$AT$106),"",ReferenceData!$AT$106),"")</f>
        <v>680000</v>
      </c>
      <c r="AU106">
        <f ca="1">IFERROR(IF(0=LEN(ReferenceData!$AU$106),"",ReferenceData!$AU$106),"")</f>
        <v>940000</v>
      </c>
      <c r="AV106">
        <f ca="1">IFERROR(IF(0=LEN(ReferenceData!$AV$106),"",ReferenceData!$AV$106),"")</f>
        <v>935000</v>
      </c>
      <c r="AW106">
        <f ca="1">IFERROR(IF(0=LEN(ReferenceData!$AW$106),"",ReferenceData!$AW$106),"")</f>
        <v>962000</v>
      </c>
      <c r="AX106">
        <f ca="1">IFERROR(IF(0=LEN(ReferenceData!$AX$106),"",ReferenceData!$AX$106),"")</f>
        <v>1015000</v>
      </c>
      <c r="AY106">
        <f ca="1">IFERROR(IF(0=LEN(ReferenceData!$AY$106),"",ReferenceData!$AY$106),"")</f>
        <v>991000</v>
      </c>
      <c r="AZ106">
        <f ca="1">IFERROR(IF(0=LEN(ReferenceData!$AZ$106),"",ReferenceData!$AZ$106),"")</f>
        <v>937000</v>
      </c>
      <c r="BA106">
        <f ca="1">IFERROR(IF(0=LEN(ReferenceData!$BA$106),"",ReferenceData!$BA$106),"")</f>
        <v>946000</v>
      </c>
      <c r="BB106">
        <f ca="1">IFERROR(IF(0=LEN(ReferenceData!$BB$106),"",ReferenceData!$BB$106),"")</f>
        <v>957000</v>
      </c>
      <c r="BC106">
        <f ca="1">IFERROR(IF(0=LEN(ReferenceData!$BC$106),"",ReferenceData!$BC$106),"")</f>
        <v>915000</v>
      </c>
      <c r="BD106">
        <f ca="1">IFERROR(IF(0=LEN(ReferenceData!$BD$106),"",ReferenceData!$BD$106),"")</f>
        <v>884000</v>
      </c>
      <c r="BE106">
        <f ca="1">IFERROR(IF(0=LEN(ReferenceData!$BE$106),"",ReferenceData!$BE$106),"")</f>
        <v>896000</v>
      </c>
      <c r="BF106">
        <f ca="1">IFERROR(IF(0=LEN(ReferenceData!$BF$106),"",ReferenceData!$BF$106),"")</f>
        <v>901000</v>
      </c>
      <c r="BG106" t="str">
        <f ca="1">IFERROR(IF(0=LEN(ReferenceData!$BG$106),"",ReferenceData!$BG$106),"")</f>
        <v/>
      </c>
      <c r="BH106" t="str">
        <f ca="1">IFERROR(IF(0=LEN(ReferenceData!$BH$106),"",ReferenceData!$BH$106),"")</f>
        <v/>
      </c>
      <c r="BI106" t="str">
        <f ca="1">IFERROR(IF(0=LEN(ReferenceData!$BI$106),"",ReferenceData!$BI$106),"")</f>
        <v/>
      </c>
      <c r="BJ106" t="str">
        <f ca="1">IFERROR(IF(0=LEN(ReferenceData!$BJ$106),"",ReferenceData!$BJ$106),"")</f>
        <v/>
      </c>
      <c r="BK106" t="str">
        <f ca="1">IFERROR(IF(0=LEN(ReferenceData!$BK$106),"",ReferenceData!$BK$106),"")</f>
        <v/>
      </c>
      <c r="BL106" t="str">
        <f ca="1">IFERROR(IF(0=LEN(ReferenceData!$BL$106),"",ReferenceData!$BL$106),"")</f>
        <v/>
      </c>
      <c r="BM106" t="str">
        <f ca="1">IFERROR(IF(0=LEN(ReferenceData!$BM$106),"",ReferenceData!$BM$106),"")</f>
        <v/>
      </c>
    </row>
    <row r="107" spans="1:65" x14ac:dyDescent="0.25">
      <c r="A107" t="str">
        <f>IFERROR(IF(0=LEN(ReferenceData!$A$107),"",ReferenceData!$A$107),"")</f>
        <v xml:space="preserve">    Peugeot SA</v>
      </c>
      <c r="B107" t="str">
        <f>IFERROR(IF(0=LEN(ReferenceData!$B$107),"",ReferenceData!$B$107),"")</f>
        <v>UG FP Equity</v>
      </c>
      <c r="C107" t="str">
        <f>IFERROR(IF(0=LEN(ReferenceData!$C$107),"",ReferenceData!$C$107),"")</f>
        <v>FS265</v>
      </c>
      <c r="D107" t="str">
        <f>IFERROR(IF(0=LEN(ReferenceData!$D$107),"",ReferenceData!$D$107),"")</f>
        <v>AUTO_VEHICLES_SOLD_WW</v>
      </c>
      <c r="E107" t="str">
        <f>IFERROR(IF(0=LEN(ReferenceData!$E$107),"",ReferenceData!$E$107),"")</f>
        <v>Dynamic</v>
      </c>
      <c r="F107" t="str">
        <f ca="1">IFERROR(IF(0=LEN(ReferenceData!$F$107),"",ReferenceData!$F$107),"")</f>
        <v/>
      </c>
      <c r="G107">
        <f ca="1">IFERROR(IF(0=LEN(ReferenceData!$G$107),"",ReferenceData!$G$107),"")</f>
        <v>993642</v>
      </c>
      <c r="H107">
        <f ca="1">IFERROR(IF(0=LEN(ReferenceData!$H$107),"",ReferenceData!$H$107),"")</f>
        <v>702300</v>
      </c>
      <c r="I107">
        <f ca="1">IFERROR(IF(0=LEN(ReferenceData!$I$107),"",ReferenceData!$I$107),"")</f>
        <v>1129876</v>
      </c>
      <c r="J107">
        <f ca="1">IFERROR(IF(0=LEN(ReferenceData!$J$107),"",ReferenceData!$J$107),"")</f>
        <v>1051947</v>
      </c>
      <c r="K107">
        <f ca="1">IFERROR(IF(0=LEN(ReferenceData!$K$107),"",ReferenceData!$K$107),"")</f>
        <v>1209480</v>
      </c>
      <c r="L107">
        <f ca="1">IFERROR(IF(0=LEN(ReferenceData!$L$107),"",ReferenceData!$L$107),"")</f>
        <v>842900</v>
      </c>
      <c r="M107">
        <f ca="1">IFERROR(IF(0=LEN(ReferenceData!$M$107),"",ReferenceData!$M$107),"")</f>
        <v>850510</v>
      </c>
      <c r="N107">
        <f ca="1">IFERROR(IF(0=LEN(ReferenceData!$N$107),"",ReferenceData!$N$107),"")</f>
        <v>729424</v>
      </c>
      <c r="O107">
        <f ca="1">IFERROR(IF(0=LEN(ReferenceData!$O$107),"",ReferenceData!$O$107),"")</f>
        <v>921078</v>
      </c>
      <c r="P107">
        <f ca="1">IFERROR(IF(0=LEN(ReferenceData!$P$107),"",ReferenceData!$P$107),"")</f>
        <v>681100</v>
      </c>
      <c r="Q107">
        <f ca="1">IFERROR(IF(0=LEN(ReferenceData!$Q$107),"",ReferenceData!$Q$107),"")</f>
        <v>844402</v>
      </c>
      <c r="R107">
        <f ca="1">IFERROR(IF(0=LEN(ReferenceData!$R$107),"",ReferenceData!$R$107),"")</f>
        <v>699802</v>
      </c>
      <c r="S107">
        <f ca="1">IFERROR(IF(0=LEN(ReferenceData!$S$107),"",ReferenceData!$S$107),"")</f>
        <v>810450</v>
      </c>
      <c r="T107">
        <f ca="1">IFERROR(IF(0=LEN(ReferenceData!$T$107),"",ReferenceData!$T$107),"")</f>
        <v>615990</v>
      </c>
      <c r="U107">
        <f ca="1">IFERROR(IF(0=LEN(ReferenceData!$U$107),"",ReferenceData!$U$107),"")</f>
        <v>834158</v>
      </c>
      <c r="V107">
        <f ca="1">IFERROR(IF(0=LEN(ReferenceData!$V$107),"",ReferenceData!$V$107),"")</f>
        <v>712402</v>
      </c>
      <c r="W107">
        <f ca="1">IFERROR(IF(0=LEN(ReferenceData!$W$107),"",ReferenceData!$W$107),"")</f>
        <v>754320</v>
      </c>
      <c r="X107">
        <f ca="1">IFERROR(IF(0=LEN(ReferenceData!$X$107),"",ReferenceData!$X$107),"")</f>
        <v>643789</v>
      </c>
      <c r="Y107">
        <f ca="1">IFERROR(IF(0=LEN(ReferenceData!$Y$107),"",ReferenceData!$Y$107),"")</f>
        <v>815083</v>
      </c>
      <c r="Z107">
        <f ca="1">IFERROR(IF(0=LEN(ReferenceData!$Z$107),"",ReferenceData!$Z$107),"")</f>
        <v>726000</v>
      </c>
      <c r="AA107">
        <f ca="1">IFERROR(IF(0=LEN(ReferenceData!$AA$107),"",ReferenceData!$AA$107),"")</f>
        <v>747600</v>
      </c>
      <c r="AB107">
        <f ca="1">IFERROR(IF(0=LEN(ReferenceData!$AB$107),"",ReferenceData!$AB$107),"")</f>
        <v>610400</v>
      </c>
      <c r="AC107">
        <f ca="1">IFERROR(IF(0=LEN(ReferenceData!$AC$107),"",ReferenceData!$AC$107),"")</f>
        <v>786400</v>
      </c>
      <c r="AD107">
        <f ca="1">IFERROR(IF(0=LEN(ReferenceData!$AD$107),"",ReferenceData!$AD$107),"")</f>
        <v>674600</v>
      </c>
      <c r="AE107">
        <f ca="1">IFERROR(IF(0=LEN(ReferenceData!$AE$107),"",ReferenceData!$AE$107),"")</f>
        <v>659963</v>
      </c>
      <c r="AF107">
        <f ca="1">IFERROR(IF(0=LEN(ReferenceData!$AF$107),"",ReferenceData!$AF$107),"")</f>
        <v>626037</v>
      </c>
      <c r="AG107">
        <f ca="1">IFERROR(IF(0=LEN(ReferenceData!$AG$107),"",ReferenceData!$AG$107),"")</f>
        <v>888900</v>
      </c>
      <c r="AH107">
        <f ca="1">IFERROR(IF(0=LEN(ReferenceData!$AH$107),"",ReferenceData!$AH$107),"")</f>
        <v>790100</v>
      </c>
      <c r="AI107">
        <f ca="1">IFERROR(IF(0=LEN(ReferenceData!$AI$107),"",ReferenceData!$AI$107),"")</f>
        <v>901000</v>
      </c>
      <c r="AJ107">
        <f ca="1">IFERROR(IF(0=LEN(ReferenceData!$AJ$107),"",ReferenceData!$AJ$107),"")</f>
        <v>787917</v>
      </c>
      <c r="AK107">
        <f ca="1">IFERROR(IF(0=LEN(ReferenceData!$AK$107),"",ReferenceData!$AK$107),"")</f>
        <v>938600</v>
      </c>
      <c r="AL107">
        <f ca="1">IFERROR(IF(0=LEN(ReferenceData!$AL$107),"",ReferenceData!$AL$107),"")</f>
        <v>921400</v>
      </c>
      <c r="AM107">
        <f ca="1">IFERROR(IF(0=LEN(ReferenceData!$AM$107),"",ReferenceData!$AM$107),"")</f>
        <v>937800</v>
      </c>
      <c r="AN107">
        <f ca="1">IFERROR(IF(0=LEN(ReferenceData!$AN$107),"",ReferenceData!$AN$107),"")</f>
        <v>808400</v>
      </c>
      <c r="AO107">
        <f ca="1">IFERROR(IF(0=LEN(ReferenceData!$AO$107),"",ReferenceData!$AO$107),"")</f>
        <v>942000</v>
      </c>
      <c r="AP107">
        <f ca="1">IFERROR(IF(0=LEN(ReferenceData!$AP$107),"",ReferenceData!$AP$107),"")</f>
        <v>914000</v>
      </c>
      <c r="AQ107">
        <f ca="1">IFERROR(IF(0=LEN(ReferenceData!$AQ$107),"",ReferenceData!$AQ$107),"")</f>
        <v>813000</v>
      </c>
      <c r="AR107">
        <f ca="1">IFERROR(IF(0=LEN(ReferenceData!$AR$107),"",ReferenceData!$AR$107),"")</f>
        <v>788000</v>
      </c>
      <c r="AS107" t="str">
        <f ca="1">IFERROR(IF(0=LEN(ReferenceData!$AS$107),"",ReferenceData!$AS$107),"")</f>
        <v/>
      </c>
      <c r="AT107" t="str">
        <f ca="1">IFERROR(IF(0=LEN(ReferenceData!$AT$107),"",ReferenceData!$AT$107),"")</f>
        <v/>
      </c>
      <c r="AU107" t="str">
        <f ca="1">IFERROR(IF(0=LEN(ReferenceData!$AU$107),"",ReferenceData!$AU$107),"")</f>
        <v/>
      </c>
      <c r="AV107">
        <f ca="1">IFERROR(IF(0=LEN(ReferenceData!$AV$107),"",ReferenceData!$AV$107),"")</f>
        <v>716000</v>
      </c>
      <c r="AW107" t="str">
        <f ca="1">IFERROR(IF(0=LEN(ReferenceData!$AW$107),"",ReferenceData!$AW$107),"")</f>
        <v/>
      </c>
      <c r="AX107" t="str">
        <f ca="1">IFERROR(IF(0=LEN(ReferenceData!$AX$107),"",ReferenceData!$AX$107),"")</f>
        <v/>
      </c>
      <c r="AY107" t="str">
        <f ca="1">IFERROR(IF(0=LEN(ReferenceData!$AY$107),"",ReferenceData!$AY$107),"")</f>
        <v/>
      </c>
      <c r="AZ107" t="str">
        <f ca="1">IFERROR(IF(0=LEN(ReferenceData!$AZ$107),"",ReferenceData!$AZ$107),"")</f>
        <v/>
      </c>
      <c r="BA107" t="str">
        <f ca="1">IFERROR(IF(0=LEN(ReferenceData!$BA$107),"",ReferenceData!$BA$107),"")</f>
        <v/>
      </c>
      <c r="BB107" t="str">
        <f ca="1">IFERROR(IF(0=LEN(ReferenceData!$BB$107),"",ReferenceData!$BB$107),"")</f>
        <v/>
      </c>
      <c r="BC107" t="str">
        <f ca="1">IFERROR(IF(0=LEN(ReferenceData!$BC$107),"",ReferenceData!$BC$107),"")</f>
        <v/>
      </c>
      <c r="BD107" t="str">
        <f ca="1">IFERROR(IF(0=LEN(ReferenceData!$BD$107),"",ReferenceData!$BD$107),"")</f>
        <v/>
      </c>
      <c r="BE107" t="str">
        <f ca="1">IFERROR(IF(0=LEN(ReferenceData!$BE$107),"",ReferenceData!$BE$107),"")</f>
        <v/>
      </c>
      <c r="BF107" t="str">
        <f ca="1">IFERROR(IF(0=LEN(ReferenceData!$BF$107),"",ReferenceData!$BF$107),"")</f>
        <v/>
      </c>
      <c r="BG107" t="str">
        <f ca="1">IFERROR(IF(0=LEN(ReferenceData!$BG$107),"",ReferenceData!$BG$107),"")</f>
        <v/>
      </c>
      <c r="BH107" t="str">
        <f ca="1">IFERROR(IF(0=LEN(ReferenceData!$BH$107),"",ReferenceData!$BH$107),"")</f>
        <v/>
      </c>
      <c r="BI107" t="str">
        <f ca="1">IFERROR(IF(0=LEN(ReferenceData!$BI$107),"",ReferenceData!$BI$107),"")</f>
        <v/>
      </c>
      <c r="BJ107" t="str">
        <f ca="1">IFERROR(IF(0=LEN(ReferenceData!$BJ$107),"",ReferenceData!$BJ$107),"")</f>
        <v/>
      </c>
      <c r="BK107" t="str">
        <f ca="1">IFERROR(IF(0=LEN(ReferenceData!$BK$107),"",ReferenceData!$BK$107),"")</f>
        <v/>
      </c>
      <c r="BL107" t="str">
        <f ca="1">IFERROR(IF(0=LEN(ReferenceData!$BL$107),"",ReferenceData!$BL$107),"")</f>
        <v/>
      </c>
      <c r="BM107" t="str">
        <f ca="1">IFERROR(IF(0=LEN(ReferenceData!$BM$107),"",ReferenceData!$BM$107),"")</f>
        <v/>
      </c>
    </row>
    <row r="108" spans="1:65" x14ac:dyDescent="0.25">
      <c r="A108" t="str">
        <f>IFERROR(IF(0=LEN(ReferenceData!$A$108),"",ReferenceData!$A$108),"")</f>
        <v xml:space="preserve">    Suzuki Motor Corp</v>
      </c>
      <c r="B108" t="str">
        <f>IFERROR(IF(0=LEN(ReferenceData!$B$108),"",ReferenceData!$B$108),"")</f>
        <v>7269 JP Equity</v>
      </c>
      <c r="C108" t="str">
        <f>IFERROR(IF(0=LEN(ReferenceData!$C$108),"",ReferenceData!$C$108),"")</f>
        <v/>
      </c>
      <c r="D108" t="str">
        <f>IFERROR(IF(0=LEN(ReferenceData!$D$108),"",ReferenceData!$D$108),"")</f>
        <v/>
      </c>
      <c r="E108" t="str">
        <f>IFERROR(IF(0=LEN(ReferenceData!$E$108),"",ReferenceData!$E$108),"")</f>
        <v>Static</v>
      </c>
      <c r="F108" t="str">
        <f ca="1">IFERROR(IF(0=LEN(ReferenceData!$F$108),"",ReferenceData!$F$108),"")</f>
        <v/>
      </c>
      <c r="G108" t="str">
        <f ca="1">IFERROR(IF(0=LEN(ReferenceData!$G$108),"",ReferenceData!$G$108),"")</f>
        <v/>
      </c>
      <c r="H108" t="str">
        <f ca="1">IFERROR(IF(0=LEN(ReferenceData!$H$108),"",ReferenceData!$H$108),"")</f>
        <v/>
      </c>
      <c r="I108" t="str">
        <f ca="1">IFERROR(IF(0=LEN(ReferenceData!$I$108),"",ReferenceData!$I$108),"")</f>
        <v/>
      </c>
      <c r="J108" t="str">
        <f ca="1">IFERROR(IF(0=LEN(ReferenceData!$J$108),"",ReferenceData!$J$108),"")</f>
        <v/>
      </c>
      <c r="K108" t="str">
        <f ca="1">IFERROR(IF(0=LEN(ReferenceData!$K$108),"",ReferenceData!$K$108),"")</f>
        <v/>
      </c>
      <c r="L108" t="str">
        <f ca="1">IFERROR(IF(0=LEN(ReferenceData!$L$108),"",ReferenceData!$L$108),"")</f>
        <v/>
      </c>
      <c r="M108" t="str">
        <f ca="1">IFERROR(IF(0=LEN(ReferenceData!$M$108),"",ReferenceData!$M$108),"")</f>
        <v/>
      </c>
      <c r="N108" t="str">
        <f ca="1">IFERROR(IF(0=LEN(ReferenceData!$N$108),"",ReferenceData!$N$108),"")</f>
        <v/>
      </c>
      <c r="O108" t="str">
        <f ca="1">IFERROR(IF(0=LEN(ReferenceData!$O$108),"",ReferenceData!$O$108),"")</f>
        <v/>
      </c>
      <c r="P108" t="str">
        <f ca="1">IFERROR(IF(0=LEN(ReferenceData!$P$108),"",ReferenceData!$P$108),"")</f>
        <v/>
      </c>
      <c r="Q108" t="str">
        <f ca="1">IFERROR(IF(0=LEN(ReferenceData!$Q$108),"",ReferenceData!$Q$108),"")</f>
        <v/>
      </c>
      <c r="R108" t="str">
        <f ca="1">IFERROR(IF(0=LEN(ReferenceData!$R$108),"",ReferenceData!$R$108),"")</f>
        <v/>
      </c>
      <c r="S108">
        <f ca="1">IFERROR(IF(0=LEN(ReferenceData!$S$108),"",ReferenceData!$S$108),"")</f>
        <v>785000</v>
      </c>
      <c r="T108">
        <f ca="1">IFERROR(IF(0=LEN(ReferenceData!$T$108),"",ReferenceData!$T$108),"")</f>
        <v>678000</v>
      </c>
      <c r="U108">
        <f ca="1">IFERROR(IF(0=LEN(ReferenceData!$U$108),"",ReferenceData!$U$108),"")</f>
        <v>659000</v>
      </c>
      <c r="V108">
        <f ca="1">IFERROR(IF(0=LEN(ReferenceData!$V$108),"",ReferenceData!$V$108),"")</f>
        <v>753000</v>
      </c>
      <c r="W108">
        <f ca="1">IFERROR(IF(0=LEN(ReferenceData!$W$108),"",ReferenceData!$W$108),"")</f>
        <v>640768</v>
      </c>
      <c r="X108">
        <f ca="1">IFERROR(IF(0=LEN(ReferenceData!$X$108),"",ReferenceData!$X$108),"")</f>
        <v>647185</v>
      </c>
      <c r="Y108">
        <f ca="1">IFERROR(IF(0=LEN(ReferenceData!$Y$108),"",ReferenceData!$Y$108),"")</f>
        <v>629028</v>
      </c>
      <c r="Z108">
        <f ca="1">IFERROR(IF(0=LEN(ReferenceData!$Z$108),"",ReferenceData!$Z$108),"")</f>
        <v>751000</v>
      </c>
      <c r="AA108">
        <f ca="1">IFERROR(IF(0=LEN(ReferenceData!$AA$108),"",ReferenceData!$AA$108),"")</f>
        <v>639000</v>
      </c>
      <c r="AB108">
        <f ca="1">IFERROR(IF(0=LEN(ReferenceData!$AB$108),"",ReferenceData!$AB$108),"")</f>
        <v>614000</v>
      </c>
      <c r="AC108">
        <f ca="1">IFERROR(IF(0=LEN(ReferenceData!$AC$108),"",ReferenceData!$AC$108),"")</f>
        <v>590766</v>
      </c>
      <c r="AD108">
        <f ca="1">IFERROR(IF(0=LEN(ReferenceData!$AD$108),"",ReferenceData!$AD$108),"")</f>
        <v>726000</v>
      </c>
      <c r="AE108">
        <f ca="1">IFERROR(IF(0=LEN(ReferenceData!$AE$108),"",ReferenceData!$AE$108),"")</f>
        <v>610000</v>
      </c>
      <c r="AF108">
        <f ca="1">IFERROR(IF(0=LEN(ReferenceData!$AF$108),"",ReferenceData!$AF$108),"")</f>
        <v>586000</v>
      </c>
      <c r="AG108">
        <f ca="1">IFERROR(IF(0=LEN(ReferenceData!$AG$108),"",ReferenceData!$AG$108),"")</f>
        <v>663000</v>
      </c>
      <c r="AH108">
        <f ca="1">IFERROR(IF(0=LEN(ReferenceData!$AH$108),"",ReferenceData!$AH$108),"")</f>
        <v>744000</v>
      </c>
      <c r="AI108">
        <f ca="1">IFERROR(IF(0=LEN(ReferenceData!$AI$108),"",ReferenceData!$AI$108),"")</f>
        <v>582000</v>
      </c>
      <c r="AJ108">
        <f ca="1">IFERROR(IF(0=LEN(ReferenceData!$AJ$108),"",ReferenceData!$AJ$108),"")</f>
        <v>599000</v>
      </c>
      <c r="AK108">
        <f ca="1">IFERROR(IF(0=LEN(ReferenceData!$AK$108),"",ReferenceData!$AK$108),"")</f>
        <v>562000</v>
      </c>
      <c r="AL108">
        <f ca="1">IFERROR(IF(0=LEN(ReferenceData!$AL$108),"",ReferenceData!$AL$108),"")</f>
        <v>677000</v>
      </c>
      <c r="AM108">
        <f ca="1">IFERROR(IF(0=LEN(ReferenceData!$AM$108),"",ReferenceData!$AM$108),"")</f>
        <v>641000</v>
      </c>
      <c r="AN108">
        <f ca="1">IFERROR(IF(0=LEN(ReferenceData!$AN$108),"",ReferenceData!$AN$108),"")</f>
        <v>651000</v>
      </c>
      <c r="AO108">
        <f ca="1">IFERROR(IF(0=LEN(ReferenceData!$AO$108),"",ReferenceData!$AO$108),"")</f>
        <v>610000</v>
      </c>
      <c r="AP108">
        <f ca="1">IFERROR(IF(0=LEN(ReferenceData!$AP$108),"",ReferenceData!$AP$108),"")</f>
        <v>648000</v>
      </c>
      <c r="AQ108">
        <f ca="1">IFERROR(IF(0=LEN(ReferenceData!$AQ$108),"",ReferenceData!$AQ$108),"")</f>
        <v>566000</v>
      </c>
      <c r="AR108">
        <f ca="1">IFERROR(IF(0=LEN(ReferenceData!$AR$108),"",ReferenceData!$AR$108),"")</f>
        <v>547000</v>
      </c>
      <c r="AS108">
        <f ca="1">IFERROR(IF(0=LEN(ReferenceData!$AS$108),"",ReferenceData!$AS$108),"")</f>
        <v>493000</v>
      </c>
      <c r="AT108">
        <f ca="1">IFERROR(IF(0=LEN(ReferenceData!$AT$108),"",ReferenceData!$AT$108),"")</f>
        <v>577000</v>
      </c>
      <c r="AU108">
        <f ca="1">IFERROR(IF(0=LEN(ReferenceData!$AU$108),"",ReferenceData!$AU$108),"")</f>
        <v>523000</v>
      </c>
      <c r="AV108">
        <f ca="1">IFERROR(IF(0=LEN(ReferenceData!$AV$108),"",ReferenceData!$AV$108),"")</f>
        <v>593000</v>
      </c>
      <c r="AW108">
        <f ca="1">IFERROR(IF(0=LEN(ReferenceData!$AW$108),"",ReferenceData!$AW$108),"")</f>
        <v>635000</v>
      </c>
      <c r="AX108">
        <f ca="1">IFERROR(IF(0=LEN(ReferenceData!$AX$108),"",ReferenceData!$AX$108),"")</f>
        <v>656000</v>
      </c>
      <c r="AY108">
        <f ca="1">IFERROR(IF(0=LEN(ReferenceData!$AY$108),"",ReferenceData!$AY$108),"")</f>
        <v>592000</v>
      </c>
      <c r="AZ108">
        <f ca="1">IFERROR(IF(0=LEN(ReferenceData!$AZ$108),"",ReferenceData!$AZ$108),"")</f>
        <v>620000</v>
      </c>
      <c r="BA108">
        <f ca="1">IFERROR(IF(0=LEN(ReferenceData!$BA$108),"",ReferenceData!$BA$108),"")</f>
        <v>544000</v>
      </c>
      <c r="BB108">
        <f ca="1">IFERROR(IF(0=LEN(ReferenceData!$BB$108),"",ReferenceData!$BB$108),"")</f>
        <v>603000</v>
      </c>
      <c r="BC108">
        <f ca="1">IFERROR(IF(0=LEN(ReferenceData!$BC$108),"",ReferenceData!$BC$108),"")</f>
        <v>523000</v>
      </c>
      <c r="BD108">
        <f ca="1">IFERROR(IF(0=LEN(ReferenceData!$BD$108),"",ReferenceData!$BD$108),"")</f>
        <v>490000</v>
      </c>
      <c r="BE108">
        <f ca="1">IFERROR(IF(0=LEN(ReferenceData!$BE$108),"",ReferenceData!$BE$108),"")</f>
        <v>493000</v>
      </c>
      <c r="BF108">
        <f ca="1">IFERROR(IF(0=LEN(ReferenceData!$BF$108),"",ReferenceData!$BF$108),"")</f>
        <v>521000</v>
      </c>
      <c r="BG108" t="str">
        <f ca="1">IFERROR(IF(0=LEN(ReferenceData!$BG$108),"",ReferenceData!$BG$108),"")</f>
        <v/>
      </c>
      <c r="BH108" t="str">
        <f ca="1">IFERROR(IF(0=LEN(ReferenceData!$BH$108),"",ReferenceData!$BH$108),"")</f>
        <v/>
      </c>
      <c r="BI108" t="str">
        <f ca="1">IFERROR(IF(0=LEN(ReferenceData!$BI$108),"",ReferenceData!$BI$108),"")</f>
        <v/>
      </c>
      <c r="BJ108" t="str">
        <f ca="1">IFERROR(IF(0=LEN(ReferenceData!$BJ$108),"",ReferenceData!$BJ$108),"")</f>
        <v/>
      </c>
      <c r="BK108" t="str">
        <f ca="1">IFERROR(IF(0=LEN(ReferenceData!$BK$108),"",ReferenceData!$BK$108),"")</f>
        <v/>
      </c>
      <c r="BL108" t="str">
        <f ca="1">IFERROR(IF(0=LEN(ReferenceData!$BL$108),"",ReferenceData!$BL$108),"")</f>
        <v/>
      </c>
      <c r="BM108" t="str">
        <f ca="1">IFERROR(IF(0=LEN(ReferenceData!$BM$108),"",ReferenceData!$BM$108),"")</f>
        <v/>
      </c>
    </row>
    <row r="109" spans="1:65" x14ac:dyDescent="0.25">
      <c r="A109" t="str">
        <f>IFERROR(IF(0=LEN(ReferenceData!$A$109),"",ReferenceData!$A$109),"")</f>
        <v xml:space="preserve">    Dongfeng Motor Group Co Ltd</v>
      </c>
      <c r="B109" t="str">
        <f>IFERROR(IF(0=LEN(ReferenceData!$B$109),"",ReferenceData!$B$109),"")</f>
        <v>489 HK Equity</v>
      </c>
      <c r="C109" t="str">
        <f>IFERROR(IF(0=LEN(ReferenceData!$C$109),"",ReferenceData!$C$109),"")</f>
        <v>FS265</v>
      </c>
      <c r="D109" t="str">
        <f>IFERROR(IF(0=LEN(ReferenceData!$D$109),"",ReferenceData!$D$109),"")</f>
        <v>AUTO_VEHICLES_SOLD_WW</v>
      </c>
      <c r="E109" t="str">
        <f>IFERROR(IF(0=LEN(ReferenceData!$E$109),"",ReferenceData!$E$109),"")</f>
        <v>Dynamic</v>
      </c>
      <c r="F109" t="str">
        <f ca="1">IFERROR(IF(0=LEN(ReferenceData!$F$109),"",ReferenceData!$F$109),"")</f>
        <v/>
      </c>
      <c r="G109" t="str">
        <f ca="1">IFERROR(IF(0=LEN(ReferenceData!$G$109),"",ReferenceData!$G$109),"")</f>
        <v/>
      </c>
      <c r="H109" t="str">
        <f ca="1">IFERROR(IF(0=LEN(ReferenceData!$H$109),"",ReferenceData!$H$109),"")</f>
        <v/>
      </c>
      <c r="I109" t="str">
        <f ca="1">IFERROR(IF(0=LEN(ReferenceData!$I$109),"",ReferenceData!$I$109),"")</f>
        <v/>
      </c>
      <c r="J109" t="str">
        <f ca="1">IFERROR(IF(0=LEN(ReferenceData!$J$109),"",ReferenceData!$J$109),"")</f>
        <v/>
      </c>
      <c r="K109" t="str">
        <f ca="1">IFERROR(IF(0=LEN(ReferenceData!$K$109),"",ReferenceData!$K$109),"")</f>
        <v/>
      </c>
      <c r="L109" t="str">
        <f ca="1">IFERROR(IF(0=LEN(ReferenceData!$L$109),"",ReferenceData!$L$109),"")</f>
        <v/>
      </c>
      <c r="M109" t="str">
        <f ca="1">IFERROR(IF(0=LEN(ReferenceData!$M$109),"",ReferenceData!$M$109),"")</f>
        <v/>
      </c>
      <c r="N109" t="str">
        <f ca="1">IFERROR(IF(0=LEN(ReferenceData!$N$109),"",ReferenceData!$N$109),"")</f>
        <v/>
      </c>
      <c r="O109" t="str">
        <f ca="1">IFERROR(IF(0=LEN(ReferenceData!$O$109),"",ReferenceData!$O$109),"")</f>
        <v/>
      </c>
      <c r="P109" t="str">
        <f ca="1">IFERROR(IF(0=LEN(ReferenceData!$P$109),"",ReferenceData!$P$109),"")</f>
        <v/>
      </c>
      <c r="Q109" t="str">
        <f ca="1">IFERROR(IF(0=LEN(ReferenceData!$Q$109),"",ReferenceData!$Q$109),"")</f>
        <v/>
      </c>
      <c r="R109" t="str">
        <f ca="1">IFERROR(IF(0=LEN(ReferenceData!$R$109),"",ReferenceData!$R$109),"")</f>
        <v/>
      </c>
      <c r="S109" t="str">
        <f ca="1">IFERROR(IF(0=LEN(ReferenceData!$S$109),"",ReferenceData!$S$109),"")</f>
        <v/>
      </c>
      <c r="T109" t="str">
        <f ca="1">IFERROR(IF(0=LEN(ReferenceData!$T$109),"",ReferenceData!$T$109),"")</f>
        <v/>
      </c>
      <c r="U109" t="str">
        <f ca="1">IFERROR(IF(0=LEN(ReferenceData!$U$109),"",ReferenceData!$U$109),"")</f>
        <v/>
      </c>
      <c r="V109" t="str">
        <f ca="1">IFERROR(IF(0=LEN(ReferenceData!$V$109),"",ReferenceData!$V$109),"")</f>
        <v/>
      </c>
      <c r="W109" t="str">
        <f ca="1">IFERROR(IF(0=LEN(ReferenceData!$W$109),"",ReferenceData!$W$109),"")</f>
        <v/>
      </c>
      <c r="X109" t="str">
        <f ca="1">IFERROR(IF(0=LEN(ReferenceData!$X$109),"",ReferenceData!$X$109),"")</f>
        <v/>
      </c>
      <c r="Y109" t="str">
        <f ca="1">IFERROR(IF(0=LEN(ReferenceData!$Y$109),"",ReferenceData!$Y$109),"")</f>
        <v/>
      </c>
      <c r="Z109" t="str">
        <f ca="1">IFERROR(IF(0=LEN(ReferenceData!$Z$109),"",ReferenceData!$Z$109),"")</f>
        <v/>
      </c>
      <c r="AA109" t="str">
        <f ca="1">IFERROR(IF(0=LEN(ReferenceData!$AA$109),"",ReferenceData!$AA$109),"")</f>
        <v/>
      </c>
      <c r="AB109" t="str">
        <f ca="1">IFERROR(IF(0=LEN(ReferenceData!$AB$109),"",ReferenceData!$AB$109),"")</f>
        <v/>
      </c>
      <c r="AC109" t="str">
        <f ca="1">IFERROR(IF(0=LEN(ReferenceData!$AC$109),"",ReferenceData!$AC$109),"")</f>
        <v/>
      </c>
      <c r="AD109" t="str">
        <f ca="1">IFERROR(IF(0=LEN(ReferenceData!$AD$109),"",ReferenceData!$AD$109),"")</f>
        <v/>
      </c>
      <c r="AE109" t="str">
        <f ca="1">IFERROR(IF(0=LEN(ReferenceData!$AE$109),"",ReferenceData!$AE$109),"")</f>
        <v/>
      </c>
      <c r="AF109" t="str">
        <f ca="1">IFERROR(IF(0=LEN(ReferenceData!$AF$109),"",ReferenceData!$AF$109),"")</f>
        <v/>
      </c>
      <c r="AG109" t="str">
        <f ca="1">IFERROR(IF(0=LEN(ReferenceData!$AG$109),"",ReferenceData!$AG$109),"")</f>
        <v/>
      </c>
      <c r="AH109" t="str">
        <f ca="1">IFERROR(IF(0=LEN(ReferenceData!$AH$109),"",ReferenceData!$AH$109),"")</f>
        <v/>
      </c>
      <c r="AI109" t="str">
        <f ca="1">IFERROR(IF(0=LEN(ReferenceData!$AI$109),"",ReferenceData!$AI$109),"")</f>
        <v/>
      </c>
      <c r="AJ109" t="str">
        <f ca="1">IFERROR(IF(0=LEN(ReferenceData!$AJ$109),"",ReferenceData!$AJ$109),"")</f>
        <v/>
      </c>
      <c r="AK109" t="str">
        <f ca="1">IFERROR(IF(0=LEN(ReferenceData!$AK$109),"",ReferenceData!$AK$109),"")</f>
        <v/>
      </c>
      <c r="AL109" t="str">
        <f ca="1">IFERROR(IF(0=LEN(ReferenceData!$AL$109),"",ReferenceData!$AL$109),"")</f>
        <v/>
      </c>
      <c r="AM109" t="str">
        <f ca="1">IFERROR(IF(0=LEN(ReferenceData!$AM$109),"",ReferenceData!$AM$109),"")</f>
        <v/>
      </c>
      <c r="AN109" t="str">
        <f ca="1">IFERROR(IF(0=LEN(ReferenceData!$AN$109),"",ReferenceData!$AN$109),"")</f>
        <v/>
      </c>
      <c r="AO109" t="str">
        <f ca="1">IFERROR(IF(0=LEN(ReferenceData!$AO$109),"",ReferenceData!$AO$109),"")</f>
        <v/>
      </c>
      <c r="AP109" t="str">
        <f ca="1">IFERROR(IF(0=LEN(ReferenceData!$AP$109),"",ReferenceData!$AP$109),"")</f>
        <v/>
      </c>
      <c r="AQ109" t="str">
        <f ca="1">IFERROR(IF(0=LEN(ReferenceData!$AQ$109),"",ReferenceData!$AQ$109),"")</f>
        <v/>
      </c>
      <c r="AR109" t="str">
        <f ca="1">IFERROR(IF(0=LEN(ReferenceData!$AR$109),"",ReferenceData!$AR$109),"")</f>
        <v/>
      </c>
      <c r="AS109" t="str">
        <f ca="1">IFERROR(IF(0=LEN(ReferenceData!$AS$109),"",ReferenceData!$AS$109),"")</f>
        <v/>
      </c>
      <c r="AT109" t="str">
        <f ca="1">IFERROR(IF(0=LEN(ReferenceData!$AT$109),"",ReferenceData!$AT$109),"")</f>
        <v/>
      </c>
      <c r="AU109" t="str">
        <f ca="1">IFERROR(IF(0=LEN(ReferenceData!$AU$109),"",ReferenceData!$AU$109),"")</f>
        <v/>
      </c>
      <c r="AV109" t="str">
        <f ca="1">IFERROR(IF(0=LEN(ReferenceData!$AV$109),"",ReferenceData!$AV$109),"")</f>
        <v/>
      </c>
      <c r="AW109" t="str">
        <f ca="1">IFERROR(IF(0=LEN(ReferenceData!$AW$109),"",ReferenceData!$AW$109),"")</f>
        <v/>
      </c>
      <c r="AX109" t="str">
        <f ca="1">IFERROR(IF(0=LEN(ReferenceData!$AX$109),"",ReferenceData!$AX$109),"")</f>
        <v/>
      </c>
      <c r="AY109" t="str">
        <f ca="1">IFERROR(IF(0=LEN(ReferenceData!$AY$109),"",ReferenceData!$AY$109),"")</f>
        <v/>
      </c>
      <c r="AZ109" t="str">
        <f ca="1">IFERROR(IF(0=LEN(ReferenceData!$AZ$109),"",ReferenceData!$AZ$109),"")</f>
        <v/>
      </c>
      <c r="BA109" t="str">
        <f ca="1">IFERROR(IF(0=LEN(ReferenceData!$BA$109),"",ReferenceData!$BA$109),"")</f>
        <v/>
      </c>
      <c r="BB109" t="str">
        <f ca="1">IFERROR(IF(0=LEN(ReferenceData!$BB$109),"",ReferenceData!$BB$109),"")</f>
        <v/>
      </c>
      <c r="BC109" t="str">
        <f ca="1">IFERROR(IF(0=LEN(ReferenceData!$BC$109),"",ReferenceData!$BC$109),"")</f>
        <v/>
      </c>
      <c r="BD109" t="str">
        <f ca="1">IFERROR(IF(0=LEN(ReferenceData!$BD$109),"",ReferenceData!$BD$109),"")</f>
        <v/>
      </c>
      <c r="BE109" t="str">
        <f ca="1">IFERROR(IF(0=LEN(ReferenceData!$BE$109),"",ReferenceData!$BE$109),"")</f>
        <v/>
      </c>
      <c r="BF109" t="str">
        <f ca="1">IFERROR(IF(0=LEN(ReferenceData!$BF$109),"",ReferenceData!$BF$109),"")</f>
        <v/>
      </c>
      <c r="BG109" t="str">
        <f ca="1">IFERROR(IF(0=LEN(ReferenceData!$BG$109),"",ReferenceData!$BG$109),"")</f>
        <v/>
      </c>
      <c r="BH109" t="str">
        <f ca="1">IFERROR(IF(0=LEN(ReferenceData!$BH$109),"",ReferenceData!$BH$109),"")</f>
        <v/>
      </c>
      <c r="BI109" t="str">
        <f ca="1">IFERROR(IF(0=LEN(ReferenceData!$BI$109),"",ReferenceData!$BI$109),"")</f>
        <v/>
      </c>
      <c r="BJ109" t="str">
        <f ca="1">IFERROR(IF(0=LEN(ReferenceData!$BJ$109),"",ReferenceData!$BJ$109),"")</f>
        <v/>
      </c>
      <c r="BK109" t="str">
        <f ca="1">IFERROR(IF(0=LEN(ReferenceData!$BK$109),"",ReferenceData!$BK$109),"")</f>
        <v/>
      </c>
      <c r="BL109" t="str">
        <f ca="1">IFERROR(IF(0=LEN(ReferenceData!$BL$109),"",ReferenceData!$BL$109),"")</f>
        <v/>
      </c>
      <c r="BM109" t="str">
        <f ca="1">IFERROR(IF(0=LEN(ReferenceData!$BM$109),"",ReferenceData!$BM$109),"")</f>
        <v/>
      </c>
    </row>
    <row r="110" spans="1:65" x14ac:dyDescent="0.25">
      <c r="A110" t="str">
        <f>IFERROR(IF(0=LEN(ReferenceData!$A$110),"",ReferenceData!$A$110),"")</f>
        <v xml:space="preserve">    Chongqing Changan Automobile Co Ltd</v>
      </c>
      <c r="B110" t="str">
        <f>IFERROR(IF(0=LEN(ReferenceData!$B$110),"",ReferenceData!$B$110),"")</f>
        <v>200625 CH Equity</v>
      </c>
      <c r="C110" t="str">
        <f>IFERROR(IF(0=LEN(ReferenceData!$C$110),"",ReferenceData!$C$110),"")</f>
        <v>FS265</v>
      </c>
      <c r="D110" t="str">
        <f>IFERROR(IF(0=LEN(ReferenceData!$D$110),"",ReferenceData!$D$110),"")</f>
        <v>AUTO_VEHICLES_SOLD_WW</v>
      </c>
      <c r="E110" t="str">
        <f>IFERROR(IF(0=LEN(ReferenceData!$E$110),"",ReferenceData!$E$110),"")</f>
        <v>Dynamic</v>
      </c>
      <c r="F110" t="str">
        <f ca="1">IFERROR(IF(0=LEN(ReferenceData!$F$110),"",ReferenceData!$F$110),"")</f>
        <v/>
      </c>
      <c r="G110" t="str">
        <f ca="1">IFERROR(IF(0=LEN(ReferenceData!$G$110),"",ReferenceData!$G$110),"")</f>
        <v/>
      </c>
      <c r="H110" t="str">
        <f ca="1">IFERROR(IF(0=LEN(ReferenceData!$H$110),"",ReferenceData!$H$110),"")</f>
        <v/>
      </c>
      <c r="I110">
        <f ca="1">IFERROR(IF(0=LEN(ReferenceData!$I$110),"",ReferenceData!$I$110),"")</f>
        <v>549033</v>
      </c>
      <c r="J110">
        <f ca="1">IFERROR(IF(0=LEN(ReferenceData!$J$110),"",ReferenceData!$J$110),"")</f>
        <v>658348</v>
      </c>
      <c r="K110">
        <f ca="1">IFERROR(IF(0=LEN(ReferenceData!$K$110),"",ReferenceData!$K$110),"")</f>
        <v>814252</v>
      </c>
      <c r="L110" t="str">
        <f ca="1">IFERROR(IF(0=LEN(ReferenceData!$L$110),"",ReferenceData!$L$110),"")</f>
        <v/>
      </c>
      <c r="M110" t="str">
        <f ca="1">IFERROR(IF(0=LEN(ReferenceData!$M$110),"",ReferenceData!$M$110),"")</f>
        <v/>
      </c>
      <c r="N110">
        <f ca="1">IFERROR(IF(0=LEN(ReferenceData!$N$110),"",ReferenceData!$N$110),"")</f>
        <v>838728</v>
      </c>
      <c r="O110">
        <f ca="1">IFERROR(IF(0=LEN(ReferenceData!$O$110),"",ReferenceData!$O$110),"")</f>
        <v>1580113</v>
      </c>
      <c r="P110" t="str">
        <f ca="1">IFERROR(IF(0=LEN(ReferenceData!$P$110),"",ReferenceData!$P$110),"")</f>
        <v/>
      </c>
      <c r="Q110">
        <f ca="1">IFERROR(IF(0=LEN(ReferenceData!$Q$110),"",ReferenceData!$Q$110),"")</f>
        <v>644771</v>
      </c>
      <c r="R110">
        <f ca="1">IFERROR(IF(0=LEN(ReferenceData!$R$110),"",ReferenceData!$R$110),"")</f>
        <v>838519</v>
      </c>
      <c r="S110">
        <f ca="1">IFERROR(IF(0=LEN(ReferenceData!$S$110),"",ReferenceData!$S$110),"")</f>
        <v>745433</v>
      </c>
      <c r="T110">
        <f ca="1">IFERROR(IF(0=LEN(ReferenceData!$T$110),"",ReferenceData!$T$110),"")</f>
        <v>565376</v>
      </c>
      <c r="U110">
        <f ca="1">IFERROR(IF(0=LEN(ReferenceData!$U$110),"",ReferenceData!$U$110),"")</f>
        <v>803167</v>
      </c>
      <c r="V110">
        <f ca="1">IFERROR(IF(0=LEN(ReferenceData!$V$110),"",ReferenceData!$V$110),"")</f>
        <v>662833</v>
      </c>
      <c r="W110">
        <f ca="1">IFERROR(IF(0=LEN(ReferenceData!$W$110),"",ReferenceData!$W$110),"")</f>
        <v>671450</v>
      </c>
      <c r="X110">
        <f ca="1">IFERROR(IF(0=LEN(ReferenceData!$X$110),"",ReferenceData!$X$110),"")</f>
        <v>548550</v>
      </c>
      <c r="Y110">
        <f ca="1">IFERROR(IF(0=LEN(ReferenceData!$Y$110),"",ReferenceData!$Y$110),"")</f>
        <v>657157</v>
      </c>
      <c r="Z110">
        <f ca="1">IFERROR(IF(0=LEN(ReferenceData!$Z$110),"",ReferenceData!$Z$110),"")</f>
        <v>662843</v>
      </c>
      <c r="AA110" t="str">
        <f ca="1">IFERROR(IF(0=LEN(ReferenceData!$AA$110),"",ReferenceData!$AA$110),"")</f>
        <v/>
      </c>
      <c r="AB110">
        <f ca="1">IFERROR(IF(0=LEN(ReferenceData!$AB$110),"",ReferenceData!$AB$110),"")</f>
        <v>466861</v>
      </c>
      <c r="AC110" t="str">
        <f ca="1">IFERROR(IF(0=LEN(ReferenceData!$AC$110),"",ReferenceData!$AC$110),"")</f>
        <v/>
      </c>
      <c r="AD110">
        <f ca="1">IFERROR(IF(0=LEN(ReferenceData!$AD$110),"",ReferenceData!$AD$110),"")</f>
        <v>528636</v>
      </c>
      <c r="AE110">
        <f ca="1">IFERROR(IF(0=LEN(ReferenceData!$AE$110),"",ReferenceData!$AE$110),"")</f>
        <v>497100</v>
      </c>
      <c r="AF110">
        <f ca="1">IFERROR(IF(0=LEN(ReferenceData!$AF$110),"",ReferenceData!$AF$110),"")</f>
        <v>363330</v>
      </c>
      <c r="AG110">
        <f ca="1">IFERROR(IF(0=LEN(ReferenceData!$AG$110),"",ReferenceData!$AG$110),"")</f>
        <v>442719</v>
      </c>
      <c r="AH110">
        <f ca="1">IFERROR(IF(0=LEN(ReferenceData!$AH$110),"",ReferenceData!$AH$110),"")</f>
        <v>444081</v>
      </c>
      <c r="AI110">
        <f ca="1">IFERROR(IF(0=LEN(ReferenceData!$AI$110),"",ReferenceData!$AI$110),"")</f>
        <v>442846</v>
      </c>
      <c r="AJ110">
        <f ca="1">IFERROR(IF(0=LEN(ReferenceData!$AJ$110),"",ReferenceData!$AJ$110),"")</f>
        <v>331909</v>
      </c>
      <c r="AK110">
        <f ca="1">IFERROR(IF(0=LEN(ReferenceData!$AK$110),"",ReferenceData!$AK$110),"")</f>
        <v>387145</v>
      </c>
      <c r="AL110">
        <f ca="1">IFERROR(IF(0=LEN(ReferenceData!$AL$110),"",ReferenceData!$AL$110),"")</f>
        <v>538100</v>
      </c>
      <c r="AM110">
        <f ca="1">IFERROR(IF(0=LEN(ReferenceData!$AM$110),"",ReferenceData!$AM$110),"")</f>
        <v>513838</v>
      </c>
      <c r="AN110">
        <f ca="1">IFERROR(IF(0=LEN(ReferenceData!$AN$110),"",ReferenceData!$AN$110),"")</f>
        <v>363159</v>
      </c>
      <c r="AO110">
        <f ca="1">IFERROR(IF(0=LEN(ReferenceData!$AO$110),"",ReferenceData!$AO$110),"")</f>
        <v>421503</v>
      </c>
      <c r="AP110">
        <f ca="1">IFERROR(IF(0=LEN(ReferenceData!$AP$110),"",ReferenceData!$AP$110),"")</f>
        <v>552996</v>
      </c>
      <c r="AQ110">
        <f ca="1">IFERROR(IF(0=LEN(ReferenceData!$AQ$110),"",ReferenceData!$AQ$110),"")</f>
        <v>365155</v>
      </c>
      <c r="AR110">
        <f ca="1">IFERROR(IF(0=LEN(ReferenceData!$AR$110),"",ReferenceData!$AR$110),"")</f>
        <v>343714</v>
      </c>
      <c r="AS110">
        <f ca="1">IFERROR(IF(0=LEN(ReferenceData!$AS$110),"",ReferenceData!$AS$110),"")</f>
        <v>362471</v>
      </c>
      <c r="AT110">
        <f ca="1">IFERROR(IF(0=LEN(ReferenceData!$AT$110),"",ReferenceData!$AT$110),"")</f>
        <v>297748</v>
      </c>
      <c r="AU110">
        <f ca="1">IFERROR(IF(0=LEN(ReferenceData!$AU$110),"",ReferenceData!$AU$110),"")</f>
        <v>170460</v>
      </c>
      <c r="AV110">
        <f ca="1">IFERROR(IF(0=LEN(ReferenceData!$AV$110),"",ReferenceData!$AV$110),"")</f>
        <v>225759</v>
      </c>
      <c r="AW110">
        <f ca="1">IFERROR(IF(0=LEN(ReferenceData!$AW$110),"",ReferenceData!$AW$110),"")</f>
        <v>176598</v>
      </c>
      <c r="AX110">
        <f ca="1">IFERROR(IF(0=LEN(ReferenceData!$AX$110),"",ReferenceData!$AX$110),"")</f>
        <v>261661</v>
      </c>
      <c r="AY110" t="str">
        <f ca="1">IFERROR(IF(0=LEN(ReferenceData!$AY$110),"",ReferenceData!$AY$110),"")</f>
        <v/>
      </c>
      <c r="AZ110" t="str">
        <f ca="1">IFERROR(IF(0=LEN(ReferenceData!$AZ$110),"",ReferenceData!$AZ$110),"")</f>
        <v/>
      </c>
      <c r="BA110" t="str">
        <f ca="1">IFERROR(IF(0=LEN(ReferenceData!$BA$110),"",ReferenceData!$BA$110),"")</f>
        <v/>
      </c>
      <c r="BB110" t="str">
        <f ca="1">IFERROR(IF(0=LEN(ReferenceData!$BB$110),"",ReferenceData!$BB$110),"")</f>
        <v/>
      </c>
      <c r="BC110" t="str">
        <f ca="1">IFERROR(IF(0=LEN(ReferenceData!$BC$110),"",ReferenceData!$BC$110),"")</f>
        <v/>
      </c>
      <c r="BD110" t="str">
        <f ca="1">IFERROR(IF(0=LEN(ReferenceData!$BD$110),"",ReferenceData!$BD$110),"")</f>
        <v/>
      </c>
      <c r="BE110" t="str">
        <f ca="1">IFERROR(IF(0=LEN(ReferenceData!$BE$110),"",ReferenceData!$BE$110),"")</f>
        <v/>
      </c>
      <c r="BF110" t="str">
        <f ca="1">IFERROR(IF(0=LEN(ReferenceData!$BF$110),"",ReferenceData!$BF$110),"")</f>
        <v/>
      </c>
      <c r="BG110" t="str">
        <f ca="1">IFERROR(IF(0=LEN(ReferenceData!$BG$110),"",ReferenceData!$BG$110),"")</f>
        <v/>
      </c>
      <c r="BH110">
        <f ca="1">IFERROR(IF(0=LEN(ReferenceData!$BH$110),"",ReferenceData!$BH$110),"")</f>
        <v>87546</v>
      </c>
      <c r="BI110" t="str">
        <f ca="1">IFERROR(IF(0=LEN(ReferenceData!$BI$110),"",ReferenceData!$BI$110),"")</f>
        <v/>
      </c>
      <c r="BJ110">
        <f ca="1">IFERROR(IF(0=LEN(ReferenceData!$BJ$110),"",ReferenceData!$BJ$110),"")</f>
        <v>124000</v>
      </c>
      <c r="BK110" t="str">
        <f ca="1">IFERROR(IF(0=LEN(ReferenceData!$BK$110),"",ReferenceData!$BK$110),"")</f>
        <v/>
      </c>
      <c r="BL110" t="str">
        <f ca="1">IFERROR(IF(0=LEN(ReferenceData!$BL$110),"",ReferenceData!$BL$110),"")</f>
        <v/>
      </c>
      <c r="BM110" t="str">
        <f ca="1">IFERROR(IF(0=LEN(ReferenceData!$BM$110),"",ReferenceData!$BM$110),"")</f>
        <v/>
      </c>
    </row>
    <row r="111" spans="1:65" x14ac:dyDescent="0.25">
      <c r="A111" t="str">
        <f>IFERROR(IF(0=LEN(ReferenceData!$A$111),"",ReferenceData!$A$111),"")</f>
        <v xml:space="preserve">    Daimler AG</v>
      </c>
      <c r="B111" t="str">
        <f>IFERROR(IF(0=LEN(ReferenceData!$B$111),"",ReferenceData!$B$111),"")</f>
        <v/>
      </c>
      <c r="C111" t="str">
        <f>IFERROR(IF(0=LEN(ReferenceData!$C$111),"",ReferenceData!$C$111),"")</f>
        <v/>
      </c>
      <c r="D111" t="str">
        <f>IFERROR(IF(0=LEN(ReferenceData!$D$111),"",ReferenceData!$D$111),"")</f>
        <v/>
      </c>
      <c r="E111" t="str">
        <f>IFERROR(IF(0=LEN(ReferenceData!$E$111),"",ReferenceData!$E$111),"")</f>
        <v>Sum</v>
      </c>
      <c r="F111" t="str">
        <f ca="1">IFERROR(IF(0=LEN(ReferenceData!$F$111),"",ReferenceData!$F$111),"")</f>
        <v/>
      </c>
      <c r="G111">
        <f ca="1">IFERROR(IF(0=LEN(ReferenceData!$G$111),"",ReferenceData!$G$111),"")</f>
        <v>917756</v>
      </c>
      <c r="H111">
        <f ca="1">IFERROR(IF(0=LEN(ReferenceData!$H$111),"",ReferenceData!$H$111),"")</f>
        <v>794700</v>
      </c>
      <c r="I111">
        <f ca="1">IFERROR(IF(0=LEN(ReferenceData!$I$111),"",ReferenceData!$I$111),"")</f>
        <v>833005</v>
      </c>
      <c r="J111">
        <f ca="1">IFERROR(IF(0=LEN(ReferenceData!$J$111),"",ReferenceData!$J$111),"")</f>
        <v>806905</v>
      </c>
      <c r="K111">
        <f ca="1">IFERROR(IF(0=LEN(ReferenceData!$K$111),"",ReferenceData!$K$111),"")</f>
        <v>873040</v>
      </c>
      <c r="L111">
        <f ca="1">IFERROR(IF(0=LEN(ReferenceData!$L$111),"",ReferenceData!$L$111),"")</f>
        <v>824130</v>
      </c>
      <c r="M111">
        <f ca="1">IFERROR(IF(0=LEN(ReferenceData!$M$111),"",ReferenceData!$M$111),"")</f>
        <v>822504</v>
      </c>
      <c r="N111">
        <f ca="1">IFERROR(IF(0=LEN(ReferenceData!$N$111),"",ReferenceData!$N$111),"")</f>
        <v>754259</v>
      </c>
      <c r="O111">
        <f ca="1">IFERROR(IF(0=LEN(ReferenceData!$O$111),"",ReferenceData!$O$111),"")</f>
        <v>799031</v>
      </c>
      <c r="P111">
        <f ca="1">IFERROR(IF(0=LEN(ReferenceData!$P$111),"",ReferenceData!$P$111),"")</f>
        <v>754130</v>
      </c>
      <c r="Q111">
        <f ca="1">IFERROR(IF(0=LEN(ReferenceData!$Q$111),"",ReferenceData!$Q$111),"")</f>
        <v>761340</v>
      </c>
      <c r="R111">
        <f ca="1">IFERROR(IF(0=LEN(ReferenceData!$R$111),"",ReferenceData!$R$111),"")</f>
        <v>683885</v>
      </c>
      <c r="S111">
        <f ca="1">IFERROR(IF(0=LEN(ReferenceData!$S$111),"",ReferenceData!$S$111),"")</f>
        <v>776625</v>
      </c>
      <c r="T111">
        <f ca="1">IFERROR(IF(0=LEN(ReferenceData!$T$111),"",ReferenceData!$T$111),"")</f>
        <v>720016</v>
      </c>
      <c r="U111">
        <f ca="1">IFERROR(IF(0=LEN(ReferenceData!$U$111),"",ReferenceData!$U$111),"")</f>
        <v>714759</v>
      </c>
      <c r="V111">
        <f ca="1">IFERROR(IF(0=LEN(ReferenceData!$V$111),"",ReferenceData!$V$111),"")</f>
        <v>641614</v>
      </c>
      <c r="W111">
        <f ca="1">IFERROR(IF(0=LEN(ReferenceData!$W$111),"",ReferenceData!$W$111),"")</f>
        <v>713906</v>
      </c>
      <c r="X111">
        <f ca="1">IFERROR(IF(0=LEN(ReferenceData!$X$111),"",ReferenceData!$X$111),"")</f>
        <v>637423</v>
      </c>
      <c r="Y111">
        <f ca="1">IFERROR(IF(0=LEN(ReferenceData!$Y$111),"",ReferenceData!$Y$111),"")</f>
        <v>628857</v>
      </c>
      <c r="Z111">
        <f ca="1">IFERROR(IF(0=LEN(ReferenceData!$Z$111),"",ReferenceData!$Z$111),"")</f>
        <v>565799</v>
      </c>
      <c r="AA111">
        <f ca="1">IFERROR(IF(0=LEN(ReferenceData!$AA$111),"",ReferenceData!$AA$111),"")</f>
        <v>552763</v>
      </c>
      <c r="AB111">
        <f ca="1">IFERROR(IF(0=LEN(ReferenceData!$AB$111),"",ReferenceData!$AB$111),"")</f>
        <v>594874</v>
      </c>
      <c r="AC111">
        <f ca="1">IFERROR(IF(0=LEN(ReferenceData!$AC$111),"",ReferenceData!$AC$111),"")</f>
        <v>605823</v>
      </c>
      <c r="AD111">
        <f ca="1">IFERROR(IF(0=LEN(ReferenceData!$AD$111),"",ReferenceData!$AD$111),"")</f>
        <v>501600</v>
      </c>
      <c r="AE111">
        <f ca="1">IFERROR(IF(0=LEN(ReferenceData!$AE$111),"",ReferenceData!$AE$111),"")</f>
        <v>491472</v>
      </c>
      <c r="AF111">
        <f ca="1">IFERROR(IF(0=LEN(ReferenceData!$AF$111),"",ReferenceData!$AF$111),"")</f>
        <v>528559</v>
      </c>
      <c r="AG111">
        <f ca="1">IFERROR(IF(0=LEN(ReferenceData!$AG$111),"",ReferenceData!$AG$111),"")</f>
        <v>570343</v>
      </c>
      <c r="AH111">
        <f ca="1">IFERROR(IF(0=LEN(ReferenceData!$AH$111),"",ReferenceData!$AH$111),"")</f>
        <v>502086</v>
      </c>
      <c r="AI111">
        <f ca="1">IFERROR(IF(0=LEN(ReferenceData!$AI$111),"",ReferenceData!$AI$111),"")</f>
        <v>596203</v>
      </c>
      <c r="AJ111">
        <f ca="1">IFERROR(IF(0=LEN(ReferenceData!$AJ$111),"",ReferenceData!$AJ$111),"")</f>
        <v>525517</v>
      </c>
      <c r="AK111">
        <f ca="1">IFERROR(IF(0=LEN(ReferenceData!$AK$111),"",ReferenceData!$AK$111),"")</f>
        <v>527644</v>
      </c>
      <c r="AL111">
        <f ca="1">IFERROR(IF(0=LEN(ReferenceData!$AL$111),"",ReferenceData!$AL$111),"")</f>
        <v>461742</v>
      </c>
      <c r="AM111">
        <f ca="1">IFERROR(IF(0=LEN(ReferenceData!$AM$111),"",ReferenceData!$AM$111),"")</f>
        <v>409686</v>
      </c>
      <c r="AN111">
        <f ca="1">IFERROR(IF(0=LEN(ReferenceData!$AN$111),"",ReferenceData!$AN$111),"")</f>
        <v>475110</v>
      </c>
      <c r="AO111">
        <f ca="1">IFERROR(IF(0=LEN(ReferenceData!$AO$111),"",ReferenceData!$AO$111),"")</f>
        <v>496481</v>
      </c>
      <c r="AP111">
        <f ca="1">IFERROR(IF(0=LEN(ReferenceData!$AP$111),"",ReferenceData!$AP$111),"")</f>
        <v>402725</v>
      </c>
      <c r="AQ111">
        <f ca="1">IFERROR(IF(0=LEN(ReferenceData!$AQ$111),"",ReferenceData!$AQ$111),"")</f>
        <v>435133</v>
      </c>
      <c r="AR111">
        <f ca="1">IFERROR(IF(0=LEN(ReferenceData!$AR$111),"",ReferenceData!$AR$111),"")</f>
        <v>386461</v>
      </c>
      <c r="AS111">
        <f ca="1">IFERROR(IF(0=LEN(ReferenceData!$AS$111),"",ReferenceData!$AS$111),"")</f>
        <v>391540</v>
      </c>
      <c r="AT111">
        <f ca="1">IFERROR(IF(0=LEN(ReferenceData!$AT$111),"",ReferenceData!$AT$111),"")</f>
        <v>332252</v>
      </c>
      <c r="AU111">
        <f ca="1">IFERROR(IF(0=LEN(ReferenceData!$AU$111),"",ReferenceData!$AU$111),"")</f>
        <v>479968</v>
      </c>
      <c r="AV111">
        <f ca="1">IFERROR(IF(0=LEN(ReferenceData!$AV$111),"",ReferenceData!$AV$111),"")</f>
        <v>522525</v>
      </c>
      <c r="AW111">
        <f ca="1">IFERROR(IF(0=LEN(ReferenceData!$AW$111),"",ReferenceData!$AW$111),"")</f>
        <v>566480</v>
      </c>
      <c r="AX111">
        <f ca="1">IFERROR(IF(0=LEN(ReferenceData!$AX$111),"",ReferenceData!$AX$111),"")</f>
        <v>503816</v>
      </c>
      <c r="AY111">
        <f ca="1">IFERROR(IF(0=LEN(ReferenceData!$AY$111),"",ReferenceData!$AY$111),"")</f>
        <v>575502</v>
      </c>
      <c r="AZ111">
        <f ca="1">IFERROR(IF(0=LEN(ReferenceData!$AZ$111),"",ReferenceData!$AZ$111),"")</f>
        <v>536973</v>
      </c>
      <c r="BA111">
        <f ca="1">IFERROR(IF(0=LEN(ReferenceData!$BA$111),"",ReferenceData!$BA$111),"")</f>
        <v>516366</v>
      </c>
      <c r="BB111">
        <f ca="1">IFERROR(IF(0=LEN(ReferenceData!$BB$111),"",ReferenceData!$BB$111),"")</f>
        <v>460281</v>
      </c>
      <c r="BC111">
        <f ca="1">IFERROR(IF(0=LEN(ReferenceData!$BC$111),"",ReferenceData!$BC$111),"")</f>
        <v>445172</v>
      </c>
      <c r="BD111">
        <f ca="1">IFERROR(IF(0=LEN(ReferenceData!$BD$111),"",ReferenceData!$BD$111),"")</f>
        <v>510961</v>
      </c>
      <c r="BE111">
        <f ca="1">IFERROR(IF(0=LEN(ReferenceData!$BE$111),"",ReferenceData!$BE$111),"")</f>
        <v>533776</v>
      </c>
      <c r="BF111">
        <f ca="1">IFERROR(IF(0=LEN(ReferenceData!$BF$111),"",ReferenceData!$BF$111),"")</f>
        <v>468365</v>
      </c>
      <c r="BG111">
        <f ca="1">IFERROR(IF(0=LEN(ReferenceData!$BG$111),"",ReferenceData!$BG$111),"")</f>
        <v>350904</v>
      </c>
      <c r="BH111">
        <f ca="1">IFERROR(IF(0=LEN(ReferenceData!$BH$111),"",ReferenceData!$BH$111),"")</f>
        <v>310885</v>
      </c>
      <c r="BI111">
        <f ca="1">IFERROR(IF(0=LEN(ReferenceData!$BI$111),"",ReferenceData!$BI$111),"")</f>
        <v>308081</v>
      </c>
      <c r="BJ111">
        <f ca="1">IFERROR(IF(0=LEN(ReferenceData!$BJ$111),"",ReferenceData!$BJ$111),"")</f>
        <v>246968</v>
      </c>
      <c r="BK111">
        <f ca="1">IFERROR(IF(0=LEN(ReferenceData!$BK$111),"",ReferenceData!$BK$111),"")</f>
        <v>348260</v>
      </c>
      <c r="BL111">
        <f ca="1">IFERROR(IF(0=LEN(ReferenceData!$BL$111),"",ReferenceData!$BL$111),"")</f>
        <v>293172</v>
      </c>
      <c r="BM111">
        <f ca="1">IFERROR(IF(0=LEN(ReferenceData!$BM$111),"",ReferenceData!$BM$111),"")</f>
        <v>319353</v>
      </c>
    </row>
    <row r="112" spans="1:65" x14ac:dyDescent="0.25">
      <c r="A112" t="str">
        <f>IFERROR(IF(0=LEN(ReferenceData!$A$112),"",ReferenceData!$A$112),"")</f>
        <v xml:space="preserve">        Mercedes-Benz</v>
      </c>
      <c r="B112" t="str">
        <f>IFERROR(IF(0=LEN(ReferenceData!$B$112),"",ReferenceData!$B$112),"")</f>
        <v/>
      </c>
      <c r="C112" t="str">
        <f>IFERROR(IF(0=LEN(ReferenceData!$C$112),"",ReferenceData!$C$112),"")</f>
        <v/>
      </c>
      <c r="D112" t="str">
        <f>IFERROR(IF(0=LEN(ReferenceData!$D$112),"",ReferenceData!$D$112),"")</f>
        <v/>
      </c>
      <c r="E112" t="str">
        <f>IFERROR(IF(0=LEN(ReferenceData!$E$112),"",ReferenceData!$E$112),"")</f>
        <v>Sum</v>
      </c>
      <c r="F112" t="str">
        <f ca="1">IFERROR(IF(0=LEN(ReferenceData!$F$112),"",ReferenceData!$F$112),"")</f>
        <v/>
      </c>
      <c r="G112">
        <f ca="1">IFERROR(IF(0=LEN(ReferenceData!$G$112),"",ReferenceData!$G$112),"")</f>
        <v>764351</v>
      </c>
      <c r="H112">
        <f ca="1">IFERROR(IF(0=LEN(ReferenceData!$H$112),"",ReferenceData!$H$112),"")</f>
        <v>650900</v>
      </c>
      <c r="I112">
        <f ca="1">IFERROR(IF(0=LEN(ReferenceData!$I$112),"",ReferenceData!$I$112),"")</f>
        <v>701573</v>
      </c>
      <c r="J112">
        <f ca="1">IFERROR(IF(0=LEN(ReferenceData!$J$112),"",ReferenceData!$J$112),"")</f>
        <v>687315</v>
      </c>
      <c r="K112">
        <f ca="1">IFERROR(IF(0=LEN(ReferenceData!$K$112),"",ReferenceData!$K$112),"")</f>
        <v>730774</v>
      </c>
      <c r="L112">
        <f ca="1">IFERROR(IF(0=LEN(ReferenceData!$L$112),"",ReferenceData!$L$112),"")</f>
        <v>690359</v>
      </c>
      <c r="M112">
        <f ca="1">IFERROR(IF(0=LEN(ReferenceData!$M$112),"",ReferenceData!$M$112),"")</f>
        <v>698571</v>
      </c>
      <c r="N112">
        <f ca="1">IFERROR(IF(0=LEN(ReferenceData!$N$112),"",ReferenceData!$N$112),"")</f>
        <v>654848</v>
      </c>
      <c r="O112">
        <f ca="1">IFERROR(IF(0=LEN(ReferenceData!$O$112),"",ReferenceData!$O$112),"")</f>
        <v>686747</v>
      </c>
      <c r="P112">
        <f ca="1">IFERROR(IF(0=LEN(ReferenceData!$P$112),"",ReferenceData!$P$112),"")</f>
        <v>650802</v>
      </c>
      <c r="Q112">
        <f ca="1">IFERROR(IF(0=LEN(ReferenceData!$Q$112),"",ReferenceData!$Q$112),"")</f>
        <v>646100</v>
      </c>
      <c r="R112">
        <f ca="1">IFERROR(IF(0=LEN(ReferenceData!$R$112),"",ReferenceData!$R$112),"")</f>
        <v>573403</v>
      </c>
      <c r="S112">
        <f ca="1">IFERROR(IF(0=LEN(ReferenceData!$S$112),"",ReferenceData!$S$112),"")</f>
        <v>632555</v>
      </c>
      <c r="T112">
        <f ca="1">IFERROR(IF(0=LEN(ReferenceData!$T$112),"",ReferenceData!$T$112),"")</f>
        <v>584082</v>
      </c>
      <c r="U112">
        <f ca="1">IFERROR(IF(0=LEN(ReferenceData!$U$112),"",ReferenceData!$U$112),"")</f>
        <v>582305</v>
      </c>
      <c r="V112">
        <f ca="1">IFERROR(IF(0=LEN(ReferenceData!$V$112),"",ReferenceData!$V$112),"")</f>
        <v>523513</v>
      </c>
      <c r="W112">
        <f ca="1">IFERROR(IF(0=LEN(ReferenceData!$W$112),"",ReferenceData!$W$112),"")</f>
        <v>568618</v>
      </c>
      <c r="X112">
        <f ca="1">IFERROR(IF(0=LEN(ReferenceData!$X$112),"",ReferenceData!$X$112),"")</f>
        <v>503248</v>
      </c>
      <c r="Y112">
        <f ca="1">IFERROR(IF(0=LEN(ReferenceData!$Y$112),"",ReferenceData!$Y$112),"")</f>
        <v>494694</v>
      </c>
      <c r="Z112">
        <f ca="1">IFERROR(IF(0=LEN(ReferenceData!$Z$112),"",ReferenceData!$Z$112),"")</f>
        <v>450595</v>
      </c>
      <c r="AA112">
        <f ca="1">IFERROR(IF(0=LEN(ReferenceData!$AA$112),"",ReferenceData!$AA$112),"")</f>
        <v>408103</v>
      </c>
      <c r="AB112">
        <f ca="1">IFERROR(IF(0=LEN(ReferenceData!$AB$112),"",ReferenceData!$AB$112),"")</f>
        <v>460760</v>
      </c>
      <c r="AC112">
        <f ca="1">IFERROR(IF(0=LEN(ReferenceData!$AC$112),"",ReferenceData!$AC$112),"")</f>
        <v>474147</v>
      </c>
      <c r="AD112">
        <f ca="1">IFERROR(IF(0=LEN(ReferenceData!$AD$112),"",ReferenceData!$AD$112),"")</f>
        <v>394134</v>
      </c>
      <c r="AE112">
        <f ca="1">IFERROR(IF(0=LEN(ReferenceData!$AE$112),"",ReferenceData!$AE$112),"")</f>
        <v>368024</v>
      </c>
      <c r="AF112">
        <f ca="1">IFERROR(IF(0=LEN(ReferenceData!$AF$112),"",ReferenceData!$AF$112),"")</f>
        <v>401160</v>
      </c>
      <c r="AG112">
        <f ca="1">IFERROR(IF(0=LEN(ReferenceData!$AG$112),"",ReferenceData!$AG$112),"")</f>
        <v>439708</v>
      </c>
      <c r="AH112">
        <f ca="1">IFERROR(IF(0=LEN(ReferenceData!$AH$112),"",ReferenceData!$AH$112),"")</f>
        <v>389526</v>
      </c>
      <c r="AI112">
        <f ca="1">IFERROR(IF(0=LEN(ReferenceData!$AI$112),"",ReferenceData!$AI$112),"")</f>
        <v>475877</v>
      </c>
      <c r="AJ112">
        <f ca="1">IFERROR(IF(0=LEN(ReferenceData!$AJ$112),"",ReferenceData!$AJ$112),"")</f>
        <v>400681</v>
      </c>
      <c r="AK112">
        <f ca="1">IFERROR(IF(0=LEN(ReferenceData!$AK$112),"",ReferenceData!$AK$112),"")</f>
        <v>425625</v>
      </c>
      <c r="AL112">
        <f ca="1">IFERROR(IF(0=LEN(ReferenceData!$AL$112),"",ReferenceData!$AL$112),"")</f>
        <v>364735</v>
      </c>
      <c r="AM112">
        <f ca="1">IFERROR(IF(0=LEN(ReferenceData!$AM$112),"",ReferenceData!$AM$112),"")</f>
        <v>337375</v>
      </c>
      <c r="AN112">
        <f ca="1">IFERROR(IF(0=LEN(ReferenceData!$AN$112),"",ReferenceData!$AN$112),"")</f>
        <v>371223</v>
      </c>
      <c r="AO112">
        <f ca="1">IFERROR(IF(0=LEN(ReferenceData!$AO$112),"",ReferenceData!$AO$112),"")</f>
        <v>401854</v>
      </c>
      <c r="AP112">
        <f ca="1">IFERROR(IF(0=LEN(ReferenceData!$AP$112),"",ReferenceData!$AP$112),"")</f>
        <v>323772</v>
      </c>
      <c r="AQ112">
        <f ca="1">IFERROR(IF(0=LEN(ReferenceData!$AQ$112),"",ReferenceData!$AQ$112),"")</f>
        <v>352395</v>
      </c>
      <c r="AR112">
        <f ca="1">IFERROR(IF(0=LEN(ReferenceData!$AR$112),"",ReferenceData!$AR$112),"")</f>
        <v>312040</v>
      </c>
      <c r="AS112">
        <f ca="1">IFERROR(IF(0=LEN(ReferenceData!$AS$112),"",ReferenceData!$AS$112),"")</f>
        <v>329114</v>
      </c>
      <c r="AT112">
        <f ca="1">IFERROR(IF(0=LEN(ReferenceData!$AT$112),"",ReferenceData!$AT$112),"")</f>
        <v>260027</v>
      </c>
      <c r="AU112">
        <f ca="1">IFERROR(IF(0=LEN(ReferenceData!$AU$112),"",ReferenceData!$AU$112),"")</f>
        <v>351645</v>
      </c>
      <c r="AV112">
        <f ca="1">IFERROR(IF(0=LEN(ReferenceData!$AV$112),"",ReferenceData!$AV$112),"")</f>
        <v>389037</v>
      </c>
      <c r="AW112">
        <f ca="1">IFERROR(IF(0=LEN(ReferenceData!$AW$112),"",ReferenceData!$AW$112),"")</f>
        <v>432605</v>
      </c>
      <c r="AX112">
        <f ca="1">IFERROR(IF(0=LEN(ReferenceData!$AX$112),"",ReferenceData!$AX$112),"")</f>
        <v>386911</v>
      </c>
      <c r="AY112">
        <f ca="1">IFERROR(IF(0=LEN(ReferenceData!$AY$112),"",ReferenceData!$AY$112),"")</f>
        <v>445414</v>
      </c>
      <c r="AZ112">
        <f ca="1">IFERROR(IF(0=LEN(ReferenceData!$AZ$112),"",ReferenceData!$AZ$112),"")</f>
        <v>409924</v>
      </c>
      <c r="BA112">
        <f ca="1">IFERROR(IF(0=LEN(ReferenceData!$BA$112),"",ReferenceData!$BA$112),"")</f>
        <v>393974</v>
      </c>
      <c r="BB112">
        <f ca="1">IFERROR(IF(0=LEN(ReferenceData!$BB$112),"",ReferenceData!$BB$112),"")</f>
        <v>332761</v>
      </c>
      <c r="BC112">
        <f ca="1">IFERROR(IF(0=LEN(ReferenceData!$BC$112),"",ReferenceData!$BC$112),"")</f>
        <v>307448</v>
      </c>
      <c r="BD112">
        <f ca="1">IFERROR(IF(0=LEN(ReferenceData!$BD$112),"",ReferenceData!$BD$112),"")</f>
        <v>366290</v>
      </c>
      <c r="BE112">
        <f ca="1">IFERROR(IF(0=LEN(ReferenceData!$BE$112),"",ReferenceData!$BE$112),"")</f>
        <v>391075</v>
      </c>
      <c r="BF112">
        <f ca="1">IFERROR(IF(0=LEN(ReferenceData!$BF$112),"",ReferenceData!$BF$112),"")</f>
        <v>341182</v>
      </c>
      <c r="BG112">
        <f ca="1">IFERROR(IF(0=LEN(ReferenceData!$BG$112),"",ReferenceData!$BG$112),"")</f>
        <v>350904</v>
      </c>
      <c r="BH112">
        <f ca="1">IFERROR(IF(0=LEN(ReferenceData!$BH$112),"",ReferenceData!$BH$112),"")</f>
        <v>310885</v>
      </c>
      <c r="BI112">
        <f ca="1">IFERROR(IF(0=LEN(ReferenceData!$BI$112),"",ReferenceData!$BI$112),"")</f>
        <v>308081</v>
      </c>
      <c r="BJ112">
        <f ca="1">IFERROR(IF(0=LEN(ReferenceData!$BJ$112),"",ReferenceData!$BJ$112),"")</f>
        <v>246968</v>
      </c>
      <c r="BK112">
        <f ca="1">IFERROR(IF(0=LEN(ReferenceData!$BK$112),"",ReferenceData!$BK$112),"")</f>
        <v>348260</v>
      </c>
      <c r="BL112">
        <f ca="1">IFERROR(IF(0=LEN(ReferenceData!$BL$112),"",ReferenceData!$BL$112),"")</f>
        <v>293172</v>
      </c>
      <c r="BM112">
        <f ca="1">IFERROR(IF(0=LEN(ReferenceData!$BM$112),"",ReferenceData!$BM$112),"")</f>
        <v>319353</v>
      </c>
    </row>
    <row r="113" spans="1:65" x14ac:dyDescent="0.25">
      <c r="A113" t="str">
        <f>IFERROR(IF(0=LEN(ReferenceData!$A$113),"",ReferenceData!$A$113),"")</f>
        <v xml:space="preserve">            Mercedes-Benz Cars</v>
      </c>
      <c r="B113" t="str">
        <f>IFERROR(IF(0=LEN(ReferenceData!$B$113),"",ReferenceData!$B$113),"")</f>
        <v>DAI GR Equity</v>
      </c>
      <c r="C113" t="str">
        <f>IFERROR(IF(0=LEN(ReferenceData!$C$113),"",ReferenceData!$C$113),"")</f>
        <v>BI047</v>
      </c>
      <c r="D113" t="str">
        <f>IFERROR(IF(0=LEN(ReferenceData!$D$113),"",ReferenceData!$D$113),"")</f>
        <v>BICS_SEGMENT_DATA</v>
      </c>
      <c r="E113" t="str">
        <f>IFERROR(IF(0=LEN(ReferenceData!$E$113),"",ReferenceData!$E$113),"")</f>
        <v>Dynamic</v>
      </c>
      <c r="F113" t="str">
        <f ca="1">IFERROR(IF(0=LEN(ReferenceData!$F$113),"",ReferenceData!$F$113),"")</f>
        <v/>
      </c>
      <c r="G113">
        <f ca="1">IFERROR(IF(0=LEN(ReferenceData!$G$113),"",ReferenceData!$G$113),"")</f>
        <v>638263</v>
      </c>
      <c r="H113">
        <f ca="1">IFERROR(IF(0=LEN(ReferenceData!$H$113),"",ReferenceData!$H$113),"")</f>
        <v>559500</v>
      </c>
      <c r="I113">
        <f ca="1">IFERROR(IF(0=LEN(ReferenceData!$I$113),"",ReferenceData!$I$113),"")</f>
        <v>590690</v>
      </c>
      <c r="J113">
        <f ca="1">IFERROR(IF(0=LEN(ReferenceData!$J$113),"",ReferenceData!$J$113),"")</f>
        <v>594299</v>
      </c>
      <c r="K113">
        <f ca="1">IFERROR(IF(0=LEN(ReferenceData!$K$113),"",ReferenceData!$K$113),"")</f>
        <v>613026</v>
      </c>
      <c r="L113">
        <f ca="1">IFERROR(IF(0=LEN(ReferenceData!$L$113),"",ReferenceData!$L$113),"")</f>
        <v>597253</v>
      </c>
      <c r="M113">
        <f ca="1">IFERROR(IF(0=LEN(ReferenceData!$M$113),"",ReferenceData!$M$113),"")</f>
        <v>595178</v>
      </c>
      <c r="N113">
        <f ca="1">IFERROR(IF(0=LEN(ReferenceData!$N$113),"",ReferenceData!$N$113),"")</f>
        <v>568070</v>
      </c>
      <c r="O113">
        <f ca="1">IFERROR(IF(0=LEN(ReferenceData!$O$113),"",ReferenceData!$O$113),"")</f>
        <v>589119</v>
      </c>
      <c r="P113">
        <f ca="1">IFERROR(IF(0=LEN(ReferenceData!$P$113),"",ReferenceData!$P$113),"")</f>
        <v>565564</v>
      </c>
      <c r="Q113">
        <f ca="1">IFERROR(IF(0=LEN(ReferenceData!$Q$113),"",ReferenceData!$Q$113),"")</f>
        <v>546517</v>
      </c>
      <c r="R113">
        <f ca="1">IFERROR(IF(0=LEN(ReferenceData!$R$113),"",ReferenceData!$R$113),"")</f>
        <v>496756</v>
      </c>
      <c r="S113">
        <f ca="1">IFERROR(IF(0=LEN(ReferenceData!$S$113),"",ReferenceData!$S$113),"")</f>
        <v>532686</v>
      </c>
      <c r="T113">
        <f ca="1">IFERROR(IF(0=LEN(ReferenceData!$T$113),"",ReferenceData!$T$113),"")</f>
        <v>508350</v>
      </c>
      <c r="U113">
        <f ca="1">IFERROR(IF(0=LEN(ReferenceData!$U$113),"",ReferenceData!$U$113),"")</f>
        <v>500694</v>
      </c>
      <c r="V113">
        <f ca="1">IFERROR(IF(0=LEN(ReferenceData!$V$113),"",ReferenceData!$V$113),"")</f>
        <v>459708</v>
      </c>
      <c r="W113">
        <f ca="1">IFERROR(IF(0=LEN(ReferenceData!$W$113),"",ReferenceData!$W$113),"")</f>
        <v>483359</v>
      </c>
      <c r="X113">
        <f ca="1">IFERROR(IF(0=LEN(ReferenceData!$X$113),"",ReferenceData!$X$113),"")</f>
        <v>431041</v>
      </c>
      <c r="Y113">
        <f ca="1">IFERROR(IF(0=LEN(ReferenceData!$Y$113),"",ReferenceData!$Y$113),"")</f>
        <v>418685</v>
      </c>
      <c r="Z113">
        <f ca="1">IFERROR(IF(0=LEN(ReferenceData!$Z$113),"",ReferenceData!$Z$113),"")</f>
        <v>389476</v>
      </c>
      <c r="AA113">
        <f ca="1">IFERROR(IF(0=LEN(ReferenceData!$AA$113),"",ReferenceData!$AA$113),"")</f>
        <v>325332</v>
      </c>
      <c r="AB113">
        <f ca="1">IFERROR(IF(0=LEN(ReferenceData!$AB$113),"",ReferenceData!$AB$113),"")</f>
        <v>395446</v>
      </c>
      <c r="AC113">
        <f ca="1">IFERROR(IF(0=LEN(ReferenceData!$AC$113),"",ReferenceData!$AC$113),"")</f>
        <v>404711</v>
      </c>
      <c r="AD113">
        <f ca="1">IFERROR(IF(0=LEN(ReferenceData!$AD$113),"",ReferenceData!$AD$113),"")</f>
        <v>341511</v>
      </c>
      <c r="AE113">
        <f ca="1">IFERROR(IF(0=LEN(ReferenceData!$AE$113),"",ReferenceData!$AE$113),"")</f>
        <v>291895</v>
      </c>
      <c r="AF113">
        <f ca="1">IFERROR(IF(0=LEN(ReferenceData!$AF$113),"",ReferenceData!$AF$113),"")</f>
        <v>345418</v>
      </c>
      <c r="AG113">
        <f ca="1">IFERROR(IF(0=LEN(ReferenceData!$AG$113),"",ReferenceData!$AG$113),"")</f>
        <v>370384</v>
      </c>
      <c r="AH113">
        <f ca="1">IFERROR(IF(0=LEN(ReferenceData!$AH$113),"",ReferenceData!$AH$113),"")</f>
        <v>338303</v>
      </c>
      <c r="AI113">
        <f ca="1">IFERROR(IF(0=LEN(ReferenceData!$AI$113),"",ReferenceData!$AI$113),"")</f>
        <v>402184</v>
      </c>
      <c r="AJ113">
        <f ca="1">IFERROR(IF(0=LEN(ReferenceData!$AJ$113),"",ReferenceData!$AJ$113),"")</f>
        <v>337163</v>
      </c>
      <c r="AK113">
        <f ca="1">IFERROR(IF(0=LEN(ReferenceData!$AK$113),"",ReferenceData!$AK$113),"")</f>
        <v>357636</v>
      </c>
      <c r="AL113">
        <f ca="1">IFERROR(IF(0=LEN(ReferenceData!$AL$113),"",ReferenceData!$AL$113),"")</f>
        <v>310717</v>
      </c>
      <c r="AM113">
        <f ca="1">IFERROR(IF(0=LEN(ReferenceData!$AM$113),"",ReferenceData!$AM$113),"")</f>
        <v>272926</v>
      </c>
      <c r="AN113">
        <f ca="1">IFERROR(IF(0=LEN(ReferenceData!$AN$113),"",ReferenceData!$AN$113),"")</f>
        <v>317496</v>
      </c>
      <c r="AO113">
        <f ca="1">IFERROR(IF(0=LEN(ReferenceData!$AO$113),"",ReferenceData!$AO$113),"")</f>
        <v>342461</v>
      </c>
      <c r="AP113">
        <f ca="1">IFERROR(IF(0=LEN(ReferenceData!$AP$113),"",ReferenceData!$AP$113),"")</f>
        <v>277117</v>
      </c>
      <c r="AQ113">
        <f ca="1">IFERROR(IF(0=LEN(ReferenceData!$AQ$113),"",ReferenceData!$AQ$113),"")</f>
        <v>297647</v>
      </c>
      <c r="AR113">
        <f ca="1">IFERROR(IF(0=LEN(ReferenceData!$AR$113),"",ReferenceData!$AR$113),"")</f>
        <v>271917</v>
      </c>
      <c r="AS113">
        <f ca="1">IFERROR(IF(0=LEN(ReferenceData!$AS$113),"",ReferenceData!$AS$113),"")</f>
        <v>287243</v>
      </c>
      <c r="AT113">
        <f ca="1">IFERROR(IF(0=LEN(ReferenceData!$AT$113),"",ReferenceData!$AT$113),"")</f>
        <v>231193</v>
      </c>
      <c r="AU113">
        <f ca="1">IFERROR(IF(0=LEN(ReferenceData!$AU$113),"",ReferenceData!$AU$113),"")</f>
        <v>284943</v>
      </c>
      <c r="AV113">
        <f ca="1">IFERROR(IF(0=LEN(ReferenceData!$AV$113),"",ReferenceData!$AV$113),"")</f>
        <v>315796</v>
      </c>
      <c r="AW113">
        <f ca="1">IFERROR(IF(0=LEN(ReferenceData!$AW$113),"",ReferenceData!$AW$113),"")</f>
        <v>353976</v>
      </c>
      <c r="AX113">
        <f ca="1">IFERROR(IF(0=LEN(ReferenceData!$AX$113),"",ReferenceData!$AX$113),"")</f>
        <v>318285</v>
      </c>
      <c r="AY113">
        <f ca="1">IFERROR(IF(0=LEN(ReferenceData!$AY$113),"",ReferenceData!$AY$113),"")</f>
        <v>364443</v>
      </c>
      <c r="AZ113">
        <f ca="1">IFERROR(IF(0=LEN(ReferenceData!$AZ$113),"",ReferenceData!$AZ$113),"")</f>
        <v>337348</v>
      </c>
      <c r="BA113">
        <f ca="1">IFERROR(IF(0=LEN(ReferenceData!$BA$113),"",ReferenceData!$BA$113),"")</f>
        <v>320151</v>
      </c>
      <c r="BB113">
        <f ca="1">IFERROR(IF(0=LEN(ReferenceData!$BB$113),"",ReferenceData!$BB$113),"")</f>
        <v>271058</v>
      </c>
      <c r="BC113">
        <f ca="1">IFERROR(IF(0=LEN(ReferenceData!$BC$113),"",ReferenceData!$BC$113),"")</f>
        <v>234663</v>
      </c>
      <c r="BD113">
        <f ca="1">IFERROR(IF(0=LEN(ReferenceData!$BD$113),"",ReferenceData!$BD$113),"")</f>
        <v>307478</v>
      </c>
      <c r="BE113">
        <f ca="1">IFERROR(IF(0=LEN(ReferenceData!$BE$113),"",ReferenceData!$BE$113),"")</f>
        <v>325501</v>
      </c>
      <c r="BF113">
        <f ca="1">IFERROR(IF(0=LEN(ReferenceData!$BF$113),"",ReferenceData!$BF$113),"")</f>
        <v>281458</v>
      </c>
      <c r="BG113">
        <f ca="1">IFERROR(IF(0=LEN(ReferenceData!$BG$113),"",ReferenceData!$BG$113),"")</f>
        <v>350904</v>
      </c>
      <c r="BH113">
        <f ca="1">IFERROR(IF(0=LEN(ReferenceData!$BH$113),"",ReferenceData!$BH$113),"")</f>
        <v>310885</v>
      </c>
      <c r="BI113">
        <f ca="1">IFERROR(IF(0=LEN(ReferenceData!$BI$113),"",ReferenceData!$BI$113),"")</f>
        <v>308081</v>
      </c>
      <c r="BJ113">
        <f ca="1">IFERROR(IF(0=LEN(ReferenceData!$BJ$113),"",ReferenceData!$BJ$113),"")</f>
        <v>246968</v>
      </c>
      <c r="BK113">
        <f ca="1">IFERROR(IF(0=LEN(ReferenceData!$BK$113),"",ReferenceData!$BK$113),"")</f>
        <v>348260</v>
      </c>
      <c r="BL113">
        <f ca="1">IFERROR(IF(0=LEN(ReferenceData!$BL$113),"",ReferenceData!$BL$113),"")</f>
        <v>293172</v>
      </c>
      <c r="BM113">
        <f ca="1">IFERROR(IF(0=LEN(ReferenceData!$BM$113),"",ReferenceData!$BM$113),"")</f>
        <v>319353</v>
      </c>
    </row>
    <row r="114" spans="1:65" x14ac:dyDescent="0.25">
      <c r="A114" t="str">
        <f>IFERROR(IF(0=LEN(ReferenceData!$A$114),"",ReferenceData!$A$114),"")</f>
        <v xml:space="preserve">            Mercedes-Benz Vans</v>
      </c>
      <c r="B114" t="str">
        <f>IFERROR(IF(0=LEN(ReferenceData!$B$114),"",ReferenceData!$B$114),"")</f>
        <v>DAI GR Equity</v>
      </c>
      <c r="C114" t="str">
        <f>IFERROR(IF(0=LEN(ReferenceData!$C$114),"",ReferenceData!$C$114),"")</f>
        <v>BI047</v>
      </c>
      <c r="D114" t="str">
        <f>IFERROR(IF(0=LEN(ReferenceData!$D$114),"",ReferenceData!$D$114),"")</f>
        <v>BICS_SEGMENT_DATA</v>
      </c>
      <c r="E114" t="str">
        <f>IFERROR(IF(0=LEN(ReferenceData!$E$114),"",ReferenceData!$E$114),"")</f>
        <v>Dynamic</v>
      </c>
      <c r="F114" t="str">
        <f ca="1">IFERROR(IF(0=LEN(ReferenceData!$F$114),"",ReferenceData!$F$114),"")</f>
        <v/>
      </c>
      <c r="G114">
        <f ca="1">IFERROR(IF(0=LEN(ReferenceData!$G$114),"",ReferenceData!$G$114),"")</f>
        <v>126088</v>
      </c>
      <c r="H114">
        <f ca="1">IFERROR(IF(0=LEN(ReferenceData!$H$114),"",ReferenceData!$H$114),"")</f>
        <v>91400</v>
      </c>
      <c r="I114">
        <f ca="1">IFERROR(IF(0=LEN(ReferenceData!$I$114),"",ReferenceData!$I$114),"")</f>
        <v>110883</v>
      </c>
      <c r="J114">
        <f ca="1">IFERROR(IF(0=LEN(ReferenceData!$J$114),"",ReferenceData!$J$114),"")</f>
        <v>93016</v>
      </c>
      <c r="K114">
        <f ca="1">IFERROR(IF(0=LEN(ReferenceData!$K$114),"",ReferenceData!$K$114),"")</f>
        <v>117748</v>
      </c>
      <c r="L114">
        <f ca="1">IFERROR(IF(0=LEN(ReferenceData!$L$114),"",ReferenceData!$L$114),"")</f>
        <v>93106</v>
      </c>
      <c r="M114">
        <f ca="1">IFERROR(IF(0=LEN(ReferenceData!$M$114),"",ReferenceData!$M$114),"")</f>
        <v>103393</v>
      </c>
      <c r="N114">
        <f ca="1">IFERROR(IF(0=LEN(ReferenceData!$N$114),"",ReferenceData!$N$114),"")</f>
        <v>86778</v>
      </c>
      <c r="O114">
        <f ca="1">IFERROR(IF(0=LEN(ReferenceData!$O$114),"",ReferenceData!$O$114),"")</f>
        <v>97628</v>
      </c>
      <c r="P114">
        <f ca="1">IFERROR(IF(0=LEN(ReferenceData!$P$114),"",ReferenceData!$P$114),"")</f>
        <v>85238</v>
      </c>
      <c r="Q114">
        <f ca="1">IFERROR(IF(0=LEN(ReferenceData!$Q$114),"",ReferenceData!$Q$114),"")</f>
        <v>99583</v>
      </c>
      <c r="R114">
        <f ca="1">IFERROR(IF(0=LEN(ReferenceData!$R$114),"",ReferenceData!$R$114),"")</f>
        <v>76647</v>
      </c>
      <c r="S114">
        <f ca="1">IFERROR(IF(0=LEN(ReferenceData!$S$114),"",ReferenceData!$S$114),"")</f>
        <v>99869</v>
      </c>
      <c r="T114">
        <f ca="1">IFERROR(IF(0=LEN(ReferenceData!$T$114),"",ReferenceData!$T$114),"")</f>
        <v>75732</v>
      </c>
      <c r="U114">
        <f ca="1">IFERROR(IF(0=LEN(ReferenceData!$U$114),"",ReferenceData!$U$114),"")</f>
        <v>81611</v>
      </c>
      <c r="V114">
        <f ca="1">IFERROR(IF(0=LEN(ReferenceData!$V$114),"",ReferenceData!$V$114),"")</f>
        <v>63805</v>
      </c>
      <c r="W114">
        <f ca="1">IFERROR(IF(0=LEN(ReferenceData!$W$114),"",ReferenceData!$W$114),"")</f>
        <v>85259</v>
      </c>
      <c r="X114">
        <f ca="1">IFERROR(IF(0=LEN(ReferenceData!$X$114),"",ReferenceData!$X$114),"")</f>
        <v>72207</v>
      </c>
      <c r="Y114">
        <f ca="1">IFERROR(IF(0=LEN(ReferenceData!$Y$114),"",ReferenceData!$Y$114),"")</f>
        <v>76009</v>
      </c>
      <c r="Z114">
        <f ca="1">IFERROR(IF(0=LEN(ReferenceData!$Z$114),"",ReferenceData!$Z$114),"")</f>
        <v>61119</v>
      </c>
      <c r="AA114">
        <f ca="1">IFERROR(IF(0=LEN(ReferenceData!$AA$114),"",ReferenceData!$AA$114),"")</f>
        <v>82771</v>
      </c>
      <c r="AB114">
        <f ca="1">IFERROR(IF(0=LEN(ReferenceData!$AB$114),"",ReferenceData!$AB$114),"")</f>
        <v>65314</v>
      </c>
      <c r="AC114">
        <f ca="1">IFERROR(IF(0=LEN(ReferenceData!$AC$114),"",ReferenceData!$AC$114),"")</f>
        <v>69436</v>
      </c>
      <c r="AD114">
        <f ca="1">IFERROR(IF(0=LEN(ReferenceData!$AD$114),"",ReferenceData!$AD$114),"")</f>
        <v>52623</v>
      </c>
      <c r="AE114">
        <f ca="1">IFERROR(IF(0=LEN(ReferenceData!$AE$114),"",ReferenceData!$AE$114),"")</f>
        <v>76129</v>
      </c>
      <c r="AF114">
        <f ca="1">IFERROR(IF(0=LEN(ReferenceData!$AF$114),"",ReferenceData!$AF$114),"")</f>
        <v>55742</v>
      </c>
      <c r="AG114">
        <f ca="1">IFERROR(IF(0=LEN(ReferenceData!$AG$114),"",ReferenceData!$AG$114),"")</f>
        <v>69324</v>
      </c>
      <c r="AH114">
        <f ca="1">IFERROR(IF(0=LEN(ReferenceData!$AH$114),"",ReferenceData!$AH$114),"")</f>
        <v>51223</v>
      </c>
      <c r="AI114">
        <f ca="1">IFERROR(IF(0=LEN(ReferenceData!$AI$114),"",ReferenceData!$AI$114),"")</f>
        <v>73693</v>
      </c>
      <c r="AJ114">
        <f ca="1">IFERROR(IF(0=LEN(ReferenceData!$AJ$114),"",ReferenceData!$AJ$114),"")</f>
        <v>63518</v>
      </c>
      <c r="AK114">
        <f ca="1">IFERROR(IF(0=LEN(ReferenceData!$AK$114),"",ReferenceData!$AK$114),"")</f>
        <v>67989</v>
      </c>
      <c r="AL114">
        <f ca="1">IFERROR(IF(0=LEN(ReferenceData!$AL$114),"",ReferenceData!$AL$114),"")</f>
        <v>54018</v>
      </c>
      <c r="AM114">
        <f ca="1">IFERROR(IF(0=LEN(ReferenceData!$AM$114),"",ReferenceData!$AM$114),"")</f>
        <v>64449</v>
      </c>
      <c r="AN114">
        <f ca="1">IFERROR(IF(0=LEN(ReferenceData!$AN$114),"",ReferenceData!$AN$114),"")</f>
        <v>53727</v>
      </c>
      <c r="AO114">
        <f ca="1">IFERROR(IF(0=LEN(ReferenceData!$AO$114),"",ReferenceData!$AO$114),"")</f>
        <v>59393</v>
      </c>
      <c r="AP114">
        <f ca="1">IFERROR(IF(0=LEN(ReferenceData!$AP$114),"",ReferenceData!$AP$114),"")</f>
        <v>46655</v>
      </c>
      <c r="AQ114">
        <f ca="1">IFERROR(IF(0=LEN(ReferenceData!$AQ$114),"",ReferenceData!$AQ$114),"")</f>
        <v>54748</v>
      </c>
      <c r="AR114">
        <f ca="1">IFERROR(IF(0=LEN(ReferenceData!$AR$114),"",ReferenceData!$AR$114),"")</f>
        <v>40123</v>
      </c>
      <c r="AS114">
        <f ca="1">IFERROR(IF(0=LEN(ReferenceData!$AS$114),"",ReferenceData!$AS$114),"")</f>
        <v>41871</v>
      </c>
      <c r="AT114">
        <f ca="1">IFERROR(IF(0=LEN(ReferenceData!$AT$114),"",ReferenceData!$AT$114),"")</f>
        <v>28834</v>
      </c>
      <c r="AU114">
        <f ca="1">IFERROR(IF(0=LEN(ReferenceData!$AU$114),"",ReferenceData!$AU$114),"")</f>
        <v>66702</v>
      </c>
      <c r="AV114">
        <f ca="1">IFERROR(IF(0=LEN(ReferenceData!$AV$114),"",ReferenceData!$AV$114),"")</f>
        <v>73241</v>
      </c>
      <c r="AW114">
        <f ca="1">IFERROR(IF(0=LEN(ReferenceData!$AW$114),"",ReferenceData!$AW$114),"")</f>
        <v>78629</v>
      </c>
      <c r="AX114">
        <f ca="1">IFERROR(IF(0=LEN(ReferenceData!$AX$114),"",ReferenceData!$AX$114),"")</f>
        <v>68626</v>
      </c>
      <c r="AY114">
        <f ca="1">IFERROR(IF(0=LEN(ReferenceData!$AY$114),"",ReferenceData!$AY$114),"")</f>
        <v>80971</v>
      </c>
      <c r="AZ114">
        <f ca="1">IFERROR(IF(0=LEN(ReferenceData!$AZ$114),"",ReferenceData!$AZ$114),"")</f>
        <v>72576</v>
      </c>
      <c r="BA114">
        <f ca="1">IFERROR(IF(0=LEN(ReferenceData!$BA$114),"",ReferenceData!$BA$114),"")</f>
        <v>73823</v>
      </c>
      <c r="BB114">
        <f ca="1">IFERROR(IF(0=LEN(ReferenceData!$BB$114),"",ReferenceData!$BB$114),"")</f>
        <v>61703</v>
      </c>
      <c r="BC114">
        <f ca="1">IFERROR(IF(0=LEN(ReferenceData!$BC$114),"",ReferenceData!$BC$114),"")</f>
        <v>72785</v>
      </c>
      <c r="BD114">
        <f ca="1">IFERROR(IF(0=LEN(ReferenceData!$BD$114),"",ReferenceData!$BD$114),"")</f>
        <v>58812</v>
      </c>
      <c r="BE114">
        <f ca="1">IFERROR(IF(0=LEN(ReferenceData!$BE$114),"",ReferenceData!$BE$114),"")</f>
        <v>65574</v>
      </c>
      <c r="BF114">
        <f ca="1">IFERROR(IF(0=LEN(ReferenceData!$BF$114),"",ReferenceData!$BF$114),"")</f>
        <v>59724</v>
      </c>
      <c r="BG114" t="str">
        <f ca="1">IFERROR(IF(0=LEN(ReferenceData!$BG$114),"",ReferenceData!$BG$114),"")</f>
        <v/>
      </c>
      <c r="BH114" t="str">
        <f ca="1">IFERROR(IF(0=LEN(ReferenceData!$BH$114),"",ReferenceData!$BH$114),"")</f>
        <v/>
      </c>
      <c r="BI114" t="str">
        <f ca="1">IFERROR(IF(0=LEN(ReferenceData!$BI$114),"",ReferenceData!$BI$114),"")</f>
        <v/>
      </c>
      <c r="BJ114" t="str">
        <f ca="1">IFERROR(IF(0=LEN(ReferenceData!$BJ$114),"",ReferenceData!$BJ$114),"")</f>
        <v/>
      </c>
      <c r="BK114" t="str">
        <f ca="1">IFERROR(IF(0=LEN(ReferenceData!$BK$114),"",ReferenceData!$BK$114),"")</f>
        <v/>
      </c>
      <c r="BL114" t="str">
        <f ca="1">IFERROR(IF(0=LEN(ReferenceData!$BL$114),"",ReferenceData!$BL$114),"")</f>
        <v/>
      </c>
      <c r="BM114" t="str">
        <f ca="1">IFERROR(IF(0=LEN(ReferenceData!$BM$114),"",ReferenceData!$BM$114),"")</f>
        <v/>
      </c>
    </row>
    <row r="115" spans="1:65" x14ac:dyDescent="0.25">
      <c r="A115" t="str">
        <f>IFERROR(IF(0=LEN(ReferenceData!$A$115),"",ReferenceData!$A$115),"")</f>
        <v xml:space="preserve">        Daimler</v>
      </c>
      <c r="B115" t="str">
        <f>IFERROR(IF(0=LEN(ReferenceData!$B$115),"",ReferenceData!$B$115),"")</f>
        <v/>
      </c>
      <c r="C115" t="str">
        <f>IFERROR(IF(0=LEN(ReferenceData!$C$115),"",ReferenceData!$C$115),"")</f>
        <v/>
      </c>
      <c r="D115" t="str">
        <f>IFERROR(IF(0=LEN(ReferenceData!$D$115),"",ReferenceData!$D$115),"")</f>
        <v/>
      </c>
      <c r="E115" t="str">
        <f>IFERROR(IF(0=LEN(ReferenceData!$E$115),"",ReferenceData!$E$115),"")</f>
        <v>Sum</v>
      </c>
      <c r="F115" t="str">
        <f ca="1">IFERROR(IF(0=LEN(ReferenceData!$F$115),"",ReferenceData!$F$115),"")</f>
        <v/>
      </c>
      <c r="G115">
        <f ca="1">IFERROR(IF(0=LEN(ReferenceData!$G$115),"",ReferenceData!$G$115),"")</f>
        <v>153405</v>
      </c>
      <c r="H115">
        <f ca="1">IFERROR(IF(0=LEN(ReferenceData!$H$115),"",ReferenceData!$H$115),"")</f>
        <v>143800</v>
      </c>
      <c r="I115">
        <f ca="1">IFERROR(IF(0=LEN(ReferenceData!$I$115),"",ReferenceData!$I$115),"")</f>
        <v>131432</v>
      </c>
      <c r="J115">
        <f ca="1">IFERROR(IF(0=LEN(ReferenceData!$J$115),"",ReferenceData!$J$115),"")</f>
        <v>119590</v>
      </c>
      <c r="K115">
        <f ca="1">IFERROR(IF(0=LEN(ReferenceData!$K$115),"",ReferenceData!$K$115),"")</f>
        <v>142266</v>
      </c>
      <c r="L115">
        <f ca="1">IFERROR(IF(0=LEN(ReferenceData!$L$115),"",ReferenceData!$L$115),"")</f>
        <v>133771</v>
      </c>
      <c r="M115">
        <f ca="1">IFERROR(IF(0=LEN(ReferenceData!$M$115),"",ReferenceData!$M$115),"")</f>
        <v>123933</v>
      </c>
      <c r="N115">
        <f ca="1">IFERROR(IF(0=LEN(ReferenceData!$N$115),"",ReferenceData!$N$115),"")</f>
        <v>99411</v>
      </c>
      <c r="O115">
        <f ca="1">IFERROR(IF(0=LEN(ReferenceData!$O$115),"",ReferenceData!$O$115),"")</f>
        <v>112284</v>
      </c>
      <c r="P115">
        <f ca="1">IFERROR(IF(0=LEN(ReferenceData!$P$115),"",ReferenceData!$P$115),"")</f>
        <v>103328</v>
      </c>
      <c r="Q115">
        <f ca="1">IFERROR(IF(0=LEN(ReferenceData!$Q$115),"",ReferenceData!$Q$115),"")</f>
        <v>115240</v>
      </c>
      <c r="R115">
        <f ca="1">IFERROR(IF(0=LEN(ReferenceData!$R$115),"",ReferenceData!$R$115),"")</f>
        <v>110482</v>
      </c>
      <c r="S115">
        <f ca="1">IFERROR(IF(0=LEN(ReferenceData!$S$115),"",ReferenceData!$S$115),"")</f>
        <v>144070</v>
      </c>
      <c r="T115">
        <f ca="1">IFERROR(IF(0=LEN(ReferenceData!$T$115),"",ReferenceData!$T$115),"")</f>
        <v>135934</v>
      </c>
      <c r="U115">
        <f ca="1">IFERROR(IF(0=LEN(ReferenceData!$U$115),"",ReferenceData!$U$115),"")</f>
        <v>132454</v>
      </c>
      <c r="V115">
        <f ca="1">IFERROR(IF(0=LEN(ReferenceData!$V$115),"",ReferenceData!$V$115),"")</f>
        <v>118101</v>
      </c>
      <c r="W115">
        <f ca="1">IFERROR(IF(0=LEN(ReferenceData!$W$115),"",ReferenceData!$W$115),"")</f>
        <v>145288</v>
      </c>
      <c r="X115">
        <f ca="1">IFERROR(IF(0=LEN(ReferenceData!$X$115),"",ReferenceData!$X$115),"")</f>
        <v>134175</v>
      </c>
      <c r="Y115">
        <f ca="1">IFERROR(IF(0=LEN(ReferenceData!$Y$115),"",ReferenceData!$Y$115),"")</f>
        <v>134163</v>
      </c>
      <c r="Z115">
        <f ca="1">IFERROR(IF(0=LEN(ReferenceData!$Z$115),"",ReferenceData!$Z$115),"")</f>
        <v>115204</v>
      </c>
      <c r="AA115">
        <f ca="1">IFERROR(IF(0=LEN(ReferenceData!$AA$115),"",ReferenceData!$AA$115),"")</f>
        <v>144660</v>
      </c>
      <c r="AB115">
        <f ca="1">IFERROR(IF(0=LEN(ReferenceData!$AB$115),"",ReferenceData!$AB$115),"")</f>
        <v>134114</v>
      </c>
      <c r="AC115">
        <f ca="1">IFERROR(IF(0=LEN(ReferenceData!$AC$115),"",ReferenceData!$AC$115),"")</f>
        <v>131676</v>
      </c>
      <c r="AD115">
        <f ca="1">IFERROR(IF(0=LEN(ReferenceData!$AD$115),"",ReferenceData!$AD$115),"")</f>
        <v>107466</v>
      </c>
      <c r="AE115">
        <f ca="1">IFERROR(IF(0=LEN(ReferenceData!$AE$115),"",ReferenceData!$AE$115),"")</f>
        <v>123448</v>
      </c>
      <c r="AF115">
        <f ca="1">IFERROR(IF(0=LEN(ReferenceData!$AF$115),"",ReferenceData!$AF$115),"")</f>
        <v>127399</v>
      </c>
      <c r="AG115">
        <f ca="1">IFERROR(IF(0=LEN(ReferenceData!$AG$115),"",ReferenceData!$AG$115),"")</f>
        <v>130635</v>
      </c>
      <c r="AH115">
        <f ca="1">IFERROR(IF(0=LEN(ReferenceData!$AH$115),"",ReferenceData!$AH$115),"")</f>
        <v>112560</v>
      </c>
      <c r="AI115">
        <f ca="1">IFERROR(IF(0=LEN(ReferenceData!$AI$115),"",ReferenceData!$AI$115),"")</f>
        <v>120326</v>
      </c>
      <c r="AJ115">
        <f ca="1">IFERROR(IF(0=LEN(ReferenceData!$AJ$115),"",ReferenceData!$AJ$115),"")</f>
        <v>124836</v>
      </c>
      <c r="AK115">
        <f ca="1">IFERROR(IF(0=LEN(ReferenceData!$AK$115),"",ReferenceData!$AK$115),"")</f>
        <v>102019</v>
      </c>
      <c r="AL115">
        <f ca="1">IFERROR(IF(0=LEN(ReferenceData!$AL$115),"",ReferenceData!$AL$115),"")</f>
        <v>97007</v>
      </c>
      <c r="AM115">
        <f ca="1">IFERROR(IF(0=LEN(ReferenceData!$AM$115),"",ReferenceData!$AM$115),"")</f>
        <v>72311</v>
      </c>
      <c r="AN115">
        <f ca="1">IFERROR(IF(0=LEN(ReferenceData!$AN$115),"",ReferenceData!$AN$115),"")</f>
        <v>103887</v>
      </c>
      <c r="AO115">
        <f ca="1">IFERROR(IF(0=LEN(ReferenceData!$AO$115),"",ReferenceData!$AO$115),"")</f>
        <v>94627</v>
      </c>
      <c r="AP115">
        <f ca="1">IFERROR(IF(0=LEN(ReferenceData!$AP$115),"",ReferenceData!$AP$115),"")</f>
        <v>78953</v>
      </c>
      <c r="AQ115">
        <f ca="1">IFERROR(IF(0=LEN(ReferenceData!$AQ$115),"",ReferenceData!$AQ$115),"")</f>
        <v>82738</v>
      </c>
      <c r="AR115">
        <f ca="1">IFERROR(IF(0=LEN(ReferenceData!$AR$115),"",ReferenceData!$AR$115),"")</f>
        <v>74421</v>
      </c>
      <c r="AS115">
        <f ca="1">IFERROR(IF(0=LEN(ReferenceData!$AS$115),"",ReferenceData!$AS$115),"")</f>
        <v>62426</v>
      </c>
      <c r="AT115">
        <f ca="1">IFERROR(IF(0=LEN(ReferenceData!$AT$115),"",ReferenceData!$AT$115),"")</f>
        <v>72225</v>
      </c>
      <c r="AU115">
        <f ca="1">IFERROR(IF(0=LEN(ReferenceData!$AU$115),"",ReferenceData!$AU$115),"")</f>
        <v>128323</v>
      </c>
      <c r="AV115">
        <f ca="1">IFERROR(IF(0=LEN(ReferenceData!$AV$115),"",ReferenceData!$AV$115),"")</f>
        <v>133488</v>
      </c>
      <c r="AW115">
        <f ca="1">IFERROR(IF(0=LEN(ReferenceData!$AW$115),"",ReferenceData!$AW$115),"")</f>
        <v>133875</v>
      </c>
      <c r="AX115">
        <f ca="1">IFERROR(IF(0=LEN(ReferenceData!$AX$115),"",ReferenceData!$AX$115),"")</f>
        <v>116905</v>
      </c>
      <c r="AY115">
        <f ca="1">IFERROR(IF(0=LEN(ReferenceData!$AY$115),"",ReferenceData!$AY$115),"")</f>
        <v>130088</v>
      </c>
      <c r="AZ115">
        <f ca="1">IFERROR(IF(0=LEN(ReferenceData!$AZ$115),"",ReferenceData!$AZ$115),"")</f>
        <v>127049</v>
      </c>
      <c r="BA115">
        <f ca="1">IFERROR(IF(0=LEN(ReferenceData!$BA$115),"",ReferenceData!$BA$115),"")</f>
        <v>122392</v>
      </c>
      <c r="BB115">
        <f ca="1">IFERROR(IF(0=LEN(ReferenceData!$BB$115),"",ReferenceData!$BB$115),"")</f>
        <v>127520</v>
      </c>
      <c r="BC115">
        <f ca="1">IFERROR(IF(0=LEN(ReferenceData!$BC$115),"",ReferenceData!$BC$115),"")</f>
        <v>137724</v>
      </c>
      <c r="BD115">
        <f ca="1">IFERROR(IF(0=LEN(ReferenceData!$BD$115),"",ReferenceData!$BD$115),"")</f>
        <v>144671</v>
      </c>
      <c r="BE115">
        <f ca="1">IFERROR(IF(0=LEN(ReferenceData!$BE$115),"",ReferenceData!$BE$115),"")</f>
        <v>142701</v>
      </c>
      <c r="BF115">
        <f ca="1">IFERROR(IF(0=LEN(ReferenceData!$BF$115),"",ReferenceData!$BF$115),"")</f>
        <v>127183</v>
      </c>
      <c r="BG115" t="str">
        <f ca="1">IFERROR(IF(0=LEN(ReferenceData!$BG$115),"",ReferenceData!$BG$115),"")</f>
        <v/>
      </c>
      <c r="BH115" t="str">
        <f ca="1">IFERROR(IF(0=LEN(ReferenceData!$BH$115),"",ReferenceData!$BH$115),"")</f>
        <v/>
      </c>
      <c r="BI115" t="str">
        <f ca="1">IFERROR(IF(0=LEN(ReferenceData!$BI$115),"",ReferenceData!$BI$115),"")</f>
        <v/>
      </c>
      <c r="BJ115" t="str">
        <f ca="1">IFERROR(IF(0=LEN(ReferenceData!$BJ$115),"",ReferenceData!$BJ$115),"")</f>
        <v/>
      </c>
      <c r="BK115" t="str">
        <f ca="1">IFERROR(IF(0=LEN(ReferenceData!$BK$115),"",ReferenceData!$BK$115),"")</f>
        <v/>
      </c>
      <c r="BL115" t="str">
        <f ca="1">IFERROR(IF(0=LEN(ReferenceData!$BL$115),"",ReferenceData!$BL$115),"")</f>
        <v/>
      </c>
      <c r="BM115" t="str">
        <f ca="1">IFERROR(IF(0=LEN(ReferenceData!$BM$115),"",ReferenceData!$BM$115),"")</f>
        <v/>
      </c>
    </row>
    <row r="116" spans="1:65" x14ac:dyDescent="0.25">
      <c r="A116" t="str">
        <f>IFERROR(IF(0=LEN(ReferenceData!$A$116),"",ReferenceData!$A$116),"")</f>
        <v xml:space="preserve">            Daimler Truck</v>
      </c>
      <c r="B116" t="str">
        <f>IFERROR(IF(0=LEN(ReferenceData!$B$116),"",ReferenceData!$B$116),"")</f>
        <v>DAI GR Equity</v>
      </c>
      <c r="C116" t="str">
        <f>IFERROR(IF(0=LEN(ReferenceData!$C$116),"",ReferenceData!$C$116),"")</f>
        <v>BI047</v>
      </c>
      <c r="D116" t="str">
        <f>IFERROR(IF(0=LEN(ReferenceData!$D$116),"",ReferenceData!$D$116),"")</f>
        <v>BICS_SEGMENT_DATA</v>
      </c>
      <c r="E116" t="str">
        <f>IFERROR(IF(0=LEN(ReferenceData!$E$116),"",ReferenceData!$E$116),"")</f>
        <v>Dynamic</v>
      </c>
      <c r="F116" t="str">
        <f ca="1">IFERROR(IF(0=LEN(ReferenceData!$F$116),"",ReferenceData!$F$116),"")</f>
        <v/>
      </c>
      <c r="G116">
        <f ca="1">IFERROR(IF(0=LEN(ReferenceData!$G$116),"",ReferenceData!$G$116),"")</f>
        <v>143524</v>
      </c>
      <c r="H116">
        <f ca="1">IFERROR(IF(0=LEN(ReferenceData!$H$116),"",ReferenceData!$H$116),"")</f>
        <v>136100</v>
      </c>
      <c r="I116">
        <f ca="1">IFERROR(IF(0=LEN(ReferenceData!$I$116),"",ReferenceData!$I$116),"")</f>
        <v>123910</v>
      </c>
      <c r="J116">
        <f ca="1">IFERROR(IF(0=LEN(ReferenceData!$J$116),"",ReferenceData!$J$116),"")</f>
        <v>113846</v>
      </c>
      <c r="K116">
        <f ca="1">IFERROR(IF(0=LEN(ReferenceData!$K$116),"",ReferenceData!$K$116),"")</f>
        <v>133711</v>
      </c>
      <c r="L116">
        <f ca="1">IFERROR(IF(0=LEN(ReferenceData!$L$116),"",ReferenceData!$L$116),"")</f>
        <v>126558</v>
      </c>
      <c r="M116">
        <f ca="1">IFERROR(IF(0=LEN(ReferenceData!$M$116),"",ReferenceData!$M$116),"")</f>
        <v>116429</v>
      </c>
      <c r="N116">
        <f ca="1">IFERROR(IF(0=LEN(ReferenceData!$N$116),"",ReferenceData!$N$116),"")</f>
        <v>94007</v>
      </c>
      <c r="O116">
        <f ca="1">IFERROR(IF(0=LEN(ReferenceData!$O$116),"",ReferenceData!$O$116),"")</f>
        <v>104019</v>
      </c>
      <c r="P116">
        <f ca="1">IFERROR(IF(0=LEN(ReferenceData!$P$116),"",ReferenceData!$P$116),"")</f>
        <v>97143</v>
      </c>
      <c r="Q116">
        <f ca="1">IFERROR(IF(0=LEN(ReferenceData!$Q$116),"",ReferenceData!$Q$116),"")</f>
        <v>108282</v>
      </c>
      <c r="R116">
        <f ca="1">IFERROR(IF(0=LEN(ReferenceData!$R$116),"",ReferenceData!$R$116),"")</f>
        <v>105664</v>
      </c>
      <c r="S116">
        <f ca="1">IFERROR(IF(0=LEN(ReferenceData!$S$116),"",ReferenceData!$S$116),"")</f>
        <v>136445</v>
      </c>
      <c r="T116">
        <f ca="1">IFERROR(IF(0=LEN(ReferenceData!$T$116),"",ReferenceData!$T$116),"")</f>
        <v>128496</v>
      </c>
      <c r="U116">
        <f ca="1">IFERROR(IF(0=LEN(ReferenceData!$U$116),"",ReferenceData!$U$116),"")</f>
        <v>125113</v>
      </c>
      <c r="V116">
        <f ca="1">IFERROR(IF(0=LEN(ReferenceData!$V$116),"",ReferenceData!$V$116),"")</f>
        <v>112424</v>
      </c>
      <c r="W116">
        <f ca="1">IFERROR(IF(0=LEN(ReferenceData!$W$116),"",ReferenceData!$W$116),"")</f>
        <v>135517</v>
      </c>
      <c r="X116">
        <f ca="1">IFERROR(IF(0=LEN(ReferenceData!$X$116),"",ReferenceData!$X$116),"")</f>
        <v>125556</v>
      </c>
      <c r="Y116">
        <f ca="1">IFERROR(IF(0=LEN(ReferenceData!$Y$116),"",ReferenceData!$Y$116),"")</f>
        <v>126066</v>
      </c>
      <c r="Z116">
        <f ca="1">IFERROR(IF(0=LEN(ReferenceData!$Z$116),"",ReferenceData!$Z$116),"")</f>
        <v>108529</v>
      </c>
      <c r="AA116">
        <f ca="1">IFERROR(IF(0=LEN(ReferenceData!$AA$116),"",ReferenceData!$AA$116),"")</f>
        <v>134550</v>
      </c>
      <c r="AB116">
        <f ca="1">IFERROR(IF(0=LEN(ReferenceData!$AB$116),"",ReferenceData!$AB$116),"")</f>
        <v>124465</v>
      </c>
      <c r="AC116">
        <f ca="1">IFERROR(IF(0=LEN(ReferenceData!$AC$116),"",ReferenceData!$AC$116),"")</f>
        <v>123763</v>
      </c>
      <c r="AD116">
        <f ca="1">IFERROR(IF(0=LEN(ReferenceData!$AD$116),"",ReferenceData!$AD$116),"")</f>
        <v>101433</v>
      </c>
      <c r="AE116">
        <f ca="1">IFERROR(IF(0=LEN(ReferenceData!$AE$116),"",ReferenceData!$AE$116),"")</f>
        <v>112931</v>
      </c>
      <c r="AF116">
        <f ca="1">IFERROR(IF(0=LEN(ReferenceData!$AF$116),"",ReferenceData!$AF$116),"")</f>
        <v>119142</v>
      </c>
      <c r="AG116">
        <f ca="1">IFERROR(IF(0=LEN(ReferenceData!$AG$116),"",ReferenceData!$AG$116),"")</f>
        <v>122217</v>
      </c>
      <c r="AH116">
        <f ca="1">IFERROR(IF(0=LEN(ReferenceData!$AH$116),"",ReferenceData!$AH$116),"")</f>
        <v>107664</v>
      </c>
      <c r="AI116">
        <f ca="1">IFERROR(IF(0=LEN(ReferenceData!$AI$116),"",ReferenceData!$AI$116),"")</f>
        <v>108681</v>
      </c>
      <c r="AJ116">
        <f ca="1">IFERROR(IF(0=LEN(ReferenceData!$AJ$116),"",ReferenceData!$AJ$116),"")</f>
        <v>115634</v>
      </c>
      <c r="AK116">
        <f ca="1">IFERROR(IF(0=LEN(ReferenceData!$AK$116),"",ReferenceData!$AK$116),"")</f>
        <v>91458</v>
      </c>
      <c r="AL116">
        <f ca="1">IFERROR(IF(0=LEN(ReferenceData!$AL$116),"",ReferenceData!$AL$116),"")</f>
        <v>89260</v>
      </c>
      <c r="AM116">
        <f ca="1">IFERROR(IF(0=LEN(ReferenceData!$AM$116),"",ReferenceData!$AM$116),"")</f>
        <v>66833</v>
      </c>
      <c r="AN116">
        <f ca="1">IFERROR(IF(0=LEN(ReferenceData!$AN$116),"",ReferenceData!$AN$116),"")</f>
        <v>94813</v>
      </c>
      <c r="AO116">
        <f ca="1">IFERROR(IF(0=LEN(ReferenceData!$AO$116),"",ReferenceData!$AO$116),"")</f>
        <v>83797</v>
      </c>
      <c r="AP116">
        <f ca="1">IFERROR(IF(0=LEN(ReferenceData!$AP$116),"",ReferenceData!$AP$116),"")</f>
        <v>70557</v>
      </c>
      <c r="AQ116">
        <f ca="1">IFERROR(IF(0=LEN(ReferenceData!$AQ$116),"",ReferenceData!$AQ$116),"")</f>
        <v>73718</v>
      </c>
      <c r="AR116">
        <f ca="1">IFERROR(IF(0=LEN(ReferenceData!$AR$116),"",ReferenceData!$AR$116),"")</f>
        <v>66071</v>
      </c>
      <c r="AS116">
        <f ca="1">IFERROR(IF(0=LEN(ReferenceData!$AS$116),"",ReferenceData!$AS$116),"")</f>
        <v>54134</v>
      </c>
      <c r="AT116">
        <f ca="1">IFERROR(IF(0=LEN(ReferenceData!$AT$116),"",ReferenceData!$AT$116),"")</f>
        <v>65405</v>
      </c>
      <c r="AU116">
        <f ca="1">IFERROR(IF(0=LEN(ReferenceData!$AU$116),"",ReferenceData!$AU$116),"")</f>
        <v>118785</v>
      </c>
      <c r="AV116">
        <f ca="1">IFERROR(IF(0=LEN(ReferenceData!$AV$116),"",ReferenceData!$AV$116),"")</f>
        <v>122678</v>
      </c>
      <c r="AW116">
        <f ca="1">IFERROR(IF(0=LEN(ReferenceData!$AW$116),"",ReferenceData!$AW$116),"")</f>
        <v>122809</v>
      </c>
      <c r="AX116">
        <f ca="1">IFERROR(IF(0=LEN(ReferenceData!$AX$116),"",ReferenceData!$AX$116),"")</f>
        <v>107728</v>
      </c>
      <c r="AY116">
        <f ca="1">IFERROR(IF(0=LEN(ReferenceData!$AY$116),"",ReferenceData!$AY$116),"")</f>
        <v>119053</v>
      </c>
      <c r="AZ116">
        <f ca="1">IFERROR(IF(0=LEN(ReferenceData!$AZ$116),"",ReferenceData!$AZ$116),"")</f>
        <v>117675</v>
      </c>
      <c r="BA116">
        <f ca="1">IFERROR(IF(0=LEN(ReferenceData!$BA$116),"",ReferenceData!$BA$116),"")</f>
        <v>112054</v>
      </c>
      <c r="BB116">
        <f ca="1">IFERROR(IF(0=LEN(ReferenceData!$BB$116),"",ReferenceData!$BB$116),"")</f>
        <v>119218</v>
      </c>
      <c r="BC116">
        <f ca="1">IFERROR(IF(0=LEN(ReferenceData!$BC$116),"",ReferenceData!$BC$116),"")</f>
        <v>128287</v>
      </c>
      <c r="BD116">
        <f ca="1">IFERROR(IF(0=LEN(ReferenceData!$BD$116),"",ReferenceData!$BD$116),"")</f>
        <v>136051</v>
      </c>
      <c r="BE116">
        <f ca="1">IFERROR(IF(0=LEN(ReferenceData!$BE$116),"",ReferenceData!$BE$116),"")</f>
        <v>132406</v>
      </c>
      <c r="BF116">
        <f ca="1">IFERROR(IF(0=LEN(ReferenceData!$BF$116),"",ReferenceData!$BF$116),"")</f>
        <v>119343</v>
      </c>
      <c r="BG116" t="str">
        <f ca="1">IFERROR(IF(0=LEN(ReferenceData!$BG$116),"",ReferenceData!$BG$116),"")</f>
        <v/>
      </c>
      <c r="BH116" t="str">
        <f ca="1">IFERROR(IF(0=LEN(ReferenceData!$BH$116),"",ReferenceData!$BH$116),"")</f>
        <v/>
      </c>
      <c r="BI116" t="str">
        <f ca="1">IFERROR(IF(0=LEN(ReferenceData!$BI$116),"",ReferenceData!$BI$116),"")</f>
        <v/>
      </c>
      <c r="BJ116" t="str">
        <f ca="1">IFERROR(IF(0=LEN(ReferenceData!$BJ$116),"",ReferenceData!$BJ$116),"")</f>
        <v/>
      </c>
      <c r="BK116" t="str">
        <f ca="1">IFERROR(IF(0=LEN(ReferenceData!$BK$116),"",ReferenceData!$BK$116),"")</f>
        <v/>
      </c>
      <c r="BL116" t="str">
        <f ca="1">IFERROR(IF(0=LEN(ReferenceData!$BL$116),"",ReferenceData!$BL$116),"")</f>
        <v/>
      </c>
      <c r="BM116" t="str">
        <f ca="1">IFERROR(IF(0=LEN(ReferenceData!$BM$116),"",ReferenceData!$BM$116),"")</f>
        <v/>
      </c>
    </row>
    <row r="117" spans="1:65" x14ac:dyDescent="0.25">
      <c r="A117" t="str">
        <f>IFERROR(IF(0=LEN(ReferenceData!$A$117),"",ReferenceData!$A$117),"")</f>
        <v xml:space="preserve">            Daimler Buses</v>
      </c>
      <c r="B117" t="str">
        <f>IFERROR(IF(0=LEN(ReferenceData!$B$117),"",ReferenceData!$B$117),"")</f>
        <v>DAI GR Equity</v>
      </c>
      <c r="C117" t="str">
        <f>IFERROR(IF(0=LEN(ReferenceData!$C$117),"",ReferenceData!$C$117),"")</f>
        <v>BI047</v>
      </c>
      <c r="D117" t="str">
        <f>IFERROR(IF(0=LEN(ReferenceData!$D$117),"",ReferenceData!$D$117),"")</f>
        <v>BICS_SEGMENT_DATA</v>
      </c>
      <c r="E117" t="str">
        <f>IFERROR(IF(0=LEN(ReferenceData!$E$117),"",ReferenceData!$E$117),"")</f>
        <v>Dynamic</v>
      </c>
      <c r="F117" t="str">
        <f ca="1">IFERROR(IF(0=LEN(ReferenceData!$F$117),"",ReferenceData!$F$117),"")</f>
        <v/>
      </c>
      <c r="G117">
        <f ca="1">IFERROR(IF(0=LEN(ReferenceData!$G$117),"",ReferenceData!$G$117),"")</f>
        <v>9881</v>
      </c>
      <c r="H117">
        <f ca="1">IFERROR(IF(0=LEN(ReferenceData!$H$117),"",ReferenceData!$H$117),"")</f>
        <v>7700</v>
      </c>
      <c r="I117">
        <f ca="1">IFERROR(IF(0=LEN(ReferenceData!$I$117),"",ReferenceData!$I$117),"")</f>
        <v>7522</v>
      </c>
      <c r="J117">
        <f ca="1">IFERROR(IF(0=LEN(ReferenceData!$J$117),"",ReferenceData!$J$117),"")</f>
        <v>5744</v>
      </c>
      <c r="K117">
        <f ca="1">IFERROR(IF(0=LEN(ReferenceData!$K$117),"",ReferenceData!$K$117),"")</f>
        <v>8555</v>
      </c>
      <c r="L117">
        <f ca="1">IFERROR(IF(0=LEN(ReferenceData!$L$117),"",ReferenceData!$L$117),"")</f>
        <v>7213</v>
      </c>
      <c r="M117">
        <f ca="1">IFERROR(IF(0=LEN(ReferenceData!$M$117),"",ReferenceData!$M$117),"")</f>
        <v>7504</v>
      </c>
      <c r="N117">
        <f ca="1">IFERROR(IF(0=LEN(ReferenceData!$N$117),"",ReferenceData!$N$117),"")</f>
        <v>5404</v>
      </c>
      <c r="O117">
        <f ca="1">IFERROR(IF(0=LEN(ReferenceData!$O$117),"",ReferenceData!$O$117),"")</f>
        <v>8265</v>
      </c>
      <c r="P117">
        <f ca="1">IFERROR(IF(0=LEN(ReferenceData!$P$117),"",ReferenceData!$P$117),"")</f>
        <v>6185</v>
      </c>
      <c r="Q117">
        <f ca="1">IFERROR(IF(0=LEN(ReferenceData!$Q$117),"",ReferenceData!$Q$117),"")</f>
        <v>6958</v>
      </c>
      <c r="R117">
        <f ca="1">IFERROR(IF(0=LEN(ReferenceData!$R$117),"",ReferenceData!$R$117),"")</f>
        <v>4818</v>
      </c>
      <c r="S117">
        <f ca="1">IFERROR(IF(0=LEN(ReferenceData!$S$117),"",ReferenceData!$S$117),"")</f>
        <v>7625</v>
      </c>
      <c r="T117">
        <f ca="1">IFERROR(IF(0=LEN(ReferenceData!$T$117),"",ReferenceData!$T$117),"")</f>
        <v>7438</v>
      </c>
      <c r="U117">
        <f ca="1">IFERROR(IF(0=LEN(ReferenceData!$U$117),"",ReferenceData!$U$117),"")</f>
        <v>7341</v>
      </c>
      <c r="V117">
        <f ca="1">IFERROR(IF(0=LEN(ReferenceData!$V$117),"",ReferenceData!$V$117),"")</f>
        <v>5677</v>
      </c>
      <c r="W117">
        <f ca="1">IFERROR(IF(0=LEN(ReferenceData!$W$117),"",ReferenceData!$W$117),"")</f>
        <v>9771</v>
      </c>
      <c r="X117">
        <f ca="1">IFERROR(IF(0=LEN(ReferenceData!$X$117),"",ReferenceData!$X$117),"")</f>
        <v>8619</v>
      </c>
      <c r="Y117">
        <f ca="1">IFERROR(IF(0=LEN(ReferenceData!$Y$117),"",ReferenceData!$Y$117),"")</f>
        <v>8097</v>
      </c>
      <c r="Z117">
        <f ca="1">IFERROR(IF(0=LEN(ReferenceData!$Z$117),"",ReferenceData!$Z$117),"")</f>
        <v>6675</v>
      </c>
      <c r="AA117">
        <f ca="1">IFERROR(IF(0=LEN(ReferenceData!$AA$117),"",ReferenceData!$AA$117),"")</f>
        <v>10110</v>
      </c>
      <c r="AB117">
        <f ca="1">IFERROR(IF(0=LEN(ReferenceData!$AB$117),"",ReferenceData!$AB$117),"")</f>
        <v>9649</v>
      </c>
      <c r="AC117">
        <f ca="1">IFERROR(IF(0=LEN(ReferenceData!$AC$117),"",ReferenceData!$AC$117),"")</f>
        <v>7913</v>
      </c>
      <c r="AD117">
        <f ca="1">IFERROR(IF(0=LEN(ReferenceData!$AD$117),"",ReferenceData!$AD$117),"")</f>
        <v>6033</v>
      </c>
      <c r="AE117">
        <f ca="1">IFERROR(IF(0=LEN(ReferenceData!$AE$117),"",ReferenceData!$AE$117),"")</f>
        <v>10517</v>
      </c>
      <c r="AF117">
        <f ca="1">IFERROR(IF(0=LEN(ReferenceData!$AF$117),"",ReferenceData!$AF$117),"")</f>
        <v>8257</v>
      </c>
      <c r="AG117">
        <f ca="1">IFERROR(IF(0=LEN(ReferenceData!$AG$117),"",ReferenceData!$AG$117),"")</f>
        <v>8418</v>
      </c>
      <c r="AH117">
        <f ca="1">IFERROR(IF(0=LEN(ReferenceData!$AH$117),"",ReferenceData!$AH$117),"")</f>
        <v>4896</v>
      </c>
      <c r="AI117">
        <f ca="1">IFERROR(IF(0=LEN(ReferenceData!$AI$117),"",ReferenceData!$AI$117),"")</f>
        <v>11645</v>
      </c>
      <c r="AJ117">
        <f ca="1">IFERROR(IF(0=LEN(ReferenceData!$AJ$117),"",ReferenceData!$AJ$117),"")</f>
        <v>9202</v>
      </c>
      <c r="AK117">
        <f ca="1">IFERROR(IF(0=LEN(ReferenceData!$AK$117),"",ReferenceData!$AK$117),"")</f>
        <v>10561</v>
      </c>
      <c r="AL117">
        <f ca="1">IFERROR(IF(0=LEN(ReferenceData!$AL$117),"",ReferenceData!$AL$117),"")</f>
        <v>7747</v>
      </c>
      <c r="AM117">
        <f ca="1">IFERROR(IF(0=LEN(ReferenceData!$AM$117),"",ReferenceData!$AM$117),"")</f>
        <v>5478</v>
      </c>
      <c r="AN117">
        <f ca="1">IFERROR(IF(0=LEN(ReferenceData!$AN$117),"",ReferenceData!$AN$117),"")</f>
        <v>9074</v>
      </c>
      <c r="AO117">
        <f ca="1">IFERROR(IF(0=LEN(ReferenceData!$AO$117),"",ReferenceData!$AO$117),"")</f>
        <v>10830</v>
      </c>
      <c r="AP117">
        <f ca="1">IFERROR(IF(0=LEN(ReferenceData!$AP$117),"",ReferenceData!$AP$117),"")</f>
        <v>8396</v>
      </c>
      <c r="AQ117">
        <f ca="1">IFERROR(IF(0=LEN(ReferenceData!$AQ$117),"",ReferenceData!$AQ$117),"")</f>
        <v>9020</v>
      </c>
      <c r="AR117">
        <f ca="1">IFERROR(IF(0=LEN(ReferenceData!$AR$117),"",ReferenceData!$AR$117),"")</f>
        <v>8350</v>
      </c>
      <c r="AS117">
        <f ca="1">IFERROR(IF(0=LEN(ReferenceData!$AS$117),"",ReferenceData!$AS$117),"")</f>
        <v>8292</v>
      </c>
      <c r="AT117">
        <f ca="1">IFERROR(IF(0=LEN(ReferenceData!$AT$117),"",ReferenceData!$AT$117),"")</f>
        <v>6820</v>
      </c>
      <c r="AU117">
        <f ca="1">IFERROR(IF(0=LEN(ReferenceData!$AU$117),"",ReferenceData!$AU$117),"")</f>
        <v>9538</v>
      </c>
      <c r="AV117">
        <f ca="1">IFERROR(IF(0=LEN(ReferenceData!$AV$117),"",ReferenceData!$AV$117),"")</f>
        <v>10810</v>
      </c>
      <c r="AW117">
        <f ca="1">IFERROR(IF(0=LEN(ReferenceData!$AW$117),"",ReferenceData!$AW$117),"")</f>
        <v>11066</v>
      </c>
      <c r="AX117">
        <f ca="1">IFERROR(IF(0=LEN(ReferenceData!$AX$117),"",ReferenceData!$AX$117),"")</f>
        <v>9177</v>
      </c>
      <c r="AY117">
        <f ca="1">IFERROR(IF(0=LEN(ReferenceData!$AY$117),"",ReferenceData!$AY$117),"")</f>
        <v>11035</v>
      </c>
      <c r="AZ117">
        <f ca="1">IFERROR(IF(0=LEN(ReferenceData!$AZ$117),"",ReferenceData!$AZ$117),"")</f>
        <v>9374</v>
      </c>
      <c r="BA117">
        <f ca="1">IFERROR(IF(0=LEN(ReferenceData!$BA$117),"",ReferenceData!$BA$117),"")</f>
        <v>10338</v>
      </c>
      <c r="BB117">
        <f ca="1">IFERROR(IF(0=LEN(ReferenceData!$BB$117),"",ReferenceData!$BB$117),"")</f>
        <v>8302</v>
      </c>
      <c r="BC117">
        <f ca="1">IFERROR(IF(0=LEN(ReferenceData!$BC$117),"",ReferenceData!$BC$117),"")</f>
        <v>9437</v>
      </c>
      <c r="BD117">
        <f ca="1">IFERROR(IF(0=LEN(ReferenceData!$BD$117),"",ReferenceData!$BD$117),"")</f>
        <v>8620</v>
      </c>
      <c r="BE117">
        <f ca="1">IFERROR(IF(0=LEN(ReferenceData!$BE$117),"",ReferenceData!$BE$117),"")</f>
        <v>10295</v>
      </c>
      <c r="BF117">
        <f ca="1">IFERROR(IF(0=LEN(ReferenceData!$BF$117),"",ReferenceData!$BF$117),"")</f>
        <v>7840</v>
      </c>
      <c r="BG117" t="str">
        <f ca="1">IFERROR(IF(0=LEN(ReferenceData!$BG$117),"",ReferenceData!$BG$117),"")</f>
        <v/>
      </c>
      <c r="BH117" t="str">
        <f ca="1">IFERROR(IF(0=LEN(ReferenceData!$BH$117),"",ReferenceData!$BH$117),"")</f>
        <v/>
      </c>
      <c r="BI117" t="str">
        <f ca="1">IFERROR(IF(0=LEN(ReferenceData!$BI$117),"",ReferenceData!$BI$117),"")</f>
        <v/>
      </c>
      <c r="BJ117" t="str">
        <f ca="1">IFERROR(IF(0=LEN(ReferenceData!$BJ$117),"",ReferenceData!$BJ$117),"")</f>
        <v/>
      </c>
      <c r="BK117" t="str">
        <f ca="1">IFERROR(IF(0=LEN(ReferenceData!$BK$117),"",ReferenceData!$BK$117),"")</f>
        <v/>
      </c>
      <c r="BL117" t="str">
        <f ca="1">IFERROR(IF(0=LEN(ReferenceData!$BL$117),"",ReferenceData!$BL$117),"")</f>
        <v/>
      </c>
      <c r="BM117" t="str">
        <f ca="1">IFERROR(IF(0=LEN(ReferenceData!$BM$117),"",ReferenceData!$BM$117),"")</f>
        <v/>
      </c>
    </row>
    <row r="118" spans="1:65" x14ac:dyDescent="0.25">
      <c r="A118" t="str">
        <f>IFERROR(IF(0=LEN(ReferenceData!$A$118),"",ReferenceData!$A$118),"")</f>
        <v xml:space="preserve">    Bayerische Motoren Werke AG</v>
      </c>
      <c r="B118" t="str">
        <f>IFERROR(IF(0=LEN(ReferenceData!$B$118),"",ReferenceData!$B$118),"")</f>
        <v>BMW GR Equity</v>
      </c>
      <c r="C118" t="str">
        <f>IFERROR(IF(0=LEN(ReferenceData!$C$118),"",ReferenceData!$C$118),"")</f>
        <v>FS265</v>
      </c>
      <c r="D118" t="str">
        <f>IFERROR(IF(0=LEN(ReferenceData!$D$118),"",ReferenceData!$D$118),"")</f>
        <v>AUTO_VEHICLES_SOLD_WW</v>
      </c>
      <c r="E118" t="str">
        <f>IFERROR(IF(0=LEN(ReferenceData!$E$118),"",ReferenceData!$E$118),"")</f>
        <v>Dynamic</v>
      </c>
      <c r="F118" t="str">
        <f ca="1">IFERROR(IF(0=LEN(ReferenceData!$F$118),"",ReferenceData!$F$118),"")</f>
        <v/>
      </c>
      <c r="G118" t="str">
        <f ca="1">IFERROR(IF(0=LEN(ReferenceData!$G$118),"",ReferenceData!$G$118),"")</f>
        <v/>
      </c>
      <c r="H118">
        <f ca="1">IFERROR(IF(0=LEN(ReferenceData!$H$118),"",ReferenceData!$H$118),"")</f>
        <v>592303</v>
      </c>
      <c r="I118">
        <f ca="1">IFERROR(IF(0=LEN(ReferenceData!$I$118),"",ReferenceData!$I$118),"")</f>
        <v>663150</v>
      </c>
      <c r="J118">
        <f ca="1">IFERROR(IF(0=LEN(ReferenceData!$J$118),"",ReferenceData!$J$118),"")</f>
        <v>623082</v>
      </c>
      <c r="K118">
        <f ca="1">IFERROR(IF(0=LEN(ReferenceData!$K$118),"",ReferenceData!$K$118),"")</f>
        <v>686685</v>
      </c>
      <c r="L118">
        <f ca="1">IFERROR(IF(0=LEN(ReferenceData!$L$118),"",ReferenceData!$L$118),"")</f>
        <v>590415</v>
      </c>
      <c r="M118">
        <f ca="1">IFERROR(IF(0=LEN(ReferenceData!$M$118),"",ReferenceData!$M$118),"")</f>
        <v>648914</v>
      </c>
      <c r="N118">
        <f ca="1">IFERROR(IF(0=LEN(ReferenceData!$N$118),"",ReferenceData!$N$118),"")</f>
        <v>587237</v>
      </c>
      <c r="O118">
        <f ca="1">IFERROR(IF(0=LEN(ReferenceData!$O$118),"",ReferenceData!$O$118),"")</f>
        <v>620965</v>
      </c>
      <c r="P118">
        <f ca="1">IFERROR(IF(0=LEN(ReferenceData!$P$118),"",ReferenceData!$P$118),"")</f>
        <v>583499</v>
      </c>
      <c r="Q118">
        <f ca="1">IFERROR(IF(0=LEN(ReferenceData!$Q$118),"",ReferenceData!$Q$118),"")</f>
        <v>605534</v>
      </c>
      <c r="R118">
        <f ca="1">IFERROR(IF(0=LEN(ReferenceData!$R$118),"",ReferenceData!$R$118),"")</f>
        <v>557605</v>
      </c>
      <c r="S118">
        <f ca="1">IFERROR(IF(0=LEN(ReferenceData!$S$118),"",ReferenceData!$S$118),"")</f>
        <v>602675</v>
      </c>
      <c r="T118">
        <f ca="1">IFERROR(IF(0=LEN(ReferenceData!$T$118),"",ReferenceData!$T$118),"")</f>
        <v>545062</v>
      </c>
      <c r="U118">
        <f ca="1">IFERROR(IF(0=LEN(ReferenceData!$U$118),"",ReferenceData!$U$118),"")</f>
        <v>573079</v>
      </c>
      <c r="V118">
        <f ca="1">IFERROR(IF(0=LEN(ReferenceData!$V$118),"",ReferenceData!$V$118),"")</f>
        <v>526669</v>
      </c>
      <c r="W118">
        <f ca="1">IFERROR(IF(0=LEN(ReferenceData!$W$118),"",ReferenceData!$W$118),"")</f>
        <v>588085</v>
      </c>
      <c r="X118">
        <f ca="1">IFERROR(IF(0=LEN(ReferenceData!$X$118),"",ReferenceData!$X$118),"")</f>
        <v>509669</v>
      </c>
      <c r="Y118">
        <f ca="1">IFERROR(IF(0=LEN(ReferenceData!$Y$118),"",ReferenceData!$Y$118),"")</f>
        <v>533187</v>
      </c>
      <c r="Z118">
        <f ca="1">IFERROR(IF(0=LEN(ReferenceData!$Z$118),"",ReferenceData!$Z$118),"")</f>
        <v>487024</v>
      </c>
      <c r="AA118">
        <f ca="1">IFERROR(IF(0=LEN(ReferenceData!$AA$118),"",ReferenceData!$AA$118),"")</f>
        <v>527620</v>
      </c>
      <c r="AB118">
        <f ca="1">IFERROR(IF(0=LEN(ReferenceData!$AB$118),"",ReferenceData!$AB$118),"")</f>
        <v>481657</v>
      </c>
      <c r="AC118">
        <f ca="1">IFERROR(IF(0=LEN(ReferenceData!$AC$118),"",ReferenceData!$AC$118),"")</f>
        <v>506321</v>
      </c>
      <c r="AD118">
        <f ca="1">IFERROR(IF(0=LEN(ReferenceData!$AD$118),"",ReferenceData!$AD$118),"")</f>
        <v>448200</v>
      </c>
      <c r="AE118">
        <f ca="1">IFERROR(IF(0=LEN(ReferenceData!$AE$118),"",ReferenceData!$AE$118),"")</f>
        <v>509684</v>
      </c>
      <c r="AF118">
        <f ca="1">IFERROR(IF(0=LEN(ReferenceData!$AF$118),"",ReferenceData!$AF$118),"")</f>
        <v>434963</v>
      </c>
      <c r="AG118">
        <f ca="1">IFERROR(IF(0=LEN(ReferenceData!$AG$118),"",ReferenceData!$AG$118),"")</f>
        <v>475011</v>
      </c>
      <c r="AH118">
        <f ca="1">IFERROR(IF(0=LEN(ReferenceData!$AH$118),"",ReferenceData!$AH$118),"")</f>
        <v>425528</v>
      </c>
      <c r="AI118">
        <f ca="1">IFERROR(IF(0=LEN(ReferenceData!$AI$118),"",ReferenceData!$AI$118),"")</f>
        <v>436398</v>
      </c>
      <c r="AJ118">
        <f ca="1">IFERROR(IF(0=LEN(ReferenceData!$AJ$118),"",ReferenceData!$AJ$118),"")</f>
        <v>399218</v>
      </c>
      <c r="AK118">
        <f ca="1">IFERROR(IF(0=LEN(ReferenceData!$AK$118),"",ReferenceData!$AK$118),"")</f>
        <v>450608</v>
      </c>
      <c r="AL118">
        <f ca="1">IFERROR(IF(0=LEN(ReferenceData!$AL$118),"",ReferenceData!$AL$118),"")</f>
        <v>382758</v>
      </c>
      <c r="AM118">
        <f ca="1">IFERROR(IF(0=LEN(ReferenceData!$AM$118),"",ReferenceData!$AM$118),"")</f>
        <v>398984</v>
      </c>
      <c r="AN118">
        <f ca="1">IFERROR(IF(0=LEN(ReferenceData!$AN$118),"",ReferenceData!$AN$118),"")</f>
        <v>366190</v>
      </c>
      <c r="AO118">
        <f ca="1">IFERROR(IF(0=LEN(ReferenceData!$AO$118),"",ReferenceData!$AO$118),"")</f>
        <v>380412</v>
      </c>
      <c r="AP118">
        <f ca="1">IFERROR(IF(0=LEN(ReferenceData!$AP$118),"",ReferenceData!$AP$118),"")</f>
        <v>315614</v>
      </c>
      <c r="AQ118">
        <f ca="1">IFERROR(IF(0=LEN(ReferenceData!$AQ$118),"",ReferenceData!$AQ$118),"")</f>
        <v>346756</v>
      </c>
      <c r="AR118">
        <f ca="1">IFERROR(IF(0=LEN(ReferenceData!$AR$118),"",ReferenceData!$AR$118),"")</f>
        <v>324100</v>
      </c>
      <c r="AS118">
        <f ca="1">IFERROR(IF(0=LEN(ReferenceData!$AS$118),"",ReferenceData!$AS$118),"")</f>
        <v>338190</v>
      </c>
      <c r="AT118">
        <f ca="1">IFERROR(IF(0=LEN(ReferenceData!$AT$118),"",ReferenceData!$AT$118),"")</f>
        <v>277264</v>
      </c>
      <c r="AU118" t="str">
        <f ca="1">IFERROR(IF(0=LEN(ReferenceData!$AU$118),"",ReferenceData!$AU$118),"")</f>
        <v/>
      </c>
      <c r="AV118">
        <f ca="1">IFERROR(IF(0=LEN(ReferenceData!$AV$118),"",ReferenceData!$AV$118),"")</f>
        <v>349098</v>
      </c>
      <c r="AW118">
        <f ca="1">IFERROR(IF(0=LEN(ReferenceData!$AW$118),"",ReferenceData!$AW$118),"")</f>
        <v>413087</v>
      </c>
      <c r="AX118">
        <f ca="1">IFERROR(IF(0=LEN(ReferenceData!$AX$118),"",ReferenceData!$AX$118),"")</f>
        <v>351787</v>
      </c>
      <c r="AY118">
        <f ca="1">IFERROR(IF(0=LEN(ReferenceData!$AY$118),"",ReferenceData!$AY$118),"")</f>
        <v>405829</v>
      </c>
      <c r="AZ118">
        <f ca="1">IFERROR(IF(0=LEN(ReferenceData!$AZ$118),"",ReferenceData!$AZ$118),"")</f>
        <v>364564</v>
      </c>
      <c r="BA118">
        <f ca="1">IFERROR(IF(0=LEN(ReferenceData!$BA$118),"",ReferenceData!$BA$118),"")</f>
        <v>397009</v>
      </c>
      <c r="BB118">
        <f ca="1">IFERROR(IF(0=LEN(ReferenceData!$BB$118),"",ReferenceData!$BB$118),"")</f>
        <v>333276</v>
      </c>
      <c r="BC118">
        <f ca="1">IFERROR(IF(0=LEN(ReferenceData!$BC$118),"",ReferenceData!$BC$118),"")</f>
        <v>352436</v>
      </c>
      <c r="BD118">
        <f ca="1">IFERROR(IF(0=LEN(ReferenceData!$BD$118),"",ReferenceData!$BD$118),"")</f>
        <v>323064</v>
      </c>
      <c r="BE118">
        <f ca="1">IFERROR(IF(0=LEN(ReferenceData!$BE$118),"",ReferenceData!$BE$118),"")</f>
        <v>365547</v>
      </c>
      <c r="BF118">
        <f ca="1">IFERROR(IF(0=LEN(ReferenceData!$BF$118),"",ReferenceData!$BF$118),"")</f>
        <v>332923</v>
      </c>
      <c r="BG118">
        <f ca="1">IFERROR(IF(0=LEN(ReferenceData!$BG$118),"",ReferenceData!$BG$118),"")</f>
        <v>339530</v>
      </c>
      <c r="BH118">
        <f ca="1">IFERROR(IF(0=LEN(ReferenceData!$BH$118),"",ReferenceData!$BH$118),"")</f>
        <v>341932</v>
      </c>
      <c r="BI118">
        <f ca="1">IFERROR(IF(0=LEN(ReferenceData!$BI$118),"",ReferenceData!$BI$118),"")</f>
        <v>354324</v>
      </c>
      <c r="BJ118">
        <f ca="1">IFERROR(IF(0=LEN(ReferenceData!$BJ$118),"",ReferenceData!$BJ$118),"")</f>
        <v>292207</v>
      </c>
      <c r="BK118">
        <f ca="1">IFERROR(IF(0=LEN(ReferenceData!$BK$118),"",ReferenceData!$BK$118),"")</f>
        <v>363052</v>
      </c>
      <c r="BL118">
        <f ca="1">IFERROR(IF(0=LEN(ReferenceData!$BL$118),"",ReferenceData!$BL$118),"")</f>
        <v>296310</v>
      </c>
      <c r="BM118">
        <f ca="1">IFERROR(IF(0=LEN(ReferenceData!$BM$118),"",ReferenceData!$BM$118),"")</f>
        <v>321010</v>
      </c>
    </row>
    <row r="119" spans="1:65" x14ac:dyDescent="0.25">
      <c r="A119" t="str">
        <f>IFERROR(IF(0=LEN(ReferenceData!$A$119),"",ReferenceData!$A$119),"")</f>
        <v xml:space="preserve">        BMW</v>
      </c>
      <c r="B119" t="str">
        <f>IFERROR(IF(0=LEN(ReferenceData!$B$119),"",ReferenceData!$B$119),"")</f>
        <v>BMW GR Equity</v>
      </c>
      <c r="C119" t="str">
        <f>IFERROR(IF(0=LEN(ReferenceData!$C$119),"",ReferenceData!$C$119),"")</f>
        <v/>
      </c>
      <c r="D119" t="str">
        <f>IFERROR(IF(0=LEN(ReferenceData!$D$119),"",ReferenceData!$D$119),"")</f>
        <v/>
      </c>
      <c r="E119" t="str">
        <f>IFERROR(IF(0=LEN(ReferenceData!$E$119),"",ReferenceData!$E$119),"")</f>
        <v>Static</v>
      </c>
      <c r="F119" t="str">
        <f ca="1">IFERROR(IF(0=LEN(ReferenceData!$F$119),"",ReferenceData!$F$119),"")</f>
        <v/>
      </c>
      <c r="G119" t="str">
        <f ca="1">IFERROR(IF(0=LEN(ReferenceData!$G$119),"",ReferenceData!$G$119),"")</f>
        <v/>
      </c>
      <c r="H119" t="str">
        <f ca="1">IFERROR(IF(0=LEN(ReferenceData!$H$119),"",ReferenceData!$H$119),"")</f>
        <v/>
      </c>
      <c r="I119" t="str">
        <f ca="1">IFERROR(IF(0=LEN(ReferenceData!$I$119),"",ReferenceData!$I$119),"")</f>
        <v/>
      </c>
      <c r="J119" t="str">
        <f ca="1">IFERROR(IF(0=LEN(ReferenceData!$J$119),"",ReferenceData!$J$119),"")</f>
        <v/>
      </c>
      <c r="K119" t="str">
        <f ca="1">IFERROR(IF(0=LEN(ReferenceData!$K$119),"",ReferenceData!$K$119),"")</f>
        <v/>
      </c>
      <c r="L119" t="str">
        <f ca="1">IFERROR(IF(0=LEN(ReferenceData!$L$119),"",ReferenceData!$L$119),"")</f>
        <v/>
      </c>
      <c r="M119" t="str">
        <f ca="1">IFERROR(IF(0=LEN(ReferenceData!$M$119),"",ReferenceData!$M$119),"")</f>
        <v/>
      </c>
      <c r="N119" t="str">
        <f ca="1">IFERROR(IF(0=LEN(ReferenceData!$N$119),"",ReferenceData!$N$119),"")</f>
        <v/>
      </c>
      <c r="O119" t="str">
        <f ca="1">IFERROR(IF(0=LEN(ReferenceData!$O$119),"",ReferenceData!$O$119),"")</f>
        <v/>
      </c>
      <c r="P119" t="str">
        <f ca="1">IFERROR(IF(0=LEN(ReferenceData!$P$119),"",ReferenceData!$P$119),"")</f>
        <v/>
      </c>
      <c r="Q119" t="str">
        <f ca="1">IFERROR(IF(0=LEN(ReferenceData!$Q$119),"",ReferenceData!$Q$119),"")</f>
        <v/>
      </c>
      <c r="R119" t="str">
        <f ca="1">IFERROR(IF(0=LEN(ReferenceData!$R$119),"",ReferenceData!$R$119),"")</f>
        <v/>
      </c>
      <c r="S119" t="str">
        <f ca="1">IFERROR(IF(0=LEN(ReferenceData!$S$119),"",ReferenceData!$S$119),"")</f>
        <v/>
      </c>
      <c r="T119" t="str">
        <f ca="1">IFERROR(IF(0=LEN(ReferenceData!$T$119),"",ReferenceData!$T$119),"")</f>
        <v/>
      </c>
      <c r="U119" t="str">
        <f ca="1">IFERROR(IF(0=LEN(ReferenceData!$U$119),"",ReferenceData!$U$119),"")</f>
        <v/>
      </c>
      <c r="V119" t="str">
        <f ca="1">IFERROR(IF(0=LEN(ReferenceData!$V$119),"",ReferenceData!$V$119),"")</f>
        <v/>
      </c>
      <c r="W119" t="str">
        <f ca="1">IFERROR(IF(0=LEN(ReferenceData!$W$119),"",ReferenceData!$W$119),"")</f>
        <v/>
      </c>
      <c r="X119">
        <f ca="1">IFERROR(IF(0=LEN(ReferenceData!$X$119),"",ReferenceData!$X$119),"")</f>
        <v>433145</v>
      </c>
      <c r="Y119">
        <f ca="1">IFERROR(IF(0=LEN(ReferenceData!$Y$119),"",ReferenceData!$Y$119),"")</f>
        <v>458088</v>
      </c>
      <c r="Z119">
        <f ca="1">IFERROR(IF(0=LEN(ReferenceData!$Z$119),"",ReferenceData!$Z$119),"")</f>
        <v>428259</v>
      </c>
      <c r="AA119">
        <f ca="1">IFERROR(IF(0=LEN(ReferenceData!$AA$119),"",ReferenceData!$AA$119),"")</f>
        <v>445524</v>
      </c>
      <c r="AB119">
        <f ca="1">IFERROR(IF(0=LEN(ReferenceData!$AB$119),"",ReferenceData!$AB$119),"")</f>
        <v>405366</v>
      </c>
      <c r="AC119">
        <f ca="1">IFERROR(IF(0=LEN(ReferenceData!$AC$119),"",ReferenceData!$AC$119),"")</f>
        <v>422844</v>
      </c>
      <c r="AD119">
        <f ca="1">IFERROR(IF(0=LEN(ReferenceData!$AD$119),"",ReferenceData!$AD$119),"")</f>
        <v>381404</v>
      </c>
      <c r="AE119">
        <f ca="1">IFERROR(IF(0=LEN(ReferenceData!$AE$119),"",ReferenceData!$AE$119),"")</f>
        <v>430123</v>
      </c>
      <c r="AF119">
        <f ca="1">IFERROR(IF(0=LEN(ReferenceData!$AF$119),"",ReferenceData!$AF$119),"")</f>
        <v>362898</v>
      </c>
      <c r="AG119">
        <f ca="1">IFERROR(IF(0=LEN(ReferenceData!$AG$119),"",ReferenceData!$AG$119),"")</f>
        <v>390516</v>
      </c>
      <c r="AH119">
        <f ca="1">IFERROR(IF(0=LEN(ReferenceData!$AH$119),"",ReferenceData!$AH$119),"")</f>
        <v>356548</v>
      </c>
      <c r="AI119">
        <f ca="1">IFERROR(IF(0=LEN(ReferenceData!$AI$119),"",ReferenceData!$AI$119),"")</f>
        <v>358457</v>
      </c>
      <c r="AJ119">
        <f ca="1">IFERROR(IF(0=LEN(ReferenceData!$AJ$119),"",ReferenceData!$AJ$119),"")</f>
        <v>332066</v>
      </c>
      <c r="AK119">
        <f ca="1">IFERROR(IF(0=LEN(ReferenceData!$AK$119),"",ReferenceData!$AK$119),"")</f>
        <v>368686</v>
      </c>
      <c r="AL119">
        <f ca="1">IFERROR(IF(0=LEN(ReferenceData!$AL$119),"",ReferenceData!$AL$119),"")</f>
        <v>321175</v>
      </c>
      <c r="AM119">
        <f ca="1">IFERROR(IF(0=LEN(ReferenceData!$AM$119),"",ReferenceData!$AM$119),"")</f>
        <v>331543</v>
      </c>
      <c r="AN119">
        <f ca="1">IFERROR(IF(0=LEN(ReferenceData!$AN$119),"",ReferenceData!$AN$119),"")</f>
        <v>306982</v>
      </c>
      <c r="AO119">
        <f ca="1">IFERROR(IF(0=LEN(ReferenceData!$AO$119),"",ReferenceData!$AO$119),"")</f>
        <v>319946</v>
      </c>
      <c r="AP119">
        <f ca="1">IFERROR(IF(0=LEN(ReferenceData!$AP$119),"",ReferenceData!$AP$119),"")</f>
        <v>265809</v>
      </c>
      <c r="AQ119">
        <f ca="1">IFERROR(IF(0=LEN(ReferenceData!$AQ$119),"",ReferenceData!$AQ$119),"")</f>
        <v>291315</v>
      </c>
      <c r="AR119">
        <f ca="1">IFERROR(IF(0=LEN(ReferenceData!$AR$119),"",ReferenceData!$AR$119),"")</f>
        <v>263864</v>
      </c>
      <c r="AS119">
        <f ca="1">IFERROR(IF(0=LEN(ReferenceData!$AS$119),"",ReferenceData!$AS$119),"")</f>
        <v>280093</v>
      </c>
      <c r="AT119">
        <f ca="1">IFERROR(IF(0=LEN(ReferenceData!$AT$119),"",ReferenceData!$AT$119),"")</f>
        <v>233498</v>
      </c>
      <c r="AU119">
        <f ca="1">IFERROR(IF(0=LEN(ReferenceData!$AU$119),"",ReferenceData!$AU$119),"")</f>
        <v>274009</v>
      </c>
      <c r="AV119">
        <f ca="1">IFERROR(IF(0=LEN(ReferenceData!$AV$119),"",ReferenceData!$AV$119),"")</f>
        <v>290661</v>
      </c>
      <c r="AW119">
        <f ca="1">IFERROR(IF(0=LEN(ReferenceData!$AW$119),"",ReferenceData!$AW$119),"")</f>
        <v>344019</v>
      </c>
      <c r="AX119">
        <f ca="1">IFERROR(IF(0=LEN(ReferenceData!$AX$119),"",ReferenceData!$AX$119),"")</f>
        <v>293550</v>
      </c>
      <c r="AY119">
        <f ca="1">IFERROR(IF(0=LEN(ReferenceData!$AY$119),"",ReferenceData!$AY$119),"")</f>
        <v>347414</v>
      </c>
      <c r="AZ119">
        <f ca="1">IFERROR(IF(0=LEN(ReferenceData!$AZ$119),"",ReferenceData!$AZ$119),"")</f>
        <v>306964</v>
      </c>
      <c r="BA119">
        <f ca="1">IFERROR(IF(0=LEN(ReferenceData!$BA$119),"",ReferenceData!$BA$119),"")</f>
        <v>336230</v>
      </c>
      <c r="BB119">
        <f ca="1">IFERROR(IF(0=LEN(ReferenceData!$BB$119),"",ReferenceData!$BB$119),"")</f>
        <v>286185</v>
      </c>
      <c r="BC119">
        <f ca="1">IFERROR(IF(0=LEN(ReferenceData!$BC$119),"",ReferenceData!$BC$119),"")</f>
        <v>305109</v>
      </c>
      <c r="BD119">
        <f ca="1">IFERROR(IF(0=LEN(ReferenceData!$BD$119),"",ReferenceData!$BD$119),"")</f>
        <v>277088</v>
      </c>
      <c r="BE119">
        <f ca="1">IFERROR(IF(0=LEN(ReferenceData!$BE$119),"",ReferenceData!$BE$119),"")</f>
        <v>313823</v>
      </c>
      <c r="BF119">
        <f ca="1">IFERROR(IF(0=LEN(ReferenceData!$BF$119),"",ReferenceData!$BF$119),"")</f>
        <v>283297</v>
      </c>
      <c r="BG119">
        <f ca="1">IFERROR(IF(0=LEN(ReferenceData!$BG$119),"",ReferenceData!$BG$119),"")</f>
        <v>293722</v>
      </c>
      <c r="BH119">
        <f ca="1">IFERROR(IF(0=LEN(ReferenceData!$BH$119),"",ReferenceData!$BH$119),"")</f>
        <v>290454</v>
      </c>
      <c r="BI119">
        <f ca="1">IFERROR(IF(0=LEN(ReferenceData!$BI$119),"",ReferenceData!$BI$119),"")</f>
        <v>298745</v>
      </c>
      <c r="BJ119">
        <f ca="1">IFERROR(IF(0=LEN(ReferenceData!$BJ$119),"",ReferenceData!$BJ$119),"")</f>
        <v>239387</v>
      </c>
      <c r="BK119">
        <f ca="1">IFERROR(IF(0=LEN(ReferenceData!$BK$119),"",ReferenceData!$BK$119),"")</f>
        <v>316051</v>
      </c>
      <c r="BL119">
        <f ca="1">IFERROR(IF(0=LEN(ReferenceData!$BL$119),"",ReferenceData!$BL$119),"")</f>
        <v>248431</v>
      </c>
      <c r="BM119">
        <f ca="1">IFERROR(IF(0=LEN(ReferenceData!$BM$119),"",ReferenceData!$BM$119),"")</f>
        <v>273429</v>
      </c>
    </row>
    <row r="120" spans="1:65" x14ac:dyDescent="0.25">
      <c r="A120" t="str">
        <f>IFERROR(IF(0=LEN(ReferenceData!$A$120),"",ReferenceData!$A$120),"")</f>
        <v xml:space="preserve">        Mini</v>
      </c>
      <c r="B120" t="str">
        <f>IFERROR(IF(0=LEN(ReferenceData!$B$120),"",ReferenceData!$B$120),"")</f>
        <v>BMW GR Equity</v>
      </c>
      <c r="C120" t="str">
        <f>IFERROR(IF(0=LEN(ReferenceData!$C$120),"",ReferenceData!$C$120),"")</f>
        <v/>
      </c>
      <c r="D120" t="str">
        <f>IFERROR(IF(0=LEN(ReferenceData!$D$120),"",ReferenceData!$D$120),"")</f>
        <v/>
      </c>
      <c r="E120" t="str">
        <f>IFERROR(IF(0=LEN(ReferenceData!$E$120),"",ReferenceData!$E$120),"")</f>
        <v>Static</v>
      </c>
      <c r="F120" t="str">
        <f ca="1">IFERROR(IF(0=LEN(ReferenceData!$F$120),"",ReferenceData!$F$120),"")</f>
        <v/>
      </c>
      <c r="G120" t="str">
        <f ca="1">IFERROR(IF(0=LEN(ReferenceData!$G$120),"",ReferenceData!$G$120),"")</f>
        <v/>
      </c>
      <c r="H120" t="str">
        <f ca="1">IFERROR(IF(0=LEN(ReferenceData!$H$120),"",ReferenceData!$H$120),"")</f>
        <v/>
      </c>
      <c r="I120" t="str">
        <f ca="1">IFERROR(IF(0=LEN(ReferenceData!$I$120),"",ReferenceData!$I$120),"")</f>
        <v/>
      </c>
      <c r="J120" t="str">
        <f ca="1">IFERROR(IF(0=LEN(ReferenceData!$J$120),"",ReferenceData!$J$120),"")</f>
        <v/>
      </c>
      <c r="K120" t="str">
        <f ca="1">IFERROR(IF(0=LEN(ReferenceData!$K$120),"",ReferenceData!$K$120),"")</f>
        <v/>
      </c>
      <c r="L120" t="str">
        <f ca="1">IFERROR(IF(0=LEN(ReferenceData!$L$120),"",ReferenceData!$L$120),"")</f>
        <v/>
      </c>
      <c r="M120" t="str">
        <f ca="1">IFERROR(IF(0=LEN(ReferenceData!$M$120),"",ReferenceData!$M$120),"")</f>
        <v/>
      </c>
      <c r="N120" t="str">
        <f ca="1">IFERROR(IF(0=LEN(ReferenceData!$N$120),"",ReferenceData!$N$120),"")</f>
        <v/>
      </c>
      <c r="O120" t="str">
        <f ca="1">IFERROR(IF(0=LEN(ReferenceData!$O$120),"",ReferenceData!$O$120),"")</f>
        <v/>
      </c>
      <c r="P120" t="str">
        <f ca="1">IFERROR(IF(0=LEN(ReferenceData!$P$120),"",ReferenceData!$P$120),"")</f>
        <v/>
      </c>
      <c r="Q120" t="str">
        <f ca="1">IFERROR(IF(0=LEN(ReferenceData!$Q$120),"",ReferenceData!$Q$120),"")</f>
        <v/>
      </c>
      <c r="R120" t="str">
        <f ca="1">IFERROR(IF(0=LEN(ReferenceData!$R$120),"",ReferenceData!$R$120),"")</f>
        <v/>
      </c>
      <c r="S120" t="str">
        <f ca="1">IFERROR(IF(0=LEN(ReferenceData!$S$120),"",ReferenceData!$S$120),"")</f>
        <v/>
      </c>
      <c r="T120" t="str">
        <f ca="1">IFERROR(IF(0=LEN(ReferenceData!$T$120),"",ReferenceData!$T$120),"")</f>
        <v/>
      </c>
      <c r="U120" t="str">
        <f ca="1">IFERROR(IF(0=LEN(ReferenceData!$U$120),"",ReferenceData!$U$120),"")</f>
        <v/>
      </c>
      <c r="V120" t="str">
        <f ca="1">IFERROR(IF(0=LEN(ReferenceData!$V$120),"",ReferenceData!$V$120),"")</f>
        <v/>
      </c>
      <c r="W120" t="str">
        <f ca="1">IFERROR(IF(0=LEN(ReferenceData!$W$120),"",ReferenceData!$W$120),"")</f>
        <v/>
      </c>
      <c r="X120">
        <f ca="1">IFERROR(IF(0=LEN(ReferenceData!$X$120),"",ReferenceData!$X$120),"")</f>
        <v>75633</v>
      </c>
      <c r="Y120">
        <f ca="1">IFERROR(IF(0=LEN(ReferenceData!$Y$120),"",ReferenceData!$Y$120),"")</f>
        <v>74028</v>
      </c>
      <c r="Z120">
        <f ca="1">IFERROR(IF(0=LEN(ReferenceData!$Z$120),"",ReferenceData!$Z$120),"")</f>
        <v>57868</v>
      </c>
      <c r="AA120">
        <f ca="1">IFERROR(IF(0=LEN(ReferenceData!$AA$120),"",ReferenceData!$AA$120),"")</f>
        <v>77672</v>
      </c>
      <c r="AB120">
        <f ca="1">IFERROR(IF(0=LEN(ReferenceData!$AB$120),"",ReferenceData!$AB$120),"")</f>
        <v>75481</v>
      </c>
      <c r="AC120">
        <f ca="1">IFERROR(IF(0=LEN(ReferenceData!$AC$120),"",ReferenceData!$AC$120),"")</f>
        <v>85723</v>
      </c>
      <c r="AD120">
        <f ca="1">IFERROR(IF(0=LEN(ReferenceData!$AD$120),"",ReferenceData!$AD$120),"")</f>
        <v>66154</v>
      </c>
      <c r="AE120">
        <f ca="1">IFERROR(IF(0=LEN(ReferenceData!$AE$120),"",ReferenceData!$AE$120),"")</f>
        <v>78312</v>
      </c>
      <c r="AF120">
        <f ca="1">IFERROR(IF(0=LEN(ReferenceData!$AF$120),"",ReferenceData!$AF$120),"")</f>
        <v>71339</v>
      </c>
      <c r="AG120">
        <f ca="1">IFERROR(IF(0=LEN(ReferenceData!$AG$120),"",ReferenceData!$AG$120),"")</f>
        <v>83665</v>
      </c>
      <c r="AH120">
        <f ca="1">IFERROR(IF(0=LEN(ReferenceData!$AH$120),"",ReferenceData!$AH$120),"")</f>
        <v>68210</v>
      </c>
      <c r="AI120">
        <f ca="1">IFERROR(IF(0=LEN(ReferenceData!$AI$120),"",ReferenceData!$AI$120),"")</f>
        <v>76844</v>
      </c>
      <c r="AJ120">
        <f ca="1">IFERROR(IF(0=LEN(ReferenceData!$AJ$120),"",ReferenceData!$AJ$120),"")</f>
        <v>66303</v>
      </c>
      <c r="AK120">
        <f ca="1">IFERROR(IF(0=LEN(ReferenceData!$AK$120),"",ReferenceData!$AK$120),"")</f>
        <v>81053</v>
      </c>
      <c r="AL120">
        <f ca="1">IFERROR(IF(0=LEN(ReferenceData!$AL$120),"",ReferenceData!$AL$120),"")</f>
        <v>60860</v>
      </c>
      <c r="AM120">
        <f ca="1">IFERROR(IF(0=LEN(ReferenceData!$AM$120),"",ReferenceData!$AM$120),"")</f>
        <v>66424</v>
      </c>
      <c r="AN120">
        <f ca="1">IFERROR(IF(0=LEN(ReferenceData!$AN$120),"",ReferenceData!$AN$120),"")</f>
        <v>58450</v>
      </c>
      <c r="AO120">
        <f ca="1">IFERROR(IF(0=LEN(ReferenceData!$AO$120),"",ReferenceData!$AO$120),"")</f>
        <v>59775</v>
      </c>
      <c r="AP120">
        <f ca="1">IFERROR(IF(0=LEN(ReferenceData!$AP$120),"",ReferenceData!$AP$120),"")</f>
        <v>49526</v>
      </c>
      <c r="AQ120">
        <f ca="1">IFERROR(IF(0=LEN(ReferenceData!$AQ$120),"",ReferenceData!$AQ$120),"")</f>
        <v>54900</v>
      </c>
      <c r="AR120">
        <f ca="1">IFERROR(IF(0=LEN(ReferenceData!$AR$120),"",ReferenceData!$AR$120),"")</f>
        <v>60104</v>
      </c>
      <c r="AS120">
        <f ca="1">IFERROR(IF(0=LEN(ReferenceData!$AS$120),"",ReferenceData!$AS$120),"")</f>
        <v>57942</v>
      </c>
      <c r="AT120">
        <f ca="1">IFERROR(IF(0=LEN(ReferenceData!$AT$120),"",ReferenceData!$AT$120),"")</f>
        <v>43592</v>
      </c>
      <c r="AU120">
        <f ca="1">IFERROR(IF(0=LEN(ReferenceData!$AU$120),"",ReferenceData!$AU$120),"")</f>
        <v>47844</v>
      </c>
      <c r="AV120">
        <f ca="1">IFERROR(IF(0=LEN(ReferenceData!$AV$120),"",ReferenceData!$AV$120),"")</f>
        <v>58105</v>
      </c>
      <c r="AW120">
        <f ca="1">IFERROR(IF(0=LEN(ReferenceData!$AW$120),"",ReferenceData!$AW$120),"")</f>
        <v>68756</v>
      </c>
      <c r="AX120">
        <f ca="1">IFERROR(IF(0=LEN(ReferenceData!$AX$120),"",ReferenceData!$AX$120),"")</f>
        <v>58054</v>
      </c>
      <c r="AY120">
        <f ca="1">IFERROR(IF(0=LEN(ReferenceData!$AY$120),"",ReferenceData!$AY$120),"")</f>
        <v>57984</v>
      </c>
      <c r="AZ120">
        <f ca="1">IFERROR(IF(0=LEN(ReferenceData!$AZ$120),"",ReferenceData!$AZ$120),"")</f>
        <v>57315</v>
      </c>
      <c r="BA120">
        <f ca="1">IFERROR(IF(0=LEN(ReferenceData!$BA$120),"",ReferenceData!$BA$120),"")</f>
        <v>60598</v>
      </c>
      <c r="BB120">
        <f ca="1">IFERROR(IF(0=LEN(ReferenceData!$BB$120),"",ReferenceData!$BB$120),"")</f>
        <v>46978</v>
      </c>
      <c r="BC120">
        <f ca="1">IFERROR(IF(0=LEN(ReferenceData!$BC$120),"",ReferenceData!$BC$120),"")</f>
        <v>39823</v>
      </c>
      <c r="BD120">
        <f ca="1">IFERROR(IF(0=LEN(ReferenceData!$BD$120),"",ReferenceData!$BD$120),"")</f>
        <v>45788</v>
      </c>
      <c r="BE120">
        <f ca="1">IFERROR(IF(0=LEN(ReferenceData!$BE$120),"",ReferenceData!$BE$120),"")</f>
        <v>51544</v>
      </c>
      <c r="BF120">
        <f ca="1">IFERROR(IF(0=LEN(ReferenceData!$BF$120),"",ReferenceData!$BF$120),"")</f>
        <v>49519</v>
      </c>
      <c r="BG120">
        <f ca="1">IFERROR(IF(0=LEN(ReferenceData!$BG$120),"",ReferenceData!$BG$120),"")</f>
        <v>40706</v>
      </c>
      <c r="BH120">
        <f ca="1">IFERROR(IF(0=LEN(ReferenceData!$BH$120),"",ReferenceData!$BH$120),"")</f>
        <v>51299</v>
      </c>
      <c r="BI120">
        <f ca="1">IFERROR(IF(0=LEN(ReferenceData!$BI$120),"",ReferenceData!$BI$120),"")</f>
        <v>55420</v>
      </c>
      <c r="BJ120">
        <f ca="1">IFERROR(IF(0=LEN(ReferenceData!$BJ$120),"",ReferenceData!$BJ$120),"")</f>
        <v>52694</v>
      </c>
      <c r="BK120">
        <f ca="1">IFERROR(IF(0=LEN(ReferenceData!$BK$120),"",ReferenceData!$BK$120),"")</f>
        <v>46611</v>
      </c>
      <c r="BL120">
        <f ca="1">IFERROR(IF(0=LEN(ReferenceData!$BL$120),"",ReferenceData!$BL$120),"")</f>
        <v>47713</v>
      </c>
      <c r="BM120">
        <f ca="1">IFERROR(IF(0=LEN(ReferenceData!$BM$120),"",ReferenceData!$BM$120),"")</f>
        <v>47402</v>
      </c>
    </row>
    <row r="121" spans="1:65" x14ac:dyDescent="0.25">
      <c r="A121" t="str">
        <f>IFERROR(IF(0=LEN(ReferenceData!$A$121),"",ReferenceData!$A$121),"")</f>
        <v xml:space="preserve">        Rolls-Royce</v>
      </c>
      <c r="B121" t="str">
        <f>IFERROR(IF(0=LEN(ReferenceData!$B$121),"",ReferenceData!$B$121),"")</f>
        <v>BMW GR Equity</v>
      </c>
      <c r="C121" t="str">
        <f>IFERROR(IF(0=LEN(ReferenceData!$C$121),"",ReferenceData!$C$121),"")</f>
        <v/>
      </c>
      <c r="D121" t="str">
        <f>IFERROR(IF(0=LEN(ReferenceData!$D$121),"",ReferenceData!$D$121),"")</f>
        <v/>
      </c>
      <c r="E121" t="str">
        <f>IFERROR(IF(0=LEN(ReferenceData!$E$121),"",ReferenceData!$E$121),"")</f>
        <v>Static</v>
      </c>
      <c r="F121" t="str">
        <f ca="1">IFERROR(IF(0=LEN(ReferenceData!$F$121),"",ReferenceData!$F$121),"")</f>
        <v/>
      </c>
      <c r="G121" t="str">
        <f ca="1">IFERROR(IF(0=LEN(ReferenceData!$G$121),"",ReferenceData!$G$121),"")</f>
        <v/>
      </c>
      <c r="H121" t="str">
        <f ca="1">IFERROR(IF(0=LEN(ReferenceData!$H$121),"",ReferenceData!$H$121),"")</f>
        <v/>
      </c>
      <c r="I121" t="str">
        <f ca="1">IFERROR(IF(0=LEN(ReferenceData!$I$121),"",ReferenceData!$I$121),"")</f>
        <v/>
      </c>
      <c r="J121" t="str">
        <f ca="1">IFERROR(IF(0=LEN(ReferenceData!$J$121),"",ReferenceData!$J$121),"")</f>
        <v/>
      </c>
      <c r="K121" t="str">
        <f ca="1">IFERROR(IF(0=LEN(ReferenceData!$K$121),"",ReferenceData!$K$121),"")</f>
        <v/>
      </c>
      <c r="L121" t="str">
        <f ca="1">IFERROR(IF(0=LEN(ReferenceData!$L$121),"",ReferenceData!$L$121),"")</f>
        <v/>
      </c>
      <c r="M121" t="str">
        <f ca="1">IFERROR(IF(0=LEN(ReferenceData!$M$121),"",ReferenceData!$M$121),"")</f>
        <v/>
      </c>
      <c r="N121" t="str">
        <f ca="1">IFERROR(IF(0=LEN(ReferenceData!$N$121),"",ReferenceData!$N$121),"")</f>
        <v/>
      </c>
      <c r="O121" t="str">
        <f ca="1">IFERROR(IF(0=LEN(ReferenceData!$O$121),"",ReferenceData!$O$121),"")</f>
        <v/>
      </c>
      <c r="P121" t="str">
        <f ca="1">IFERROR(IF(0=LEN(ReferenceData!$P$121),"",ReferenceData!$P$121),"")</f>
        <v/>
      </c>
      <c r="Q121" t="str">
        <f ca="1">IFERROR(IF(0=LEN(ReferenceData!$Q$121),"",ReferenceData!$Q$121),"")</f>
        <v/>
      </c>
      <c r="R121" t="str">
        <f ca="1">IFERROR(IF(0=LEN(ReferenceData!$R$121),"",ReferenceData!$R$121),"")</f>
        <v/>
      </c>
      <c r="S121" t="str">
        <f ca="1">IFERROR(IF(0=LEN(ReferenceData!$S$121),"",ReferenceData!$S$121),"")</f>
        <v/>
      </c>
      <c r="T121" t="str">
        <f ca="1">IFERROR(IF(0=LEN(ReferenceData!$T$121),"",ReferenceData!$T$121),"")</f>
        <v/>
      </c>
      <c r="U121" t="str">
        <f ca="1">IFERROR(IF(0=LEN(ReferenceData!$U$121),"",ReferenceData!$U$121),"")</f>
        <v/>
      </c>
      <c r="V121" t="str">
        <f ca="1">IFERROR(IF(0=LEN(ReferenceData!$V$121),"",ReferenceData!$V$121),"")</f>
        <v/>
      </c>
      <c r="W121" t="str">
        <f ca="1">IFERROR(IF(0=LEN(ReferenceData!$W$121),"",ReferenceData!$W$121),"")</f>
        <v/>
      </c>
      <c r="X121">
        <f ca="1">IFERROR(IF(0=LEN(ReferenceData!$X$121),"",ReferenceData!$X$121),"")</f>
        <v>891</v>
      </c>
      <c r="Y121">
        <f ca="1">IFERROR(IF(0=LEN(ReferenceData!$Y$121),"",ReferenceData!$Y$121),"")</f>
        <v>1071</v>
      </c>
      <c r="Z121">
        <f ca="1">IFERROR(IF(0=LEN(ReferenceData!$Z$121),"",ReferenceData!$Z$121),"")</f>
        <v>897</v>
      </c>
      <c r="AA121">
        <f ca="1">IFERROR(IF(0=LEN(ReferenceData!$AA$121),"",ReferenceData!$AA$121),"")</f>
        <v>1330</v>
      </c>
      <c r="AB121">
        <f ca="1">IFERROR(IF(0=LEN(ReferenceData!$AB$121),"",ReferenceData!$AB$121),"")</f>
        <v>825</v>
      </c>
      <c r="AC121">
        <f ca="1">IFERROR(IF(0=LEN(ReferenceData!$AC$121),"",ReferenceData!$AC$121),"")</f>
        <v>833</v>
      </c>
      <c r="AD121">
        <f ca="1">IFERROR(IF(0=LEN(ReferenceData!$AD$121),"",ReferenceData!$AD$121),"")</f>
        <v>642</v>
      </c>
      <c r="AE121">
        <f ca="1">IFERROR(IF(0=LEN(ReferenceData!$AE$121),"",ReferenceData!$AE$121),"")</f>
        <v>1249</v>
      </c>
      <c r="AF121">
        <f ca="1">IFERROR(IF(0=LEN(ReferenceData!$AF$121),"",ReferenceData!$AF$121),"")</f>
        <v>726</v>
      </c>
      <c r="AG121">
        <f ca="1">IFERROR(IF(0=LEN(ReferenceData!$AG$121),"",ReferenceData!$AG$121),"")</f>
        <v>830</v>
      </c>
      <c r="AH121">
        <f ca="1">IFERROR(IF(0=LEN(ReferenceData!$AH$121),"",ReferenceData!$AH$121),"")</f>
        <v>770</v>
      </c>
      <c r="AI121">
        <f ca="1">IFERROR(IF(0=LEN(ReferenceData!$AI$121),"",ReferenceData!$AI$121),"")</f>
        <v>1097</v>
      </c>
      <c r="AJ121">
        <f ca="1">IFERROR(IF(0=LEN(ReferenceData!$AJ$121),"",ReferenceData!$AJ$121),"")</f>
        <v>849</v>
      </c>
      <c r="AK121">
        <f ca="1">IFERROR(IF(0=LEN(ReferenceData!$AK$121),"",ReferenceData!$AK$121),"")</f>
        <v>869</v>
      </c>
      <c r="AL121">
        <f ca="1">IFERROR(IF(0=LEN(ReferenceData!$AL$121),"",ReferenceData!$AL$121),"")</f>
        <v>723</v>
      </c>
      <c r="AM121">
        <f ca="1">IFERROR(IF(0=LEN(ReferenceData!$AM$121),"",ReferenceData!$AM$121),"")</f>
        <v>983</v>
      </c>
      <c r="AN121">
        <f ca="1">IFERROR(IF(0=LEN(ReferenceData!$AN$121),"",ReferenceData!$AN$121),"")</f>
        <v>758</v>
      </c>
      <c r="AO121">
        <f ca="1">IFERROR(IF(0=LEN(ReferenceData!$AO$121),"",ReferenceData!$AO$121),"")</f>
        <v>691</v>
      </c>
      <c r="AP121">
        <f ca="1">IFERROR(IF(0=LEN(ReferenceData!$AP$121),"",ReferenceData!$AP$121),"")</f>
        <v>279</v>
      </c>
      <c r="AQ121">
        <f ca="1">IFERROR(IF(0=LEN(ReferenceData!$AQ$121),"",ReferenceData!$AQ$121),"")</f>
        <v>541</v>
      </c>
      <c r="AR121">
        <f ca="1">IFERROR(IF(0=LEN(ReferenceData!$AR$121),"",ReferenceData!$AR$121),"")</f>
        <v>132</v>
      </c>
      <c r="AS121">
        <f ca="1">IFERROR(IF(0=LEN(ReferenceData!$AS$121),"",ReferenceData!$AS$121),"")</f>
        <v>155</v>
      </c>
      <c r="AT121">
        <f ca="1">IFERROR(IF(0=LEN(ReferenceData!$AT$121),"",ReferenceData!$AT$121),"")</f>
        <v>174</v>
      </c>
      <c r="AU121">
        <f ca="1">IFERROR(IF(0=LEN(ReferenceData!$AU$121),"",ReferenceData!$AU$121),"")</f>
        <v>385</v>
      </c>
      <c r="AV121">
        <f ca="1">IFERROR(IF(0=LEN(ReferenceData!$AV$121),"",ReferenceData!$AV$121),"")</f>
        <v>332</v>
      </c>
      <c r="AW121">
        <f ca="1">IFERROR(IF(0=LEN(ReferenceData!$AW$121),"",ReferenceData!$AW$121),"")</f>
        <v>312</v>
      </c>
      <c r="AX121">
        <f ca="1">IFERROR(IF(0=LEN(ReferenceData!$AX$121),"",ReferenceData!$AX$121),"")</f>
        <v>183</v>
      </c>
      <c r="AY121">
        <f ca="1">IFERROR(IF(0=LEN(ReferenceData!$AY$121),"",ReferenceData!$AY$121),"")</f>
        <v>431</v>
      </c>
      <c r="AZ121">
        <f ca="1">IFERROR(IF(0=LEN(ReferenceData!$AZ$121),"",ReferenceData!$AZ$121),"")</f>
        <v>285</v>
      </c>
      <c r="BA121">
        <f ca="1">IFERROR(IF(0=LEN(ReferenceData!$BA$121),"",ReferenceData!$BA$121),"")</f>
        <v>181</v>
      </c>
      <c r="BB121">
        <f ca="1">IFERROR(IF(0=LEN(ReferenceData!$BB$121),"",ReferenceData!$BB$121),"")</f>
        <v>113</v>
      </c>
      <c r="BC121">
        <f ca="1">IFERROR(IF(0=LEN(ReferenceData!$BC$121),"",ReferenceData!$BC$121),"")</f>
        <v>372</v>
      </c>
      <c r="BD121">
        <f ca="1">IFERROR(IF(0=LEN(ReferenceData!$BD$121),"",ReferenceData!$BD$121),"")</f>
        <v>188</v>
      </c>
      <c r="BE121">
        <f ca="1">IFERROR(IF(0=LEN(ReferenceData!$BE$121),"",ReferenceData!$BE$121),"")</f>
        <v>180</v>
      </c>
      <c r="BF121">
        <f ca="1">IFERROR(IF(0=LEN(ReferenceData!$BF$121),"",ReferenceData!$BF$121),"")</f>
        <v>107</v>
      </c>
      <c r="BG121">
        <f ca="1">IFERROR(IF(0=LEN(ReferenceData!$BG$121),"",ReferenceData!$BG$121),"")</f>
        <v>228</v>
      </c>
      <c r="BH121">
        <f ca="1">IFERROR(IF(0=LEN(ReferenceData!$BH$121),"",ReferenceData!$BH$121),"")</f>
        <v>179</v>
      </c>
      <c r="BI121">
        <f ca="1">IFERROR(IF(0=LEN(ReferenceData!$BI$121),"",ReferenceData!$BI$121),"")</f>
        <v>159</v>
      </c>
      <c r="BJ121">
        <f ca="1">IFERROR(IF(0=LEN(ReferenceData!$BJ$121),"",ReferenceData!$BJ$121),"")</f>
        <v>126</v>
      </c>
      <c r="BK121">
        <f ca="1">IFERROR(IF(0=LEN(ReferenceData!$BK$121),"",ReferenceData!$BK$121),"")</f>
        <v>390</v>
      </c>
      <c r="BL121">
        <f ca="1">IFERROR(IF(0=LEN(ReferenceData!$BL$121),"",ReferenceData!$BL$121),"")</f>
        <v>166</v>
      </c>
      <c r="BM121">
        <f ca="1">IFERROR(IF(0=LEN(ReferenceData!$BM$121),"",ReferenceData!$BM$121),"")</f>
        <v>179</v>
      </c>
    </row>
    <row r="122" spans="1:65" x14ac:dyDescent="0.25">
      <c r="A122" t="str">
        <f>IFERROR(IF(0=LEN(ReferenceData!$A$122),"",ReferenceData!$A$122),"")</f>
        <v xml:space="preserve">    Mazda Motor Corp</v>
      </c>
      <c r="B122" t="str">
        <f>IFERROR(IF(0=LEN(ReferenceData!$B$122),"",ReferenceData!$B$122),"")</f>
        <v>7261 JP Equity</v>
      </c>
      <c r="C122" t="str">
        <f>IFERROR(IF(0=LEN(ReferenceData!$C$122),"",ReferenceData!$C$122),"")</f>
        <v/>
      </c>
      <c r="D122" t="str">
        <f>IFERROR(IF(0=LEN(ReferenceData!$D$122),"",ReferenceData!$D$122),"")</f>
        <v/>
      </c>
      <c r="E122" t="str">
        <f>IFERROR(IF(0=LEN(ReferenceData!$E$122),"",ReferenceData!$E$122),"")</f>
        <v>Static</v>
      </c>
      <c r="F122" t="str">
        <f ca="1">IFERROR(IF(0=LEN(ReferenceData!$F$122),"",ReferenceData!$F$122),"")</f>
        <v/>
      </c>
      <c r="G122" t="str">
        <f ca="1">IFERROR(IF(0=LEN(ReferenceData!$G$122),"",ReferenceData!$G$122),"")</f>
        <v/>
      </c>
      <c r="H122" t="str">
        <f ca="1">IFERROR(IF(0=LEN(ReferenceData!$H$122),"",ReferenceData!$H$122),"")</f>
        <v/>
      </c>
      <c r="I122" t="str">
        <f ca="1">IFERROR(IF(0=LEN(ReferenceData!$I$122),"",ReferenceData!$I$122),"")</f>
        <v/>
      </c>
      <c r="J122" t="str">
        <f ca="1">IFERROR(IF(0=LEN(ReferenceData!$J$122),"",ReferenceData!$J$122),"")</f>
        <v/>
      </c>
      <c r="K122" t="str">
        <f ca="1">IFERROR(IF(0=LEN(ReferenceData!$K$122),"",ReferenceData!$K$122),"")</f>
        <v/>
      </c>
      <c r="L122" t="str">
        <f ca="1">IFERROR(IF(0=LEN(ReferenceData!$L$122),"",ReferenceData!$L$122),"")</f>
        <v/>
      </c>
      <c r="M122" t="str">
        <f ca="1">IFERROR(IF(0=LEN(ReferenceData!$M$122),"",ReferenceData!$M$122),"")</f>
        <v/>
      </c>
      <c r="N122" t="str">
        <f ca="1">IFERROR(IF(0=LEN(ReferenceData!$N$122),"",ReferenceData!$N$122),"")</f>
        <v/>
      </c>
      <c r="O122" t="str">
        <f ca="1">IFERROR(IF(0=LEN(ReferenceData!$O$122),"",ReferenceData!$O$122),"")</f>
        <v/>
      </c>
      <c r="P122" t="str">
        <f ca="1">IFERROR(IF(0=LEN(ReferenceData!$P$122),"",ReferenceData!$P$122),"")</f>
        <v/>
      </c>
      <c r="Q122" t="str">
        <f ca="1">IFERROR(IF(0=LEN(ReferenceData!$Q$122),"",ReferenceData!$Q$122),"")</f>
        <v/>
      </c>
      <c r="R122" t="str">
        <f ca="1">IFERROR(IF(0=LEN(ReferenceData!$R$122),"",ReferenceData!$R$122),"")</f>
        <v/>
      </c>
      <c r="S122">
        <f ca="1">IFERROR(IF(0=LEN(ReferenceData!$S$122),"",ReferenceData!$S$122),"")</f>
        <v>322200</v>
      </c>
      <c r="T122" t="str">
        <f ca="1">IFERROR(IF(0=LEN(ReferenceData!$T$122),"",ReferenceData!$T$122),"")</f>
        <v/>
      </c>
      <c r="U122" t="str">
        <f ca="1">IFERROR(IF(0=LEN(ReferenceData!$U$122),"",ReferenceData!$U$122),"")</f>
        <v/>
      </c>
      <c r="V122" t="str">
        <f ca="1">IFERROR(IF(0=LEN(ReferenceData!$V$122),"",ReferenceData!$V$122),"")</f>
        <v/>
      </c>
      <c r="W122">
        <f ca="1">IFERROR(IF(0=LEN(ReferenceData!$W$122),"",ReferenceData!$W$122),"")</f>
        <v>378000</v>
      </c>
      <c r="X122">
        <f ca="1">IFERROR(IF(0=LEN(ReferenceData!$X$122),"",ReferenceData!$X$122),"")</f>
        <v>306000</v>
      </c>
      <c r="Y122">
        <f ca="1">IFERROR(IF(0=LEN(ReferenceData!$Y$122),"",ReferenceData!$Y$122),"")</f>
        <v>319000</v>
      </c>
      <c r="Z122">
        <f ca="1">IFERROR(IF(0=LEN(ReferenceData!$Z$122),"",ReferenceData!$Z$122),"")</f>
        <v>378000</v>
      </c>
      <c r="AA122">
        <f ca="1">IFERROR(IF(0=LEN(ReferenceData!$AA$122),"",ReferenceData!$AA$122),"")</f>
        <v>322000</v>
      </c>
      <c r="AB122">
        <f ca="1">IFERROR(IF(0=LEN(ReferenceData!$AB$122),"",ReferenceData!$AB$122),"")</f>
        <v>330000</v>
      </c>
      <c r="AC122">
        <f ca="1">IFERROR(IF(0=LEN(ReferenceData!$AC$122),"",ReferenceData!$AC$122),"")</f>
        <v>301000</v>
      </c>
      <c r="AD122">
        <f ca="1">IFERROR(IF(0=LEN(ReferenceData!$AD$122),"",ReferenceData!$AD$122),"")</f>
        <v>395000</v>
      </c>
      <c r="AE122">
        <f ca="1">IFERROR(IF(0=LEN(ReferenceData!$AE$122),"",ReferenceData!$AE$122),"")</f>
        <v>280000</v>
      </c>
      <c r="AF122">
        <f ca="1">IFERROR(IF(0=LEN(ReferenceData!$AF$122),"",ReferenceData!$AF$122),"")</f>
        <v>313000</v>
      </c>
      <c r="AG122">
        <f ca="1">IFERROR(IF(0=LEN(ReferenceData!$AG$122),"",ReferenceData!$AG$122),"")</f>
        <v>300000</v>
      </c>
      <c r="AH122">
        <f ca="1">IFERROR(IF(0=LEN(ReferenceData!$AH$122),"",ReferenceData!$AH$122),"")</f>
        <v>356000</v>
      </c>
      <c r="AI122">
        <f ca="1">IFERROR(IF(0=LEN(ReferenceData!$AI$122),"",ReferenceData!$AI$122),"")</f>
        <v>287000</v>
      </c>
      <c r="AJ122">
        <f ca="1">IFERROR(IF(0=LEN(ReferenceData!$AJ$122),"",ReferenceData!$AJ$122),"")</f>
        <v>323000</v>
      </c>
      <c r="AK122">
        <f ca="1">IFERROR(IF(0=LEN(ReferenceData!$AK$122),"",ReferenceData!$AK$122),"")</f>
        <v>281000</v>
      </c>
      <c r="AL122">
        <f ca="1">IFERROR(IF(0=LEN(ReferenceData!$AL$122),"",ReferenceData!$AL$122),"")</f>
        <v>317000</v>
      </c>
      <c r="AM122">
        <f ca="1">IFERROR(IF(0=LEN(ReferenceData!$AM$122),"",ReferenceData!$AM$122),"")</f>
        <v>297000</v>
      </c>
      <c r="AN122">
        <f ca="1">IFERROR(IF(0=LEN(ReferenceData!$AN$122),"",ReferenceData!$AN$122),"")</f>
        <v>342000</v>
      </c>
      <c r="AO122">
        <f ca="1">IFERROR(IF(0=LEN(ReferenceData!$AO$122),"",ReferenceData!$AO$122),"")</f>
        <v>317000</v>
      </c>
      <c r="AP122">
        <f ca="1">IFERROR(IF(0=LEN(ReferenceData!$AP$122),"",ReferenceData!$AP$122),"")</f>
        <v>289608</v>
      </c>
      <c r="AQ122">
        <f ca="1">IFERROR(IF(0=LEN(ReferenceData!$AQ$122),"",ReferenceData!$AQ$122),"")</f>
        <v>242537</v>
      </c>
      <c r="AR122">
        <f ca="1">IFERROR(IF(0=LEN(ReferenceData!$AR$122),"",ReferenceData!$AR$122),"")</f>
        <v>250042</v>
      </c>
      <c r="AS122">
        <f ca="1">IFERROR(IF(0=LEN(ReferenceData!$AS$122),"",ReferenceData!$AS$122),"")</f>
        <v>181141</v>
      </c>
      <c r="AT122">
        <f ca="1">IFERROR(IF(0=LEN(ReferenceData!$AT$122),"",ReferenceData!$AT$122),"")</f>
        <v>225271</v>
      </c>
      <c r="AU122">
        <f ca="1">IFERROR(IF(0=LEN(ReferenceData!$AU$122),"",ReferenceData!$AU$122),"")</f>
        <v>242854</v>
      </c>
      <c r="AV122">
        <f ca="1">IFERROR(IF(0=LEN(ReferenceData!$AV$122),"",ReferenceData!$AV$122),"")</f>
        <v>330442</v>
      </c>
      <c r="AW122">
        <f ca="1">IFERROR(IF(0=LEN(ReferenceData!$AW$122),"",ReferenceData!$AW$122),"")</f>
        <v>317753</v>
      </c>
      <c r="AX122">
        <f ca="1">IFERROR(IF(0=LEN(ReferenceData!$AX$122),"",ReferenceData!$AX$122),"")</f>
        <v>363831</v>
      </c>
      <c r="AY122">
        <f ca="1">IFERROR(IF(0=LEN(ReferenceData!$AY$122),"",ReferenceData!$AY$122),"")</f>
        <v>300638</v>
      </c>
      <c r="AZ122">
        <f ca="1">IFERROR(IF(0=LEN(ReferenceData!$AZ$122),"",ReferenceData!$AZ$122),"")</f>
        <v>294876</v>
      </c>
      <c r="BA122">
        <f ca="1">IFERROR(IF(0=LEN(ReferenceData!$BA$122),"",ReferenceData!$BA$122),"")</f>
        <v>280216</v>
      </c>
      <c r="BB122">
        <f ca="1">IFERROR(IF(0=LEN(ReferenceData!$BB$122),"",ReferenceData!$BB$122),"")</f>
        <v>348088</v>
      </c>
      <c r="BC122">
        <f ca="1">IFERROR(IF(0=LEN(ReferenceData!$BC$122),"",ReferenceData!$BC$122),"")</f>
        <v>268514</v>
      </c>
      <c r="BD122">
        <f ca="1">IFERROR(IF(0=LEN(ReferenceData!$BD$122),"",ReferenceData!$BD$122),"")</f>
        <v>288466</v>
      </c>
      <c r="BE122">
        <f ca="1">IFERROR(IF(0=LEN(ReferenceData!$BE$122),"",ReferenceData!$BE$122),"")</f>
        <v>271605</v>
      </c>
      <c r="BF122">
        <f ca="1">IFERROR(IF(0=LEN(ReferenceData!$BF$122),"",ReferenceData!$BF$122),"")</f>
        <v>311923</v>
      </c>
      <c r="BG122" t="str">
        <f ca="1">IFERROR(IF(0=LEN(ReferenceData!$BG$122),"",ReferenceData!$BG$122),"")</f>
        <v/>
      </c>
      <c r="BH122" t="str">
        <f ca="1">IFERROR(IF(0=LEN(ReferenceData!$BH$122),"",ReferenceData!$BH$122),"")</f>
        <v/>
      </c>
      <c r="BI122" t="str">
        <f ca="1">IFERROR(IF(0=LEN(ReferenceData!$BI$122),"",ReferenceData!$BI$122),"")</f>
        <v/>
      </c>
      <c r="BJ122" t="str">
        <f ca="1">IFERROR(IF(0=LEN(ReferenceData!$BJ$122),"",ReferenceData!$BJ$122),"")</f>
        <v/>
      </c>
      <c r="BK122" t="str">
        <f ca="1">IFERROR(IF(0=LEN(ReferenceData!$BK$122),"",ReferenceData!$BK$122),"")</f>
        <v/>
      </c>
      <c r="BL122" t="str">
        <f ca="1">IFERROR(IF(0=LEN(ReferenceData!$BL$122),"",ReferenceData!$BL$122),"")</f>
        <v/>
      </c>
      <c r="BM122" t="str">
        <f ca="1">IFERROR(IF(0=LEN(ReferenceData!$BM$122),"",ReferenceData!$BM$122),"")</f>
        <v/>
      </c>
    </row>
    <row r="123" spans="1:65" x14ac:dyDescent="0.25">
      <c r="A123" t="str">
        <f>IFERROR(IF(0=LEN(ReferenceData!$A$123),"",ReferenceData!$A$123),"")</f>
        <v xml:space="preserve">    Guangzhou Automobile Group Co Ltd</v>
      </c>
      <c r="B123" t="str">
        <f>IFERROR(IF(0=LEN(ReferenceData!$B$123),"",ReferenceData!$B$123),"")</f>
        <v>2238 HK Equity</v>
      </c>
      <c r="C123" t="str">
        <f>IFERROR(IF(0=LEN(ReferenceData!$C$123),"",ReferenceData!$C$123),"")</f>
        <v>BI047</v>
      </c>
      <c r="D123" t="str">
        <f>IFERROR(IF(0=LEN(ReferenceData!$D$123),"",ReferenceData!$D$123),"")</f>
        <v>BICS_SEGMENT_DATA</v>
      </c>
      <c r="E123" t="str">
        <f>IFERROR(IF(0=LEN(ReferenceData!$E$123),"",ReferenceData!$E$123),"")</f>
        <v>Dynamic</v>
      </c>
      <c r="F123" t="str">
        <f ca="1">IFERROR(IF(0=LEN(ReferenceData!$F$123),"",ReferenceData!$F$123),"")</f>
        <v/>
      </c>
      <c r="G123" t="str">
        <f ca="1">IFERROR(IF(0=LEN(ReferenceData!$G$123),"",ReferenceData!$G$123),"")</f>
        <v/>
      </c>
      <c r="H123" t="str">
        <f ca="1">IFERROR(IF(0=LEN(ReferenceData!$H$123),"",ReferenceData!$H$123),"")</f>
        <v/>
      </c>
      <c r="I123" t="str">
        <f ca="1">IFERROR(IF(0=LEN(ReferenceData!$I$123),"",ReferenceData!$I$123),"")</f>
        <v/>
      </c>
      <c r="J123" t="str">
        <f ca="1">IFERROR(IF(0=LEN(ReferenceData!$J$123),"",ReferenceData!$J$123),"")</f>
        <v/>
      </c>
      <c r="K123" t="str">
        <f ca="1">IFERROR(IF(0=LEN(ReferenceData!$K$123),"",ReferenceData!$K$123),"")</f>
        <v/>
      </c>
      <c r="L123" t="str">
        <f ca="1">IFERROR(IF(0=LEN(ReferenceData!$L$123),"",ReferenceData!$L$123),"")</f>
        <v/>
      </c>
      <c r="M123" t="str">
        <f ca="1">IFERROR(IF(0=LEN(ReferenceData!$M$123),"",ReferenceData!$M$123),"")</f>
        <v/>
      </c>
      <c r="N123" t="str">
        <f ca="1">IFERROR(IF(0=LEN(ReferenceData!$N$123),"",ReferenceData!$N$123),"")</f>
        <v/>
      </c>
      <c r="O123" t="str">
        <f ca="1">IFERROR(IF(0=LEN(ReferenceData!$O$123),"",ReferenceData!$O$123),"")</f>
        <v/>
      </c>
      <c r="P123" t="str">
        <f ca="1">IFERROR(IF(0=LEN(ReferenceData!$P$123),"",ReferenceData!$P$123),"")</f>
        <v/>
      </c>
      <c r="Q123" t="str">
        <f ca="1">IFERROR(IF(0=LEN(ReferenceData!$Q$123),"",ReferenceData!$Q$123),"")</f>
        <v/>
      </c>
      <c r="R123" t="str">
        <f ca="1">IFERROR(IF(0=LEN(ReferenceData!$R$123),"",ReferenceData!$R$123),"")</f>
        <v/>
      </c>
      <c r="S123" t="str">
        <f ca="1">IFERROR(IF(0=LEN(ReferenceData!$S$123),"",ReferenceData!$S$123),"")</f>
        <v/>
      </c>
      <c r="T123" t="str">
        <f ca="1">IFERROR(IF(0=LEN(ReferenceData!$T$123),"",ReferenceData!$T$123),"")</f>
        <v/>
      </c>
      <c r="U123" t="str">
        <f ca="1">IFERROR(IF(0=LEN(ReferenceData!$U$123),"",ReferenceData!$U$123),"")</f>
        <v/>
      </c>
      <c r="V123" t="str">
        <f ca="1">IFERROR(IF(0=LEN(ReferenceData!$V$123),"",ReferenceData!$V$123),"")</f>
        <v/>
      </c>
      <c r="W123" t="str">
        <f ca="1">IFERROR(IF(0=LEN(ReferenceData!$W$123),"",ReferenceData!$W$123),"")</f>
        <v/>
      </c>
      <c r="X123" t="str">
        <f ca="1">IFERROR(IF(0=LEN(ReferenceData!$X$123),"",ReferenceData!$X$123),"")</f>
        <v/>
      </c>
      <c r="Y123" t="str">
        <f ca="1">IFERROR(IF(0=LEN(ReferenceData!$Y$123),"",ReferenceData!$Y$123),"")</f>
        <v/>
      </c>
      <c r="Z123" t="str">
        <f ca="1">IFERROR(IF(0=LEN(ReferenceData!$Z$123),"",ReferenceData!$Z$123),"")</f>
        <v/>
      </c>
      <c r="AA123" t="str">
        <f ca="1">IFERROR(IF(0=LEN(ReferenceData!$AA$123),"",ReferenceData!$AA$123),"")</f>
        <v/>
      </c>
      <c r="AB123" t="str">
        <f ca="1">IFERROR(IF(0=LEN(ReferenceData!$AB$123),"",ReferenceData!$AB$123),"")</f>
        <v/>
      </c>
      <c r="AC123" t="str">
        <f ca="1">IFERROR(IF(0=LEN(ReferenceData!$AC$123),"",ReferenceData!$AC$123),"")</f>
        <v/>
      </c>
      <c r="AD123" t="str">
        <f ca="1">IFERROR(IF(0=LEN(ReferenceData!$AD$123),"",ReferenceData!$AD$123),"")</f>
        <v/>
      </c>
      <c r="AE123" t="str">
        <f ca="1">IFERROR(IF(0=LEN(ReferenceData!$AE$123),"",ReferenceData!$AE$123),"")</f>
        <v/>
      </c>
      <c r="AF123" t="str">
        <f ca="1">IFERROR(IF(0=LEN(ReferenceData!$AF$123),"",ReferenceData!$AF$123),"")</f>
        <v/>
      </c>
      <c r="AG123" t="str">
        <f ca="1">IFERROR(IF(0=LEN(ReferenceData!$AG$123),"",ReferenceData!$AG$123),"")</f>
        <v/>
      </c>
      <c r="AH123" t="str">
        <f ca="1">IFERROR(IF(0=LEN(ReferenceData!$AH$123),"",ReferenceData!$AH$123),"")</f>
        <v/>
      </c>
      <c r="AI123" t="str">
        <f ca="1">IFERROR(IF(0=LEN(ReferenceData!$AI$123),"",ReferenceData!$AI$123),"")</f>
        <v/>
      </c>
      <c r="AJ123" t="str">
        <f ca="1">IFERROR(IF(0=LEN(ReferenceData!$AJ$123),"",ReferenceData!$AJ$123),"")</f>
        <v/>
      </c>
      <c r="AK123" t="str">
        <f ca="1">IFERROR(IF(0=LEN(ReferenceData!$AK$123),"",ReferenceData!$AK$123),"")</f>
        <v/>
      </c>
      <c r="AL123" t="str">
        <f ca="1">IFERROR(IF(0=LEN(ReferenceData!$AL$123),"",ReferenceData!$AL$123),"")</f>
        <v/>
      </c>
      <c r="AM123" t="str">
        <f ca="1">IFERROR(IF(0=LEN(ReferenceData!$AM$123),"",ReferenceData!$AM$123),"")</f>
        <v/>
      </c>
      <c r="AN123" t="str">
        <f ca="1">IFERROR(IF(0=LEN(ReferenceData!$AN$123),"",ReferenceData!$AN$123),"")</f>
        <v/>
      </c>
      <c r="AO123" t="str">
        <f ca="1">IFERROR(IF(0=LEN(ReferenceData!$AO$123),"",ReferenceData!$AO$123),"")</f>
        <v/>
      </c>
      <c r="AP123" t="str">
        <f ca="1">IFERROR(IF(0=LEN(ReferenceData!$AP$123),"",ReferenceData!$AP$123),"")</f>
        <v/>
      </c>
      <c r="AQ123" t="str">
        <f ca="1">IFERROR(IF(0=LEN(ReferenceData!$AQ$123),"",ReferenceData!$AQ$123),"")</f>
        <v/>
      </c>
      <c r="AR123" t="str">
        <f ca="1">IFERROR(IF(0=LEN(ReferenceData!$AR$123),"",ReferenceData!$AR$123),"")</f>
        <v/>
      </c>
      <c r="AS123" t="str">
        <f ca="1">IFERROR(IF(0=LEN(ReferenceData!$AS$123),"",ReferenceData!$AS$123),"")</f>
        <v/>
      </c>
      <c r="AT123" t="str">
        <f ca="1">IFERROR(IF(0=LEN(ReferenceData!$AT$123),"",ReferenceData!$AT$123),"")</f>
        <v/>
      </c>
      <c r="AU123" t="str">
        <f ca="1">IFERROR(IF(0=LEN(ReferenceData!$AU$123),"",ReferenceData!$AU$123),"")</f>
        <v/>
      </c>
      <c r="AV123" t="str">
        <f ca="1">IFERROR(IF(0=LEN(ReferenceData!$AV$123),"",ReferenceData!$AV$123),"")</f>
        <v/>
      </c>
      <c r="AW123" t="str">
        <f ca="1">IFERROR(IF(0=LEN(ReferenceData!$AW$123),"",ReferenceData!$AW$123),"")</f>
        <v/>
      </c>
      <c r="AX123" t="str">
        <f ca="1">IFERROR(IF(0=LEN(ReferenceData!$AX$123),"",ReferenceData!$AX$123),"")</f>
        <v/>
      </c>
      <c r="AY123" t="str">
        <f ca="1">IFERROR(IF(0=LEN(ReferenceData!$AY$123),"",ReferenceData!$AY$123),"")</f>
        <v/>
      </c>
      <c r="AZ123" t="str">
        <f ca="1">IFERROR(IF(0=LEN(ReferenceData!$AZ$123),"",ReferenceData!$AZ$123),"")</f>
        <v/>
      </c>
      <c r="BA123" t="str">
        <f ca="1">IFERROR(IF(0=LEN(ReferenceData!$BA$123),"",ReferenceData!$BA$123),"")</f>
        <v/>
      </c>
      <c r="BB123" t="str">
        <f ca="1">IFERROR(IF(0=LEN(ReferenceData!$BB$123),"",ReferenceData!$BB$123),"")</f>
        <v/>
      </c>
      <c r="BC123" t="str">
        <f ca="1">IFERROR(IF(0=LEN(ReferenceData!$BC$123),"",ReferenceData!$BC$123),"")</f>
        <v/>
      </c>
      <c r="BD123" t="str">
        <f ca="1">IFERROR(IF(0=LEN(ReferenceData!$BD$123),"",ReferenceData!$BD$123),"")</f>
        <v/>
      </c>
      <c r="BE123" t="str">
        <f ca="1">IFERROR(IF(0=LEN(ReferenceData!$BE$123),"",ReferenceData!$BE$123),"")</f>
        <v/>
      </c>
      <c r="BF123" t="str">
        <f ca="1">IFERROR(IF(0=LEN(ReferenceData!$BF$123),"",ReferenceData!$BF$123),"")</f>
        <v/>
      </c>
      <c r="BG123" t="str">
        <f ca="1">IFERROR(IF(0=LEN(ReferenceData!$BG$123),"",ReferenceData!$BG$123),"")</f>
        <v/>
      </c>
      <c r="BH123" t="str">
        <f ca="1">IFERROR(IF(0=LEN(ReferenceData!$BH$123),"",ReferenceData!$BH$123),"")</f>
        <v/>
      </c>
      <c r="BI123" t="str">
        <f ca="1">IFERROR(IF(0=LEN(ReferenceData!$BI$123),"",ReferenceData!$BI$123),"")</f>
        <v/>
      </c>
      <c r="BJ123" t="str">
        <f ca="1">IFERROR(IF(0=LEN(ReferenceData!$BJ$123),"",ReferenceData!$BJ$123),"")</f>
        <v/>
      </c>
      <c r="BK123" t="str">
        <f ca="1">IFERROR(IF(0=LEN(ReferenceData!$BK$123),"",ReferenceData!$BK$123),"")</f>
        <v/>
      </c>
      <c r="BL123" t="str">
        <f ca="1">IFERROR(IF(0=LEN(ReferenceData!$BL$123),"",ReferenceData!$BL$123),"")</f>
        <v/>
      </c>
      <c r="BM123" t="str">
        <f ca="1">IFERROR(IF(0=LEN(ReferenceData!$BM$123),"",ReferenceData!$BM$123),"")</f>
        <v/>
      </c>
    </row>
    <row r="124" spans="1:65" x14ac:dyDescent="0.25">
      <c r="A124" t="str">
        <f>IFERROR(IF(0=LEN(ReferenceData!$A$124),"",ReferenceData!$A$124),"")</f>
        <v xml:space="preserve">    Beiqi Foton Motor Co Ltd</v>
      </c>
      <c r="B124" t="str">
        <f>IFERROR(IF(0=LEN(ReferenceData!$B$124),"",ReferenceData!$B$124),"")</f>
        <v>600166 CH Equity</v>
      </c>
      <c r="C124" t="str">
        <f>IFERROR(IF(0=LEN(ReferenceData!$C$124),"",ReferenceData!$C$124),"")</f>
        <v>FS265</v>
      </c>
      <c r="D124" t="str">
        <f>IFERROR(IF(0=LEN(ReferenceData!$D$124),"",ReferenceData!$D$124),"")</f>
        <v>AUTO_VEHICLES_SOLD_WW</v>
      </c>
      <c r="E124" t="str">
        <f>IFERROR(IF(0=LEN(ReferenceData!$E$124),"",ReferenceData!$E$124),"")</f>
        <v>Dynamic</v>
      </c>
      <c r="F124" t="str">
        <f ca="1">IFERROR(IF(0=LEN(ReferenceData!$F$124),"",ReferenceData!$F$124),"")</f>
        <v/>
      </c>
      <c r="G124" t="str">
        <f ca="1">IFERROR(IF(0=LEN(ReferenceData!$G$124),"",ReferenceData!$G$124),"")</f>
        <v/>
      </c>
      <c r="H124">
        <f ca="1">IFERROR(IF(0=LEN(ReferenceData!$H$124),"",ReferenceData!$H$124),"")</f>
        <v>196929</v>
      </c>
      <c r="I124" t="str">
        <f ca="1">IFERROR(IF(0=LEN(ReferenceData!$I$124),"",ReferenceData!$I$124),"")</f>
        <v/>
      </c>
      <c r="J124">
        <f ca="1">IFERROR(IF(0=LEN(ReferenceData!$J$124),"",ReferenceData!$J$124),"")</f>
        <v>124197</v>
      </c>
      <c r="K124">
        <f ca="1">IFERROR(IF(0=LEN(ReferenceData!$K$124),"",ReferenceData!$K$124),"")</f>
        <v>164685</v>
      </c>
      <c r="L124">
        <f ca="1">IFERROR(IF(0=LEN(ReferenceData!$L$124),"",ReferenceData!$L$124),"")</f>
        <v>284530</v>
      </c>
      <c r="M124" t="str">
        <f ca="1">IFERROR(IF(0=LEN(ReferenceData!$M$124),"",ReferenceData!$M$124),"")</f>
        <v/>
      </c>
      <c r="N124">
        <f ca="1">IFERROR(IF(0=LEN(ReferenceData!$N$124),"",ReferenceData!$N$124),"")</f>
        <v>151601</v>
      </c>
      <c r="O124">
        <f ca="1">IFERROR(IF(0=LEN(ReferenceData!$O$124),"",ReferenceData!$O$124),"")</f>
        <v>153875</v>
      </c>
      <c r="P124">
        <f ca="1">IFERROR(IF(0=LEN(ReferenceData!$P$124),"",ReferenceData!$P$124),"")</f>
        <v>126833</v>
      </c>
      <c r="Q124" t="str">
        <f ca="1">IFERROR(IF(0=LEN(ReferenceData!$Q$124),"",ReferenceData!$Q$124),"")</f>
        <v/>
      </c>
      <c r="R124">
        <f ca="1">IFERROR(IF(0=LEN(ReferenceData!$R$124),"",ReferenceData!$R$124),"")</f>
        <v>115457</v>
      </c>
      <c r="S124">
        <f ca="1">IFERROR(IF(0=LEN(ReferenceData!$S$124),"",ReferenceData!$S$124),"")</f>
        <v>120104</v>
      </c>
      <c r="T124">
        <f ca="1">IFERROR(IF(0=LEN(ReferenceData!$T$124),"",ReferenceData!$T$124),"")</f>
        <v>103997</v>
      </c>
      <c r="U124">
        <f ca="1">IFERROR(IF(0=LEN(ReferenceData!$U$124),"",ReferenceData!$U$124),"")</f>
        <v>128132</v>
      </c>
      <c r="V124">
        <f ca="1">IFERROR(IF(0=LEN(ReferenceData!$V$124),"",ReferenceData!$V$124),"")</f>
        <v>135348</v>
      </c>
      <c r="W124">
        <f ca="1">IFERROR(IF(0=LEN(ReferenceData!$W$124),"",ReferenceData!$W$124),"")</f>
        <v>126225</v>
      </c>
      <c r="X124" t="str">
        <f ca="1">IFERROR(IF(0=LEN(ReferenceData!$X$124),"",ReferenceData!$X$124),"")</f>
        <v/>
      </c>
      <c r="Y124">
        <f ca="1">IFERROR(IF(0=LEN(ReferenceData!$Y$124),"",ReferenceData!$Y$124),"")</f>
        <v>153769</v>
      </c>
      <c r="Z124">
        <f ca="1">IFERROR(IF(0=LEN(ReferenceData!$Z$124),"",ReferenceData!$Z$124),"")</f>
        <v>172348</v>
      </c>
      <c r="AA124">
        <f ca="1">IFERROR(IF(0=LEN(ReferenceData!$AA$124),"",ReferenceData!$AA$124),"")</f>
        <v>172325</v>
      </c>
      <c r="AB124">
        <f ca="1">IFERROR(IF(0=LEN(ReferenceData!$AB$124),"",ReferenceData!$AB$124),"")</f>
        <v>144963</v>
      </c>
      <c r="AC124">
        <f ca="1">IFERROR(IF(0=LEN(ReferenceData!$AC$124),"",ReferenceData!$AC$124),"")</f>
        <v>174339</v>
      </c>
      <c r="AD124">
        <f ca="1">IFERROR(IF(0=LEN(ReferenceData!$AD$124),"",ReferenceData!$AD$124),"")</f>
        <v>173087</v>
      </c>
      <c r="AE124">
        <f ca="1">IFERROR(IF(0=LEN(ReferenceData!$AE$124),"",ReferenceData!$AE$124),"")</f>
        <v>154770</v>
      </c>
      <c r="AF124">
        <f ca="1">IFERROR(IF(0=LEN(ReferenceData!$AF$124),"",ReferenceData!$AF$124),"")</f>
        <v>133588</v>
      </c>
      <c r="AG124">
        <f ca="1">IFERROR(IF(0=LEN(ReferenceData!$AG$124),"",ReferenceData!$AG$124),"")</f>
        <v>155576</v>
      </c>
      <c r="AH124">
        <f ca="1">IFERROR(IF(0=LEN(ReferenceData!$AH$124),"",ReferenceData!$AH$124),"")</f>
        <v>176404</v>
      </c>
      <c r="AI124">
        <f ca="1">IFERROR(IF(0=LEN(ReferenceData!$AI$124),"",ReferenceData!$AI$124),"")</f>
        <v>143003</v>
      </c>
      <c r="AJ124">
        <f ca="1">IFERROR(IF(0=LEN(ReferenceData!$AJ$124),"",ReferenceData!$AJ$124),"")</f>
        <v>139419</v>
      </c>
      <c r="AK124">
        <f ca="1">IFERROR(IF(0=LEN(ReferenceData!$AK$124),"",ReferenceData!$AK$124),"")</f>
        <v>179402</v>
      </c>
      <c r="AL124">
        <f ca="1">IFERROR(IF(0=LEN(ReferenceData!$AL$124),"",ReferenceData!$AL$124),"")</f>
        <v>178573</v>
      </c>
      <c r="AM124">
        <f ca="1">IFERROR(IF(0=LEN(ReferenceData!$AM$124),"",ReferenceData!$AM$124),"")</f>
        <v>162144</v>
      </c>
      <c r="AN124">
        <f ca="1">IFERROR(IF(0=LEN(ReferenceData!$AN$124),"",ReferenceData!$AN$124),"")</f>
        <v>149639</v>
      </c>
      <c r="AO124">
        <f ca="1">IFERROR(IF(0=LEN(ReferenceData!$AO$124),"",ReferenceData!$AO$124),"")</f>
        <v>192943</v>
      </c>
      <c r="AP124">
        <f ca="1">IFERROR(IF(0=LEN(ReferenceData!$AP$124),"",ReferenceData!$AP$124),"")</f>
        <v>178169</v>
      </c>
      <c r="AQ124">
        <f ca="1">IFERROR(IF(0=LEN(ReferenceData!$AQ$124),"",ReferenceData!$AQ$124),"")</f>
        <v>155957</v>
      </c>
      <c r="AR124">
        <f ca="1">IFERROR(IF(0=LEN(ReferenceData!$AR$124),"",ReferenceData!$AR$124),"")</f>
        <v>159369</v>
      </c>
      <c r="AS124">
        <f ca="1">IFERROR(IF(0=LEN(ReferenceData!$AS$124),"",ReferenceData!$AS$124),"")</f>
        <v>162045</v>
      </c>
      <c r="AT124">
        <f ca="1">IFERROR(IF(0=LEN(ReferenceData!$AT$124),"",ReferenceData!$AT$124),"")</f>
        <v>124650</v>
      </c>
      <c r="AU124">
        <f ca="1">IFERROR(IF(0=LEN(ReferenceData!$AU$124),"",ReferenceData!$AU$124),"")</f>
        <v>67253</v>
      </c>
      <c r="AV124">
        <f ca="1">IFERROR(IF(0=LEN(ReferenceData!$AV$124),"",ReferenceData!$AV$124),"")</f>
        <v>91874</v>
      </c>
      <c r="AW124">
        <f ca="1">IFERROR(IF(0=LEN(ReferenceData!$AW$124),"",ReferenceData!$AW$124),"")</f>
        <v>127022</v>
      </c>
      <c r="AX124">
        <f ca="1">IFERROR(IF(0=LEN(ReferenceData!$AX$124),"",ReferenceData!$AX$124),"")</f>
        <v>123414</v>
      </c>
      <c r="AY124" t="str">
        <f ca="1">IFERROR(IF(0=LEN(ReferenceData!$AY$124),"",ReferenceData!$AY$124),"")</f>
        <v/>
      </c>
      <c r="AZ124" t="str">
        <f ca="1">IFERROR(IF(0=LEN(ReferenceData!$AZ$124),"",ReferenceData!$AZ$124),"")</f>
        <v/>
      </c>
      <c r="BA124" t="str">
        <f ca="1">IFERROR(IF(0=LEN(ReferenceData!$BA$124),"",ReferenceData!$BA$124),"")</f>
        <v/>
      </c>
      <c r="BB124" t="str">
        <f ca="1">IFERROR(IF(0=LEN(ReferenceData!$BB$124),"",ReferenceData!$BB$124),"")</f>
        <v/>
      </c>
      <c r="BC124" t="str">
        <f ca="1">IFERROR(IF(0=LEN(ReferenceData!$BC$124),"",ReferenceData!$BC$124),"")</f>
        <v/>
      </c>
      <c r="BD124" t="str">
        <f ca="1">IFERROR(IF(0=LEN(ReferenceData!$BD$124),"",ReferenceData!$BD$124),"")</f>
        <v/>
      </c>
      <c r="BE124">
        <f ca="1">IFERROR(IF(0=LEN(ReferenceData!$BE$124),"",ReferenceData!$BE$124),"")</f>
        <v>89974</v>
      </c>
      <c r="BF124" t="str">
        <f ca="1">IFERROR(IF(0=LEN(ReferenceData!$BF$124),"",ReferenceData!$BF$124),"")</f>
        <v/>
      </c>
      <c r="BG124" t="str">
        <f ca="1">IFERROR(IF(0=LEN(ReferenceData!$BG$124),"",ReferenceData!$BG$124),"")</f>
        <v/>
      </c>
      <c r="BH124" t="str">
        <f ca="1">IFERROR(IF(0=LEN(ReferenceData!$BH$124),"",ReferenceData!$BH$124),"")</f>
        <v/>
      </c>
      <c r="BI124">
        <f ca="1">IFERROR(IF(0=LEN(ReferenceData!$BI$124),"",ReferenceData!$BI$124),"")</f>
        <v>83390</v>
      </c>
      <c r="BJ124">
        <f ca="1">IFERROR(IF(0=LEN(ReferenceData!$BJ$124),"",ReferenceData!$BJ$124),"")</f>
        <v>84509</v>
      </c>
      <c r="BK124" t="str">
        <f ca="1">IFERROR(IF(0=LEN(ReferenceData!$BK$124),"",ReferenceData!$BK$124),"")</f>
        <v/>
      </c>
      <c r="BL124" t="str">
        <f ca="1">IFERROR(IF(0=LEN(ReferenceData!$BL$124),"",ReferenceData!$BL$124),"")</f>
        <v/>
      </c>
      <c r="BM124" t="str">
        <f ca="1">IFERROR(IF(0=LEN(ReferenceData!$BM$124),"",ReferenceData!$BM$124),"")</f>
        <v/>
      </c>
    </row>
    <row r="125" spans="1:65" x14ac:dyDescent="0.25">
      <c r="A125" t="str">
        <f>IFERROR(IF(0=LEN(ReferenceData!$A$125),"",ReferenceData!$A$125),"")</f>
        <v xml:space="preserve">    Fuji Heavy Industries Ltd</v>
      </c>
      <c r="B125" t="str">
        <f>IFERROR(IF(0=LEN(ReferenceData!$B$125),"",ReferenceData!$B$125),"")</f>
        <v>7270 JP Equity</v>
      </c>
      <c r="C125" t="str">
        <f>IFERROR(IF(0=LEN(ReferenceData!$C$125),"",ReferenceData!$C$125),"")</f>
        <v/>
      </c>
      <c r="D125" t="str">
        <f>IFERROR(IF(0=LEN(ReferenceData!$D$125),"",ReferenceData!$D$125),"")</f>
        <v/>
      </c>
      <c r="E125" t="str">
        <f>IFERROR(IF(0=LEN(ReferenceData!$E$125),"",ReferenceData!$E$125),"")</f>
        <v>Static</v>
      </c>
      <c r="F125" t="str">
        <f ca="1">IFERROR(IF(0=LEN(ReferenceData!$F$125),"",ReferenceData!$F$125),"")</f>
        <v/>
      </c>
      <c r="G125" t="str">
        <f ca="1">IFERROR(IF(0=LEN(ReferenceData!$G$125),"",ReferenceData!$G$125),"")</f>
        <v/>
      </c>
      <c r="H125" t="str">
        <f ca="1">IFERROR(IF(0=LEN(ReferenceData!$H$125),"",ReferenceData!$H$125),"")</f>
        <v/>
      </c>
      <c r="I125" t="str">
        <f ca="1">IFERROR(IF(0=LEN(ReferenceData!$I$125),"",ReferenceData!$I$125),"")</f>
        <v/>
      </c>
      <c r="J125" t="str">
        <f ca="1">IFERROR(IF(0=LEN(ReferenceData!$J$125),"",ReferenceData!$J$125),"")</f>
        <v/>
      </c>
      <c r="K125" t="str">
        <f ca="1">IFERROR(IF(0=LEN(ReferenceData!$K$125),"",ReferenceData!$K$125),"")</f>
        <v/>
      </c>
      <c r="L125" t="str">
        <f ca="1">IFERROR(IF(0=LEN(ReferenceData!$L$125),"",ReferenceData!$L$125),"")</f>
        <v/>
      </c>
      <c r="M125" t="str">
        <f ca="1">IFERROR(IF(0=LEN(ReferenceData!$M$125),"",ReferenceData!$M$125),"")</f>
        <v/>
      </c>
      <c r="N125" t="str">
        <f ca="1">IFERROR(IF(0=LEN(ReferenceData!$N$125),"",ReferenceData!$N$125),"")</f>
        <v/>
      </c>
      <c r="O125" t="str">
        <f ca="1">IFERROR(IF(0=LEN(ReferenceData!$O$125),"",ReferenceData!$O$125),"")</f>
        <v/>
      </c>
      <c r="P125" t="str">
        <f ca="1">IFERROR(IF(0=LEN(ReferenceData!$P$125),"",ReferenceData!$P$125),"")</f>
        <v/>
      </c>
      <c r="Q125" t="str">
        <f ca="1">IFERROR(IF(0=LEN(ReferenceData!$Q$125),"",ReferenceData!$Q$125),"")</f>
        <v/>
      </c>
      <c r="R125" t="str">
        <f ca="1">IFERROR(IF(0=LEN(ReferenceData!$R$125),"",ReferenceData!$R$125),"")</f>
        <v/>
      </c>
      <c r="S125">
        <f ca="1">IFERROR(IF(0=LEN(ReferenceData!$S$125),"",ReferenceData!$S$125),"")</f>
        <v>240000</v>
      </c>
      <c r="T125">
        <f ca="1">IFERROR(IF(0=LEN(ReferenceData!$T$125),"",ReferenceData!$T$125),"")</f>
        <v>247000</v>
      </c>
      <c r="U125">
        <f ca="1">IFERROR(IF(0=LEN(ReferenceData!$U$125),"",ReferenceData!$U$125),"")</f>
        <v>225000</v>
      </c>
      <c r="V125">
        <f ca="1">IFERROR(IF(0=LEN(ReferenceData!$V$125),"",ReferenceData!$V$125),"")</f>
        <v>246700</v>
      </c>
      <c r="W125">
        <f ca="1">IFERROR(IF(0=LEN(ReferenceData!$W$125),"",ReferenceData!$W$125),"")</f>
        <v>249500</v>
      </c>
      <c r="X125">
        <f ca="1">IFERROR(IF(0=LEN(ReferenceData!$X$125),"",ReferenceData!$X$125),"")</f>
        <v>237900</v>
      </c>
      <c r="Y125">
        <f ca="1">IFERROR(IF(0=LEN(ReferenceData!$Y$125),"",ReferenceData!$Y$125),"")</f>
        <v>193700</v>
      </c>
      <c r="Z125">
        <f ca="1">IFERROR(IF(0=LEN(ReferenceData!$Z$125),"",ReferenceData!$Z$125),"")</f>
        <v>232000</v>
      </c>
      <c r="AA125">
        <f ca="1">IFERROR(IF(0=LEN(ReferenceData!$AA$125),"",ReferenceData!$AA$125),"")</f>
        <v>200800</v>
      </c>
      <c r="AB125">
        <f ca="1">IFERROR(IF(0=LEN(ReferenceData!$AB$125),"",ReferenceData!$AB$125),"")</f>
        <v>202000</v>
      </c>
      <c r="AC125">
        <f ca="1">IFERROR(IF(0=LEN(ReferenceData!$AC$125),"",ReferenceData!$AC$125),"")</f>
        <v>191000</v>
      </c>
      <c r="AD125">
        <f ca="1">IFERROR(IF(0=LEN(ReferenceData!$AD$125),"",ReferenceData!$AD$125),"")</f>
        <v>207000</v>
      </c>
      <c r="AE125">
        <f ca="1">IFERROR(IF(0=LEN(ReferenceData!$AE$125),"",ReferenceData!$AE$125),"")</f>
        <v>179000</v>
      </c>
      <c r="AF125">
        <f ca="1">IFERROR(IF(0=LEN(ReferenceData!$AF$125),"",ReferenceData!$AF$125),"")</f>
        <v>182000</v>
      </c>
      <c r="AG125">
        <f ca="1">IFERROR(IF(0=LEN(ReferenceData!$AG$125),"",ReferenceData!$AG$125),"")</f>
        <v>166000</v>
      </c>
      <c r="AH125">
        <f ca="1">IFERROR(IF(0=LEN(ReferenceData!$AH$125),"",ReferenceData!$AH$125),"")</f>
        <v>208000</v>
      </c>
      <c r="AI125">
        <f ca="1">IFERROR(IF(0=LEN(ReferenceData!$AI$125),"",ReferenceData!$AI$125),"")</f>
        <v>166000</v>
      </c>
      <c r="AJ125">
        <f ca="1">IFERROR(IF(0=LEN(ReferenceData!$AJ$125),"",ReferenceData!$AJ$125),"")</f>
        <v>148000</v>
      </c>
      <c r="AK125">
        <f ca="1">IFERROR(IF(0=LEN(ReferenceData!$AK$125),"",ReferenceData!$AK$125),"")</f>
        <v>118000</v>
      </c>
      <c r="AL125">
        <f ca="1">IFERROR(IF(0=LEN(ReferenceData!$AL$125),"",ReferenceData!$AL$125),"")</f>
        <v>199000</v>
      </c>
      <c r="AM125">
        <f ca="1">IFERROR(IF(0=LEN(ReferenceData!$AM$125),"",ReferenceData!$AM$125),"")</f>
        <v>127000</v>
      </c>
      <c r="AN125">
        <f ca="1">IFERROR(IF(0=LEN(ReferenceData!$AN$125),"",ReferenceData!$AN$125),"")</f>
        <v>181000</v>
      </c>
      <c r="AO125">
        <f ca="1">IFERROR(IF(0=LEN(ReferenceData!$AO$125),"",ReferenceData!$AO$125),"")</f>
        <v>150000</v>
      </c>
      <c r="AP125">
        <f ca="1">IFERROR(IF(0=LEN(ReferenceData!$AP$125),"",ReferenceData!$AP$125),"")</f>
        <v>165000</v>
      </c>
      <c r="AQ125">
        <f ca="1">IFERROR(IF(0=LEN(ReferenceData!$AQ$125),"",ReferenceData!$AQ$125),"")</f>
        <v>155000</v>
      </c>
      <c r="AR125">
        <f ca="1">IFERROR(IF(0=LEN(ReferenceData!$AR$125),"",ReferenceData!$AR$125),"")</f>
        <v>143000</v>
      </c>
      <c r="AS125">
        <f ca="1">IFERROR(IF(0=LEN(ReferenceData!$AS$125),"",ReferenceData!$AS$125),"")</f>
        <v>100000</v>
      </c>
      <c r="AT125">
        <f ca="1">IFERROR(IF(0=LEN(ReferenceData!$AT$125),"",ReferenceData!$AT$125),"")</f>
        <v>132000</v>
      </c>
      <c r="AU125">
        <f ca="1">IFERROR(IF(0=LEN(ReferenceData!$AU$125),"",ReferenceData!$AU$125),"")</f>
        <v>141000</v>
      </c>
      <c r="AV125">
        <f ca="1">IFERROR(IF(0=LEN(ReferenceData!$AV$125),"",ReferenceData!$AV$125),"")</f>
        <v>154000</v>
      </c>
      <c r="AW125">
        <f ca="1">IFERROR(IF(0=LEN(ReferenceData!$AW$125),"",ReferenceData!$AW$125),"")</f>
        <v>128000</v>
      </c>
      <c r="AX125">
        <f ca="1">IFERROR(IF(0=LEN(ReferenceData!$AX$125),"",ReferenceData!$AX$125),"")</f>
        <v>180000</v>
      </c>
      <c r="AY125">
        <f ca="1">IFERROR(IF(0=LEN(ReferenceData!$AY$125),"",ReferenceData!$AY$125),"")</f>
        <v>146000</v>
      </c>
      <c r="AZ125">
        <f ca="1">IFERROR(IF(0=LEN(ReferenceData!$AZ$125),"",ReferenceData!$AZ$125),"")</f>
        <v>151000</v>
      </c>
      <c r="BA125">
        <f ca="1">IFERROR(IF(0=LEN(ReferenceData!$BA$125),"",ReferenceData!$BA$125),"")</f>
        <v>120000</v>
      </c>
      <c r="BB125">
        <f ca="1">IFERROR(IF(0=LEN(ReferenceData!$BB$125),"",ReferenceData!$BB$125),"")</f>
        <v>172000</v>
      </c>
      <c r="BC125">
        <f ca="1">IFERROR(IF(0=LEN(ReferenceData!$BC$125),"",ReferenceData!$BC$125),"")</f>
        <v>137000</v>
      </c>
      <c r="BD125">
        <f ca="1">IFERROR(IF(0=LEN(ReferenceData!$BD$125),"",ReferenceData!$BD$125),"")</f>
        <v>145000</v>
      </c>
      <c r="BE125">
        <f ca="1">IFERROR(IF(0=LEN(ReferenceData!$BE$125),"",ReferenceData!$BE$125),"")</f>
        <v>124000</v>
      </c>
      <c r="BF125">
        <f ca="1">IFERROR(IF(0=LEN(ReferenceData!$BF$125),"",ReferenceData!$BF$125),"")</f>
        <v>165000</v>
      </c>
      <c r="BG125" t="str">
        <f ca="1">IFERROR(IF(0=LEN(ReferenceData!$BG$125),"",ReferenceData!$BG$125),"")</f>
        <v/>
      </c>
      <c r="BH125" t="str">
        <f ca="1">IFERROR(IF(0=LEN(ReferenceData!$BH$125),"",ReferenceData!$BH$125),"")</f>
        <v/>
      </c>
      <c r="BI125" t="str">
        <f ca="1">IFERROR(IF(0=LEN(ReferenceData!$BI$125),"",ReferenceData!$BI$125),"")</f>
        <v/>
      </c>
      <c r="BJ125" t="str">
        <f ca="1">IFERROR(IF(0=LEN(ReferenceData!$BJ$125),"",ReferenceData!$BJ$125),"")</f>
        <v/>
      </c>
      <c r="BK125" t="str">
        <f ca="1">IFERROR(IF(0=LEN(ReferenceData!$BK$125),"",ReferenceData!$BK$125),"")</f>
        <v/>
      </c>
      <c r="BL125" t="str">
        <f ca="1">IFERROR(IF(0=LEN(ReferenceData!$BL$125),"",ReferenceData!$BL$125),"")</f>
        <v/>
      </c>
      <c r="BM125" t="str">
        <f ca="1">IFERROR(IF(0=LEN(ReferenceData!$BM$125),"",ReferenceData!$BM$125),"")</f>
        <v/>
      </c>
    </row>
    <row r="126" spans="1:65" x14ac:dyDescent="0.25">
      <c r="A126" t="str">
        <f>IFERROR(IF(0=LEN(ReferenceData!$A$126),"",ReferenceData!$A$126),"")</f>
        <v xml:space="preserve">    Anhui Jianghuai Automobile Co Ltd</v>
      </c>
      <c r="B126" t="str">
        <f>IFERROR(IF(0=LEN(ReferenceData!$B$126),"",ReferenceData!$B$126),"")</f>
        <v>600418 CH Equity</v>
      </c>
      <c r="C126" t="str">
        <f>IFERROR(IF(0=LEN(ReferenceData!$C$126),"",ReferenceData!$C$126),"")</f>
        <v>FS265</v>
      </c>
      <c r="D126" t="str">
        <f>IFERROR(IF(0=LEN(ReferenceData!$D$126),"",ReferenceData!$D$126),"")</f>
        <v>AUTO_VEHICLES_SOLD_WW</v>
      </c>
      <c r="E126" t="str">
        <f>IFERROR(IF(0=LEN(ReferenceData!$E$126),"",ReferenceData!$E$126),"")</f>
        <v>Dynamic</v>
      </c>
      <c r="F126" t="str">
        <f ca="1">IFERROR(IF(0=LEN(ReferenceData!$F$126),"",ReferenceData!$F$126),"")</f>
        <v/>
      </c>
      <c r="G126" t="str">
        <f ca="1">IFERROR(IF(0=LEN(ReferenceData!$G$126),"",ReferenceData!$G$126),"")</f>
        <v/>
      </c>
      <c r="H126" t="str">
        <f ca="1">IFERROR(IF(0=LEN(ReferenceData!$H$126),"",ReferenceData!$H$126),"")</f>
        <v/>
      </c>
      <c r="I126" t="str">
        <f ca="1">IFERROR(IF(0=LEN(ReferenceData!$I$126),"",ReferenceData!$I$126),"")</f>
        <v/>
      </c>
      <c r="J126" t="str">
        <f ca="1">IFERROR(IF(0=LEN(ReferenceData!$J$126),"",ReferenceData!$J$126),"")</f>
        <v/>
      </c>
      <c r="K126" t="str">
        <f ca="1">IFERROR(IF(0=LEN(ReferenceData!$K$126),"",ReferenceData!$K$126),"")</f>
        <v/>
      </c>
      <c r="L126" t="str">
        <f ca="1">IFERROR(IF(0=LEN(ReferenceData!$L$126),"",ReferenceData!$L$126),"")</f>
        <v/>
      </c>
      <c r="M126" t="str">
        <f ca="1">IFERROR(IF(0=LEN(ReferenceData!$M$126),"",ReferenceData!$M$126),"")</f>
        <v/>
      </c>
      <c r="N126" t="str">
        <f ca="1">IFERROR(IF(0=LEN(ReferenceData!$N$126),"",ReferenceData!$N$126),"")</f>
        <v/>
      </c>
      <c r="O126" t="str">
        <f ca="1">IFERROR(IF(0=LEN(ReferenceData!$O$126),"",ReferenceData!$O$126),"")</f>
        <v/>
      </c>
      <c r="P126" t="str">
        <f ca="1">IFERROR(IF(0=LEN(ReferenceData!$P$126),"",ReferenceData!$P$126),"")</f>
        <v/>
      </c>
      <c r="Q126" t="str">
        <f ca="1">IFERROR(IF(0=LEN(ReferenceData!$Q$126),"",ReferenceData!$Q$126),"")</f>
        <v/>
      </c>
      <c r="R126" t="str">
        <f ca="1">IFERROR(IF(0=LEN(ReferenceData!$R$126),"",ReferenceData!$R$126),"")</f>
        <v/>
      </c>
      <c r="S126">
        <f ca="1">IFERROR(IF(0=LEN(ReferenceData!$S$126),"",ReferenceData!$S$126),"")</f>
        <v>163274</v>
      </c>
      <c r="T126">
        <f ca="1">IFERROR(IF(0=LEN(ReferenceData!$T$126),"",ReferenceData!$T$126),"")</f>
        <v>132378</v>
      </c>
      <c r="U126">
        <f ca="1">IFERROR(IF(0=LEN(ReferenceData!$U$126),"",ReferenceData!$U$126),"")</f>
        <v>145421</v>
      </c>
      <c r="V126">
        <f ca="1">IFERROR(IF(0=LEN(ReferenceData!$V$126),"",ReferenceData!$V$126),"")</f>
        <v>146869</v>
      </c>
      <c r="W126" t="str">
        <f ca="1">IFERROR(IF(0=LEN(ReferenceData!$W$126),"",ReferenceData!$W$126),"")</f>
        <v/>
      </c>
      <c r="X126" t="str">
        <f ca="1">IFERROR(IF(0=LEN(ReferenceData!$X$126),"",ReferenceData!$X$126),"")</f>
        <v/>
      </c>
      <c r="Y126">
        <f ca="1">IFERROR(IF(0=LEN(ReferenceData!$Y$126),"",ReferenceData!$Y$126),"")</f>
        <v>113715</v>
      </c>
      <c r="Z126">
        <f ca="1">IFERROR(IF(0=LEN(ReferenceData!$Z$126),"",ReferenceData!$Z$126),"")</f>
        <v>138956</v>
      </c>
      <c r="AA126" t="str">
        <f ca="1">IFERROR(IF(0=LEN(ReferenceData!$AA$126),"",ReferenceData!$AA$126),"")</f>
        <v/>
      </c>
      <c r="AB126" t="str">
        <f ca="1">IFERROR(IF(0=LEN(ReferenceData!$AB$126),"",ReferenceData!$AB$126),"")</f>
        <v/>
      </c>
      <c r="AC126">
        <f ca="1">IFERROR(IF(0=LEN(ReferenceData!$AC$126),"",ReferenceData!$AC$126),"")</f>
        <v>124366</v>
      </c>
      <c r="AD126">
        <f ca="1">IFERROR(IF(0=LEN(ReferenceData!$AD$126),"",ReferenceData!$AD$126),"")</f>
        <v>149134</v>
      </c>
      <c r="AE126">
        <f ca="1">IFERROR(IF(0=LEN(ReferenceData!$AE$126),"",ReferenceData!$AE$126),"")</f>
        <v>118932</v>
      </c>
      <c r="AF126">
        <f ca="1">IFERROR(IF(0=LEN(ReferenceData!$AF$126),"",ReferenceData!$AF$126),"")</f>
        <v>103881</v>
      </c>
      <c r="AG126">
        <f ca="1">IFERROR(IF(0=LEN(ReferenceData!$AG$126),"",ReferenceData!$AG$126),"")</f>
        <v>111324</v>
      </c>
      <c r="AH126">
        <f ca="1">IFERROR(IF(0=LEN(ReferenceData!$AH$126),"",ReferenceData!$AH$126),"")</f>
        <v>127714</v>
      </c>
      <c r="AI126">
        <f ca="1">IFERROR(IF(0=LEN(ReferenceData!$AI$126),"",ReferenceData!$AI$126),"")</f>
        <v>94129</v>
      </c>
      <c r="AJ126">
        <f ca="1">IFERROR(IF(0=LEN(ReferenceData!$AJ$126),"",ReferenceData!$AJ$126),"")</f>
        <v>104270</v>
      </c>
      <c r="AK126">
        <f ca="1">IFERROR(IF(0=LEN(ReferenceData!$AK$126),"",ReferenceData!$AK$126),"")</f>
        <v>119658</v>
      </c>
      <c r="AL126">
        <f ca="1">IFERROR(IF(0=LEN(ReferenceData!$AL$126),"",ReferenceData!$AL$126),"")</f>
        <v>148443</v>
      </c>
      <c r="AM126">
        <f ca="1">IFERROR(IF(0=LEN(ReferenceData!$AM$126),"",ReferenceData!$AM$126),"")</f>
        <v>103727</v>
      </c>
      <c r="AN126">
        <f ca="1">IFERROR(IF(0=LEN(ReferenceData!$AN$126),"",ReferenceData!$AN$126),"")</f>
        <v>95250</v>
      </c>
      <c r="AO126">
        <f ca="1">IFERROR(IF(0=LEN(ReferenceData!$AO$126),"",ReferenceData!$AO$126),"")</f>
        <v>116749</v>
      </c>
      <c r="AP126">
        <f ca="1">IFERROR(IF(0=LEN(ReferenceData!$AP$126),"",ReferenceData!$AP$126),"")</f>
        <v>126821</v>
      </c>
      <c r="AQ126">
        <f ca="1">IFERROR(IF(0=LEN(ReferenceData!$AQ$126),"",ReferenceData!$AQ$126),"")</f>
        <v>67715</v>
      </c>
      <c r="AR126">
        <f ca="1">IFERROR(IF(0=LEN(ReferenceData!$AR$126),"",ReferenceData!$AR$126),"")</f>
        <v>97062</v>
      </c>
      <c r="AS126">
        <f ca="1">IFERROR(IF(0=LEN(ReferenceData!$AS$126),"",ReferenceData!$AS$126),"")</f>
        <v>83787</v>
      </c>
      <c r="AT126">
        <f ca="1">IFERROR(IF(0=LEN(ReferenceData!$AT$126),"",ReferenceData!$AT$126),"")</f>
        <v>62063</v>
      </c>
      <c r="AU126" t="str">
        <f ca="1">IFERROR(IF(0=LEN(ReferenceData!$AU$126),"",ReferenceData!$AU$126),"")</f>
        <v/>
      </c>
      <c r="AV126" t="str">
        <f ca="1">IFERROR(IF(0=LEN(ReferenceData!$AV$126),"",ReferenceData!$AV$126),"")</f>
        <v/>
      </c>
      <c r="AW126" t="str">
        <f ca="1">IFERROR(IF(0=LEN(ReferenceData!$AW$126),"",ReferenceData!$AW$126),"")</f>
        <v/>
      </c>
      <c r="AX126" t="str">
        <f ca="1">IFERROR(IF(0=LEN(ReferenceData!$AX$126),"",ReferenceData!$AX$126),"")</f>
        <v/>
      </c>
      <c r="AY126" t="str">
        <f ca="1">IFERROR(IF(0=LEN(ReferenceData!$AY$126),"",ReferenceData!$AY$126),"")</f>
        <v/>
      </c>
      <c r="AZ126" t="str">
        <f ca="1">IFERROR(IF(0=LEN(ReferenceData!$AZ$126),"",ReferenceData!$AZ$126),"")</f>
        <v/>
      </c>
      <c r="BA126" t="str">
        <f ca="1">IFERROR(IF(0=LEN(ReferenceData!$BA$126),"",ReferenceData!$BA$126),"")</f>
        <v/>
      </c>
      <c r="BB126" t="str">
        <f ca="1">IFERROR(IF(0=LEN(ReferenceData!$BB$126),"",ReferenceData!$BB$126),"")</f>
        <v/>
      </c>
      <c r="BC126">
        <f ca="1">IFERROR(IF(0=LEN(ReferenceData!$BC$126),"",ReferenceData!$BC$126),"")</f>
        <v>5002</v>
      </c>
      <c r="BD126">
        <f ca="1">IFERROR(IF(0=LEN(ReferenceData!$BD$126),"",ReferenceData!$BD$126),"")</f>
        <v>14875</v>
      </c>
      <c r="BE126">
        <f ca="1">IFERROR(IF(0=LEN(ReferenceData!$BE$126),"",ReferenceData!$BE$126),"")</f>
        <v>8524</v>
      </c>
      <c r="BF126">
        <f ca="1">IFERROR(IF(0=LEN(ReferenceData!$BF$126),"",ReferenceData!$BF$126),"")</f>
        <v>9027</v>
      </c>
      <c r="BG126" t="str">
        <f ca="1">IFERROR(IF(0=LEN(ReferenceData!$BG$126),"",ReferenceData!$BG$126),"")</f>
        <v/>
      </c>
      <c r="BH126" t="str">
        <f ca="1">IFERROR(IF(0=LEN(ReferenceData!$BH$126),"",ReferenceData!$BH$126),"")</f>
        <v/>
      </c>
      <c r="BI126" t="str">
        <f ca="1">IFERROR(IF(0=LEN(ReferenceData!$BI$126),"",ReferenceData!$BI$126),"")</f>
        <v/>
      </c>
      <c r="BJ126" t="str">
        <f ca="1">IFERROR(IF(0=LEN(ReferenceData!$BJ$126),"",ReferenceData!$BJ$126),"")</f>
        <v/>
      </c>
      <c r="BK126" t="str">
        <f ca="1">IFERROR(IF(0=LEN(ReferenceData!$BK$126),"",ReferenceData!$BK$126),"")</f>
        <v/>
      </c>
      <c r="BL126" t="str">
        <f ca="1">IFERROR(IF(0=LEN(ReferenceData!$BL$126),"",ReferenceData!$BL$126),"")</f>
        <v/>
      </c>
      <c r="BM126" t="str">
        <f ca="1">IFERROR(IF(0=LEN(ReferenceData!$BM$126),"",ReferenceData!$BM$126),"")</f>
        <v/>
      </c>
    </row>
    <row r="127" spans="1:65" x14ac:dyDescent="0.25">
      <c r="A127" t="str">
        <f>IFERROR(IF(0=LEN(ReferenceData!$A$127),"",ReferenceData!$A$127),"")</f>
        <v xml:space="preserve">    Geely Automobile Holdings Ltd</v>
      </c>
      <c r="B127" t="str">
        <f>IFERROR(IF(0=LEN(ReferenceData!$B$127),"",ReferenceData!$B$127),"")</f>
        <v>175 HK Equity</v>
      </c>
      <c r="C127" t="str">
        <f>IFERROR(IF(0=LEN(ReferenceData!$C$127),"",ReferenceData!$C$127),"")</f>
        <v>FS265</v>
      </c>
      <c r="D127" t="str">
        <f>IFERROR(IF(0=LEN(ReferenceData!$D$127),"",ReferenceData!$D$127),"")</f>
        <v>AUTO_VEHICLES_SOLD_WW</v>
      </c>
      <c r="E127" t="str">
        <f>IFERROR(IF(0=LEN(ReferenceData!$E$127),"",ReferenceData!$E$127),"")</f>
        <v>Dynamic</v>
      </c>
      <c r="F127" t="str">
        <f ca="1">IFERROR(IF(0=LEN(ReferenceData!$F$127),"",ReferenceData!$F$127),"")</f>
        <v/>
      </c>
      <c r="G127" t="str">
        <f ca="1">IFERROR(IF(0=LEN(ReferenceData!$G$127),"",ReferenceData!$G$127),"")</f>
        <v/>
      </c>
      <c r="H127" t="str">
        <f ca="1">IFERROR(IF(0=LEN(ReferenceData!$H$127),"",ReferenceData!$H$127),"")</f>
        <v/>
      </c>
      <c r="I127" t="str">
        <f ca="1">IFERROR(IF(0=LEN(ReferenceData!$I$127),"",ReferenceData!$I$127),"")</f>
        <v/>
      </c>
      <c r="J127" t="str">
        <f ca="1">IFERROR(IF(0=LEN(ReferenceData!$J$127),"",ReferenceData!$J$127),"")</f>
        <v/>
      </c>
      <c r="K127" t="str">
        <f ca="1">IFERROR(IF(0=LEN(ReferenceData!$K$127),"",ReferenceData!$K$127),"")</f>
        <v/>
      </c>
      <c r="L127" t="str">
        <f ca="1">IFERROR(IF(0=LEN(ReferenceData!$L$127),"",ReferenceData!$L$127),"")</f>
        <v/>
      </c>
      <c r="M127" t="str">
        <f ca="1">IFERROR(IF(0=LEN(ReferenceData!$M$127),"",ReferenceData!$M$127),"")</f>
        <v/>
      </c>
      <c r="N127" t="str">
        <f ca="1">IFERROR(IF(0=LEN(ReferenceData!$N$127),"",ReferenceData!$N$127),"")</f>
        <v/>
      </c>
      <c r="O127" t="str">
        <f ca="1">IFERROR(IF(0=LEN(ReferenceData!$O$127),"",ReferenceData!$O$127),"")</f>
        <v/>
      </c>
      <c r="P127" t="str">
        <f ca="1">IFERROR(IF(0=LEN(ReferenceData!$P$127),"",ReferenceData!$P$127),"")</f>
        <v/>
      </c>
      <c r="Q127" t="str">
        <f ca="1">IFERROR(IF(0=LEN(ReferenceData!$Q$127),"",ReferenceData!$Q$127),"")</f>
        <v/>
      </c>
      <c r="R127" t="str">
        <f ca="1">IFERROR(IF(0=LEN(ReferenceData!$R$127),"",ReferenceData!$R$127),"")</f>
        <v/>
      </c>
      <c r="S127" t="str">
        <f ca="1">IFERROR(IF(0=LEN(ReferenceData!$S$127),"",ReferenceData!$S$127),"")</f>
        <v/>
      </c>
      <c r="T127" t="str">
        <f ca="1">IFERROR(IF(0=LEN(ReferenceData!$T$127),"",ReferenceData!$T$127),"")</f>
        <v/>
      </c>
      <c r="U127" t="str">
        <f ca="1">IFERROR(IF(0=LEN(ReferenceData!$U$127),"",ReferenceData!$U$127),"")</f>
        <v/>
      </c>
      <c r="V127" t="str">
        <f ca="1">IFERROR(IF(0=LEN(ReferenceData!$V$127),"",ReferenceData!$V$127),"")</f>
        <v/>
      </c>
      <c r="W127" t="str">
        <f ca="1">IFERROR(IF(0=LEN(ReferenceData!$W$127),"",ReferenceData!$W$127),"")</f>
        <v/>
      </c>
      <c r="X127" t="str">
        <f ca="1">IFERROR(IF(0=LEN(ReferenceData!$X$127),"",ReferenceData!$X$127),"")</f>
        <v/>
      </c>
      <c r="Y127" t="str">
        <f ca="1">IFERROR(IF(0=LEN(ReferenceData!$Y$127),"",ReferenceData!$Y$127),"")</f>
        <v/>
      </c>
      <c r="Z127" t="str">
        <f ca="1">IFERROR(IF(0=LEN(ReferenceData!$Z$127),"",ReferenceData!$Z$127),"")</f>
        <v/>
      </c>
      <c r="AA127" t="str">
        <f ca="1">IFERROR(IF(0=LEN(ReferenceData!$AA$127),"",ReferenceData!$AA$127),"")</f>
        <v/>
      </c>
      <c r="AB127" t="str">
        <f ca="1">IFERROR(IF(0=LEN(ReferenceData!$AB$127),"",ReferenceData!$AB$127),"")</f>
        <v/>
      </c>
      <c r="AC127" t="str">
        <f ca="1">IFERROR(IF(0=LEN(ReferenceData!$AC$127),"",ReferenceData!$AC$127),"")</f>
        <v/>
      </c>
      <c r="AD127" t="str">
        <f ca="1">IFERROR(IF(0=LEN(ReferenceData!$AD$127),"",ReferenceData!$AD$127),"")</f>
        <v/>
      </c>
      <c r="AE127" t="str">
        <f ca="1">IFERROR(IF(0=LEN(ReferenceData!$AE$127),"",ReferenceData!$AE$127),"")</f>
        <v/>
      </c>
      <c r="AF127" t="str">
        <f ca="1">IFERROR(IF(0=LEN(ReferenceData!$AF$127),"",ReferenceData!$AF$127),"")</f>
        <v/>
      </c>
      <c r="AG127" t="str">
        <f ca="1">IFERROR(IF(0=LEN(ReferenceData!$AG$127),"",ReferenceData!$AG$127),"")</f>
        <v/>
      </c>
      <c r="AH127" t="str">
        <f ca="1">IFERROR(IF(0=LEN(ReferenceData!$AH$127),"",ReferenceData!$AH$127),"")</f>
        <v/>
      </c>
      <c r="AI127" t="str">
        <f ca="1">IFERROR(IF(0=LEN(ReferenceData!$AI$127),"",ReferenceData!$AI$127),"")</f>
        <v/>
      </c>
      <c r="AJ127" t="str">
        <f ca="1">IFERROR(IF(0=LEN(ReferenceData!$AJ$127),"",ReferenceData!$AJ$127),"")</f>
        <v/>
      </c>
      <c r="AK127" t="str">
        <f ca="1">IFERROR(IF(0=LEN(ReferenceData!$AK$127),"",ReferenceData!$AK$127),"")</f>
        <v/>
      </c>
      <c r="AL127" t="str">
        <f ca="1">IFERROR(IF(0=LEN(ReferenceData!$AL$127),"",ReferenceData!$AL$127),"")</f>
        <v/>
      </c>
      <c r="AM127" t="str">
        <f ca="1">IFERROR(IF(0=LEN(ReferenceData!$AM$127),"",ReferenceData!$AM$127),"")</f>
        <v/>
      </c>
      <c r="AN127" t="str">
        <f ca="1">IFERROR(IF(0=LEN(ReferenceData!$AN$127),"",ReferenceData!$AN$127),"")</f>
        <v/>
      </c>
      <c r="AO127" t="str">
        <f ca="1">IFERROR(IF(0=LEN(ReferenceData!$AO$127),"",ReferenceData!$AO$127),"")</f>
        <v/>
      </c>
      <c r="AP127" t="str">
        <f ca="1">IFERROR(IF(0=LEN(ReferenceData!$AP$127),"",ReferenceData!$AP$127),"")</f>
        <v/>
      </c>
      <c r="AQ127" t="str">
        <f ca="1">IFERROR(IF(0=LEN(ReferenceData!$AQ$127),"",ReferenceData!$AQ$127),"")</f>
        <v/>
      </c>
      <c r="AR127" t="str">
        <f ca="1">IFERROR(IF(0=LEN(ReferenceData!$AR$127),"",ReferenceData!$AR$127),"")</f>
        <v/>
      </c>
      <c r="AS127" t="str">
        <f ca="1">IFERROR(IF(0=LEN(ReferenceData!$AS$127),"",ReferenceData!$AS$127),"")</f>
        <v/>
      </c>
      <c r="AT127" t="str">
        <f ca="1">IFERROR(IF(0=LEN(ReferenceData!$AT$127),"",ReferenceData!$AT$127),"")</f>
        <v/>
      </c>
      <c r="AU127" t="str">
        <f ca="1">IFERROR(IF(0=LEN(ReferenceData!$AU$127),"",ReferenceData!$AU$127),"")</f>
        <v/>
      </c>
      <c r="AV127" t="str">
        <f ca="1">IFERROR(IF(0=LEN(ReferenceData!$AV$127),"",ReferenceData!$AV$127),"")</f>
        <v/>
      </c>
      <c r="AW127" t="str">
        <f ca="1">IFERROR(IF(0=LEN(ReferenceData!$AW$127),"",ReferenceData!$AW$127),"")</f>
        <v/>
      </c>
      <c r="AX127" t="str">
        <f ca="1">IFERROR(IF(0=LEN(ReferenceData!$AX$127),"",ReferenceData!$AX$127),"")</f>
        <v/>
      </c>
      <c r="AY127" t="str">
        <f ca="1">IFERROR(IF(0=LEN(ReferenceData!$AY$127),"",ReferenceData!$AY$127),"")</f>
        <v/>
      </c>
      <c r="AZ127" t="str">
        <f ca="1">IFERROR(IF(0=LEN(ReferenceData!$AZ$127),"",ReferenceData!$AZ$127),"")</f>
        <v/>
      </c>
      <c r="BA127" t="str">
        <f ca="1">IFERROR(IF(0=LEN(ReferenceData!$BA$127),"",ReferenceData!$BA$127),"")</f>
        <v/>
      </c>
      <c r="BB127" t="str">
        <f ca="1">IFERROR(IF(0=LEN(ReferenceData!$BB$127),"",ReferenceData!$BB$127),"")</f>
        <v/>
      </c>
      <c r="BC127" t="str">
        <f ca="1">IFERROR(IF(0=LEN(ReferenceData!$BC$127),"",ReferenceData!$BC$127),"")</f>
        <v/>
      </c>
      <c r="BD127" t="str">
        <f ca="1">IFERROR(IF(0=LEN(ReferenceData!$BD$127),"",ReferenceData!$BD$127),"")</f>
        <v/>
      </c>
      <c r="BE127" t="str">
        <f ca="1">IFERROR(IF(0=LEN(ReferenceData!$BE$127),"",ReferenceData!$BE$127),"")</f>
        <v/>
      </c>
      <c r="BF127" t="str">
        <f ca="1">IFERROR(IF(0=LEN(ReferenceData!$BF$127),"",ReferenceData!$BF$127),"")</f>
        <v/>
      </c>
      <c r="BG127" t="str">
        <f ca="1">IFERROR(IF(0=LEN(ReferenceData!$BG$127),"",ReferenceData!$BG$127),"")</f>
        <v/>
      </c>
      <c r="BH127" t="str">
        <f ca="1">IFERROR(IF(0=LEN(ReferenceData!$BH$127),"",ReferenceData!$BH$127),"")</f>
        <v/>
      </c>
      <c r="BI127" t="str">
        <f ca="1">IFERROR(IF(0=LEN(ReferenceData!$BI$127),"",ReferenceData!$BI$127),"")</f>
        <v/>
      </c>
      <c r="BJ127" t="str">
        <f ca="1">IFERROR(IF(0=LEN(ReferenceData!$BJ$127),"",ReferenceData!$BJ$127),"")</f>
        <v/>
      </c>
      <c r="BK127" t="str">
        <f ca="1">IFERROR(IF(0=LEN(ReferenceData!$BK$127),"",ReferenceData!$BK$127),"")</f>
        <v/>
      </c>
      <c r="BL127" t="str">
        <f ca="1">IFERROR(IF(0=LEN(ReferenceData!$BL$127),"",ReferenceData!$BL$127),"")</f>
        <v/>
      </c>
      <c r="BM127" t="str">
        <f ca="1">IFERROR(IF(0=LEN(ReferenceData!$BM$127),"",ReferenceData!$BM$127),"")</f>
        <v/>
      </c>
    </row>
    <row r="128" spans="1:65" x14ac:dyDescent="0.25">
      <c r="A128" t="str">
        <f>IFERROR(IF(0=LEN(ReferenceData!$A$128),"",ReferenceData!$A$128),"")</f>
        <v xml:space="preserve">    Isuzu Motors Ltd</v>
      </c>
      <c r="B128" t="str">
        <f>IFERROR(IF(0=LEN(ReferenceData!$B$128),"",ReferenceData!$B$128),"")</f>
        <v>7202 JP Equity</v>
      </c>
      <c r="C128" t="str">
        <f>IFERROR(IF(0=LEN(ReferenceData!$C$128),"",ReferenceData!$C$128),"")</f>
        <v/>
      </c>
      <c r="D128" t="str">
        <f>IFERROR(IF(0=LEN(ReferenceData!$D$128),"",ReferenceData!$D$128),"")</f>
        <v/>
      </c>
      <c r="E128" t="str">
        <f>IFERROR(IF(0=LEN(ReferenceData!$E$128),"",ReferenceData!$E$128),"")</f>
        <v>Static</v>
      </c>
      <c r="F128" t="str">
        <f ca="1">IFERROR(IF(0=LEN(ReferenceData!$F$128),"",ReferenceData!$F$128),"")</f>
        <v/>
      </c>
      <c r="G128" t="str">
        <f ca="1">IFERROR(IF(0=LEN(ReferenceData!$G$128),"",ReferenceData!$G$128),"")</f>
        <v/>
      </c>
      <c r="H128" t="str">
        <f ca="1">IFERROR(IF(0=LEN(ReferenceData!$H$128),"",ReferenceData!$H$128),"")</f>
        <v/>
      </c>
      <c r="I128" t="str">
        <f ca="1">IFERROR(IF(0=LEN(ReferenceData!$I$128),"",ReferenceData!$I$128),"")</f>
        <v/>
      </c>
      <c r="J128" t="str">
        <f ca="1">IFERROR(IF(0=LEN(ReferenceData!$J$128),"",ReferenceData!$J$128),"")</f>
        <v/>
      </c>
      <c r="K128" t="str">
        <f ca="1">IFERROR(IF(0=LEN(ReferenceData!$K$128),"",ReferenceData!$K$128),"")</f>
        <v/>
      </c>
      <c r="L128" t="str">
        <f ca="1">IFERROR(IF(0=LEN(ReferenceData!$L$128),"",ReferenceData!$L$128),"")</f>
        <v/>
      </c>
      <c r="M128" t="str">
        <f ca="1">IFERROR(IF(0=LEN(ReferenceData!$M$128),"",ReferenceData!$M$128),"")</f>
        <v/>
      </c>
      <c r="N128" t="str">
        <f ca="1">IFERROR(IF(0=LEN(ReferenceData!$N$128),"",ReferenceData!$N$128),"")</f>
        <v/>
      </c>
      <c r="O128" t="str">
        <f ca="1">IFERROR(IF(0=LEN(ReferenceData!$O$128),"",ReferenceData!$O$128),"")</f>
        <v/>
      </c>
      <c r="P128" t="str">
        <f ca="1">IFERROR(IF(0=LEN(ReferenceData!$P$128),"",ReferenceData!$P$128),"")</f>
        <v/>
      </c>
      <c r="Q128" t="str">
        <f ca="1">IFERROR(IF(0=LEN(ReferenceData!$Q$128),"",ReferenceData!$Q$128),"")</f>
        <v/>
      </c>
      <c r="R128" t="str">
        <f ca="1">IFERROR(IF(0=LEN(ReferenceData!$R$128),"",ReferenceData!$R$128),"")</f>
        <v/>
      </c>
      <c r="S128">
        <f ca="1">IFERROR(IF(0=LEN(ReferenceData!$S$128),"",ReferenceData!$S$128),"")</f>
        <v>116167</v>
      </c>
      <c r="T128">
        <f ca="1">IFERROR(IF(0=LEN(ReferenceData!$T$128),"",ReferenceData!$T$128),"")</f>
        <v>128630</v>
      </c>
      <c r="U128">
        <f ca="1">IFERROR(IF(0=LEN(ReferenceData!$U$128),"",ReferenceData!$U$128),"")</f>
        <v>125866</v>
      </c>
      <c r="V128">
        <f ca="1">IFERROR(IF(0=LEN(ReferenceData!$V$128),"",ReferenceData!$V$128),"")</f>
        <v>140667</v>
      </c>
      <c r="W128">
        <f ca="1">IFERROR(IF(0=LEN(ReferenceData!$W$128),"",ReferenceData!$W$128),"")</f>
        <v>128354</v>
      </c>
      <c r="X128">
        <f ca="1">IFERROR(IF(0=LEN(ReferenceData!$X$128),"",ReferenceData!$X$128),"")</f>
        <v>129240</v>
      </c>
      <c r="Y128">
        <f ca="1">IFERROR(IF(0=LEN(ReferenceData!$Y$128),"",ReferenceData!$Y$128),"")</f>
        <v>113030</v>
      </c>
      <c r="Z128">
        <f ca="1">IFERROR(IF(0=LEN(ReferenceData!$Z$128),"",ReferenceData!$Z$128),"")</f>
        <v>127070</v>
      </c>
      <c r="AA128">
        <f ca="1">IFERROR(IF(0=LEN(ReferenceData!$AA$128),"",ReferenceData!$AA$128),"")</f>
        <v>114667</v>
      </c>
      <c r="AB128">
        <f ca="1">IFERROR(IF(0=LEN(ReferenceData!$AB$128),"",ReferenceData!$AB$128),"")</f>
        <v>132654</v>
      </c>
      <c r="AC128">
        <f ca="1">IFERROR(IF(0=LEN(ReferenceData!$AC$128),"",ReferenceData!$AC$128),"")</f>
        <v>121495</v>
      </c>
      <c r="AD128">
        <f ca="1">IFERROR(IF(0=LEN(ReferenceData!$AD$128),"",ReferenceData!$AD$128),"")</f>
        <v>144014</v>
      </c>
      <c r="AE128">
        <f ca="1">IFERROR(IF(0=LEN(ReferenceData!$AE$128),"",ReferenceData!$AE$128),"")</f>
        <v>141585</v>
      </c>
      <c r="AF128">
        <f ca="1">IFERROR(IF(0=LEN(ReferenceData!$AF$128),"",ReferenceData!$AF$128),"")</f>
        <v>126156</v>
      </c>
      <c r="AG128">
        <f ca="1">IFERROR(IF(0=LEN(ReferenceData!$AG$128),"",ReferenceData!$AG$128),"")</f>
        <v>122088</v>
      </c>
      <c r="AH128">
        <f ca="1">IFERROR(IF(0=LEN(ReferenceData!$AH$128),"",ReferenceData!$AH$128),"")</f>
        <v>119990</v>
      </c>
      <c r="AI128">
        <f ca="1">IFERROR(IF(0=LEN(ReferenceData!$AI$128),"",ReferenceData!$AI$128),"")</f>
        <v>77850</v>
      </c>
      <c r="AJ128">
        <f ca="1">IFERROR(IF(0=LEN(ReferenceData!$AJ$128),"",ReferenceData!$AJ$128),"")</f>
        <v>105842</v>
      </c>
      <c r="AK128">
        <f ca="1">IFERROR(IF(0=LEN(ReferenceData!$AK$128),"",ReferenceData!$AK$128),"")</f>
        <v>76995</v>
      </c>
      <c r="AL128">
        <f ca="1">IFERROR(IF(0=LEN(ReferenceData!$AL$128),"",ReferenceData!$AL$128),"")</f>
        <v>97814</v>
      </c>
      <c r="AM128">
        <f ca="1">IFERROR(IF(0=LEN(ReferenceData!$AM$128),"",ReferenceData!$AM$128),"")</f>
        <v>105501</v>
      </c>
      <c r="AN128">
        <f ca="1">IFERROR(IF(0=LEN(ReferenceData!$AN$128),"",ReferenceData!$AN$128),"")</f>
        <v>99733</v>
      </c>
      <c r="AO128">
        <f ca="1">IFERROR(IF(0=LEN(ReferenceData!$AO$128),"",ReferenceData!$AO$128),"")</f>
        <v>104278</v>
      </c>
      <c r="AP128">
        <f ca="1">IFERROR(IF(0=LEN(ReferenceData!$AP$128),"",ReferenceData!$AP$128),"")</f>
        <v>94846</v>
      </c>
      <c r="AQ128">
        <f ca="1">IFERROR(IF(0=LEN(ReferenceData!$AQ$128),"",ReferenceData!$AQ$128),"")</f>
        <v>83934</v>
      </c>
      <c r="AR128">
        <f ca="1">IFERROR(IF(0=LEN(ReferenceData!$AR$128),"",ReferenceData!$AR$128),"")</f>
        <v>65737</v>
      </c>
      <c r="AS128">
        <f ca="1">IFERROR(IF(0=LEN(ReferenceData!$AS$128),"",ReferenceData!$AS$128),"")</f>
        <v>43928</v>
      </c>
      <c r="AT128">
        <f ca="1">IFERROR(IF(0=LEN(ReferenceData!$AT$128),"",ReferenceData!$AT$128),"")</f>
        <v>54096</v>
      </c>
      <c r="AU128">
        <f ca="1">IFERROR(IF(0=LEN(ReferenceData!$AU$128),"",ReferenceData!$AU$128),"")</f>
        <v>103904</v>
      </c>
      <c r="AV128">
        <f ca="1">IFERROR(IF(0=LEN(ReferenceData!$AV$128),"",ReferenceData!$AV$128),"")</f>
        <v>125419</v>
      </c>
      <c r="AW128">
        <f ca="1">IFERROR(IF(0=LEN(ReferenceData!$AW$128),"",ReferenceData!$AW$128),"")</f>
        <v>117248</v>
      </c>
      <c r="AX128">
        <f ca="1">IFERROR(IF(0=LEN(ReferenceData!$AX$128),"",ReferenceData!$AX$128),"")</f>
        <v>177855</v>
      </c>
      <c r="AY128">
        <f ca="1">IFERROR(IF(0=LEN(ReferenceData!$AY$128),"",ReferenceData!$AY$128),"")</f>
        <v>109619</v>
      </c>
      <c r="AZ128">
        <f ca="1">IFERROR(IF(0=LEN(ReferenceData!$AZ$128),"",ReferenceData!$AZ$128),"")</f>
        <v>117421</v>
      </c>
      <c r="BA128">
        <f ca="1">IFERROR(IF(0=LEN(ReferenceData!$BA$128),"",ReferenceData!$BA$128),"")</f>
        <v>104063</v>
      </c>
      <c r="BB128">
        <f ca="1">IFERROR(IF(0=LEN(ReferenceData!$BB$128),"",ReferenceData!$BB$128),"")</f>
        <v>129091</v>
      </c>
      <c r="BC128">
        <f ca="1">IFERROR(IF(0=LEN(ReferenceData!$BC$128),"",ReferenceData!$BC$128),"")</f>
        <v>117197</v>
      </c>
      <c r="BD128">
        <f ca="1">IFERROR(IF(0=LEN(ReferenceData!$BD$128),"",ReferenceData!$BD$128),"")</f>
        <v>111401</v>
      </c>
      <c r="BE128">
        <f ca="1">IFERROR(IF(0=LEN(ReferenceData!$BE$128),"",ReferenceData!$BE$128),"")</f>
        <v>110612</v>
      </c>
      <c r="BF128">
        <f ca="1">IFERROR(IF(0=LEN(ReferenceData!$BF$128),"",ReferenceData!$BF$128),"")</f>
        <v>119220</v>
      </c>
      <c r="BG128" t="str">
        <f ca="1">IFERROR(IF(0=LEN(ReferenceData!$BG$128),"",ReferenceData!$BG$128),"")</f>
        <v/>
      </c>
      <c r="BH128" t="str">
        <f ca="1">IFERROR(IF(0=LEN(ReferenceData!$BH$128),"",ReferenceData!$BH$128),"")</f>
        <v/>
      </c>
      <c r="BI128" t="str">
        <f ca="1">IFERROR(IF(0=LEN(ReferenceData!$BI$128),"",ReferenceData!$BI$128),"")</f>
        <v/>
      </c>
      <c r="BJ128" t="str">
        <f ca="1">IFERROR(IF(0=LEN(ReferenceData!$BJ$128),"",ReferenceData!$BJ$128),"")</f>
        <v/>
      </c>
      <c r="BK128" t="str">
        <f ca="1">IFERROR(IF(0=LEN(ReferenceData!$BK$128),"",ReferenceData!$BK$128),"")</f>
        <v/>
      </c>
      <c r="BL128" t="str">
        <f ca="1">IFERROR(IF(0=LEN(ReferenceData!$BL$128),"",ReferenceData!$BL$128),"")</f>
        <v/>
      </c>
      <c r="BM128" t="str">
        <f ca="1">IFERROR(IF(0=LEN(ReferenceData!$BM$128),"",ReferenceData!$BM$128),"")</f>
        <v/>
      </c>
    </row>
    <row r="129" spans="1:65" x14ac:dyDescent="0.25">
      <c r="A129" t="str">
        <f>IFERROR(IF(0=LEN(ReferenceData!$A$129),"",ReferenceData!$A$129),"")</f>
        <v xml:space="preserve">    Great Wall Motor Co Ltd</v>
      </c>
      <c r="B129" t="str">
        <f>IFERROR(IF(0=LEN(ReferenceData!$B$129),"",ReferenceData!$B$129),"")</f>
        <v>2333 HK Equity</v>
      </c>
      <c r="C129" t="str">
        <f>IFERROR(IF(0=LEN(ReferenceData!$C$129),"",ReferenceData!$C$129),"")</f>
        <v>FS265</v>
      </c>
      <c r="D129" t="str">
        <f>IFERROR(IF(0=LEN(ReferenceData!$D$129),"",ReferenceData!$D$129),"")</f>
        <v>AUTO_VEHICLES_SOLD_WW</v>
      </c>
      <c r="E129" t="str">
        <f>IFERROR(IF(0=LEN(ReferenceData!$E$129),"",ReferenceData!$E$129),"")</f>
        <v>Dynamic</v>
      </c>
      <c r="F129" t="str">
        <f ca="1">IFERROR(IF(0=LEN(ReferenceData!$F$129),"",ReferenceData!$F$129),"")</f>
        <v/>
      </c>
      <c r="G129" t="str">
        <f ca="1">IFERROR(IF(0=LEN(ReferenceData!$G$129),"",ReferenceData!$G$129),"")</f>
        <v/>
      </c>
      <c r="H129" t="str">
        <f ca="1">IFERROR(IF(0=LEN(ReferenceData!$H$129),"",ReferenceData!$H$129),"")</f>
        <v/>
      </c>
      <c r="I129" t="str">
        <f ca="1">IFERROR(IF(0=LEN(ReferenceData!$I$129),"",ReferenceData!$I$129),"")</f>
        <v/>
      </c>
      <c r="J129" t="str">
        <f ca="1">IFERROR(IF(0=LEN(ReferenceData!$J$129),"",ReferenceData!$J$129),"")</f>
        <v/>
      </c>
      <c r="K129" t="str">
        <f ca="1">IFERROR(IF(0=LEN(ReferenceData!$K$129),"",ReferenceData!$K$129),"")</f>
        <v/>
      </c>
      <c r="L129" t="str">
        <f ca="1">IFERROR(IF(0=LEN(ReferenceData!$L$129),"",ReferenceData!$L$129),"")</f>
        <v/>
      </c>
      <c r="M129" t="str">
        <f ca="1">IFERROR(IF(0=LEN(ReferenceData!$M$129),"",ReferenceData!$M$129),"")</f>
        <v/>
      </c>
      <c r="N129" t="str">
        <f ca="1">IFERROR(IF(0=LEN(ReferenceData!$N$129),"",ReferenceData!$N$129),"")</f>
        <v/>
      </c>
      <c r="O129" t="str">
        <f ca="1">IFERROR(IF(0=LEN(ReferenceData!$O$129),"",ReferenceData!$O$129),"")</f>
        <v/>
      </c>
      <c r="P129" t="str">
        <f ca="1">IFERROR(IF(0=LEN(ReferenceData!$P$129),"",ReferenceData!$P$129),"")</f>
        <v/>
      </c>
      <c r="Q129" t="str">
        <f ca="1">IFERROR(IF(0=LEN(ReferenceData!$Q$129),"",ReferenceData!$Q$129),"")</f>
        <v/>
      </c>
      <c r="R129" t="str">
        <f ca="1">IFERROR(IF(0=LEN(ReferenceData!$R$129),"",ReferenceData!$R$129),"")</f>
        <v/>
      </c>
      <c r="S129">
        <f ca="1">IFERROR(IF(0=LEN(ReferenceData!$S$129),"",ReferenceData!$S$129),"")</f>
        <v>266038</v>
      </c>
      <c r="T129">
        <f ca="1">IFERROR(IF(0=LEN(ReferenceData!$T$129),"",ReferenceData!$T$129),"")</f>
        <v>171316</v>
      </c>
      <c r="U129">
        <f ca="1">IFERROR(IF(0=LEN(ReferenceData!$U$129),"",ReferenceData!$U$129),"")</f>
        <v>194486</v>
      </c>
      <c r="V129">
        <f ca="1">IFERROR(IF(0=LEN(ReferenceData!$V$129),"",ReferenceData!$V$129),"")</f>
        <v>220853</v>
      </c>
      <c r="W129">
        <f ca="1">IFERROR(IF(0=LEN(ReferenceData!$W$129),"",ReferenceData!$W$129),"")</f>
        <v>222262</v>
      </c>
      <c r="X129">
        <f ca="1">IFERROR(IF(0=LEN(ReferenceData!$X$129),"",ReferenceData!$X$129),"")</f>
        <v>161106</v>
      </c>
      <c r="Y129">
        <f ca="1">IFERROR(IF(0=LEN(ReferenceData!$Y$129),"",ReferenceData!$Y$129),"")</f>
        <v>159643</v>
      </c>
      <c r="Z129">
        <f ca="1">IFERROR(IF(0=LEN(ReferenceData!$Z$129),"",ReferenceData!$Z$129),"")</f>
        <v>187761</v>
      </c>
      <c r="AA129">
        <f ca="1">IFERROR(IF(0=LEN(ReferenceData!$AA$129),"",ReferenceData!$AA$129),"")</f>
        <v>199055</v>
      </c>
      <c r="AB129" t="str">
        <f ca="1">IFERROR(IF(0=LEN(ReferenceData!$AB$129),"",ReferenceData!$AB$129),"")</f>
        <v/>
      </c>
      <c r="AC129" t="str">
        <f ca="1">IFERROR(IF(0=LEN(ReferenceData!$AC$129),"",ReferenceData!$AC$129),"")</f>
        <v/>
      </c>
      <c r="AD129" t="str">
        <f ca="1">IFERROR(IF(0=LEN(ReferenceData!$AD$129),"",ReferenceData!$AD$129),"")</f>
        <v/>
      </c>
      <c r="AE129" t="str">
        <f ca="1">IFERROR(IF(0=LEN(ReferenceData!$AE$129),"",ReferenceData!$AE$129),"")</f>
        <v/>
      </c>
      <c r="AF129" t="str">
        <f ca="1">IFERROR(IF(0=LEN(ReferenceData!$AF$129),"",ReferenceData!$AF$129),"")</f>
        <v/>
      </c>
      <c r="AG129" t="str">
        <f ca="1">IFERROR(IF(0=LEN(ReferenceData!$AG$129),"",ReferenceData!$AG$129),"")</f>
        <v/>
      </c>
      <c r="AH129" t="str">
        <f ca="1">IFERROR(IF(0=LEN(ReferenceData!$AH$129),"",ReferenceData!$AH$129),"")</f>
        <v/>
      </c>
      <c r="AI129" t="str">
        <f ca="1">IFERROR(IF(0=LEN(ReferenceData!$AI$129),"",ReferenceData!$AI$129),"")</f>
        <v/>
      </c>
      <c r="AJ129" t="str">
        <f ca="1">IFERROR(IF(0=LEN(ReferenceData!$AJ$129),"",ReferenceData!$AJ$129),"")</f>
        <v/>
      </c>
      <c r="AK129" t="str">
        <f ca="1">IFERROR(IF(0=LEN(ReferenceData!$AK$129),"",ReferenceData!$AK$129),"")</f>
        <v/>
      </c>
      <c r="AL129" t="str">
        <f ca="1">IFERROR(IF(0=LEN(ReferenceData!$AL$129),"",ReferenceData!$AL$129),"")</f>
        <v/>
      </c>
      <c r="AM129" t="str">
        <f ca="1">IFERROR(IF(0=LEN(ReferenceData!$AM$129),"",ReferenceData!$AM$129),"")</f>
        <v/>
      </c>
      <c r="AN129" t="str">
        <f ca="1">IFERROR(IF(0=LEN(ReferenceData!$AN$129),"",ReferenceData!$AN$129),"")</f>
        <v/>
      </c>
      <c r="AO129" t="str">
        <f ca="1">IFERROR(IF(0=LEN(ReferenceData!$AO$129),"",ReferenceData!$AO$129),"")</f>
        <v/>
      </c>
      <c r="AP129" t="str">
        <f ca="1">IFERROR(IF(0=LEN(ReferenceData!$AP$129),"",ReferenceData!$AP$129),"")</f>
        <v/>
      </c>
      <c r="AQ129" t="str">
        <f ca="1">IFERROR(IF(0=LEN(ReferenceData!$AQ$129),"",ReferenceData!$AQ$129),"")</f>
        <v/>
      </c>
      <c r="AR129" t="str">
        <f ca="1">IFERROR(IF(0=LEN(ReferenceData!$AR$129),"",ReferenceData!$AR$129),"")</f>
        <v/>
      </c>
      <c r="AS129" t="str">
        <f ca="1">IFERROR(IF(0=LEN(ReferenceData!$AS$129),"",ReferenceData!$AS$129),"")</f>
        <v/>
      </c>
      <c r="AT129" t="str">
        <f ca="1">IFERROR(IF(0=LEN(ReferenceData!$AT$129),"",ReferenceData!$AT$129),"")</f>
        <v/>
      </c>
      <c r="AU129" t="str">
        <f ca="1">IFERROR(IF(0=LEN(ReferenceData!$AU$129),"",ReferenceData!$AU$129),"")</f>
        <v/>
      </c>
      <c r="AV129" t="str">
        <f ca="1">IFERROR(IF(0=LEN(ReferenceData!$AV$129),"",ReferenceData!$AV$129),"")</f>
        <v/>
      </c>
      <c r="AW129" t="str">
        <f ca="1">IFERROR(IF(0=LEN(ReferenceData!$AW$129),"",ReferenceData!$AW$129),"")</f>
        <v/>
      </c>
      <c r="AX129" t="str">
        <f ca="1">IFERROR(IF(0=LEN(ReferenceData!$AX$129),"",ReferenceData!$AX$129),"")</f>
        <v/>
      </c>
      <c r="AY129" t="str">
        <f ca="1">IFERROR(IF(0=LEN(ReferenceData!$AY$129),"",ReferenceData!$AY$129),"")</f>
        <v/>
      </c>
      <c r="AZ129" t="str">
        <f ca="1">IFERROR(IF(0=LEN(ReferenceData!$AZ$129),"",ReferenceData!$AZ$129),"")</f>
        <v/>
      </c>
      <c r="BA129" t="str">
        <f ca="1">IFERROR(IF(0=LEN(ReferenceData!$BA$129),"",ReferenceData!$BA$129),"")</f>
        <v/>
      </c>
      <c r="BB129" t="str">
        <f ca="1">IFERROR(IF(0=LEN(ReferenceData!$BB$129),"",ReferenceData!$BB$129),"")</f>
        <v/>
      </c>
      <c r="BC129" t="str">
        <f ca="1">IFERROR(IF(0=LEN(ReferenceData!$BC$129),"",ReferenceData!$BC$129),"")</f>
        <v/>
      </c>
      <c r="BD129" t="str">
        <f ca="1">IFERROR(IF(0=LEN(ReferenceData!$BD$129),"",ReferenceData!$BD$129),"")</f>
        <v/>
      </c>
      <c r="BE129" t="str">
        <f ca="1">IFERROR(IF(0=LEN(ReferenceData!$BE$129),"",ReferenceData!$BE$129),"")</f>
        <v/>
      </c>
      <c r="BF129" t="str">
        <f ca="1">IFERROR(IF(0=LEN(ReferenceData!$BF$129),"",ReferenceData!$BF$129),"")</f>
        <v/>
      </c>
      <c r="BG129" t="str">
        <f ca="1">IFERROR(IF(0=LEN(ReferenceData!$BG$129),"",ReferenceData!$BG$129),"")</f>
        <v/>
      </c>
      <c r="BH129" t="str">
        <f ca="1">IFERROR(IF(0=LEN(ReferenceData!$BH$129),"",ReferenceData!$BH$129),"")</f>
        <v/>
      </c>
      <c r="BI129" t="str">
        <f ca="1">IFERROR(IF(0=LEN(ReferenceData!$BI$129),"",ReferenceData!$BI$129),"")</f>
        <v/>
      </c>
      <c r="BJ129" t="str">
        <f ca="1">IFERROR(IF(0=LEN(ReferenceData!$BJ$129),"",ReferenceData!$BJ$129),"")</f>
        <v/>
      </c>
      <c r="BK129" t="str">
        <f ca="1">IFERROR(IF(0=LEN(ReferenceData!$BK$129),"",ReferenceData!$BK$129),"")</f>
        <v/>
      </c>
      <c r="BL129" t="str">
        <f ca="1">IFERROR(IF(0=LEN(ReferenceData!$BL$129),"",ReferenceData!$BL$129),"")</f>
        <v/>
      </c>
      <c r="BM129" t="str">
        <f ca="1">IFERROR(IF(0=LEN(ReferenceData!$BM$129),"",ReferenceData!$BM$129),"")</f>
        <v/>
      </c>
    </row>
    <row r="130" spans="1:65" x14ac:dyDescent="0.25">
      <c r="A130" t="str">
        <f>IFERROR(IF(0=LEN(ReferenceData!$A$130),"",ReferenceData!$A$130),"")</f>
        <v xml:space="preserve">    Tianjin Faw Xiali Automobile Co Ltd</v>
      </c>
      <c r="B130" t="str">
        <f>IFERROR(IF(0=LEN(ReferenceData!$B$130),"",ReferenceData!$B$130),"")</f>
        <v>000927 CH Equity</v>
      </c>
      <c r="C130" t="str">
        <f>IFERROR(IF(0=LEN(ReferenceData!$C$130),"",ReferenceData!$C$130),"")</f>
        <v>FS265</v>
      </c>
      <c r="D130" t="str">
        <f>IFERROR(IF(0=LEN(ReferenceData!$D$130),"",ReferenceData!$D$130),"")</f>
        <v>AUTO_VEHICLES_SOLD_WW</v>
      </c>
      <c r="E130" t="str">
        <f>IFERROR(IF(0=LEN(ReferenceData!$E$130),"",ReferenceData!$E$130),"")</f>
        <v>Dynamic</v>
      </c>
      <c r="F130" t="str">
        <f ca="1">IFERROR(IF(0=LEN(ReferenceData!$F$130),"",ReferenceData!$F$130),"")</f>
        <v/>
      </c>
      <c r="G130" t="str">
        <f ca="1">IFERROR(IF(0=LEN(ReferenceData!$G$130),"",ReferenceData!$G$130),"")</f>
        <v/>
      </c>
      <c r="H130">
        <f ca="1">IFERROR(IF(0=LEN(ReferenceData!$H$130),"",ReferenceData!$H$130),"")</f>
        <v>3322</v>
      </c>
      <c r="I130" t="str">
        <f ca="1">IFERROR(IF(0=LEN(ReferenceData!$I$130),"",ReferenceData!$I$130),"")</f>
        <v/>
      </c>
      <c r="J130" t="str">
        <f ca="1">IFERROR(IF(0=LEN(ReferenceData!$J$130),"",ReferenceData!$J$130),"")</f>
        <v/>
      </c>
      <c r="K130">
        <f ca="1">IFERROR(IF(0=LEN(ReferenceData!$K$130),"",ReferenceData!$K$130),"")</f>
        <v>8463</v>
      </c>
      <c r="L130">
        <f ca="1">IFERROR(IF(0=LEN(ReferenceData!$L$130),"",ReferenceData!$L$130),"")</f>
        <v>7073</v>
      </c>
      <c r="M130" t="str">
        <f ca="1">IFERROR(IF(0=LEN(ReferenceData!$M$130),"",ReferenceData!$M$130),"")</f>
        <v/>
      </c>
      <c r="N130" t="str">
        <f ca="1">IFERROR(IF(0=LEN(ReferenceData!$N$130),"",ReferenceData!$N$130),"")</f>
        <v/>
      </c>
      <c r="O130" t="str">
        <f ca="1">IFERROR(IF(0=LEN(ReferenceData!$O$130),"",ReferenceData!$O$130),"")</f>
        <v/>
      </c>
      <c r="P130">
        <f ca="1">IFERROR(IF(0=LEN(ReferenceData!$P$130),"",ReferenceData!$P$130),"")</f>
        <v>7952</v>
      </c>
      <c r="Q130" t="str">
        <f ca="1">IFERROR(IF(0=LEN(ReferenceData!$Q$130),"",ReferenceData!$Q$130),"")</f>
        <v/>
      </c>
      <c r="R130" t="str">
        <f ca="1">IFERROR(IF(0=LEN(ReferenceData!$R$130),"",ReferenceData!$R$130),"")</f>
        <v/>
      </c>
      <c r="S130" t="str">
        <f ca="1">IFERROR(IF(0=LEN(ReferenceData!$S$130),"",ReferenceData!$S$130),"")</f>
        <v/>
      </c>
      <c r="T130" t="str">
        <f ca="1">IFERROR(IF(0=LEN(ReferenceData!$T$130),"",ReferenceData!$T$130),"")</f>
        <v/>
      </c>
      <c r="U130" t="str">
        <f ca="1">IFERROR(IF(0=LEN(ReferenceData!$U$130),"",ReferenceData!$U$130),"")</f>
        <v/>
      </c>
      <c r="V130" t="str">
        <f ca="1">IFERROR(IF(0=LEN(ReferenceData!$V$130),"",ReferenceData!$V$130),"")</f>
        <v/>
      </c>
      <c r="W130" t="str">
        <f ca="1">IFERROR(IF(0=LEN(ReferenceData!$W$130),"",ReferenceData!$W$130),"")</f>
        <v/>
      </c>
      <c r="X130" t="str">
        <f ca="1">IFERROR(IF(0=LEN(ReferenceData!$X$130),"",ReferenceData!$X$130),"")</f>
        <v/>
      </c>
      <c r="Y130" t="str">
        <f ca="1">IFERROR(IF(0=LEN(ReferenceData!$Y$130),"",ReferenceData!$Y$130),"")</f>
        <v/>
      </c>
      <c r="Z130" t="str">
        <f ca="1">IFERROR(IF(0=LEN(ReferenceData!$Z$130),"",ReferenceData!$Z$130),"")</f>
        <v/>
      </c>
      <c r="AA130" t="str">
        <f ca="1">IFERROR(IF(0=LEN(ReferenceData!$AA$130),"",ReferenceData!$AA$130),"")</f>
        <v/>
      </c>
      <c r="AB130" t="str">
        <f ca="1">IFERROR(IF(0=LEN(ReferenceData!$AB$130),"",ReferenceData!$AB$130),"")</f>
        <v/>
      </c>
      <c r="AC130" t="str">
        <f ca="1">IFERROR(IF(0=LEN(ReferenceData!$AC$130),"",ReferenceData!$AC$130),"")</f>
        <v/>
      </c>
      <c r="AD130" t="str">
        <f ca="1">IFERROR(IF(0=LEN(ReferenceData!$AD$130),"",ReferenceData!$AD$130),"")</f>
        <v/>
      </c>
      <c r="AE130" t="str">
        <f ca="1">IFERROR(IF(0=LEN(ReferenceData!$AE$130),"",ReferenceData!$AE$130),"")</f>
        <v/>
      </c>
      <c r="AF130" t="str">
        <f ca="1">IFERROR(IF(0=LEN(ReferenceData!$AF$130),"",ReferenceData!$AF$130),"")</f>
        <v/>
      </c>
      <c r="AG130" t="str">
        <f ca="1">IFERROR(IF(0=LEN(ReferenceData!$AG$130),"",ReferenceData!$AG$130),"")</f>
        <v/>
      </c>
      <c r="AH130" t="str">
        <f ca="1">IFERROR(IF(0=LEN(ReferenceData!$AH$130),"",ReferenceData!$AH$130),"")</f>
        <v/>
      </c>
      <c r="AI130" t="str">
        <f ca="1">IFERROR(IF(0=LEN(ReferenceData!$AI$130),"",ReferenceData!$AI$130),"")</f>
        <v/>
      </c>
      <c r="AJ130" t="str">
        <f ca="1">IFERROR(IF(0=LEN(ReferenceData!$AJ$130),"",ReferenceData!$AJ$130),"")</f>
        <v/>
      </c>
      <c r="AK130" t="str">
        <f ca="1">IFERROR(IF(0=LEN(ReferenceData!$AK$130),"",ReferenceData!$AK$130),"")</f>
        <v/>
      </c>
      <c r="AL130" t="str">
        <f ca="1">IFERROR(IF(0=LEN(ReferenceData!$AL$130),"",ReferenceData!$AL$130),"")</f>
        <v/>
      </c>
      <c r="AM130" t="str">
        <f ca="1">IFERROR(IF(0=LEN(ReferenceData!$AM$130),"",ReferenceData!$AM$130),"")</f>
        <v/>
      </c>
      <c r="AN130" t="str">
        <f ca="1">IFERROR(IF(0=LEN(ReferenceData!$AN$130),"",ReferenceData!$AN$130),"")</f>
        <v/>
      </c>
      <c r="AO130" t="str">
        <f ca="1">IFERROR(IF(0=LEN(ReferenceData!$AO$130),"",ReferenceData!$AO$130),"")</f>
        <v/>
      </c>
      <c r="AP130" t="str">
        <f ca="1">IFERROR(IF(0=LEN(ReferenceData!$AP$130),"",ReferenceData!$AP$130),"")</f>
        <v/>
      </c>
      <c r="AQ130" t="str">
        <f ca="1">IFERROR(IF(0=LEN(ReferenceData!$AQ$130),"",ReferenceData!$AQ$130),"")</f>
        <v/>
      </c>
      <c r="AR130" t="str">
        <f ca="1">IFERROR(IF(0=LEN(ReferenceData!$AR$130),"",ReferenceData!$AR$130),"")</f>
        <v/>
      </c>
      <c r="AS130" t="str">
        <f ca="1">IFERROR(IF(0=LEN(ReferenceData!$AS$130),"",ReferenceData!$AS$130),"")</f>
        <v/>
      </c>
      <c r="AT130" t="str">
        <f ca="1">IFERROR(IF(0=LEN(ReferenceData!$AT$130),"",ReferenceData!$AT$130),"")</f>
        <v/>
      </c>
      <c r="AU130" t="str">
        <f ca="1">IFERROR(IF(0=LEN(ReferenceData!$AU$130),"",ReferenceData!$AU$130),"")</f>
        <v/>
      </c>
      <c r="AV130" t="str">
        <f ca="1">IFERROR(IF(0=LEN(ReferenceData!$AV$130),"",ReferenceData!$AV$130),"")</f>
        <v/>
      </c>
      <c r="AW130" t="str">
        <f ca="1">IFERROR(IF(0=LEN(ReferenceData!$AW$130),"",ReferenceData!$AW$130),"")</f>
        <v/>
      </c>
      <c r="AX130" t="str">
        <f ca="1">IFERROR(IF(0=LEN(ReferenceData!$AX$130),"",ReferenceData!$AX$130),"")</f>
        <v/>
      </c>
      <c r="AY130" t="str">
        <f ca="1">IFERROR(IF(0=LEN(ReferenceData!$AY$130),"",ReferenceData!$AY$130),"")</f>
        <v/>
      </c>
      <c r="AZ130" t="str">
        <f ca="1">IFERROR(IF(0=LEN(ReferenceData!$AZ$130),"",ReferenceData!$AZ$130),"")</f>
        <v/>
      </c>
      <c r="BA130" t="str">
        <f ca="1">IFERROR(IF(0=LEN(ReferenceData!$BA$130),"",ReferenceData!$BA$130),"")</f>
        <v/>
      </c>
      <c r="BB130" t="str">
        <f ca="1">IFERROR(IF(0=LEN(ReferenceData!$BB$130),"",ReferenceData!$BB$130),"")</f>
        <v/>
      </c>
      <c r="BC130" t="str">
        <f ca="1">IFERROR(IF(0=LEN(ReferenceData!$BC$130),"",ReferenceData!$BC$130),"")</f>
        <v/>
      </c>
      <c r="BD130">
        <f ca="1">IFERROR(IF(0=LEN(ReferenceData!$BD$130),"",ReferenceData!$BD$130),"")</f>
        <v>146727</v>
      </c>
      <c r="BE130" t="str">
        <f ca="1">IFERROR(IF(0=LEN(ReferenceData!$BE$130),"",ReferenceData!$BE$130),"")</f>
        <v/>
      </c>
      <c r="BF130" t="str">
        <f ca="1">IFERROR(IF(0=LEN(ReferenceData!$BF$130),"",ReferenceData!$BF$130),"")</f>
        <v/>
      </c>
      <c r="BG130" t="str">
        <f ca="1">IFERROR(IF(0=LEN(ReferenceData!$BG$130),"",ReferenceData!$BG$130),"")</f>
        <v/>
      </c>
      <c r="BH130" t="str">
        <f ca="1">IFERROR(IF(0=LEN(ReferenceData!$BH$130),"",ReferenceData!$BH$130),"")</f>
        <v/>
      </c>
      <c r="BI130" t="str">
        <f ca="1">IFERROR(IF(0=LEN(ReferenceData!$BI$130),"",ReferenceData!$BI$130),"")</f>
        <v/>
      </c>
      <c r="BJ130" t="str">
        <f ca="1">IFERROR(IF(0=LEN(ReferenceData!$BJ$130),"",ReferenceData!$BJ$130),"")</f>
        <v/>
      </c>
      <c r="BK130" t="str">
        <f ca="1">IFERROR(IF(0=LEN(ReferenceData!$BK$130),"",ReferenceData!$BK$130),"")</f>
        <v/>
      </c>
      <c r="BL130" t="str">
        <f ca="1">IFERROR(IF(0=LEN(ReferenceData!$BL$130),"",ReferenceData!$BL$130),"")</f>
        <v/>
      </c>
      <c r="BM130" t="str">
        <f ca="1">IFERROR(IF(0=LEN(ReferenceData!$BM$130),"",ReferenceData!$BM$130),"")</f>
        <v/>
      </c>
    </row>
    <row r="131" spans="1:65" x14ac:dyDescent="0.25">
      <c r="A131" t="str">
        <f>IFERROR(IF(0=LEN(ReferenceData!$A$131),"",ReferenceData!$A$131),"")</f>
        <v xml:space="preserve">    Jiangling Motors Corp Ltd</v>
      </c>
      <c r="B131" t="str">
        <f>IFERROR(IF(0=LEN(ReferenceData!$B$131),"",ReferenceData!$B$131),"")</f>
        <v>200550 CH Equity</v>
      </c>
      <c r="C131" t="str">
        <f>IFERROR(IF(0=LEN(ReferenceData!$C$131),"",ReferenceData!$C$131),"")</f>
        <v>FS265</v>
      </c>
      <c r="D131" t="str">
        <f>IFERROR(IF(0=LEN(ReferenceData!$D$131),"",ReferenceData!$D$131),"")</f>
        <v>AUTO_VEHICLES_SOLD_WW</v>
      </c>
      <c r="E131" t="str">
        <f>IFERROR(IF(0=LEN(ReferenceData!$E$131),"",ReferenceData!$E$131),"")</f>
        <v>Dynamic</v>
      </c>
      <c r="F131" t="str">
        <f ca="1">IFERROR(IF(0=LEN(ReferenceData!$F$131),"",ReferenceData!$F$131),"")</f>
        <v/>
      </c>
      <c r="G131" t="str">
        <f ca="1">IFERROR(IF(0=LEN(ReferenceData!$G$131),"",ReferenceData!$G$131),"")</f>
        <v/>
      </c>
      <c r="H131">
        <f ca="1">IFERROR(IF(0=LEN(ReferenceData!$H$131),"",ReferenceData!$H$131),"")</f>
        <v>56667</v>
      </c>
      <c r="I131">
        <f ca="1">IFERROR(IF(0=LEN(ReferenceData!$I$131),"",ReferenceData!$I$131),"")</f>
        <v>80913</v>
      </c>
      <c r="J131">
        <f ca="1">IFERROR(IF(0=LEN(ReferenceData!$J$131),"",ReferenceData!$J$131),"")</f>
        <v>66441</v>
      </c>
      <c r="K131">
        <f ca="1">IFERROR(IF(0=LEN(ReferenceData!$K$131),"",ReferenceData!$K$131),"")</f>
        <v>88620</v>
      </c>
      <c r="L131">
        <f ca="1">IFERROR(IF(0=LEN(ReferenceData!$L$131),"",ReferenceData!$L$131),"")</f>
        <v>67652</v>
      </c>
      <c r="M131">
        <f ca="1">IFERROR(IF(0=LEN(ReferenceData!$M$131),"",ReferenceData!$M$131),"")</f>
        <v>74203</v>
      </c>
      <c r="N131">
        <f ca="1">IFERROR(IF(0=LEN(ReferenceData!$N$131),"",ReferenceData!$N$131),"")</f>
        <v>79553</v>
      </c>
      <c r="O131">
        <f ca="1">IFERROR(IF(0=LEN(ReferenceData!$O$131),"",ReferenceData!$O$131),"")</f>
        <v>96498</v>
      </c>
      <c r="P131">
        <f ca="1">IFERROR(IF(0=LEN(ReferenceData!$P$131),"",ReferenceData!$P$131),"")</f>
        <v>63513</v>
      </c>
      <c r="Q131">
        <f ca="1">IFERROR(IF(0=LEN(ReferenceData!$Q$131),"",ReferenceData!$Q$131),"")</f>
        <v>60735</v>
      </c>
      <c r="R131">
        <f ca="1">IFERROR(IF(0=LEN(ReferenceData!$R$131),"",ReferenceData!$R$131),"")</f>
        <v>60273</v>
      </c>
      <c r="S131">
        <f ca="1">IFERROR(IF(0=LEN(ReferenceData!$S$131),"",ReferenceData!$S$131),"")</f>
        <v>72422</v>
      </c>
      <c r="T131">
        <f ca="1">IFERROR(IF(0=LEN(ReferenceData!$T$131),"",ReferenceData!$T$131),"")</f>
        <v>55303</v>
      </c>
      <c r="U131">
        <f ca="1">IFERROR(IF(0=LEN(ReferenceData!$U$131),"",ReferenceData!$U$131),"")</f>
        <v>62669</v>
      </c>
      <c r="V131">
        <f ca="1">IFERROR(IF(0=LEN(ReferenceData!$V$131),"",ReferenceData!$V$131),"")</f>
        <v>70582</v>
      </c>
      <c r="W131">
        <f ca="1">IFERROR(IF(0=LEN(ReferenceData!$W$131),"",ReferenceData!$W$131),"")</f>
        <v>81004</v>
      </c>
      <c r="X131">
        <f ca="1">IFERROR(IF(0=LEN(ReferenceData!$X$131),"",ReferenceData!$X$131),"")</f>
        <v>61916</v>
      </c>
      <c r="Y131">
        <f ca="1">IFERROR(IF(0=LEN(ReferenceData!$Y$131),"",ReferenceData!$Y$131),"")</f>
        <v>65813</v>
      </c>
      <c r="Z131">
        <f ca="1">IFERROR(IF(0=LEN(ReferenceData!$Z$131),"",ReferenceData!$Z$131),"")</f>
        <v>67125</v>
      </c>
      <c r="AA131">
        <f ca="1">IFERROR(IF(0=LEN(ReferenceData!$AA$131),"",ReferenceData!$AA$131),"")</f>
        <v>64810</v>
      </c>
      <c r="AB131">
        <f ca="1">IFERROR(IF(0=LEN(ReferenceData!$AB$131),"",ReferenceData!$AB$131),"")</f>
        <v>54966</v>
      </c>
      <c r="AC131">
        <f ca="1">IFERROR(IF(0=LEN(ReferenceData!$AC$131),"",ReferenceData!$AC$131),"")</f>
        <v>53810</v>
      </c>
      <c r="AD131">
        <f ca="1">IFERROR(IF(0=LEN(ReferenceData!$AD$131),"",ReferenceData!$AD$131),"")</f>
        <v>56420</v>
      </c>
      <c r="AE131">
        <f ca="1">IFERROR(IF(0=LEN(ReferenceData!$AE$131),"",ReferenceData!$AE$131),"")</f>
        <v>51873</v>
      </c>
      <c r="AF131">
        <f ca="1">IFERROR(IF(0=LEN(ReferenceData!$AF$131),"",ReferenceData!$AF$131),"")</f>
        <v>45521</v>
      </c>
      <c r="AG131">
        <f ca="1">IFERROR(IF(0=LEN(ReferenceData!$AG$131),"",ReferenceData!$AG$131),"")</f>
        <v>49922</v>
      </c>
      <c r="AH131">
        <f ca="1">IFERROR(IF(0=LEN(ReferenceData!$AH$131),"",ReferenceData!$AH$131),"")</f>
        <v>52692</v>
      </c>
      <c r="AI131">
        <f ca="1">IFERROR(IF(0=LEN(ReferenceData!$AI$131),"",ReferenceData!$AI$131),"")</f>
        <v>45236</v>
      </c>
      <c r="AJ131">
        <f ca="1">IFERROR(IF(0=LEN(ReferenceData!$AJ$131),"",ReferenceData!$AJ$131),"")</f>
        <v>44048</v>
      </c>
      <c r="AK131">
        <f ca="1">IFERROR(IF(0=LEN(ReferenceData!$AK$131),"",ReferenceData!$AK$131),"")</f>
        <v>49861</v>
      </c>
      <c r="AL131">
        <f ca="1">IFERROR(IF(0=LEN(ReferenceData!$AL$131),"",ReferenceData!$AL$131),"")</f>
        <v>55443</v>
      </c>
      <c r="AM131">
        <f ca="1">IFERROR(IF(0=LEN(ReferenceData!$AM$131),"",ReferenceData!$AM$131),"")</f>
        <v>46039</v>
      </c>
      <c r="AN131">
        <f ca="1">IFERROR(IF(0=LEN(ReferenceData!$AN$131),"",ReferenceData!$AN$131),"")</f>
        <v>44597</v>
      </c>
      <c r="AO131">
        <f ca="1">IFERROR(IF(0=LEN(ReferenceData!$AO$131),"",ReferenceData!$AO$131),"")</f>
        <v>47063</v>
      </c>
      <c r="AP131">
        <f ca="1">IFERROR(IF(0=LEN(ReferenceData!$AP$131),"",ReferenceData!$AP$131),"")</f>
        <v>41300</v>
      </c>
      <c r="AQ131">
        <f ca="1">IFERROR(IF(0=LEN(ReferenceData!$AQ$131),"",ReferenceData!$AQ$131),"")</f>
        <v>31970</v>
      </c>
      <c r="AR131">
        <f ca="1">IFERROR(IF(0=LEN(ReferenceData!$AR$131),"",ReferenceData!$AR$131),"")</f>
        <v>29391</v>
      </c>
      <c r="AS131">
        <f ca="1">IFERROR(IF(0=LEN(ReferenceData!$AS$131),"",ReferenceData!$AS$131),"")</f>
        <v>29076</v>
      </c>
      <c r="AT131">
        <f ca="1">IFERROR(IF(0=LEN(ReferenceData!$AT$131),"",ReferenceData!$AT$131),"")</f>
        <v>24251</v>
      </c>
      <c r="AU131">
        <f ca="1">IFERROR(IF(0=LEN(ReferenceData!$AU$131),"",ReferenceData!$AU$131),"")</f>
        <v>19675</v>
      </c>
      <c r="AV131">
        <f ca="1">IFERROR(IF(0=LEN(ReferenceData!$AV$131),"",ReferenceData!$AV$131),"")</f>
        <v>23496</v>
      </c>
      <c r="AW131">
        <f ca="1">IFERROR(IF(0=LEN(ReferenceData!$AW$131),"",ReferenceData!$AW$131),"")</f>
        <v>28215</v>
      </c>
      <c r="AX131">
        <f ca="1">IFERROR(IF(0=LEN(ReferenceData!$AX$131),"",ReferenceData!$AX$131),"")</f>
        <v>23785</v>
      </c>
      <c r="AY131">
        <f ca="1">IFERROR(IF(0=LEN(ReferenceData!$AY$131),"",ReferenceData!$AY$131),"")</f>
        <v>25028</v>
      </c>
      <c r="AZ131">
        <f ca="1">IFERROR(IF(0=LEN(ReferenceData!$AZ$131),"",ReferenceData!$AZ$131),"")</f>
        <v>24303</v>
      </c>
      <c r="BA131">
        <f ca="1">IFERROR(IF(0=LEN(ReferenceData!$BA$131),"",ReferenceData!$BA$131),"")</f>
        <v>25713</v>
      </c>
      <c r="BB131">
        <f ca="1">IFERROR(IF(0=LEN(ReferenceData!$BB$131),"",ReferenceData!$BB$131),"")</f>
        <v>20015</v>
      </c>
      <c r="BC131">
        <f ca="1">IFERROR(IF(0=LEN(ReferenceData!$BC$131),"",ReferenceData!$BC$131),"")</f>
        <v>31657</v>
      </c>
      <c r="BD131">
        <f ca="1">IFERROR(IF(0=LEN(ReferenceData!$BD$131),"",ReferenceData!$BD$131),"")</f>
        <v>20049</v>
      </c>
      <c r="BE131">
        <f ca="1">IFERROR(IF(0=LEN(ReferenceData!$BE$131),"",ReferenceData!$BE$131),"")</f>
        <v>22492</v>
      </c>
      <c r="BF131">
        <f ca="1">IFERROR(IF(0=LEN(ReferenceData!$BF$131),"",ReferenceData!$BF$131),"")</f>
        <v>20861</v>
      </c>
      <c r="BG131" t="str">
        <f ca="1">IFERROR(IF(0=LEN(ReferenceData!$BG$131),"",ReferenceData!$BG$131),"")</f>
        <v/>
      </c>
      <c r="BH131" t="str">
        <f ca="1">IFERROR(IF(0=LEN(ReferenceData!$BH$131),"",ReferenceData!$BH$131),"")</f>
        <v/>
      </c>
      <c r="BI131" t="str">
        <f ca="1">IFERROR(IF(0=LEN(ReferenceData!$BI$131),"",ReferenceData!$BI$131),"")</f>
        <v/>
      </c>
      <c r="BJ131" t="str">
        <f ca="1">IFERROR(IF(0=LEN(ReferenceData!$BJ$131),"",ReferenceData!$BJ$131),"")</f>
        <v/>
      </c>
      <c r="BK131" t="str">
        <f ca="1">IFERROR(IF(0=LEN(ReferenceData!$BK$131),"",ReferenceData!$BK$131),"")</f>
        <v/>
      </c>
      <c r="BL131" t="str">
        <f ca="1">IFERROR(IF(0=LEN(ReferenceData!$BL$131),"",ReferenceData!$BL$131),"")</f>
        <v/>
      </c>
      <c r="BM131" t="str">
        <f ca="1">IFERROR(IF(0=LEN(ReferenceData!$BM$131),"",ReferenceData!$BM$131),"")</f>
        <v/>
      </c>
    </row>
    <row r="132" spans="1:65" x14ac:dyDescent="0.25">
      <c r="A132" t="str">
        <f>IFERROR(IF(0=LEN(ReferenceData!$A$132),"",ReferenceData!$A$132),"")</f>
        <v xml:space="preserve">    FAW CAR Co Ltd</v>
      </c>
      <c r="B132" t="str">
        <f>IFERROR(IF(0=LEN(ReferenceData!$B$132),"",ReferenceData!$B$132),"")</f>
        <v>000800 CH Equity</v>
      </c>
      <c r="C132" t="str">
        <f>IFERROR(IF(0=LEN(ReferenceData!$C$132),"",ReferenceData!$C$132),"")</f>
        <v>FS265</v>
      </c>
      <c r="D132" t="str">
        <f>IFERROR(IF(0=LEN(ReferenceData!$D$132),"",ReferenceData!$D$132),"")</f>
        <v>AUTO_VEHICLES_SOLD_WW</v>
      </c>
      <c r="E132" t="str">
        <f>IFERROR(IF(0=LEN(ReferenceData!$E$132),"",ReferenceData!$E$132),"")</f>
        <v>Dynamic</v>
      </c>
      <c r="F132" t="str">
        <f ca="1">IFERROR(IF(0=LEN(ReferenceData!$F$132),"",ReferenceData!$F$132),"")</f>
        <v/>
      </c>
      <c r="G132" t="str">
        <f ca="1">IFERROR(IF(0=LEN(ReferenceData!$G$132),"",ReferenceData!$G$132),"")</f>
        <v/>
      </c>
      <c r="H132" t="str">
        <f ca="1">IFERROR(IF(0=LEN(ReferenceData!$H$132),"",ReferenceData!$H$132),"")</f>
        <v/>
      </c>
      <c r="I132" t="str">
        <f ca="1">IFERROR(IF(0=LEN(ReferenceData!$I$132),"",ReferenceData!$I$132),"")</f>
        <v/>
      </c>
      <c r="J132" t="str">
        <f ca="1">IFERROR(IF(0=LEN(ReferenceData!$J$132),"",ReferenceData!$J$132),"")</f>
        <v/>
      </c>
      <c r="K132" t="str">
        <f ca="1">IFERROR(IF(0=LEN(ReferenceData!$K$132),"",ReferenceData!$K$132),"")</f>
        <v/>
      </c>
      <c r="L132" t="str">
        <f ca="1">IFERROR(IF(0=LEN(ReferenceData!$L$132),"",ReferenceData!$L$132),"")</f>
        <v/>
      </c>
      <c r="M132" t="str">
        <f ca="1">IFERROR(IF(0=LEN(ReferenceData!$M$132),"",ReferenceData!$M$132),"")</f>
        <v/>
      </c>
      <c r="N132" t="str">
        <f ca="1">IFERROR(IF(0=LEN(ReferenceData!$N$132),"",ReferenceData!$N$132),"")</f>
        <v/>
      </c>
      <c r="O132" t="str">
        <f ca="1">IFERROR(IF(0=LEN(ReferenceData!$O$132),"",ReferenceData!$O$132),"")</f>
        <v/>
      </c>
      <c r="P132" t="str">
        <f ca="1">IFERROR(IF(0=LEN(ReferenceData!$P$132),"",ReferenceData!$P$132),"")</f>
        <v/>
      </c>
      <c r="Q132" t="str">
        <f ca="1">IFERROR(IF(0=LEN(ReferenceData!$Q$132),"",ReferenceData!$Q$132),"")</f>
        <v/>
      </c>
      <c r="R132" t="str">
        <f ca="1">IFERROR(IF(0=LEN(ReferenceData!$R$132),"",ReferenceData!$R$132),"")</f>
        <v/>
      </c>
      <c r="S132">
        <f ca="1">IFERROR(IF(0=LEN(ReferenceData!$S$132),"",ReferenceData!$S$132),"")</f>
        <v>69629</v>
      </c>
      <c r="T132">
        <f ca="1">IFERROR(IF(0=LEN(ReferenceData!$T$132),"",ReferenceData!$T$132),"")</f>
        <v>45500</v>
      </c>
      <c r="U132">
        <f ca="1">IFERROR(IF(0=LEN(ReferenceData!$U$132),"",ReferenceData!$U$132),"")</f>
        <v>120800</v>
      </c>
      <c r="V132" t="str">
        <f ca="1">IFERROR(IF(0=LEN(ReferenceData!$V$132),"",ReferenceData!$V$132),"")</f>
        <v/>
      </c>
      <c r="W132">
        <f ca="1">IFERROR(IF(0=LEN(ReferenceData!$W$132),"",ReferenceData!$W$132),"")</f>
        <v>85960</v>
      </c>
      <c r="X132">
        <f ca="1">IFERROR(IF(0=LEN(ReferenceData!$X$132),"",ReferenceData!$X$132),"")</f>
        <v>69337</v>
      </c>
      <c r="Y132">
        <f ca="1">IFERROR(IF(0=LEN(ReferenceData!$Y$132),"",ReferenceData!$Y$132),"")</f>
        <v>66660</v>
      </c>
      <c r="Z132">
        <f ca="1">IFERROR(IF(0=LEN(ReferenceData!$Z$132),"",ReferenceData!$Z$132),"")</f>
        <v>69076</v>
      </c>
      <c r="AA132">
        <f ca="1">IFERROR(IF(0=LEN(ReferenceData!$AA$132),"",ReferenceData!$AA$132),"")</f>
        <v>80241</v>
      </c>
      <c r="AB132">
        <f ca="1">IFERROR(IF(0=LEN(ReferenceData!$AB$132),"",ReferenceData!$AB$132),"")</f>
        <v>61361</v>
      </c>
      <c r="AC132">
        <f ca="1">IFERROR(IF(0=LEN(ReferenceData!$AC$132),"",ReferenceData!$AC$132),"")</f>
        <v>56281</v>
      </c>
      <c r="AD132">
        <f ca="1">IFERROR(IF(0=LEN(ReferenceData!$AD$132),"",ReferenceData!$AD$132),"")</f>
        <v>47023</v>
      </c>
      <c r="AE132">
        <f ca="1">IFERROR(IF(0=LEN(ReferenceData!$AE$132),"",ReferenceData!$AE$132),"")</f>
        <v>44948</v>
      </c>
      <c r="AF132">
        <f ca="1">IFERROR(IF(0=LEN(ReferenceData!$AF$132),"",ReferenceData!$AF$132),"")</f>
        <v>45052</v>
      </c>
      <c r="AG132">
        <f ca="1">IFERROR(IF(0=LEN(ReferenceData!$AG$132),"",ReferenceData!$AG$132),"")</f>
        <v>43400</v>
      </c>
      <c r="AH132">
        <f ca="1">IFERROR(IF(0=LEN(ReferenceData!$AH$132),"",ReferenceData!$AH$132),"")</f>
        <v>46600</v>
      </c>
      <c r="AI132">
        <f ca="1">IFERROR(IF(0=LEN(ReferenceData!$AI$132),"",ReferenceData!$AI$132),"")</f>
        <v>60000</v>
      </c>
      <c r="AJ132">
        <f ca="1">IFERROR(IF(0=LEN(ReferenceData!$AJ$132),"",ReferenceData!$AJ$132),"")</f>
        <v>40000</v>
      </c>
      <c r="AK132">
        <f ca="1">IFERROR(IF(0=LEN(ReferenceData!$AK$132),"",ReferenceData!$AK$132),"")</f>
        <v>70000</v>
      </c>
      <c r="AL132">
        <f ca="1">IFERROR(IF(0=LEN(ReferenceData!$AL$132),"",ReferenceData!$AL$132),"")</f>
        <v>70000</v>
      </c>
      <c r="AM132">
        <f ca="1">IFERROR(IF(0=LEN(ReferenceData!$AM$132),"",ReferenceData!$AM$132),"")</f>
        <v>70195</v>
      </c>
      <c r="AN132">
        <f ca="1">IFERROR(IF(0=LEN(ReferenceData!$AN$132),"",ReferenceData!$AN$132),"")</f>
        <v>70000</v>
      </c>
      <c r="AO132">
        <f ca="1">IFERROR(IF(0=LEN(ReferenceData!$AO$132),"",ReferenceData!$AO$132),"")</f>
        <v>60000</v>
      </c>
      <c r="AP132">
        <f ca="1">IFERROR(IF(0=LEN(ReferenceData!$AP$132),"",ReferenceData!$AP$132),"")</f>
        <v>60000</v>
      </c>
      <c r="AQ132">
        <f ca="1">IFERROR(IF(0=LEN(ReferenceData!$AQ$132),"",ReferenceData!$AQ$132),"")</f>
        <v>120000</v>
      </c>
      <c r="AR132">
        <f ca="1">IFERROR(IF(0=LEN(ReferenceData!$AR$132),"",ReferenceData!$AR$132),"")</f>
        <v>50000</v>
      </c>
      <c r="AS132" t="str">
        <f ca="1">IFERROR(IF(0=LEN(ReferenceData!$AS$132),"",ReferenceData!$AS$132),"")</f>
        <v/>
      </c>
      <c r="AT132">
        <f ca="1">IFERROR(IF(0=LEN(ReferenceData!$AT$132),"",ReferenceData!$AT$132),"")</f>
        <v>30000</v>
      </c>
      <c r="AU132" t="str">
        <f ca="1">IFERROR(IF(0=LEN(ReferenceData!$AU$132),"",ReferenceData!$AU$132),"")</f>
        <v/>
      </c>
      <c r="AV132" t="str">
        <f ca="1">IFERROR(IF(0=LEN(ReferenceData!$AV$132),"",ReferenceData!$AV$132),"")</f>
        <v/>
      </c>
      <c r="AW132" t="str">
        <f ca="1">IFERROR(IF(0=LEN(ReferenceData!$AW$132),"",ReferenceData!$AW$132),"")</f>
        <v/>
      </c>
      <c r="AX132">
        <f ca="1">IFERROR(IF(0=LEN(ReferenceData!$AX$132),"",ReferenceData!$AX$132),"")</f>
        <v>28000</v>
      </c>
      <c r="AY132" t="str">
        <f ca="1">IFERROR(IF(0=LEN(ReferenceData!$AY$132),"",ReferenceData!$AY$132),"")</f>
        <v/>
      </c>
      <c r="AZ132" t="str">
        <f ca="1">IFERROR(IF(0=LEN(ReferenceData!$AZ$132),"",ReferenceData!$AZ$132),"")</f>
        <v/>
      </c>
      <c r="BA132" t="str">
        <f ca="1">IFERROR(IF(0=LEN(ReferenceData!$BA$132),"",ReferenceData!$BA$132),"")</f>
        <v/>
      </c>
      <c r="BB132" t="str">
        <f ca="1">IFERROR(IF(0=LEN(ReferenceData!$BB$132),"",ReferenceData!$BB$132),"")</f>
        <v/>
      </c>
      <c r="BC132" t="str">
        <f ca="1">IFERROR(IF(0=LEN(ReferenceData!$BC$132),"",ReferenceData!$BC$132),"")</f>
        <v/>
      </c>
      <c r="BD132" t="str">
        <f ca="1">IFERROR(IF(0=LEN(ReferenceData!$BD$132),"",ReferenceData!$BD$132),"")</f>
        <v/>
      </c>
      <c r="BE132" t="str">
        <f ca="1">IFERROR(IF(0=LEN(ReferenceData!$BE$132),"",ReferenceData!$BE$132),"")</f>
        <v/>
      </c>
      <c r="BF132" t="str">
        <f ca="1">IFERROR(IF(0=LEN(ReferenceData!$BF$132),"",ReferenceData!$BF$132),"")</f>
        <v/>
      </c>
      <c r="BG132" t="str">
        <f ca="1">IFERROR(IF(0=LEN(ReferenceData!$BG$132),"",ReferenceData!$BG$132),"")</f>
        <v/>
      </c>
      <c r="BH132" t="str">
        <f ca="1">IFERROR(IF(0=LEN(ReferenceData!$BH$132),"",ReferenceData!$BH$132),"")</f>
        <v/>
      </c>
      <c r="BI132" t="str">
        <f ca="1">IFERROR(IF(0=LEN(ReferenceData!$BI$132),"",ReferenceData!$BI$132),"")</f>
        <v/>
      </c>
      <c r="BJ132" t="str">
        <f ca="1">IFERROR(IF(0=LEN(ReferenceData!$BJ$132),"",ReferenceData!$BJ$132),"")</f>
        <v/>
      </c>
      <c r="BK132" t="str">
        <f ca="1">IFERROR(IF(0=LEN(ReferenceData!$BK$132),"",ReferenceData!$BK$132),"")</f>
        <v/>
      </c>
      <c r="BL132" t="str">
        <f ca="1">IFERROR(IF(0=LEN(ReferenceData!$BL$132),"",ReferenceData!$BL$132),"")</f>
        <v/>
      </c>
      <c r="BM132" t="str">
        <f ca="1">IFERROR(IF(0=LEN(ReferenceData!$BM$132),"",ReferenceData!$BM$132),"")</f>
        <v/>
      </c>
    </row>
    <row r="133" spans="1:65" x14ac:dyDescent="0.25">
      <c r="A133" t="str">
        <f>IFERROR(IF(0=LEN(ReferenceData!$A$133),"",ReferenceData!$A$133),"")</f>
        <v xml:space="preserve">    Brilliance China Automotive Holdings Ltd</v>
      </c>
      <c r="B133" t="str">
        <f>IFERROR(IF(0=LEN(ReferenceData!$B$133),"",ReferenceData!$B$133),"")</f>
        <v>1114 HK Equity</v>
      </c>
      <c r="C133" t="str">
        <f>IFERROR(IF(0=LEN(ReferenceData!$C$133),"",ReferenceData!$C$133),"")</f>
        <v>FS265</v>
      </c>
      <c r="D133" t="str">
        <f>IFERROR(IF(0=LEN(ReferenceData!$D$133),"",ReferenceData!$D$133),"")</f>
        <v>AUTO_VEHICLES_SOLD_WW</v>
      </c>
      <c r="E133" t="str">
        <f>IFERROR(IF(0=LEN(ReferenceData!$E$133),"",ReferenceData!$E$133),"")</f>
        <v>Dynamic</v>
      </c>
      <c r="F133" t="str">
        <f ca="1">IFERROR(IF(0=LEN(ReferenceData!$F$133),"",ReferenceData!$F$133),"")</f>
        <v/>
      </c>
      <c r="G133" t="str">
        <f ca="1">IFERROR(IF(0=LEN(ReferenceData!$G$133),"",ReferenceData!$G$133),"")</f>
        <v/>
      </c>
      <c r="H133" t="str">
        <f ca="1">IFERROR(IF(0=LEN(ReferenceData!$H$133),"",ReferenceData!$H$133),"")</f>
        <v/>
      </c>
      <c r="I133" t="str">
        <f ca="1">IFERROR(IF(0=LEN(ReferenceData!$I$133),"",ReferenceData!$I$133),"")</f>
        <v/>
      </c>
      <c r="J133" t="str">
        <f ca="1">IFERROR(IF(0=LEN(ReferenceData!$J$133),"",ReferenceData!$J$133),"")</f>
        <v/>
      </c>
      <c r="K133" t="str">
        <f ca="1">IFERROR(IF(0=LEN(ReferenceData!$K$133),"",ReferenceData!$K$133),"")</f>
        <v/>
      </c>
      <c r="L133" t="str">
        <f ca="1">IFERROR(IF(0=LEN(ReferenceData!$L$133),"",ReferenceData!$L$133),"")</f>
        <v/>
      </c>
      <c r="M133" t="str">
        <f ca="1">IFERROR(IF(0=LEN(ReferenceData!$M$133),"",ReferenceData!$M$133),"")</f>
        <v/>
      </c>
      <c r="N133" t="str">
        <f ca="1">IFERROR(IF(0=LEN(ReferenceData!$N$133),"",ReferenceData!$N$133),"")</f>
        <v/>
      </c>
      <c r="O133" t="str">
        <f ca="1">IFERROR(IF(0=LEN(ReferenceData!$O$133),"",ReferenceData!$O$133),"")</f>
        <v/>
      </c>
      <c r="P133" t="str">
        <f ca="1">IFERROR(IF(0=LEN(ReferenceData!$P$133),"",ReferenceData!$P$133),"")</f>
        <v/>
      </c>
      <c r="Q133" t="str">
        <f ca="1">IFERROR(IF(0=LEN(ReferenceData!$Q$133),"",ReferenceData!$Q$133),"")</f>
        <v/>
      </c>
      <c r="R133" t="str">
        <f ca="1">IFERROR(IF(0=LEN(ReferenceData!$R$133),"",ReferenceData!$R$133),"")</f>
        <v/>
      </c>
      <c r="S133" t="str">
        <f ca="1">IFERROR(IF(0=LEN(ReferenceData!$S$133),"",ReferenceData!$S$133),"")</f>
        <v/>
      </c>
      <c r="T133" t="str">
        <f ca="1">IFERROR(IF(0=LEN(ReferenceData!$T$133),"",ReferenceData!$T$133),"")</f>
        <v/>
      </c>
      <c r="U133" t="str">
        <f ca="1">IFERROR(IF(0=LEN(ReferenceData!$U$133),"",ReferenceData!$U$133),"")</f>
        <v/>
      </c>
      <c r="V133" t="str">
        <f ca="1">IFERROR(IF(0=LEN(ReferenceData!$V$133),"",ReferenceData!$V$133),"")</f>
        <v/>
      </c>
      <c r="W133" t="str">
        <f ca="1">IFERROR(IF(0=LEN(ReferenceData!$W$133),"",ReferenceData!$W$133),"")</f>
        <v/>
      </c>
      <c r="X133" t="str">
        <f ca="1">IFERROR(IF(0=LEN(ReferenceData!$X$133),"",ReferenceData!$X$133),"")</f>
        <v/>
      </c>
      <c r="Y133" t="str">
        <f ca="1">IFERROR(IF(0=LEN(ReferenceData!$Y$133),"",ReferenceData!$Y$133),"")</f>
        <v/>
      </c>
      <c r="Z133" t="str">
        <f ca="1">IFERROR(IF(0=LEN(ReferenceData!$Z$133),"",ReferenceData!$Z$133),"")</f>
        <v/>
      </c>
      <c r="AA133" t="str">
        <f ca="1">IFERROR(IF(0=LEN(ReferenceData!$AA$133),"",ReferenceData!$AA$133),"")</f>
        <v/>
      </c>
      <c r="AB133" t="str">
        <f ca="1">IFERROR(IF(0=LEN(ReferenceData!$AB$133),"",ReferenceData!$AB$133),"")</f>
        <v/>
      </c>
      <c r="AC133" t="str">
        <f ca="1">IFERROR(IF(0=LEN(ReferenceData!$AC$133),"",ReferenceData!$AC$133),"")</f>
        <v/>
      </c>
      <c r="AD133" t="str">
        <f ca="1">IFERROR(IF(0=LEN(ReferenceData!$AD$133),"",ReferenceData!$AD$133),"")</f>
        <v/>
      </c>
      <c r="AE133" t="str">
        <f ca="1">IFERROR(IF(0=LEN(ReferenceData!$AE$133),"",ReferenceData!$AE$133),"")</f>
        <v/>
      </c>
      <c r="AF133" t="str">
        <f ca="1">IFERROR(IF(0=LEN(ReferenceData!$AF$133),"",ReferenceData!$AF$133),"")</f>
        <v/>
      </c>
      <c r="AG133" t="str">
        <f ca="1">IFERROR(IF(0=LEN(ReferenceData!$AG$133),"",ReferenceData!$AG$133),"")</f>
        <v/>
      </c>
      <c r="AH133" t="str">
        <f ca="1">IFERROR(IF(0=LEN(ReferenceData!$AH$133),"",ReferenceData!$AH$133),"")</f>
        <v/>
      </c>
      <c r="AI133" t="str">
        <f ca="1">IFERROR(IF(0=LEN(ReferenceData!$AI$133),"",ReferenceData!$AI$133),"")</f>
        <v/>
      </c>
      <c r="AJ133" t="str">
        <f ca="1">IFERROR(IF(0=LEN(ReferenceData!$AJ$133),"",ReferenceData!$AJ$133),"")</f>
        <v/>
      </c>
      <c r="AK133" t="str">
        <f ca="1">IFERROR(IF(0=LEN(ReferenceData!$AK$133),"",ReferenceData!$AK$133),"")</f>
        <v/>
      </c>
      <c r="AL133" t="str">
        <f ca="1">IFERROR(IF(0=LEN(ReferenceData!$AL$133),"",ReferenceData!$AL$133),"")</f>
        <v/>
      </c>
      <c r="AM133" t="str">
        <f ca="1">IFERROR(IF(0=LEN(ReferenceData!$AM$133),"",ReferenceData!$AM$133),"")</f>
        <v/>
      </c>
      <c r="AN133" t="str">
        <f ca="1">IFERROR(IF(0=LEN(ReferenceData!$AN$133),"",ReferenceData!$AN$133),"")</f>
        <v/>
      </c>
      <c r="AO133" t="str">
        <f ca="1">IFERROR(IF(0=LEN(ReferenceData!$AO$133),"",ReferenceData!$AO$133),"")</f>
        <v/>
      </c>
      <c r="AP133" t="str">
        <f ca="1">IFERROR(IF(0=LEN(ReferenceData!$AP$133),"",ReferenceData!$AP$133),"")</f>
        <v/>
      </c>
      <c r="AQ133" t="str">
        <f ca="1">IFERROR(IF(0=LEN(ReferenceData!$AQ$133),"",ReferenceData!$AQ$133),"")</f>
        <v/>
      </c>
      <c r="AR133" t="str">
        <f ca="1">IFERROR(IF(0=LEN(ReferenceData!$AR$133),"",ReferenceData!$AR$133),"")</f>
        <v/>
      </c>
      <c r="AS133" t="str">
        <f ca="1">IFERROR(IF(0=LEN(ReferenceData!$AS$133),"",ReferenceData!$AS$133),"")</f>
        <v/>
      </c>
      <c r="AT133" t="str">
        <f ca="1">IFERROR(IF(0=LEN(ReferenceData!$AT$133),"",ReferenceData!$AT$133),"")</f>
        <v/>
      </c>
      <c r="AU133" t="str">
        <f ca="1">IFERROR(IF(0=LEN(ReferenceData!$AU$133),"",ReferenceData!$AU$133),"")</f>
        <v/>
      </c>
      <c r="AV133" t="str">
        <f ca="1">IFERROR(IF(0=LEN(ReferenceData!$AV$133),"",ReferenceData!$AV$133),"")</f>
        <v/>
      </c>
      <c r="AW133" t="str">
        <f ca="1">IFERROR(IF(0=LEN(ReferenceData!$AW$133),"",ReferenceData!$AW$133),"")</f>
        <v/>
      </c>
      <c r="AX133" t="str">
        <f ca="1">IFERROR(IF(0=LEN(ReferenceData!$AX$133),"",ReferenceData!$AX$133),"")</f>
        <v/>
      </c>
      <c r="AY133" t="str">
        <f ca="1">IFERROR(IF(0=LEN(ReferenceData!$AY$133),"",ReferenceData!$AY$133),"")</f>
        <v/>
      </c>
      <c r="AZ133" t="str">
        <f ca="1">IFERROR(IF(0=LEN(ReferenceData!$AZ$133),"",ReferenceData!$AZ$133),"")</f>
        <v/>
      </c>
      <c r="BA133" t="str">
        <f ca="1">IFERROR(IF(0=LEN(ReferenceData!$BA$133),"",ReferenceData!$BA$133),"")</f>
        <v/>
      </c>
      <c r="BB133" t="str">
        <f ca="1">IFERROR(IF(0=LEN(ReferenceData!$BB$133),"",ReferenceData!$BB$133),"")</f>
        <v/>
      </c>
      <c r="BC133" t="str">
        <f ca="1">IFERROR(IF(0=LEN(ReferenceData!$BC$133),"",ReferenceData!$BC$133),"")</f>
        <v/>
      </c>
      <c r="BD133" t="str">
        <f ca="1">IFERROR(IF(0=LEN(ReferenceData!$BD$133),"",ReferenceData!$BD$133),"")</f>
        <v/>
      </c>
      <c r="BE133" t="str">
        <f ca="1">IFERROR(IF(0=LEN(ReferenceData!$BE$133),"",ReferenceData!$BE$133),"")</f>
        <v/>
      </c>
      <c r="BF133" t="str">
        <f ca="1">IFERROR(IF(0=LEN(ReferenceData!$BF$133),"",ReferenceData!$BF$133),"")</f>
        <v/>
      </c>
      <c r="BG133" t="str">
        <f ca="1">IFERROR(IF(0=LEN(ReferenceData!$BG$133),"",ReferenceData!$BG$133),"")</f>
        <v/>
      </c>
      <c r="BH133" t="str">
        <f ca="1">IFERROR(IF(0=LEN(ReferenceData!$BH$133),"",ReferenceData!$BH$133),"")</f>
        <v/>
      </c>
      <c r="BI133" t="str">
        <f ca="1">IFERROR(IF(0=LEN(ReferenceData!$BI$133),"",ReferenceData!$BI$133),"")</f>
        <v/>
      </c>
      <c r="BJ133" t="str">
        <f ca="1">IFERROR(IF(0=LEN(ReferenceData!$BJ$133),"",ReferenceData!$BJ$133),"")</f>
        <v/>
      </c>
      <c r="BK133" t="str">
        <f ca="1">IFERROR(IF(0=LEN(ReferenceData!$BK$133),"",ReferenceData!$BK$133),"")</f>
        <v/>
      </c>
      <c r="BL133" t="str">
        <f ca="1">IFERROR(IF(0=LEN(ReferenceData!$BL$133),"",ReferenceData!$BL$133),"")</f>
        <v/>
      </c>
      <c r="BM133" t="str">
        <f ca="1">IFERROR(IF(0=LEN(ReferenceData!$BM$133),"",ReferenceData!$BM$133),"")</f>
        <v/>
      </c>
    </row>
    <row r="134" spans="1:65" x14ac:dyDescent="0.25">
      <c r="A134" t="str">
        <f>IFERROR(IF(0=LEN(ReferenceData!$A$134),"",ReferenceData!$A$134),"")</f>
        <v xml:space="preserve">    Old Porsche</v>
      </c>
      <c r="B134" t="str">
        <f>IFERROR(IF(0=LEN(ReferenceData!$B$134),"",ReferenceData!$B$134),"")</f>
        <v>PAH3 GR Equity</v>
      </c>
      <c r="C134" t="str">
        <f>IFERROR(IF(0=LEN(ReferenceData!$C$134),"",ReferenceData!$C$134),"")</f>
        <v>FS265</v>
      </c>
      <c r="D134" t="str">
        <f>IFERROR(IF(0=LEN(ReferenceData!$D$134),"",ReferenceData!$D$134),"")</f>
        <v>AUTO_VEHICLES_SOLD_WW</v>
      </c>
      <c r="E134" t="str">
        <f>IFERROR(IF(0=LEN(ReferenceData!$E$134),"",ReferenceData!$E$134),"")</f>
        <v>Dynamic</v>
      </c>
      <c r="F134" t="str">
        <f ca="1">IFERROR(IF(0=LEN(ReferenceData!$F$134),"",ReferenceData!$F$134),"")</f>
        <v/>
      </c>
      <c r="G134" t="str">
        <f ca="1">IFERROR(IF(0=LEN(ReferenceData!$G$134),"",ReferenceData!$G$134),"")</f>
        <v/>
      </c>
      <c r="H134" t="str">
        <f ca="1">IFERROR(IF(0=LEN(ReferenceData!$H$134),"",ReferenceData!$H$134),"")</f>
        <v/>
      </c>
      <c r="I134" t="str">
        <f ca="1">IFERROR(IF(0=LEN(ReferenceData!$I$134),"",ReferenceData!$I$134),"")</f>
        <v/>
      </c>
      <c r="J134" t="str">
        <f ca="1">IFERROR(IF(0=LEN(ReferenceData!$J$134),"",ReferenceData!$J$134),"")</f>
        <v/>
      </c>
      <c r="K134" t="str">
        <f ca="1">IFERROR(IF(0=LEN(ReferenceData!$K$134),"",ReferenceData!$K$134),"")</f>
        <v/>
      </c>
      <c r="L134" t="str">
        <f ca="1">IFERROR(IF(0=LEN(ReferenceData!$L$134),"",ReferenceData!$L$134),"")</f>
        <v/>
      </c>
      <c r="M134" t="str">
        <f ca="1">IFERROR(IF(0=LEN(ReferenceData!$M$134),"",ReferenceData!$M$134),"")</f>
        <v/>
      </c>
      <c r="N134" t="str">
        <f ca="1">IFERROR(IF(0=LEN(ReferenceData!$N$134),"",ReferenceData!$N$134),"")</f>
        <v/>
      </c>
      <c r="O134" t="str">
        <f ca="1">IFERROR(IF(0=LEN(ReferenceData!$O$134),"",ReferenceData!$O$134),"")</f>
        <v/>
      </c>
      <c r="P134" t="str">
        <f ca="1">IFERROR(IF(0=LEN(ReferenceData!$P$134),"",ReferenceData!$P$134),"")</f>
        <v/>
      </c>
      <c r="Q134" t="str">
        <f ca="1">IFERROR(IF(0=LEN(ReferenceData!$Q$134),"",ReferenceData!$Q$134),"")</f>
        <v/>
      </c>
      <c r="R134" t="str">
        <f ca="1">IFERROR(IF(0=LEN(ReferenceData!$R$134),"",ReferenceData!$R$134),"")</f>
        <v/>
      </c>
      <c r="S134" t="str">
        <f ca="1">IFERROR(IF(0=LEN(ReferenceData!$S$134),"",ReferenceData!$S$134),"")</f>
        <v/>
      </c>
      <c r="T134" t="str">
        <f ca="1">IFERROR(IF(0=LEN(ReferenceData!$T$134),"",ReferenceData!$T$134),"")</f>
        <v/>
      </c>
      <c r="U134" t="str">
        <f ca="1">IFERROR(IF(0=LEN(ReferenceData!$U$134),"",ReferenceData!$U$134),"")</f>
        <v/>
      </c>
      <c r="V134" t="str">
        <f ca="1">IFERROR(IF(0=LEN(ReferenceData!$V$134),"",ReferenceData!$V$134),"")</f>
        <v/>
      </c>
      <c r="W134" t="str">
        <f ca="1">IFERROR(IF(0=LEN(ReferenceData!$W$134),"",ReferenceData!$W$134),"")</f>
        <v/>
      </c>
      <c r="X134" t="str">
        <f ca="1">IFERROR(IF(0=LEN(ReferenceData!$X$134),"",ReferenceData!$X$134),"")</f>
        <v/>
      </c>
      <c r="Y134" t="str">
        <f ca="1">IFERROR(IF(0=LEN(ReferenceData!$Y$134),"",ReferenceData!$Y$134),"")</f>
        <v/>
      </c>
      <c r="Z134" t="str">
        <f ca="1">IFERROR(IF(0=LEN(ReferenceData!$Z$134),"",ReferenceData!$Z$134),"")</f>
        <v/>
      </c>
      <c r="AA134" t="str">
        <f ca="1">IFERROR(IF(0=LEN(ReferenceData!$AA$134),"",ReferenceData!$AA$134),"")</f>
        <v/>
      </c>
      <c r="AB134" t="str">
        <f ca="1">IFERROR(IF(0=LEN(ReferenceData!$AB$134),"",ReferenceData!$AB$134),"")</f>
        <v/>
      </c>
      <c r="AC134" t="str">
        <f ca="1">IFERROR(IF(0=LEN(ReferenceData!$AC$134),"",ReferenceData!$AC$134),"")</f>
        <v/>
      </c>
      <c r="AD134" t="str">
        <f ca="1">IFERROR(IF(0=LEN(ReferenceData!$AD$134),"",ReferenceData!$AD$134),"")</f>
        <v/>
      </c>
      <c r="AE134" t="str">
        <f ca="1">IFERROR(IF(0=LEN(ReferenceData!$AE$134),"",ReferenceData!$AE$134),"")</f>
        <v/>
      </c>
      <c r="AF134" t="str">
        <f ca="1">IFERROR(IF(0=LEN(ReferenceData!$AF$134),"",ReferenceData!$AF$134),"")</f>
        <v/>
      </c>
      <c r="AG134" t="str">
        <f ca="1">IFERROR(IF(0=LEN(ReferenceData!$AG$134),"",ReferenceData!$AG$134),"")</f>
        <v/>
      </c>
      <c r="AH134" t="str">
        <f ca="1">IFERROR(IF(0=LEN(ReferenceData!$AH$134),"",ReferenceData!$AH$134),"")</f>
        <v/>
      </c>
      <c r="AI134" t="str">
        <f ca="1">IFERROR(IF(0=LEN(ReferenceData!$AI$134),"",ReferenceData!$AI$134),"")</f>
        <v/>
      </c>
      <c r="AJ134" t="str">
        <f ca="1">IFERROR(IF(0=LEN(ReferenceData!$AJ$134),"",ReferenceData!$AJ$134),"")</f>
        <v/>
      </c>
      <c r="AK134" t="str">
        <f ca="1">IFERROR(IF(0=LEN(ReferenceData!$AK$134),"",ReferenceData!$AK$134),"")</f>
        <v/>
      </c>
      <c r="AL134" t="str">
        <f ca="1">IFERROR(IF(0=LEN(ReferenceData!$AL$134),"",ReferenceData!$AL$134),"")</f>
        <v/>
      </c>
      <c r="AM134" t="str">
        <f ca="1">IFERROR(IF(0=LEN(ReferenceData!$AM$134),"",ReferenceData!$AM$134),"")</f>
        <v/>
      </c>
      <c r="AN134" t="str">
        <f ca="1">IFERROR(IF(0=LEN(ReferenceData!$AN$134),"",ReferenceData!$AN$134),"")</f>
        <v/>
      </c>
      <c r="AO134" t="str">
        <f ca="1">IFERROR(IF(0=LEN(ReferenceData!$AO$134),"",ReferenceData!$AO$134),"")</f>
        <v/>
      </c>
      <c r="AP134" t="str">
        <f ca="1">IFERROR(IF(0=LEN(ReferenceData!$AP$134),"",ReferenceData!$AP$134),"")</f>
        <v/>
      </c>
      <c r="AQ134" t="str">
        <f ca="1">IFERROR(IF(0=LEN(ReferenceData!$AQ$134),"",ReferenceData!$AQ$134),"")</f>
        <v/>
      </c>
      <c r="AR134" t="str">
        <f ca="1">IFERROR(IF(0=LEN(ReferenceData!$AR$134),"",ReferenceData!$AR$134),"")</f>
        <v/>
      </c>
      <c r="AS134" t="str">
        <f ca="1">IFERROR(IF(0=LEN(ReferenceData!$AS$134),"",ReferenceData!$AS$134),"")</f>
        <v/>
      </c>
      <c r="AT134" t="str">
        <f ca="1">IFERROR(IF(0=LEN(ReferenceData!$AT$134),"",ReferenceData!$AT$134),"")</f>
        <v/>
      </c>
      <c r="AU134" t="str">
        <f ca="1">IFERROR(IF(0=LEN(ReferenceData!$AU$134),"",ReferenceData!$AU$134),"")</f>
        <v/>
      </c>
      <c r="AV134" t="str">
        <f ca="1">IFERROR(IF(0=LEN(ReferenceData!$AV$134),"",ReferenceData!$AV$134),"")</f>
        <v/>
      </c>
      <c r="AW134" t="str">
        <f ca="1">IFERROR(IF(0=LEN(ReferenceData!$AW$134),"",ReferenceData!$AW$134),"")</f>
        <v/>
      </c>
      <c r="AX134" t="str">
        <f ca="1">IFERROR(IF(0=LEN(ReferenceData!$AX$134),"",ReferenceData!$AX$134),"")</f>
        <v/>
      </c>
      <c r="AY134" t="str">
        <f ca="1">IFERROR(IF(0=LEN(ReferenceData!$AY$134),"",ReferenceData!$AY$134),"")</f>
        <v/>
      </c>
      <c r="AZ134" t="str">
        <f ca="1">IFERROR(IF(0=LEN(ReferenceData!$AZ$134),"",ReferenceData!$AZ$134),"")</f>
        <v/>
      </c>
      <c r="BA134" t="str">
        <f ca="1">IFERROR(IF(0=LEN(ReferenceData!$BA$134),"",ReferenceData!$BA$134),"")</f>
        <v/>
      </c>
      <c r="BB134" t="str">
        <f ca="1">IFERROR(IF(0=LEN(ReferenceData!$BB$134),"",ReferenceData!$BB$134),"")</f>
        <v/>
      </c>
      <c r="BC134" t="str">
        <f ca="1">IFERROR(IF(0=LEN(ReferenceData!$BC$134),"",ReferenceData!$BC$134),"")</f>
        <v/>
      </c>
      <c r="BD134" t="str">
        <f ca="1">IFERROR(IF(0=LEN(ReferenceData!$BD$134),"",ReferenceData!$BD$134),"")</f>
        <v/>
      </c>
      <c r="BE134" t="str">
        <f ca="1">IFERROR(IF(0=LEN(ReferenceData!$BE$134),"",ReferenceData!$BE$134),"")</f>
        <v/>
      </c>
      <c r="BF134" t="str">
        <f ca="1">IFERROR(IF(0=LEN(ReferenceData!$BF$134),"",ReferenceData!$BF$134),"")</f>
        <v/>
      </c>
      <c r="BG134" t="str">
        <f ca="1">IFERROR(IF(0=LEN(ReferenceData!$BG$134),"",ReferenceData!$BG$134),"")</f>
        <v/>
      </c>
      <c r="BH134" t="str">
        <f ca="1">IFERROR(IF(0=LEN(ReferenceData!$BH$134),"",ReferenceData!$BH$134),"")</f>
        <v/>
      </c>
      <c r="BI134" t="str">
        <f ca="1">IFERROR(IF(0=LEN(ReferenceData!$BI$134),"",ReferenceData!$BI$134),"")</f>
        <v/>
      </c>
      <c r="BJ134" t="str">
        <f ca="1">IFERROR(IF(0=LEN(ReferenceData!$BJ$134),"",ReferenceData!$BJ$134),"")</f>
        <v/>
      </c>
      <c r="BK134" t="str">
        <f ca="1">IFERROR(IF(0=LEN(ReferenceData!$BK$134),"",ReferenceData!$BK$134),"")</f>
        <v/>
      </c>
      <c r="BL134" t="str">
        <f ca="1">IFERROR(IF(0=LEN(ReferenceData!$BL$134),"",ReferenceData!$BL$134),"")</f>
        <v/>
      </c>
      <c r="BM134" t="str">
        <f ca="1">IFERROR(IF(0=LEN(ReferenceData!$BM$134),"",ReferenceData!$BM$134),"")</f>
        <v/>
      </c>
    </row>
    <row r="135" spans="1:65" x14ac:dyDescent="0.25">
      <c r="A135" t="str">
        <f>IFERROR(IF(0=LEN(ReferenceData!$A$135),"",ReferenceData!$A$135),"")</f>
        <v xml:space="preserve">    Ssangyong Motor</v>
      </c>
      <c r="B135" t="str">
        <f>IFERROR(IF(0=LEN(ReferenceData!$B$135),"",ReferenceData!$B$135),"")</f>
        <v>003620 KS Equity</v>
      </c>
      <c r="C135" t="str">
        <f>IFERROR(IF(0=LEN(ReferenceData!$C$135),"",ReferenceData!$C$135),"")</f>
        <v>FS265</v>
      </c>
      <c r="D135" t="str">
        <f>IFERROR(IF(0=LEN(ReferenceData!$D$135),"",ReferenceData!$D$135),"")</f>
        <v>AUTO_VEHICLES_SOLD_WW</v>
      </c>
      <c r="E135" t="str">
        <f>IFERROR(IF(0=LEN(ReferenceData!$E$135),"",ReferenceData!$E$135),"")</f>
        <v>Dynamic</v>
      </c>
      <c r="F135" t="str">
        <f ca="1">IFERROR(IF(0=LEN(ReferenceData!$F$135),"",ReferenceData!$F$135),"")</f>
        <v/>
      </c>
      <c r="G135" t="str">
        <f ca="1">IFERROR(IF(0=LEN(ReferenceData!$G$135),"",ReferenceData!$G$135),"")</f>
        <v/>
      </c>
      <c r="H135" t="str">
        <f ca="1">IFERROR(IF(0=LEN(ReferenceData!$H$135),"",ReferenceData!$H$135),"")</f>
        <v/>
      </c>
      <c r="I135" t="str">
        <f ca="1">IFERROR(IF(0=LEN(ReferenceData!$I$135),"",ReferenceData!$I$135),"")</f>
        <v/>
      </c>
      <c r="J135">
        <f ca="1">IFERROR(IF(0=LEN(ReferenceData!$J$135),"",ReferenceData!$J$135),"")</f>
        <v>30664</v>
      </c>
      <c r="K135">
        <f ca="1">IFERROR(IF(0=LEN(ReferenceData!$K$135),"",ReferenceData!$K$135),"")</f>
        <v>37034</v>
      </c>
      <c r="L135">
        <f ca="1">IFERROR(IF(0=LEN(ReferenceData!$L$135),"",ReferenceData!$L$135),"")</f>
        <v>36306</v>
      </c>
      <c r="M135">
        <f ca="1">IFERROR(IF(0=LEN(ReferenceData!$M$135),"",ReferenceData!$M$135),"")</f>
        <v>36117</v>
      </c>
      <c r="N135">
        <f ca="1">IFERROR(IF(0=LEN(ReferenceData!$N$135),"",ReferenceData!$N$135),"")</f>
        <v>34228</v>
      </c>
      <c r="O135">
        <f ca="1">IFERROR(IF(0=LEN(ReferenceData!$O$135),"",ReferenceData!$O$135),"")</f>
        <v>44161</v>
      </c>
      <c r="P135">
        <f ca="1">IFERROR(IF(0=LEN(ReferenceData!$P$135),"",ReferenceData!$P$135),"")</f>
        <v>37106</v>
      </c>
      <c r="Q135">
        <f ca="1">IFERROR(IF(0=LEN(ReferenceData!$Q$135),"",ReferenceData!$Q$135),"")</f>
        <v>40911</v>
      </c>
      <c r="R135">
        <f ca="1">IFERROR(IF(0=LEN(ReferenceData!$R$135),"",ReferenceData!$R$135),"")</f>
        <v>33666</v>
      </c>
      <c r="S135">
        <f ca="1">IFERROR(IF(0=LEN(ReferenceData!$S$135),"",ReferenceData!$S$135),"")</f>
        <v>40890</v>
      </c>
      <c r="T135">
        <f ca="1">IFERROR(IF(0=LEN(ReferenceData!$T$135),"",ReferenceData!$T$135),"")</f>
        <v>34073</v>
      </c>
      <c r="U135">
        <f ca="1">IFERROR(IF(0=LEN(ReferenceData!$U$135),"",ReferenceData!$U$135),"")</f>
        <v>36813</v>
      </c>
      <c r="V135" t="str">
        <f ca="1">IFERROR(IF(0=LEN(ReferenceData!$V$135),"",ReferenceData!$V$135),"")</f>
        <v/>
      </c>
      <c r="W135">
        <f ca="1">IFERROR(IF(0=LEN(ReferenceData!$W$135),"",ReferenceData!$W$135),"")</f>
        <v>35418</v>
      </c>
      <c r="X135">
        <f ca="1">IFERROR(IF(0=LEN(ReferenceData!$X$135),"",ReferenceData!$X$135),"")</f>
        <v>31688</v>
      </c>
      <c r="Y135">
        <f ca="1">IFERROR(IF(0=LEN(ReferenceData!$Y$135),"",ReferenceData!$Y$135),"")</f>
        <v>37486</v>
      </c>
      <c r="Z135" t="str">
        <f ca="1">IFERROR(IF(0=LEN(ReferenceData!$Z$135),"",ReferenceData!$Z$135),"")</f>
        <v/>
      </c>
      <c r="AA135">
        <f ca="1">IFERROR(IF(0=LEN(ReferenceData!$AA$135),"",ReferenceData!$AA$135),"")</f>
        <v>39474</v>
      </c>
      <c r="AB135">
        <f ca="1">IFERROR(IF(0=LEN(ReferenceData!$AB$135),"",ReferenceData!$AB$135),"")</f>
        <v>34330</v>
      </c>
      <c r="AC135">
        <f ca="1">IFERROR(IF(0=LEN(ReferenceData!$AC$135),"",ReferenceData!$AC$135),"")</f>
        <v>37265</v>
      </c>
      <c r="AD135" t="str">
        <f ca="1">IFERROR(IF(0=LEN(ReferenceData!$AD$135),"",ReferenceData!$AD$135),"")</f>
        <v/>
      </c>
      <c r="AE135">
        <f ca="1">IFERROR(IF(0=LEN(ReferenceData!$AE$135),"",ReferenceData!$AE$135),"")</f>
        <v>33561</v>
      </c>
      <c r="AF135">
        <f ca="1">IFERROR(IF(0=LEN(ReferenceData!$AF$135),"",ReferenceData!$AF$135),"")</f>
        <v>29039</v>
      </c>
      <c r="AG135">
        <f ca="1">IFERROR(IF(0=LEN(ReferenceData!$AG$135),"",ReferenceData!$AG$135),"")</f>
        <v>30212</v>
      </c>
      <c r="AH135">
        <f ca="1">IFERROR(IF(0=LEN(ReferenceData!$AH$135),"",ReferenceData!$AH$135),"")</f>
        <v>26393</v>
      </c>
      <c r="AI135" t="str">
        <f ca="1">IFERROR(IF(0=LEN(ReferenceData!$AI$135),"",ReferenceData!$AI$135),"")</f>
        <v/>
      </c>
      <c r="AJ135">
        <f ca="1">IFERROR(IF(0=LEN(ReferenceData!$AJ$135),"",ReferenceData!$AJ$135),"")</f>
        <v>30307</v>
      </c>
      <c r="AK135">
        <f ca="1">IFERROR(IF(0=LEN(ReferenceData!$AK$135),"",ReferenceData!$AK$135),"")</f>
        <v>30772</v>
      </c>
      <c r="AL135">
        <f ca="1">IFERROR(IF(0=LEN(ReferenceData!$AL$135),"",ReferenceData!$AL$135),"")</f>
        <v>24441</v>
      </c>
      <c r="AM135" t="str">
        <f ca="1">IFERROR(IF(0=LEN(ReferenceData!$AM$135),"",ReferenceData!$AM$135),"")</f>
        <v/>
      </c>
      <c r="AN135" t="str">
        <f ca="1">IFERROR(IF(0=LEN(ReferenceData!$AN$135),"",ReferenceData!$AN$135),"")</f>
        <v/>
      </c>
      <c r="AO135" t="str">
        <f ca="1">IFERROR(IF(0=LEN(ReferenceData!$AO$135),"",ReferenceData!$AO$135),"")</f>
        <v/>
      </c>
      <c r="AP135">
        <f ca="1">IFERROR(IF(0=LEN(ReferenceData!$AP$135),"",ReferenceData!$AP$135),"")</f>
        <v>14623</v>
      </c>
      <c r="AQ135" t="str">
        <f ca="1">IFERROR(IF(0=LEN(ReferenceData!$AQ$135),"",ReferenceData!$AQ$135),"")</f>
        <v/>
      </c>
      <c r="AR135">
        <f ca="1">IFERROR(IF(0=LEN(ReferenceData!$AR$135),"",ReferenceData!$AR$135),"")</f>
        <v>7571</v>
      </c>
      <c r="AS135">
        <f ca="1">IFERROR(IF(0=LEN(ReferenceData!$AS$135),"",ReferenceData!$AS$135),"")</f>
        <v>6549</v>
      </c>
      <c r="AT135">
        <f ca="1">IFERROR(IF(0=LEN(ReferenceData!$AT$135),"",ReferenceData!$AT$135),"")</f>
        <v>6471</v>
      </c>
      <c r="AU135">
        <f ca="1">IFERROR(IF(0=LEN(ReferenceData!$AU$135),"",ReferenceData!$AU$135),"")</f>
        <v>15612</v>
      </c>
      <c r="AV135">
        <f ca="1">IFERROR(IF(0=LEN(ReferenceData!$AV$135),"",ReferenceData!$AV$135),"")</f>
        <v>22601</v>
      </c>
      <c r="AW135">
        <f ca="1">IFERROR(IF(0=LEN(ReferenceData!$AW$135),"",ReferenceData!$AW$135),"")</f>
        <v>19162</v>
      </c>
      <c r="AX135">
        <f ca="1">IFERROR(IF(0=LEN(ReferenceData!$AX$135),"",ReferenceData!$AX$135),"")</f>
        <v>25030</v>
      </c>
      <c r="AY135">
        <f ca="1">IFERROR(IF(0=LEN(ReferenceData!$AY$135),"",ReferenceData!$AY$135),"")</f>
        <v>28983</v>
      </c>
      <c r="AZ135">
        <f ca="1">IFERROR(IF(0=LEN(ReferenceData!$AZ$135),"",ReferenceData!$AZ$135),"")</f>
        <v>30577</v>
      </c>
      <c r="BA135">
        <f ca="1">IFERROR(IF(0=LEN(ReferenceData!$BA$135),"",ReferenceData!$BA$135),"")</f>
        <v>31731</v>
      </c>
      <c r="BB135">
        <f ca="1">IFERROR(IF(0=LEN(ReferenceData!$BB$135),"",ReferenceData!$BB$135),"")</f>
        <v>33326</v>
      </c>
      <c r="BC135">
        <f ca="1">IFERROR(IF(0=LEN(ReferenceData!$BC$135),"",ReferenceData!$BC$135),"")</f>
        <v>33616</v>
      </c>
      <c r="BD135">
        <f ca="1">IFERROR(IF(0=LEN(ReferenceData!$BD$135),"",ReferenceData!$BD$135),"")</f>
        <v>21969</v>
      </c>
      <c r="BE135">
        <f ca="1">IFERROR(IF(0=LEN(ReferenceData!$BE$135),"",ReferenceData!$BE$135),"")</f>
        <v>30228</v>
      </c>
      <c r="BF135">
        <f ca="1">IFERROR(IF(0=LEN(ReferenceData!$BF$135),"",ReferenceData!$BF$135),"")</f>
        <v>30169</v>
      </c>
      <c r="BG135">
        <f ca="1">IFERROR(IF(0=LEN(ReferenceData!$BG$135),"",ReferenceData!$BG$135),"")</f>
        <v>41575</v>
      </c>
      <c r="BH135">
        <f ca="1">IFERROR(IF(0=LEN(ReferenceData!$BH$135),"",ReferenceData!$BH$135),"")</f>
        <v>38135</v>
      </c>
      <c r="BI135">
        <f ca="1">IFERROR(IF(0=LEN(ReferenceData!$BI$135),"",ReferenceData!$BI$135),"")</f>
        <v>29008</v>
      </c>
      <c r="BJ135">
        <f ca="1">IFERROR(IF(0=LEN(ReferenceData!$BJ$135),"",ReferenceData!$BJ$135),"")</f>
        <v>30346</v>
      </c>
      <c r="BK135">
        <f ca="1">IFERROR(IF(0=LEN(ReferenceData!$BK$135),"",ReferenceData!$BK$135),"")</f>
        <v>34414</v>
      </c>
      <c r="BL135">
        <f ca="1">IFERROR(IF(0=LEN(ReferenceData!$BL$135),"",ReferenceData!$BL$135),"")</f>
        <v>29833</v>
      </c>
      <c r="BM135">
        <f ca="1">IFERROR(IF(0=LEN(ReferenceData!$BM$135),"",ReferenceData!$BM$135),"")</f>
        <v>35204</v>
      </c>
    </row>
    <row r="136" spans="1:65" x14ac:dyDescent="0.25">
      <c r="A136" t="str">
        <f>IFERROR(IF(0=LEN(ReferenceData!$A$136),"",ReferenceData!$A$136),"")</f>
        <v xml:space="preserve">    Yulon Motor Co Ltd</v>
      </c>
      <c r="B136" t="str">
        <f>IFERROR(IF(0=LEN(ReferenceData!$B$136),"",ReferenceData!$B$136),"")</f>
        <v>2201 TT Equity</v>
      </c>
      <c r="C136" t="str">
        <f>IFERROR(IF(0=LEN(ReferenceData!$C$136),"",ReferenceData!$C$136),"")</f>
        <v>FS265</v>
      </c>
      <c r="D136" t="str">
        <f>IFERROR(IF(0=LEN(ReferenceData!$D$136),"",ReferenceData!$D$136),"")</f>
        <v>AUTO_VEHICLES_SOLD_WW</v>
      </c>
      <c r="E136" t="str">
        <f>IFERROR(IF(0=LEN(ReferenceData!$E$136),"",ReferenceData!$E$136),"")</f>
        <v>Dynamic</v>
      </c>
      <c r="F136" t="str">
        <f ca="1">IFERROR(IF(0=LEN(ReferenceData!$F$136),"",ReferenceData!$F$136),"")</f>
        <v/>
      </c>
      <c r="G136" t="str">
        <f ca="1">IFERROR(IF(0=LEN(ReferenceData!$G$136),"",ReferenceData!$G$136),"")</f>
        <v/>
      </c>
      <c r="H136" t="str">
        <f ca="1">IFERROR(IF(0=LEN(ReferenceData!$H$136),"",ReferenceData!$H$136),"")</f>
        <v/>
      </c>
      <c r="I136" t="str">
        <f ca="1">IFERROR(IF(0=LEN(ReferenceData!$I$136),"",ReferenceData!$I$136),"")</f>
        <v/>
      </c>
      <c r="J136" t="str">
        <f ca="1">IFERROR(IF(0=LEN(ReferenceData!$J$136),"",ReferenceData!$J$136),"")</f>
        <v/>
      </c>
      <c r="K136" t="str">
        <f ca="1">IFERROR(IF(0=LEN(ReferenceData!$K$136),"",ReferenceData!$K$136),"")</f>
        <v/>
      </c>
      <c r="L136" t="str">
        <f ca="1">IFERROR(IF(0=LEN(ReferenceData!$L$136),"",ReferenceData!$L$136),"")</f>
        <v/>
      </c>
      <c r="M136" t="str">
        <f ca="1">IFERROR(IF(0=LEN(ReferenceData!$M$136),"",ReferenceData!$M$136),"")</f>
        <v/>
      </c>
      <c r="N136" t="str">
        <f ca="1">IFERROR(IF(0=LEN(ReferenceData!$N$136),"",ReferenceData!$N$136),"")</f>
        <v/>
      </c>
      <c r="O136" t="str">
        <f ca="1">IFERROR(IF(0=LEN(ReferenceData!$O$136),"",ReferenceData!$O$136),"")</f>
        <v/>
      </c>
      <c r="P136" t="str">
        <f ca="1">IFERROR(IF(0=LEN(ReferenceData!$P$136),"",ReferenceData!$P$136),"")</f>
        <v/>
      </c>
      <c r="Q136" t="str">
        <f ca="1">IFERROR(IF(0=LEN(ReferenceData!$Q$136),"",ReferenceData!$Q$136),"")</f>
        <v/>
      </c>
      <c r="R136" t="str">
        <f ca="1">IFERROR(IF(0=LEN(ReferenceData!$R$136),"",ReferenceData!$R$136),"")</f>
        <v/>
      </c>
      <c r="S136" t="str">
        <f ca="1">IFERROR(IF(0=LEN(ReferenceData!$S$136),"",ReferenceData!$S$136),"")</f>
        <v/>
      </c>
      <c r="T136" t="str">
        <f ca="1">IFERROR(IF(0=LEN(ReferenceData!$T$136),"",ReferenceData!$T$136),"")</f>
        <v/>
      </c>
      <c r="U136" t="str">
        <f ca="1">IFERROR(IF(0=LEN(ReferenceData!$U$136),"",ReferenceData!$U$136),"")</f>
        <v/>
      </c>
      <c r="V136" t="str">
        <f ca="1">IFERROR(IF(0=LEN(ReferenceData!$V$136),"",ReferenceData!$V$136),"")</f>
        <v/>
      </c>
      <c r="W136" t="str">
        <f ca="1">IFERROR(IF(0=LEN(ReferenceData!$W$136),"",ReferenceData!$W$136),"")</f>
        <v/>
      </c>
      <c r="X136" t="str">
        <f ca="1">IFERROR(IF(0=LEN(ReferenceData!$X$136),"",ReferenceData!$X$136),"")</f>
        <v/>
      </c>
      <c r="Y136" t="str">
        <f ca="1">IFERROR(IF(0=LEN(ReferenceData!$Y$136),"",ReferenceData!$Y$136),"")</f>
        <v/>
      </c>
      <c r="Z136" t="str">
        <f ca="1">IFERROR(IF(0=LEN(ReferenceData!$Z$136),"",ReferenceData!$Z$136),"")</f>
        <v/>
      </c>
      <c r="AA136" t="str">
        <f ca="1">IFERROR(IF(0=LEN(ReferenceData!$AA$136),"",ReferenceData!$AA$136),"")</f>
        <v/>
      </c>
      <c r="AB136" t="str">
        <f ca="1">IFERROR(IF(0=LEN(ReferenceData!$AB$136),"",ReferenceData!$AB$136),"")</f>
        <v/>
      </c>
      <c r="AC136" t="str">
        <f ca="1">IFERROR(IF(0=LEN(ReferenceData!$AC$136),"",ReferenceData!$AC$136),"")</f>
        <v/>
      </c>
      <c r="AD136" t="str">
        <f ca="1">IFERROR(IF(0=LEN(ReferenceData!$AD$136),"",ReferenceData!$AD$136),"")</f>
        <v/>
      </c>
      <c r="AE136" t="str">
        <f ca="1">IFERROR(IF(0=LEN(ReferenceData!$AE$136),"",ReferenceData!$AE$136),"")</f>
        <v/>
      </c>
      <c r="AF136" t="str">
        <f ca="1">IFERROR(IF(0=LEN(ReferenceData!$AF$136),"",ReferenceData!$AF$136),"")</f>
        <v/>
      </c>
      <c r="AG136" t="str">
        <f ca="1">IFERROR(IF(0=LEN(ReferenceData!$AG$136),"",ReferenceData!$AG$136),"")</f>
        <v/>
      </c>
      <c r="AH136" t="str">
        <f ca="1">IFERROR(IF(0=LEN(ReferenceData!$AH$136),"",ReferenceData!$AH$136),"")</f>
        <v/>
      </c>
      <c r="AI136" t="str">
        <f ca="1">IFERROR(IF(0=LEN(ReferenceData!$AI$136),"",ReferenceData!$AI$136),"")</f>
        <v/>
      </c>
      <c r="AJ136" t="str">
        <f ca="1">IFERROR(IF(0=LEN(ReferenceData!$AJ$136),"",ReferenceData!$AJ$136),"")</f>
        <v/>
      </c>
      <c r="AK136" t="str">
        <f ca="1">IFERROR(IF(0=LEN(ReferenceData!$AK$136),"",ReferenceData!$AK$136),"")</f>
        <v/>
      </c>
      <c r="AL136" t="str">
        <f ca="1">IFERROR(IF(0=LEN(ReferenceData!$AL$136),"",ReferenceData!$AL$136),"")</f>
        <v/>
      </c>
      <c r="AM136" t="str">
        <f ca="1">IFERROR(IF(0=LEN(ReferenceData!$AM$136),"",ReferenceData!$AM$136),"")</f>
        <v/>
      </c>
      <c r="AN136" t="str">
        <f ca="1">IFERROR(IF(0=LEN(ReferenceData!$AN$136),"",ReferenceData!$AN$136),"")</f>
        <v/>
      </c>
      <c r="AO136" t="str">
        <f ca="1">IFERROR(IF(0=LEN(ReferenceData!$AO$136),"",ReferenceData!$AO$136),"")</f>
        <v/>
      </c>
      <c r="AP136" t="str">
        <f ca="1">IFERROR(IF(0=LEN(ReferenceData!$AP$136),"",ReferenceData!$AP$136),"")</f>
        <v/>
      </c>
      <c r="AQ136" t="str">
        <f ca="1">IFERROR(IF(0=LEN(ReferenceData!$AQ$136),"",ReferenceData!$AQ$136),"")</f>
        <v/>
      </c>
      <c r="AR136" t="str">
        <f ca="1">IFERROR(IF(0=LEN(ReferenceData!$AR$136),"",ReferenceData!$AR$136),"")</f>
        <v/>
      </c>
      <c r="AS136" t="str">
        <f ca="1">IFERROR(IF(0=LEN(ReferenceData!$AS$136),"",ReferenceData!$AS$136),"")</f>
        <v/>
      </c>
      <c r="AT136" t="str">
        <f ca="1">IFERROR(IF(0=LEN(ReferenceData!$AT$136),"",ReferenceData!$AT$136),"")</f>
        <v/>
      </c>
      <c r="AU136" t="str">
        <f ca="1">IFERROR(IF(0=LEN(ReferenceData!$AU$136),"",ReferenceData!$AU$136),"")</f>
        <v/>
      </c>
      <c r="AV136" t="str">
        <f ca="1">IFERROR(IF(0=LEN(ReferenceData!$AV$136),"",ReferenceData!$AV$136),"")</f>
        <v/>
      </c>
      <c r="AW136" t="str">
        <f ca="1">IFERROR(IF(0=LEN(ReferenceData!$AW$136),"",ReferenceData!$AW$136),"")</f>
        <v/>
      </c>
      <c r="AX136" t="str">
        <f ca="1">IFERROR(IF(0=LEN(ReferenceData!$AX$136),"",ReferenceData!$AX$136),"")</f>
        <v/>
      </c>
      <c r="AY136" t="str">
        <f ca="1">IFERROR(IF(0=LEN(ReferenceData!$AY$136),"",ReferenceData!$AY$136),"")</f>
        <v/>
      </c>
      <c r="AZ136" t="str">
        <f ca="1">IFERROR(IF(0=LEN(ReferenceData!$AZ$136),"",ReferenceData!$AZ$136),"")</f>
        <v/>
      </c>
      <c r="BA136" t="str">
        <f ca="1">IFERROR(IF(0=LEN(ReferenceData!$BA$136),"",ReferenceData!$BA$136),"")</f>
        <v/>
      </c>
      <c r="BB136" t="str">
        <f ca="1">IFERROR(IF(0=LEN(ReferenceData!$BB$136),"",ReferenceData!$BB$136),"")</f>
        <v/>
      </c>
      <c r="BC136" t="str">
        <f ca="1">IFERROR(IF(0=LEN(ReferenceData!$BC$136),"",ReferenceData!$BC$136),"")</f>
        <v/>
      </c>
      <c r="BD136" t="str">
        <f ca="1">IFERROR(IF(0=LEN(ReferenceData!$BD$136),"",ReferenceData!$BD$136),"")</f>
        <v/>
      </c>
      <c r="BE136" t="str">
        <f ca="1">IFERROR(IF(0=LEN(ReferenceData!$BE$136),"",ReferenceData!$BE$136),"")</f>
        <v/>
      </c>
      <c r="BF136" t="str">
        <f ca="1">IFERROR(IF(0=LEN(ReferenceData!$BF$136),"",ReferenceData!$BF$136),"")</f>
        <v/>
      </c>
      <c r="BG136" t="str">
        <f ca="1">IFERROR(IF(0=LEN(ReferenceData!$BG$136),"",ReferenceData!$BG$136),"")</f>
        <v/>
      </c>
      <c r="BH136" t="str">
        <f ca="1">IFERROR(IF(0=LEN(ReferenceData!$BH$136),"",ReferenceData!$BH$136),"")</f>
        <v/>
      </c>
      <c r="BI136" t="str">
        <f ca="1">IFERROR(IF(0=LEN(ReferenceData!$BI$136),"",ReferenceData!$BI$136),"")</f>
        <v/>
      </c>
      <c r="BJ136" t="str">
        <f ca="1">IFERROR(IF(0=LEN(ReferenceData!$BJ$136),"",ReferenceData!$BJ$136),"")</f>
        <v/>
      </c>
      <c r="BK136" t="str">
        <f ca="1">IFERROR(IF(0=LEN(ReferenceData!$BK$136),"",ReferenceData!$BK$136),"")</f>
        <v/>
      </c>
      <c r="BL136" t="str">
        <f ca="1">IFERROR(IF(0=LEN(ReferenceData!$BL$136),"",ReferenceData!$BL$136),"")</f>
        <v/>
      </c>
      <c r="BM136" t="str">
        <f ca="1">IFERROR(IF(0=LEN(ReferenceData!$BM$136),"",ReferenceData!$BM$136),"")</f>
        <v/>
      </c>
    </row>
    <row r="137" spans="1:65" x14ac:dyDescent="0.25">
      <c r="A137" t="str">
        <f>IFERROR(IF(0=LEN(ReferenceData!$A$137),"",ReferenceData!$A$137),"")</f>
        <v xml:space="preserve">    Sanyang Industry Co Ltd</v>
      </c>
      <c r="B137" t="str">
        <f>IFERROR(IF(0=LEN(ReferenceData!$B$137),"",ReferenceData!$B$137),"")</f>
        <v>2206 TT Equity</v>
      </c>
      <c r="C137" t="str">
        <f>IFERROR(IF(0=LEN(ReferenceData!$C$137),"",ReferenceData!$C$137),"")</f>
        <v>FS265</v>
      </c>
      <c r="D137" t="str">
        <f>IFERROR(IF(0=LEN(ReferenceData!$D$137),"",ReferenceData!$D$137),"")</f>
        <v>AUTO_VEHICLES_SOLD_WW</v>
      </c>
      <c r="E137" t="str">
        <f>IFERROR(IF(0=LEN(ReferenceData!$E$137),"",ReferenceData!$E$137),"")</f>
        <v>Dynamic</v>
      </c>
      <c r="F137" t="str">
        <f ca="1">IFERROR(IF(0=LEN(ReferenceData!$F$137),"",ReferenceData!$F$137),"")</f>
        <v/>
      </c>
      <c r="G137" t="str">
        <f ca="1">IFERROR(IF(0=LEN(ReferenceData!$G$137),"",ReferenceData!$G$137),"")</f>
        <v/>
      </c>
      <c r="H137" t="str">
        <f ca="1">IFERROR(IF(0=LEN(ReferenceData!$H$137),"",ReferenceData!$H$137),"")</f>
        <v/>
      </c>
      <c r="I137" t="str">
        <f ca="1">IFERROR(IF(0=LEN(ReferenceData!$I$137),"",ReferenceData!$I$137),"")</f>
        <v/>
      </c>
      <c r="J137" t="str">
        <f ca="1">IFERROR(IF(0=LEN(ReferenceData!$J$137),"",ReferenceData!$J$137),"")</f>
        <v/>
      </c>
      <c r="K137" t="str">
        <f ca="1">IFERROR(IF(0=LEN(ReferenceData!$K$137),"",ReferenceData!$K$137),"")</f>
        <v/>
      </c>
      <c r="L137" t="str">
        <f ca="1">IFERROR(IF(0=LEN(ReferenceData!$L$137),"",ReferenceData!$L$137),"")</f>
        <v/>
      </c>
      <c r="M137" t="str">
        <f ca="1">IFERROR(IF(0=LEN(ReferenceData!$M$137),"",ReferenceData!$M$137),"")</f>
        <v/>
      </c>
      <c r="N137" t="str">
        <f ca="1">IFERROR(IF(0=LEN(ReferenceData!$N$137),"",ReferenceData!$N$137),"")</f>
        <v/>
      </c>
      <c r="O137" t="str">
        <f ca="1">IFERROR(IF(0=LEN(ReferenceData!$O$137),"",ReferenceData!$O$137),"")</f>
        <v/>
      </c>
      <c r="P137" t="str">
        <f ca="1">IFERROR(IF(0=LEN(ReferenceData!$P$137),"",ReferenceData!$P$137),"")</f>
        <v/>
      </c>
      <c r="Q137" t="str">
        <f ca="1">IFERROR(IF(0=LEN(ReferenceData!$Q$137),"",ReferenceData!$Q$137),"")</f>
        <v/>
      </c>
      <c r="R137" t="str">
        <f ca="1">IFERROR(IF(0=LEN(ReferenceData!$R$137),"",ReferenceData!$R$137),"")</f>
        <v/>
      </c>
      <c r="S137" t="str">
        <f ca="1">IFERROR(IF(0=LEN(ReferenceData!$S$137),"",ReferenceData!$S$137),"")</f>
        <v/>
      </c>
      <c r="T137" t="str">
        <f ca="1">IFERROR(IF(0=LEN(ReferenceData!$T$137),"",ReferenceData!$T$137),"")</f>
        <v/>
      </c>
      <c r="U137" t="str">
        <f ca="1">IFERROR(IF(0=LEN(ReferenceData!$U$137),"",ReferenceData!$U$137),"")</f>
        <v/>
      </c>
      <c r="V137" t="str">
        <f ca="1">IFERROR(IF(0=LEN(ReferenceData!$V$137),"",ReferenceData!$V$137),"")</f>
        <v/>
      </c>
      <c r="W137" t="str">
        <f ca="1">IFERROR(IF(0=LEN(ReferenceData!$W$137),"",ReferenceData!$W$137),"")</f>
        <v/>
      </c>
      <c r="X137" t="str">
        <f ca="1">IFERROR(IF(0=LEN(ReferenceData!$X$137),"",ReferenceData!$X$137),"")</f>
        <v/>
      </c>
      <c r="Y137" t="str">
        <f ca="1">IFERROR(IF(0=LEN(ReferenceData!$Y$137),"",ReferenceData!$Y$137),"")</f>
        <v/>
      </c>
      <c r="Z137" t="str">
        <f ca="1">IFERROR(IF(0=LEN(ReferenceData!$Z$137),"",ReferenceData!$Z$137),"")</f>
        <v/>
      </c>
      <c r="AA137" t="str">
        <f ca="1">IFERROR(IF(0=LEN(ReferenceData!$AA$137),"",ReferenceData!$AA$137),"")</f>
        <v/>
      </c>
      <c r="AB137" t="str">
        <f ca="1">IFERROR(IF(0=LEN(ReferenceData!$AB$137),"",ReferenceData!$AB$137),"")</f>
        <v/>
      </c>
      <c r="AC137" t="str">
        <f ca="1">IFERROR(IF(0=LEN(ReferenceData!$AC$137),"",ReferenceData!$AC$137),"")</f>
        <v/>
      </c>
      <c r="AD137" t="str">
        <f ca="1">IFERROR(IF(0=LEN(ReferenceData!$AD$137),"",ReferenceData!$AD$137),"")</f>
        <v/>
      </c>
      <c r="AE137" t="str">
        <f ca="1">IFERROR(IF(0=LEN(ReferenceData!$AE$137),"",ReferenceData!$AE$137),"")</f>
        <v/>
      </c>
      <c r="AF137" t="str">
        <f ca="1">IFERROR(IF(0=LEN(ReferenceData!$AF$137),"",ReferenceData!$AF$137),"")</f>
        <v/>
      </c>
      <c r="AG137" t="str">
        <f ca="1">IFERROR(IF(0=LEN(ReferenceData!$AG$137),"",ReferenceData!$AG$137),"")</f>
        <v/>
      </c>
      <c r="AH137" t="str">
        <f ca="1">IFERROR(IF(0=LEN(ReferenceData!$AH$137),"",ReferenceData!$AH$137),"")</f>
        <v/>
      </c>
      <c r="AI137" t="str">
        <f ca="1">IFERROR(IF(0=LEN(ReferenceData!$AI$137),"",ReferenceData!$AI$137),"")</f>
        <v/>
      </c>
      <c r="AJ137" t="str">
        <f ca="1">IFERROR(IF(0=LEN(ReferenceData!$AJ$137),"",ReferenceData!$AJ$137),"")</f>
        <v/>
      </c>
      <c r="AK137" t="str">
        <f ca="1">IFERROR(IF(0=LEN(ReferenceData!$AK$137),"",ReferenceData!$AK$137),"")</f>
        <v/>
      </c>
      <c r="AL137" t="str">
        <f ca="1">IFERROR(IF(0=LEN(ReferenceData!$AL$137),"",ReferenceData!$AL$137),"")</f>
        <v/>
      </c>
      <c r="AM137" t="str">
        <f ca="1">IFERROR(IF(0=LEN(ReferenceData!$AM$137),"",ReferenceData!$AM$137),"")</f>
        <v/>
      </c>
      <c r="AN137" t="str">
        <f ca="1">IFERROR(IF(0=LEN(ReferenceData!$AN$137),"",ReferenceData!$AN$137),"")</f>
        <v/>
      </c>
      <c r="AO137" t="str">
        <f ca="1">IFERROR(IF(0=LEN(ReferenceData!$AO$137),"",ReferenceData!$AO$137),"")</f>
        <v/>
      </c>
      <c r="AP137" t="str">
        <f ca="1">IFERROR(IF(0=LEN(ReferenceData!$AP$137),"",ReferenceData!$AP$137),"")</f>
        <v/>
      </c>
      <c r="AQ137" t="str">
        <f ca="1">IFERROR(IF(0=LEN(ReferenceData!$AQ$137),"",ReferenceData!$AQ$137),"")</f>
        <v/>
      </c>
      <c r="AR137" t="str">
        <f ca="1">IFERROR(IF(0=LEN(ReferenceData!$AR$137),"",ReferenceData!$AR$137),"")</f>
        <v/>
      </c>
      <c r="AS137" t="str">
        <f ca="1">IFERROR(IF(0=LEN(ReferenceData!$AS$137),"",ReferenceData!$AS$137),"")</f>
        <v/>
      </c>
      <c r="AT137" t="str">
        <f ca="1">IFERROR(IF(0=LEN(ReferenceData!$AT$137),"",ReferenceData!$AT$137),"")</f>
        <v/>
      </c>
      <c r="AU137" t="str">
        <f ca="1">IFERROR(IF(0=LEN(ReferenceData!$AU$137),"",ReferenceData!$AU$137),"")</f>
        <v/>
      </c>
      <c r="AV137" t="str">
        <f ca="1">IFERROR(IF(0=LEN(ReferenceData!$AV$137),"",ReferenceData!$AV$137),"")</f>
        <v/>
      </c>
      <c r="AW137" t="str">
        <f ca="1">IFERROR(IF(0=LEN(ReferenceData!$AW$137),"",ReferenceData!$AW$137),"")</f>
        <v/>
      </c>
      <c r="AX137" t="str">
        <f ca="1">IFERROR(IF(0=LEN(ReferenceData!$AX$137),"",ReferenceData!$AX$137),"")</f>
        <v/>
      </c>
      <c r="AY137" t="str">
        <f ca="1">IFERROR(IF(0=LEN(ReferenceData!$AY$137),"",ReferenceData!$AY$137),"")</f>
        <v/>
      </c>
      <c r="AZ137" t="str">
        <f ca="1">IFERROR(IF(0=LEN(ReferenceData!$AZ$137),"",ReferenceData!$AZ$137),"")</f>
        <v/>
      </c>
      <c r="BA137" t="str">
        <f ca="1">IFERROR(IF(0=LEN(ReferenceData!$BA$137),"",ReferenceData!$BA$137),"")</f>
        <v/>
      </c>
      <c r="BB137" t="str">
        <f ca="1">IFERROR(IF(0=LEN(ReferenceData!$BB$137),"",ReferenceData!$BB$137),"")</f>
        <v/>
      </c>
      <c r="BC137" t="str">
        <f ca="1">IFERROR(IF(0=LEN(ReferenceData!$BC$137),"",ReferenceData!$BC$137),"")</f>
        <v/>
      </c>
      <c r="BD137" t="str">
        <f ca="1">IFERROR(IF(0=LEN(ReferenceData!$BD$137),"",ReferenceData!$BD$137),"")</f>
        <v/>
      </c>
      <c r="BE137" t="str">
        <f ca="1">IFERROR(IF(0=LEN(ReferenceData!$BE$137),"",ReferenceData!$BE$137),"")</f>
        <v/>
      </c>
      <c r="BF137" t="str">
        <f ca="1">IFERROR(IF(0=LEN(ReferenceData!$BF$137),"",ReferenceData!$BF$137),"")</f>
        <v/>
      </c>
      <c r="BG137" t="str">
        <f ca="1">IFERROR(IF(0=LEN(ReferenceData!$BG$137),"",ReferenceData!$BG$137),"")</f>
        <v/>
      </c>
      <c r="BH137" t="str">
        <f ca="1">IFERROR(IF(0=LEN(ReferenceData!$BH$137),"",ReferenceData!$BH$137),"")</f>
        <v/>
      </c>
      <c r="BI137" t="str">
        <f ca="1">IFERROR(IF(0=LEN(ReferenceData!$BI$137),"",ReferenceData!$BI$137),"")</f>
        <v/>
      </c>
      <c r="BJ137" t="str">
        <f ca="1">IFERROR(IF(0=LEN(ReferenceData!$BJ$137),"",ReferenceData!$BJ$137),"")</f>
        <v/>
      </c>
      <c r="BK137" t="str">
        <f ca="1">IFERROR(IF(0=LEN(ReferenceData!$BK$137),"",ReferenceData!$BK$137),"")</f>
        <v/>
      </c>
      <c r="BL137" t="str">
        <f ca="1">IFERROR(IF(0=LEN(ReferenceData!$BL$137),"",ReferenceData!$BL$137),"")</f>
        <v/>
      </c>
      <c r="BM137" t="str">
        <f ca="1">IFERROR(IF(0=LEN(ReferenceData!$BM$137),"",ReferenceData!$BM$137),"")</f>
        <v/>
      </c>
    </row>
    <row r="138" spans="1:65" x14ac:dyDescent="0.25">
      <c r="A138" t="str">
        <f>IFERROR(IF(0=LEN(ReferenceData!$A$138),"",ReferenceData!$A$138),"")</f>
        <v xml:space="preserve">    Tesla Motors Inc</v>
      </c>
      <c r="B138" t="str">
        <f>IFERROR(IF(0=LEN(ReferenceData!$B$138),"",ReferenceData!$B$138),"")</f>
        <v>TSLA US Equity</v>
      </c>
      <c r="C138" t="str">
        <f>IFERROR(IF(0=LEN(ReferenceData!$C$138),"",ReferenceData!$C$138),"")</f>
        <v>FS265</v>
      </c>
      <c r="D138" t="str">
        <f>IFERROR(IF(0=LEN(ReferenceData!$D$138),"",ReferenceData!$D$138),"")</f>
        <v>AUTO_VEHICLES_SOLD_WW</v>
      </c>
      <c r="E138" t="str">
        <f>IFERROR(IF(0=LEN(ReferenceData!$E$138),"",ReferenceData!$E$138),"")</f>
        <v>Dynamic</v>
      </c>
      <c r="F138" t="str">
        <f ca="1">IFERROR(IF(0=LEN(ReferenceData!$F$138),"",ReferenceData!$F$138),"")</f>
        <v/>
      </c>
      <c r="G138">
        <f ca="1">IFERROR(IF(0=LEN(ReferenceData!$G$138),"",ReferenceData!$G$138),"")</f>
        <v>90966</v>
      </c>
      <c r="H138">
        <f ca="1">IFERROR(IF(0=LEN(ReferenceData!$H$138),"",ReferenceData!$H$138),"")</f>
        <v>83500</v>
      </c>
      <c r="I138">
        <f ca="1">IFERROR(IF(0=LEN(ReferenceData!$I$138),"",ReferenceData!$I$138),"")</f>
        <v>40740</v>
      </c>
      <c r="J138">
        <f ca="1">IFERROR(IF(0=LEN(ReferenceData!$J$138),"",ReferenceData!$J$138),"")</f>
        <v>29997</v>
      </c>
      <c r="K138">
        <f ca="1">IFERROR(IF(0=LEN(ReferenceData!$K$138),"",ReferenceData!$K$138),"")</f>
        <v>29967</v>
      </c>
      <c r="L138">
        <f ca="1">IFERROR(IF(0=LEN(ReferenceData!$L$138),"",ReferenceData!$L$138),"")</f>
        <v>26137</v>
      </c>
      <c r="M138">
        <f ca="1">IFERROR(IF(0=LEN(ReferenceData!$M$138),"",ReferenceData!$M$138),"")</f>
        <v>22026</v>
      </c>
      <c r="N138">
        <f ca="1">IFERROR(IF(0=LEN(ReferenceData!$N$138),"",ReferenceData!$N$138),"")</f>
        <v>25051</v>
      </c>
      <c r="O138">
        <f ca="1">IFERROR(IF(0=LEN(ReferenceData!$O$138),"",ReferenceData!$O$138),"")</f>
        <v>22197</v>
      </c>
      <c r="P138">
        <f ca="1">IFERROR(IF(0=LEN(ReferenceData!$P$138),"",ReferenceData!$P$138),"")</f>
        <v>24821</v>
      </c>
      <c r="Q138">
        <f ca="1">IFERROR(IF(0=LEN(ReferenceData!$Q$138),"",ReferenceData!$Q$138),"")</f>
        <v>14402</v>
      </c>
      <c r="R138">
        <f ca="1">IFERROR(IF(0=LEN(ReferenceData!$R$138),"",ReferenceData!$R$138),"")</f>
        <v>14810</v>
      </c>
      <c r="S138">
        <f ca="1">IFERROR(IF(0=LEN(ReferenceData!$S$138),"",ReferenceData!$S$138),"")</f>
        <v>17478</v>
      </c>
      <c r="T138">
        <f ca="1">IFERROR(IF(0=LEN(ReferenceData!$T$138),"",ReferenceData!$T$138),"")</f>
        <v>11603</v>
      </c>
      <c r="U138">
        <f ca="1">IFERROR(IF(0=LEN(ReferenceData!$U$138),"",ReferenceData!$U$138),"")</f>
        <v>11532</v>
      </c>
      <c r="V138">
        <f ca="1">IFERROR(IF(0=LEN(ReferenceData!$V$138),"",ReferenceData!$V$138),"")</f>
        <v>10045</v>
      </c>
      <c r="W138">
        <f ca="1">IFERROR(IF(0=LEN(ReferenceData!$W$138),"",ReferenceData!$W$138),"")</f>
        <v>9834</v>
      </c>
      <c r="X138">
        <f ca="1">IFERROR(IF(0=LEN(ReferenceData!$X$138),"",ReferenceData!$X$138),"")</f>
        <v>7785</v>
      </c>
      <c r="Y138">
        <f ca="1">IFERROR(IF(0=LEN(ReferenceData!$Y$138),"",ReferenceData!$Y$138),"")</f>
        <v>7579</v>
      </c>
      <c r="Z138">
        <f ca="1">IFERROR(IF(0=LEN(ReferenceData!$Z$138),"",ReferenceData!$Z$138),"")</f>
        <v>6457</v>
      </c>
      <c r="AA138">
        <f ca="1">IFERROR(IF(0=LEN(ReferenceData!$AA$138),"",ReferenceData!$AA$138),"")</f>
        <v>6892</v>
      </c>
      <c r="AB138">
        <f ca="1">IFERROR(IF(0=LEN(ReferenceData!$AB$138),"",ReferenceData!$AB$138),"")</f>
        <v>5516</v>
      </c>
      <c r="AC138">
        <f ca="1">IFERROR(IF(0=LEN(ReferenceData!$AC$138),"",ReferenceData!$AC$138),"")</f>
        <v>5168</v>
      </c>
      <c r="AD138">
        <f ca="1">IFERROR(IF(0=LEN(ReferenceData!$AD$138),"",ReferenceData!$AD$138),"")</f>
        <v>4901</v>
      </c>
      <c r="AE138">
        <f ca="1">IFERROR(IF(0=LEN(ReferenceData!$AE$138),"",ReferenceData!$AE$138),"")</f>
        <v>2387</v>
      </c>
      <c r="AF138">
        <f ca="1">IFERROR(IF(0=LEN(ReferenceData!$AF$138),"",ReferenceData!$AF$138),"")</f>
        <v>249</v>
      </c>
      <c r="AG138">
        <f ca="1">IFERROR(IF(0=LEN(ReferenceData!$AG$138),"",ReferenceData!$AG$138),"")</f>
        <v>89</v>
      </c>
      <c r="AH138">
        <f ca="1">IFERROR(IF(0=LEN(ReferenceData!$AH$138),"",ReferenceData!$AH$138),"")</f>
        <v>99</v>
      </c>
      <c r="AI138">
        <f ca="1">IFERROR(IF(0=LEN(ReferenceData!$AI$138),"",ReferenceData!$AI$138),"")</f>
        <v>150</v>
      </c>
      <c r="AJ138">
        <f ca="1">IFERROR(IF(0=LEN(ReferenceData!$AJ$138),"",ReferenceData!$AJ$138),"")</f>
        <v>160</v>
      </c>
      <c r="AK138">
        <f ca="1">IFERROR(IF(0=LEN(ReferenceData!$AK$138),"",ReferenceData!$AK$138),"")</f>
        <v>190</v>
      </c>
      <c r="AL138">
        <f ca="1">IFERROR(IF(0=LEN(ReferenceData!$AL$138),"",ReferenceData!$AL$138),"")</f>
        <v>145</v>
      </c>
      <c r="AM138">
        <f ca="1">IFERROR(IF(0=LEN(ReferenceData!$AM$138),"",ReferenceData!$AM$138),"")</f>
        <v>200</v>
      </c>
      <c r="AN138" t="str">
        <f ca="1">IFERROR(IF(0=LEN(ReferenceData!$AN$138),"",ReferenceData!$AN$138),"")</f>
        <v/>
      </c>
      <c r="AO138">
        <f ca="1">IFERROR(IF(0=LEN(ReferenceData!$AO$138),"",ReferenceData!$AO$138),"")</f>
        <v>370</v>
      </c>
      <c r="AP138" t="str">
        <f ca="1">IFERROR(IF(0=LEN(ReferenceData!$AP$138),"",ReferenceData!$AP$138),"")</f>
        <v/>
      </c>
      <c r="AQ138" t="str">
        <f ca="1">IFERROR(IF(0=LEN(ReferenceData!$AQ$138),"",ReferenceData!$AQ$138),"")</f>
        <v/>
      </c>
      <c r="AR138" t="str">
        <f ca="1">IFERROR(IF(0=LEN(ReferenceData!$AR$138),"",ReferenceData!$AR$138),"")</f>
        <v/>
      </c>
      <c r="AS138" t="str">
        <f ca="1">IFERROR(IF(0=LEN(ReferenceData!$AS$138),"",ReferenceData!$AS$138),"")</f>
        <v/>
      </c>
      <c r="AT138" t="str">
        <f ca="1">IFERROR(IF(0=LEN(ReferenceData!$AT$138),"",ReferenceData!$AT$138),"")</f>
        <v/>
      </c>
      <c r="AU138" t="str">
        <f ca="1">IFERROR(IF(0=LEN(ReferenceData!$AU$138),"",ReferenceData!$AU$138),"")</f>
        <v/>
      </c>
      <c r="AV138" t="str">
        <f ca="1">IFERROR(IF(0=LEN(ReferenceData!$AV$138),"",ReferenceData!$AV$138),"")</f>
        <v/>
      </c>
      <c r="AW138" t="str">
        <f ca="1">IFERROR(IF(0=LEN(ReferenceData!$AW$138),"",ReferenceData!$AW$138),"")</f>
        <v/>
      </c>
      <c r="AX138" t="str">
        <f ca="1">IFERROR(IF(0=LEN(ReferenceData!$AX$138),"",ReferenceData!$AX$138),"")</f>
        <v/>
      </c>
      <c r="AY138" t="str">
        <f ca="1">IFERROR(IF(0=LEN(ReferenceData!$AY$138),"",ReferenceData!$AY$138),"")</f>
        <v/>
      </c>
      <c r="AZ138" t="str">
        <f ca="1">IFERROR(IF(0=LEN(ReferenceData!$AZ$138),"",ReferenceData!$AZ$138),"")</f>
        <v/>
      </c>
      <c r="BA138" t="str">
        <f ca="1">IFERROR(IF(0=LEN(ReferenceData!$BA$138),"",ReferenceData!$BA$138),"")</f>
        <v/>
      </c>
      <c r="BB138" t="str">
        <f ca="1">IFERROR(IF(0=LEN(ReferenceData!$BB$138),"",ReferenceData!$BB$138),"")</f>
        <v/>
      </c>
      <c r="BC138" t="str">
        <f ca="1">IFERROR(IF(0=LEN(ReferenceData!$BC$138),"",ReferenceData!$BC$138),"")</f>
        <v/>
      </c>
      <c r="BD138" t="str">
        <f ca="1">IFERROR(IF(0=LEN(ReferenceData!$BD$138),"",ReferenceData!$BD$138),"")</f>
        <v/>
      </c>
      <c r="BE138" t="str">
        <f ca="1">IFERROR(IF(0=LEN(ReferenceData!$BE$138),"",ReferenceData!$BE$138),"")</f>
        <v/>
      </c>
      <c r="BF138" t="str">
        <f ca="1">IFERROR(IF(0=LEN(ReferenceData!$BF$138),"",ReferenceData!$BF$138),"")</f>
        <v/>
      </c>
      <c r="BG138" t="str">
        <f ca="1">IFERROR(IF(0=LEN(ReferenceData!$BG$138),"",ReferenceData!$BG$138),"")</f>
        <v/>
      </c>
      <c r="BH138" t="str">
        <f ca="1">IFERROR(IF(0=LEN(ReferenceData!$BH$138),"",ReferenceData!$BH$138),"")</f>
        <v/>
      </c>
      <c r="BI138" t="str">
        <f ca="1">IFERROR(IF(0=LEN(ReferenceData!$BI$138),"",ReferenceData!$BI$138),"")</f>
        <v/>
      </c>
      <c r="BJ138" t="str">
        <f ca="1">IFERROR(IF(0=LEN(ReferenceData!$BJ$138),"",ReferenceData!$BJ$138),"")</f>
        <v/>
      </c>
      <c r="BK138" t="str">
        <f ca="1">IFERROR(IF(0=LEN(ReferenceData!$BK$138),"",ReferenceData!$BK$138),"")</f>
        <v/>
      </c>
      <c r="BL138" t="str">
        <f ca="1">IFERROR(IF(0=LEN(ReferenceData!$BL$138),"",ReferenceData!$BL$138),"")</f>
        <v/>
      </c>
      <c r="BM138" t="str">
        <f ca="1">IFERROR(IF(0=LEN(ReferenceData!$BM$138),"",ReferenceData!$BM$138),"")</f>
        <v/>
      </c>
    </row>
    <row r="139" spans="1:65" x14ac:dyDescent="0.25">
      <c r="A139" t="str">
        <f>IFERROR(IF(0=LEN(ReferenceData!$A$139),"",ReferenceData!$A$139),"")</f>
        <v>Source: Company filings, Bloomberg Data</v>
      </c>
      <c r="B139" t="str">
        <f>IFERROR(IF(0=LEN(ReferenceData!$B$139),"",ReferenceData!$B$139),"")</f>
        <v/>
      </c>
      <c r="C139" t="str">
        <f>IFERROR(IF(0=LEN(ReferenceData!$C$139),"",ReferenceData!$C$139),"")</f>
        <v/>
      </c>
      <c r="D139" t="str">
        <f>IFERROR(IF(0=LEN(ReferenceData!$D$139),"",ReferenceData!$D$139),"")</f>
        <v/>
      </c>
      <c r="E139" t="str">
        <f>IFERROR(IF(0=LEN(ReferenceData!$E$139),"",ReferenceData!$E$139),"")</f>
        <v>Heading</v>
      </c>
      <c r="F139" t="str">
        <f>IFERROR(IF(0=LEN(ReferenceData!$F$139),"",ReferenceData!$F$139),"")</f>
        <v/>
      </c>
      <c r="G139" t="str">
        <f>IFERROR(IF(0=LEN(ReferenceData!$G$139),"",ReferenceData!$G$139),"")</f>
        <v/>
      </c>
      <c r="H139" t="str">
        <f>IFERROR(IF(0=LEN(ReferenceData!$H$139),"",ReferenceData!$H$139),"")</f>
        <v/>
      </c>
      <c r="I139" t="str">
        <f>IFERROR(IF(0=LEN(ReferenceData!$I$139),"",ReferenceData!$I$139),"")</f>
        <v/>
      </c>
      <c r="J139" t="str">
        <f>IFERROR(IF(0=LEN(ReferenceData!$J$139),"",ReferenceData!$J$139),"")</f>
        <v/>
      </c>
      <c r="K139" t="str">
        <f>IFERROR(IF(0=LEN(ReferenceData!$K$139),"",ReferenceData!$K$139),"")</f>
        <v/>
      </c>
      <c r="L139" t="str">
        <f>IFERROR(IF(0=LEN(ReferenceData!$L$139),"",ReferenceData!$L$139),"")</f>
        <v/>
      </c>
      <c r="M139" t="str">
        <f>IFERROR(IF(0=LEN(ReferenceData!$M$139),"",ReferenceData!$M$139),"")</f>
        <v/>
      </c>
      <c r="N139" t="str">
        <f>IFERROR(IF(0=LEN(ReferenceData!$N$139),"",ReferenceData!$N$139),"")</f>
        <v/>
      </c>
      <c r="O139" t="str">
        <f>IFERROR(IF(0=LEN(ReferenceData!$O$139),"",ReferenceData!$O$139),"")</f>
        <v/>
      </c>
      <c r="P139" t="str">
        <f>IFERROR(IF(0=LEN(ReferenceData!$P$139),"",ReferenceData!$P$139),"")</f>
        <v/>
      </c>
      <c r="Q139" t="str">
        <f>IFERROR(IF(0=LEN(ReferenceData!$Q$139),"",ReferenceData!$Q$139),"")</f>
        <v/>
      </c>
      <c r="R139" t="str">
        <f>IFERROR(IF(0=LEN(ReferenceData!$R$139),"",ReferenceData!$R$139),"")</f>
        <v/>
      </c>
      <c r="S139" t="str">
        <f>IFERROR(IF(0=LEN(ReferenceData!$S$139),"",ReferenceData!$S$139),"")</f>
        <v/>
      </c>
      <c r="T139" t="str">
        <f>IFERROR(IF(0=LEN(ReferenceData!$T$139),"",ReferenceData!$T$139),"")</f>
        <v/>
      </c>
      <c r="U139" t="str">
        <f>IFERROR(IF(0=LEN(ReferenceData!$U$139),"",ReferenceData!$U$139),"")</f>
        <v/>
      </c>
      <c r="V139" t="str">
        <f>IFERROR(IF(0=LEN(ReferenceData!$V$139),"",ReferenceData!$V$139),"")</f>
        <v/>
      </c>
      <c r="W139" t="str">
        <f>IFERROR(IF(0=LEN(ReferenceData!$W$139),"",ReferenceData!$W$139),"")</f>
        <v/>
      </c>
      <c r="X139" t="str">
        <f>IFERROR(IF(0=LEN(ReferenceData!$X$139),"",ReferenceData!$X$139),"")</f>
        <v/>
      </c>
      <c r="Y139" t="str">
        <f>IFERROR(IF(0=LEN(ReferenceData!$Y$139),"",ReferenceData!$Y$139),"")</f>
        <v/>
      </c>
      <c r="Z139" t="str">
        <f>IFERROR(IF(0=LEN(ReferenceData!$Z$139),"",ReferenceData!$Z$139),"")</f>
        <v/>
      </c>
      <c r="AA139" t="str">
        <f>IFERROR(IF(0=LEN(ReferenceData!$AA$139),"",ReferenceData!$AA$139),"")</f>
        <v/>
      </c>
      <c r="AB139" t="str">
        <f>IFERROR(IF(0=LEN(ReferenceData!$AB$139),"",ReferenceData!$AB$139),"")</f>
        <v/>
      </c>
      <c r="AC139" t="str">
        <f>IFERROR(IF(0=LEN(ReferenceData!$AC$139),"",ReferenceData!$AC$139),"")</f>
        <v/>
      </c>
      <c r="AD139" t="str">
        <f>IFERROR(IF(0=LEN(ReferenceData!$AD$139),"",ReferenceData!$AD$139),"")</f>
        <v/>
      </c>
      <c r="AE139" t="str">
        <f>IFERROR(IF(0=LEN(ReferenceData!$AE$139),"",ReferenceData!$AE$139),"")</f>
        <v/>
      </c>
      <c r="AF139" t="str">
        <f>IFERROR(IF(0=LEN(ReferenceData!$AF$139),"",ReferenceData!$AF$139),"")</f>
        <v/>
      </c>
      <c r="AG139" t="str">
        <f>IFERROR(IF(0=LEN(ReferenceData!$AG$139),"",ReferenceData!$AG$139),"")</f>
        <v/>
      </c>
      <c r="AH139" t="str">
        <f>IFERROR(IF(0=LEN(ReferenceData!$AH$139),"",ReferenceData!$AH$139),"")</f>
        <v/>
      </c>
      <c r="AI139" t="str">
        <f>IFERROR(IF(0=LEN(ReferenceData!$AI$139),"",ReferenceData!$AI$139),"")</f>
        <v/>
      </c>
      <c r="AJ139" t="str">
        <f>IFERROR(IF(0=LEN(ReferenceData!$AJ$139),"",ReferenceData!$AJ$139),"")</f>
        <v/>
      </c>
      <c r="AK139" t="str">
        <f>IFERROR(IF(0=LEN(ReferenceData!$AK$139),"",ReferenceData!$AK$139),"")</f>
        <v/>
      </c>
      <c r="AL139" t="str">
        <f>IFERROR(IF(0=LEN(ReferenceData!$AL$139),"",ReferenceData!$AL$139),"")</f>
        <v/>
      </c>
      <c r="AM139" t="str">
        <f>IFERROR(IF(0=LEN(ReferenceData!$AM$139),"",ReferenceData!$AM$139),"")</f>
        <v/>
      </c>
      <c r="AN139" t="str">
        <f>IFERROR(IF(0=LEN(ReferenceData!$AN$139),"",ReferenceData!$AN$139),"")</f>
        <v/>
      </c>
      <c r="AO139" t="str">
        <f>IFERROR(IF(0=LEN(ReferenceData!$AO$139),"",ReferenceData!$AO$139),"")</f>
        <v/>
      </c>
      <c r="AP139" t="str">
        <f>IFERROR(IF(0=LEN(ReferenceData!$AP$139),"",ReferenceData!$AP$139),"")</f>
        <v/>
      </c>
      <c r="AQ139" t="str">
        <f>IFERROR(IF(0=LEN(ReferenceData!$AQ$139),"",ReferenceData!$AQ$139),"")</f>
        <v/>
      </c>
      <c r="AR139" t="str">
        <f>IFERROR(IF(0=LEN(ReferenceData!$AR$139),"",ReferenceData!$AR$139),"")</f>
        <v/>
      </c>
      <c r="AS139" t="str">
        <f>IFERROR(IF(0=LEN(ReferenceData!$AS$139),"",ReferenceData!$AS$139),"")</f>
        <v/>
      </c>
      <c r="AT139" t="str">
        <f>IFERROR(IF(0=LEN(ReferenceData!$AT$139),"",ReferenceData!$AT$139),"")</f>
        <v/>
      </c>
      <c r="AU139" t="str">
        <f>IFERROR(IF(0=LEN(ReferenceData!$AU$139),"",ReferenceData!$AU$139),"")</f>
        <v/>
      </c>
      <c r="AV139" t="str">
        <f>IFERROR(IF(0=LEN(ReferenceData!$AV$139),"",ReferenceData!$AV$139),"")</f>
        <v/>
      </c>
      <c r="AW139" t="str">
        <f>IFERROR(IF(0=LEN(ReferenceData!$AW$139),"",ReferenceData!$AW$139),"")</f>
        <v/>
      </c>
      <c r="AX139" t="str">
        <f>IFERROR(IF(0=LEN(ReferenceData!$AX$139),"",ReferenceData!$AX$139),"")</f>
        <v/>
      </c>
      <c r="AY139" t="str">
        <f>IFERROR(IF(0=LEN(ReferenceData!$AY$139),"",ReferenceData!$AY$139),"")</f>
        <v/>
      </c>
      <c r="AZ139" t="str">
        <f>IFERROR(IF(0=LEN(ReferenceData!$AZ$139),"",ReferenceData!$AZ$139),"")</f>
        <v/>
      </c>
      <c r="BA139" t="str">
        <f>IFERROR(IF(0=LEN(ReferenceData!$BA$139),"",ReferenceData!$BA$139),"")</f>
        <v/>
      </c>
      <c r="BB139" t="str">
        <f>IFERROR(IF(0=LEN(ReferenceData!$BB$139),"",ReferenceData!$BB$139),"")</f>
        <v/>
      </c>
      <c r="BC139" t="str">
        <f>IFERROR(IF(0=LEN(ReferenceData!$BC$139),"",ReferenceData!$BC$139),"")</f>
        <v/>
      </c>
      <c r="BD139" t="str">
        <f>IFERROR(IF(0=LEN(ReferenceData!$BD$139),"",ReferenceData!$BD$139),"")</f>
        <v/>
      </c>
      <c r="BE139" t="str">
        <f>IFERROR(IF(0=LEN(ReferenceData!$BE$139),"",ReferenceData!$BE$139),"")</f>
        <v/>
      </c>
      <c r="BF139" t="str">
        <f>IFERROR(IF(0=LEN(ReferenceData!$BF$139),"",ReferenceData!$BF$139),"")</f>
        <v/>
      </c>
      <c r="BG139" t="str">
        <f>IFERROR(IF(0=LEN(ReferenceData!$BG$139),"",ReferenceData!$BG$139),"")</f>
        <v/>
      </c>
      <c r="BH139" t="str">
        <f>IFERROR(IF(0=LEN(ReferenceData!$BH$139),"",ReferenceData!$BH$139),"")</f>
        <v/>
      </c>
      <c r="BI139" t="str">
        <f>IFERROR(IF(0=LEN(ReferenceData!$BI$139),"",ReferenceData!$BI$139),"")</f>
        <v/>
      </c>
      <c r="BJ139" t="str">
        <f>IFERROR(IF(0=LEN(ReferenceData!$BJ$139),"",ReferenceData!$BJ$139),"")</f>
        <v/>
      </c>
      <c r="BK139" t="str">
        <f>IFERROR(IF(0=LEN(ReferenceData!$BK$139),"",ReferenceData!$BK$139),"")</f>
        <v/>
      </c>
      <c r="BL139" t="str">
        <f>IFERROR(IF(0=LEN(ReferenceData!$BL$139),"",ReferenceData!$BL$139),"")</f>
        <v/>
      </c>
      <c r="BM139" t="str">
        <f>IFERROR(IF(0=LEN(ReferenceData!$BM$139),"",ReferenceData!$BM$139),"")</f>
        <v/>
      </c>
    </row>
    <row r="140" spans="1:65" x14ac:dyDescent="0.25">
      <c r="A140" t="str">
        <f>IFERROR(IF(0=LEN(ReferenceData!$A$140),"",ReferenceData!$A$140),"")</f>
        <v>Sales may be double-counted units due to joint-ventures.</v>
      </c>
      <c r="B140" t="str">
        <f>IFERROR(IF(0=LEN(ReferenceData!$B$140),"",ReferenceData!$B$140),"")</f>
        <v/>
      </c>
      <c r="C140" t="str">
        <f>IFERROR(IF(0=LEN(ReferenceData!$C$140),"",ReferenceData!$C$140),"")</f>
        <v/>
      </c>
      <c r="D140" t="str">
        <f>IFERROR(IF(0=LEN(ReferenceData!$D$140),"",ReferenceData!$D$140),"")</f>
        <v/>
      </c>
      <c r="E140" t="str">
        <f>IFERROR(IF(0=LEN(ReferenceData!$E$140),"",ReferenceData!$E$140),"")</f>
        <v>Heading</v>
      </c>
      <c r="F140" t="str">
        <f>IFERROR(IF(0=LEN(ReferenceData!$F$140),"",ReferenceData!$F$140),"")</f>
        <v/>
      </c>
      <c r="G140" t="str">
        <f>IFERROR(IF(0=LEN(ReferenceData!$G$140),"",ReferenceData!$G$140),"")</f>
        <v/>
      </c>
      <c r="H140" t="str">
        <f>IFERROR(IF(0=LEN(ReferenceData!$H$140),"",ReferenceData!$H$140),"")</f>
        <v/>
      </c>
      <c r="I140" t="str">
        <f>IFERROR(IF(0=LEN(ReferenceData!$I$140),"",ReferenceData!$I$140),"")</f>
        <v/>
      </c>
      <c r="J140" t="str">
        <f>IFERROR(IF(0=LEN(ReferenceData!$J$140),"",ReferenceData!$J$140),"")</f>
        <v/>
      </c>
      <c r="K140" t="str">
        <f>IFERROR(IF(0=LEN(ReferenceData!$K$140),"",ReferenceData!$K$140),"")</f>
        <v/>
      </c>
      <c r="L140" t="str">
        <f>IFERROR(IF(0=LEN(ReferenceData!$L$140),"",ReferenceData!$L$140),"")</f>
        <v/>
      </c>
      <c r="M140" t="str">
        <f>IFERROR(IF(0=LEN(ReferenceData!$M$140),"",ReferenceData!$M$140),"")</f>
        <v/>
      </c>
      <c r="N140" t="str">
        <f>IFERROR(IF(0=LEN(ReferenceData!$N$140),"",ReferenceData!$N$140),"")</f>
        <v/>
      </c>
      <c r="O140" t="str">
        <f>IFERROR(IF(0=LEN(ReferenceData!$O$140),"",ReferenceData!$O$140),"")</f>
        <v/>
      </c>
      <c r="P140" t="str">
        <f>IFERROR(IF(0=LEN(ReferenceData!$P$140),"",ReferenceData!$P$140),"")</f>
        <v/>
      </c>
      <c r="Q140" t="str">
        <f>IFERROR(IF(0=LEN(ReferenceData!$Q$140),"",ReferenceData!$Q$140),"")</f>
        <v/>
      </c>
      <c r="R140" t="str">
        <f>IFERROR(IF(0=LEN(ReferenceData!$R$140),"",ReferenceData!$R$140),"")</f>
        <v/>
      </c>
      <c r="S140" t="str">
        <f>IFERROR(IF(0=LEN(ReferenceData!$S$140),"",ReferenceData!$S$140),"")</f>
        <v/>
      </c>
      <c r="T140" t="str">
        <f>IFERROR(IF(0=LEN(ReferenceData!$T$140),"",ReferenceData!$T$140),"")</f>
        <v/>
      </c>
      <c r="U140" t="str">
        <f>IFERROR(IF(0=LEN(ReferenceData!$U$140),"",ReferenceData!$U$140),"")</f>
        <v/>
      </c>
      <c r="V140" t="str">
        <f>IFERROR(IF(0=LEN(ReferenceData!$V$140),"",ReferenceData!$V$140),"")</f>
        <v/>
      </c>
      <c r="W140" t="str">
        <f>IFERROR(IF(0=LEN(ReferenceData!$W$140),"",ReferenceData!$W$140),"")</f>
        <v/>
      </c>
      <c r="X140" t="str">
        <f>IFERROR(IF(0=LEN(ReferenceData!$X$140),"",ReferenceData!$X$140),"")</f>
        <v/>
      </c>
      <c r="Y140" t="str">
        <f>IFERROR(IF(0=LEN(ReferenceData!$Y$140),"",ReferenceData!$Y$140),"")</f>
        <v/>
      </c>
      <c r="Z140" t="str">
        <f>IFERROR(IF(0=LEN(ReferenceData!$Z$140),"",ReferenceData!$Z$140),"")</f>
        <v/>
      </c>
      <c r="AA140" t="str">
        <f>IFERROR(IF(0=LEN(ReferenceData!$AA$140),"",ReferenceData!$AA$140),"")</f>
        <v/>
      </c>
      <c r="AB140" t="str">
        <f>IFERROR(IF(0=LEN(ReferenceData!$AB$140),"",ReferenceData!$AB$140),"")</f>
        <v/>
      </c>
      <c r="AC140" t="str">
        <f>IFERROR(IF(0=LEN(ReferenceData!$AC$140),"",ReferenceData!$AC$140),"")</f>
        <v/>
      </c>
      <c r="AD140" t="str">
        <f>IFERROR(IF(0=LEN(ReferenceData!$AD$140),"",ReferenceData!$AD$140),"")</f>
        <v/>
      </c>
      <c r="AE140" t="str">
        <f>IFERROR(IF(0=LEN(ReferenceData!$AE$140),"",ReferenceData!$AE$140),"")</f>
        <v/>
      </c>
      <c r="AF140" t="str">
        <f>IFERROR(IF(0=LEN(ReferenceData!$AF$140),"",ReferenceData!$AF$140),"")</f>
        <v/>
      </c>
      <c r="AG140" t="str">
        <f>IFERROR(IF(0=LEN(ReferenceData!$AG$140),"",ReferenceData!$AG$140),"")</f>
        <v/>
      </c>
      <c r="AH140" t="str">
        <f>IFERROR(IF(0=LEN(ReferenceData!$AH$140),"",ReferenceData!$AH$140),"")</f>
        <v/>
      </c>
      <c r="AI140" t="str">
        <f>IFERROR(IF(0=LEN(ReferenceData!$AI$140),"",ReferenceData!$AI$140),"")</f>
        <v/>
      </c>
      <c r="AJ140" t="str">
        <f>IFERROR(IF(0=LEN(ReferenceData!$AJ$140),"",ReferenceData!$AJ$140),"")</f>
        <v/>
      </c>
      <c r="AK140" t="str">
        <f>IFERROR(IF(0=LEN(ReferenceData!$AK$140),"",ReferenceData!$AK$140),"")</f>
        <v/>
      </c>
      <c r="AL140" t="str">
        <f>IFERROR(IF(0=LEN(ReferenceData!$AL$140),"",ReferenceData!$AL$140),"")</f>
        <v/>
      </c>
      <c r="AM140" t="str">
        <f>IFERROR(IF(0=LEN(ReferenceData!$AM$140),"",ReferenceData!$AM$140),"")</f>
        <v/>
      </c>
      <c r="AN140" t="str">
        <f>IFERROR(IF(0=LEN(ReferenceData!$AN$140),"",ReferenceData!$AN$140),"")</f>
        <v/>
      </c>
      <c r="AO140" t="str">
        <f>IFERROR(IF(0=LEN(ReferenceData!$AO$140),"",ReferenceData!$AO$140),"")</f>
        <v/>
      </c>
      <c r="AP140" t="str">
        <f>IFERROR(IF(0=LEN(ReferenceData!$AP$140),"",ReferenceData!$AP$140),"")</f>
        <v/>
      </c>
      <c r="AQ140" t="str">
        <f>IFERROR(IF(0=LEN(ReferenceData!$AQ$140),"",ReferenceData!$AQ$140),"")</f>
        <v/>
      </c>
      <c r="AR140" t="str">
        <f>IFERROR(IF(0=LEN(ReferenceData!$AR$140),"",ReferenceData!$AR$140),"")</f>
        <v/>
      </c>
      <c r="AS140" t="str">
        <f>IFERROR(IF(0=LEN(ReferenceData!$AS$140),"",ReferenceData!$AS$140),"")</f>
        <v/>
      </c>
      <c r="AT140" t="str">
        <f>IFERROR(IF(0=LEN(ReferenceData!$AT$140),"",ReferenceData!$AT$140),"")</f>
        <v/>
      </c>
      <c r="AU140" t="str">
        <f>IFERROR(IF(0=LEN(ReferenceData!$AU$140),"",ReferenceData!$AU$140),"")</f>
        <v/>
      </c>
      <c r="AV140" t="str">
        <f>IFERROR(IF(0=LEN(ReferenceData!$AV$140),"",ReferenceData!$AV$140),"")</f>
        <v/>
      </c>
      <c r="AW140" t="str">
        <f>IFERROR(IF(0=LEN(ReferenceData!$AW$140),"",ReferenceData!$AW$140),"")</f>
        <v/>
      </c>
      <c r="AX140" t="str">
        <f>IFERROR(IF(0=LEN(ReferenceData!$AX$140),"",ReferenceData!$AX$140),"")</f>
        <v/>
      </c>
      <c r="AY140" t="str">
        <f>IFERROR(IF(0=LEN(ReferenceData!$AY$140),"",ReferenceData!$AY$140),"")</f>
        <v/>
      </c>
      <c r="AZ140" t="str">
        <f>IFERROR(IF(0=LEN(ReferenceData!$AZ$140),"",ReferenceData!$AZ$140),"")</f>
        <v/>
      </c>
      <c r="BA140" t="str">
        <f>IFERROR(IF(0=LEN(ReferenceData!$BA$140),"",ReferenceData!$BA$140),"")</f>
        <v/>
      </c>
      <c r="BB140" t="str">
        <f>IFERROR(IF(0=LEN(ReferenceData!$BB$140),"",ReferenceData!$BB$140),"")</f>
        <v/>
      </c>
      <c r="BC140" t="str">
        <f>IFERROR(IF(0=LEN(ReferenceData!$BC$140),"",ReferenceData!$BC$140),"")</f>
        <v/>
      </c>
      <c r="BD140" t="str">
        <f>IFERROR(IF(0=LEN(ReferenceData!$BD$140),"",ReferenceData!$BD$140),"")</f>
        <v/>
      </c>
      <c r="BE140" t="str">
        <f>IFERROR(IF(0=LEN(ReferenceData!$BE$140),"",ReferenceData!$BE$140),"")</f>
        <v/>
      </c>
      <c r="BF140" t="str">
        <f>IFERROR(IF(0=LEN(ReferenceData!$BF$140),"",ReferenceData!$BF$140),"")</f>
        <v/>
      </c>
      <c r="BG140" t="str">
        <f>IFERROR(IF(0=LEN(ReferenceData!$BG$140),"",ReferenceData!$BG$140),"")</f>
        <v/>
      </c>
      <c r="BH140" t="str">
        <f>IFERROR(IF(0=LEN(ReferenceData!$BH$140),"",ReferenceData!$BH$140),"")</f>
        <v/>
      </c>
      <c r="BI140" t="str">
        <f>IFERROR(IF(0=LEN(ReferenceData!$BI$140),"",ReferenceData!$BI$140),"")</f>
        <v/>
      </c>
      <c r="BJ140" t="str">
        <f>IFERROR(IF(0=LEN(ReferenceData!$BJ$140),"",ReferenceData!$BJ$140),"")</f>
        <v/>
      </c>
      <c r="BK140" t="str">
        <f>IFERROR(IF(0=LEN(ReferenceData!$BK$140),"",ReferenceData!$BK$140),"")</f>
        <v/>
      </c>
      <c r="BL140" t="str">
        <f>IFERROR(IF(0=LEN(ReferenceData!$BL$140),"",ReferenceData!$BL$140),"")</f>
        <v/>
      </c>
      <c r="BM140" t="str">
        <f>IFERROR(IF(0=LEN(ReferenceData!$BM$140),"",ReferenceData!$BM$140),"")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89"/>
  <sheetViews>
    <sheetView workbookViewId="0"/>
  </sheetViews>
  <sheetFormatPr defaultRowHeight="15" x14ac:dyDescent="0.25"/>
  <cols>
    <col min="1" max="1" width="56.28515625" customWidth="1"/>
    <col min="2" max="2" width="15.85546875" customWidth="1"/>
    <col min="3" max="125" width="9.140625" bestFit="1" customWidth="1"/>
  </cols>
  <sheetData>
    <row r="1" spans="1:1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ReferenceData!$C$280</f>
        <v>2019 Q1</v>
      </c>
      <c r="G2" s="1" t="str">
        <f>ReferenceData!$D$280</f>
        <v>2018 Q4</v>
      </c>
      <c r="H2" s="1" t="str">
        <f>ReferenceData!$E$280</f>
        <v>2018 Q3</v>
      </c>
      <c r="I2" s="1" t="str">
        <f>ReferenceData!$F$280</f>
        <v>2018 Q2</v>
      </c>
      <c r="J2" s="1" t="str">
        <f>ReferenceData!$G$280</f>
        <v>2018 Q1</v>
      </c>
      <c r="K2" s="1" t="str">
        <f>ReferenceData!$H$280</f>
        <v>2017 Q4</v>
      </c>
      <c r="L2" s="1" t="str">
        <f>ReferenceData!$I$280</f>
        <v>2017 Q3</v>
      </c>
      <c r="M2" s="1" t="str">
        <f>ReferenceData!$J$280</f>
        <v>2017 Q2</v>
      </c>
      <c r="N2" s="1" t="str">
        <f>ReferenceData!$K$280</f>
        <v>2017 Q1</v>
      </c>
      <c r="O2" s="1" t="str">
        <f>ReferenceData!$L$280</f>
        <v>2016 Q4</v>
      </c>
      <c r="P2" s="1" t="str">
        <f>ReferenceData!$M$280</f>
        <v>2016 Q3</v>
      </c>
      <c r="Q2" s="1" t="str">
        <f>ReferenceData!$N$280</f>
        <v>2016 Q2</v>
      </c>
      <c r="R2" s="1" t="str">
        <f>ReferenceData!$O$280</f>
        <v>2016 Q1</v>
      </c>
      <c r="S2" s="1" t="str">
        <f>ReferenceData!$P$280</f>
        <v>2015 Q4</v>
      </c>
      <c r="T2" s="1" t="str">
        <f>ReferenceData!$Q$280</f>
        <v>2015 Q3</v>
      </c>
      <c r="U2" s="1" t="str">
        <f>ReferenceData!$R$280</f>
        <v>2015 Q2</v>
      </c>
      <c r="V2" s="1" t="str">
        <f>ReferenceData!$S$280</f>
        <v>2015 Q1</v>
      </c>
      <c r="W2" s="1" t="str">
        <f>ReferenceData!$T$280</f>
        <v>2014 Q4</v>
      </c>
      <c r="X2" s="1" t="str">
        <f>ReferenceData!$U$280</f>
        <v>2014 Q3</v>
      </c>
      <c r="Y2" s="1" t="str">
        <f>ReferenceData!$V$280</f>
        <v>2014 Q2</v>
      </c>
      <c r="Z2" s="1" t="str">
        <f>ReferenceData!$W$280</f>
        <v>2014 Q1</v>
      </c>
      <c r="AA2" s="1" t="str">
        <f>ReferenceData!$X$280</f>
        <v>2013 Q4</v>
      </c>
      <c r="AB2" s="1" t="str">
        <f>ReferenceData!$Y$280</f>
        <v>2013 Q3</v>
      </c>
      <c r="AC2" s="1" t="str">
        <f>ReferenceData!$Z$280</f>
        <v>2013 Q2</v>
      </c>
      <c r="AD2" s="1" t="str">
        <f>ReferenceData!$AA$280</f>
        <v>2013 Q1</v>
      </c>
      <c r="AE2" s="1" t="str">
        <f>ReferenceData!$AB$280</f>
        <v>2012 Q4</v>
      </c>
      <c r="AF2" s="1" t="str">
        <f>ReferenceData!$AC$280</f>
        <v>2012 Q3</v>
      </c>
      <c r="AG2" s="1" t="str">
        <f>ReferenceData!$AD$280</f>
        <v>2012 Q2</v>
      </c>
      <c r="AH2" s="1" t="str">
        <f>ReferenceData!$AE$280</f>
        <v>2012 Q1</v>
      </c>
      <c r="AI2" s="1" t="str">
        <f>ReferenceData!$AF$280</f>
        <v>2011 Q4</v>
      </c>
      <c r="AJ2" s="1" t="str">
        <f>ReferenceData!$AG$280</f>
        <v>2011 Q3</v>
      </c>
      <c r="AK2" s="1" t="str">
        <f>ReferenceData!$AH$280</f>
        <v>2011 Q2</v>
      </c>
      <c r="AL2" s="1" t="str">
        <f>ReferenceData!$AI$280</f>
        <v>2011 Q1</v>
      </c>
      <c r="AM2" s="1" t="str">
        <f>ReferenceData!$AJ$280</f>
        <v>2010 Q4</v>
      </c>
      <c r="AN2" s="1" t="str">
        <f>ReferenceData!$AK$280</f>
        <v>2010 Q3</v>
      </c>
      <c r="AO2" s="1" t="str">
        <f>ReferenceData!$AL$280</f>
        <v>2010 Q2</v>
      </c>
      <c r="AP2" s="1" t="str">
        <f>ReferenceData!$AM$280</f>
        <v>2010 Q1</v>
      </c>
      <c r="AQ2" s="1" t="str">
        <f>ReferenceData!$AN$280</f>
        <v>2009 Q4</v>
      </c>
      <c r="AR2" s="1" t="str">
        <f>ReferenceData!$AO$280</f>
        <v>2009 Q3</v>
      </c>
      <c r="AS2" s="1" t="str">
        <f>ReferenceData!$AP$280</f>
        <v>2009 Q2</v>
      </c>
      <c r="AT2" s="1" t="str">
        <f>ReferenceData!$AQ$280</f>
        <v>2009 Q1</v>
      </c>
      <c r="AU2" s="1" t="str">
        <f>ReferenceData!$AR$280</f>
        <v>2008 Q4</v>
      </c>
      <c r="AV2" s="1" t="str">
        <f>ReferenceData!$AS$280</f>
        <v>2008 Q3</v>
      </c>
      <c r="AW2" s="1" t="str">
        <f>ReferenceData!$AT$280</f>
        <v>2008 Q2</v>
      </c>
      <c r="AX2" s="1" t="str">
        <f>ReferenceData!$AU$280</f>
        <v>2008 Q1</v>
      </c>
      <c r="AY2" s="1" t="str">
        <f>ReferenceData!$AV$280</f>
        <v>2007 Q4</v>
      </c>
      <c r="AZ2" s="1" t="str">
        <f>ReferenceData!$AW$280</f>
        <v>2007 Q3</v>
      </c>
      <c r="BA2" s="1" t="str">
        <f>ReferenceData!$AX$280</f>
        <v>2007 Q2</v>
      </c>
      <c r="BB2" s="1" t="str">
        <f>ReferenceData!$AY$280</f>
        <v>2007 Q1</v>
      </c>
      <c r="BC2" s="1" t="str">
        <f>ReferenceData!$AZ$280</f>
        <v>2006 Q4</v>
      </c>
      <c r="BD2" s="1" t="str">
        <f>ReferenceData!$BA$280</f>
        <v>2006 Q3</v>
      </c>
      <c r="BE2" s="1" t="str">
        <f>ReferenceData!$BB$280</f>
        <v>2006 Q2</v>
      </c>
      <c r="BF2" s="1" t="str">
        <f>ReferenceData!$BC$280</f>
        <v>2006 Q1</v>
      </c>
      <c r="BG2" s="1" t="str">
        <f>ReferenceData!$BD$280</f>
        <v>2005 Q4</v>
      </c>
      <c r="BH2" s="1" t="str">
        <f>ReferenceData!$BE$280</f>
        <v>2005 Q3</v>
      </c>
      <c r="BI2" s="1" t="str">
        <f>ReferenceData!$BF$280</f>
        <v>2005 Q2</v>
      </c>
      <c r="BJ2" s="1" t="str">
        <f>ReferenceData!$BG$280</f>
        <v>2005 Q1</v>
      </c>
      <c r="BK2" s="1" t="str">
        <f>ReferenceData!$BH$280</f>
        <v>2004 Q4</v>
      </c>
      <c r="BL2" s="1" t="str">
        <f>ReferenceData!$BI$280</f>
        <v>2004 Q3</v>
      </c>
      <c r="BM2" s="1" t="str">
        <f>ReferenceData!$BJ$280</f>
        <v>2004 Q2</v>
      </c>
      <c r="BN2" t="str">
        <f>$C$280</f>
        <v>2019 Q1</v>
      </c>
      <c r="BO2" t="str">
        <f>$D$280</f>
        <v>2018 Q4</v>
      </c>
      <c r="BP2" t="str">
        <f>$E$280</f>
        <v>2018 Q3</v>
      </c>
      <c r="BQ2" t="str">
        <f>$F$280</f>
        <v>2018 Q2</v>
      </c>
      <c r="BR2" t="str">
        <f>$G$280</f>
        <v>2018 Q1</v>
      </c>
      <c r="BS2" t="str">
        <f>$H$280</f>
        <v>2017 Q4</v>
      </c>
      <c r="BT2" t="str">
        <f>$I$280</f>
        <v>2017 Q3</v>
      </c>
      <c r="BU2" t="str">
        <f>$J$280</f>
        <v>2017 Q2</v>
      </c>
      <c r="BV2" t="str">
        <f>$K$280</f>
        <v>2017 Q1</v>
      </c>
      <c r="BW2" t="str">
        <f>$L$280</f>
        <v>2016 Q4</v>
      </c>
      <c r="BX2" t="str">
        <f>$M$280</f>
        <v>2016 Q3</v>
      </c>
      <c r="BY2" t="str">
        <f>$N$280</f>
        <v>2016 Q2</v>
      </c>
      <c r="BZ2" t="str">
        <f>$O$280</f>
        <v>2016 Q1</v>
      </c>
      <c r="CA2" t="str">
        <f>$P$280</f>
        <v>2015 Q4</v>
      </c>
      <c r="CB2" t="str">
        <f>$Q$280</f>
        <v>2015 Q3</v>
      </c>
      <c r="CC2" t="str">
        <f>$R$280</f>
        <v>2015 Q2</v>
      </c>
      <c r="CD2" t="str">
        <f>$S$280</f>
        <v>2015 Q1</v>
      </c>
      <c r="CE2" t="str">
        <f>$T$280</f>
        <v>2014 Q4</v>
      </c>
      <c r="CF2" t="str">
        <f>$U$280</f>
        <v>2014 Q3</v>
      </c>
      <c r="CG2" t="str">
        <f>$V$280</f>
        <v>2014 Q2</v>
      </c>
      <c r="CH2" t="str">
        <f>$W$280</f>
        <v>2014 Q1</v>
      </c>
      <c r="CI2" t="str">
        <f>$X$280</f>
        <v>2013 Q4</v>
      </c>
      <c r="CJ2" t="str">
        <f>$Y$280</f>
        <v>2013 Q3</v>
      </c>
      <c r="CK2" t="str">
        <f>$Z$280</f>
        <v>2013 Q2</v>
      </c>
      <c r="CL2" t="str">
        <f>$AA$280</f>
        <v>2013 Q1</v>
      </c>
      <c r="CM2" t="str">
        <f>$AB$280</f>
        <v>2012 Q4</v>
      </c>
      <c r="CN2" t="str">
        <f>$AC$280</f>
        <v>2012 Q3</v>
      </c>
      <c r="CO2" t="str">
        <f>$AD$280</f>
        <v>2012 Q2</v>
      </c>
      <c r="CP2" t="str">
        <f>$AE$280</f>
        <v>2012 Q1</v>
      </c>
      <c r="CQ2" t="str">
        <f>$AF$280</f>
        <v>2011 Q4</v>
      </c>
      <c r="CR2" t="str">
        <f>$AG$280</f>
        <v>2011 Q3</v>
      </c>
      <c r="CS2" t="str">
        <f>$AH$280</f>
        <v>2011 Q2</v>
      </c>
      <c r="CT2" t="str">
        <f>$AI$280</f>
        <v>2011 Q1</v>
      </c>
      <c r="CU2" t="str">
        <f>$AJ$280</f>
        <v>2010 Q4</v>
      </c>
      <c r="CV2" t="str">
        <f>$AK$280</f>
        <v>2010 Q3</v>
      </c>
      <c r="CW2" t="str">
        <f>$AL$280</f>
        <v>2010 Q2</v>
      </c>
      <c r="CX2" t="str">
        <f>$AM$280</f>
        <v>2010 Q1</v>
      </c>
      <c r="CY2" t="str">
        <f>$AN$280</f>
        <v>2009 Q4</v>
      </c>
      <c r="CZ2" t="str">
        <f>$AO$280</f>
        <v>2009 Q3</v>
      </c>
      <c r="DA2" t="str">
        <f>$AP$280</f>
        <v>2009 Q2</v>
      </c>
      <c r="DB2" t="str">
        <f>$AQ$280</f>
        <v>2009 Q1</v>
      </c>
      <c r="DC2" t="str">
        <f>$AR$280</f>
        <v>2008 Q4</v>
      </c>
      <c r="DD2" t="str">
        <f>$AS$280</f>
        <v>2008 Q3</v>
      </c>
      <c r="DE2" t="str">
        <f>$AT$280</f>
        <v>2008 Q2</v>
      </c>
      <c r="DF2" t="str">
        <f>$AU$280</f>
        <v>2008 Q1</v>
      </c>
      <c r="DG2" t="str">
        <f>$AV$280</f>
        <v>2007 Q4</v>
      </c>
      <c r="DH2" t="str">
        <f>$AW$280</f>
        <v>2007 Q3</v>
      </c>
      <c r="DI2" t="str">
        <f>$AX$280</f>
        <v>2007 Q2</v>
      </c>
      <c r="DJ2" t="str">
        <f>$AY$280</f>
        <v>2007 Q1</v>
      </c>
      <c r="DK2" t="str">
        <f>$AZ$280</f>
        <v>2006 Q4</v>
      </c>
      <c r="DL2" t="str">
        <f>$BA$280</f>
        <v>2006 Q3</v>
      </c>
      <c r="DM2" t="str">
        <f>$BB$280</f>
        <v>2006 Q2</v>
      </c>
      <c r="DN2" t="str">
        <f>$BC$280</f>
        <v>2006 Q1</v>
      </c>
      <c r="DO2" t="str">
        <f>$BD$280</f>
        <v>2005 Q4</v>
      </c>
      <c r="DP2" t="str">
        <f>$BE$280</f>
        <v>2005 Q3</v>
      </c>
      <c r="DQ2" t="str">
        <f>$BF$280</f>
        <v>2005 Q2</v>
      </c>
      <c r="DR2" t="str">
        <f>$BG$280</f>
        <v>2005 Q1</v>
      </c>
      <c r="DS2" t="str">
        <f>$BH$280</f>
        <v>2004 Q4</v>
      </c>
      <c r="DT2" t="str">
        <f>$BI$280</f>
        <v>2004 Q3</v>
      </c>
      <c r="DU2" t="str">
        <f>$BJ$280</f>
        <v>2004 Q2</v>
      </c>
    </row>
    <row r="3" spans="1:125" x14ac:dyDescent="0.25">
      <c r="A3" t="str">
        <f>"Global Vehicle Sales (units)"</f>
        <v>Global Vehicle Sales (units)</v>
      </c>
      <c r="B3" t="str">
        <f>""</f>
        <v/>
      </c>
      <c r="E3" t="str">
        <f>"Heading"</f>
        <v>Heading</v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  <c r="CH3" t="str">
        <f>""</f>
        <v/>
      </c>
      <c r="CI3" t="str">
        <f>""</f>
        <v/>
      </c>
      <c r="CJ3" t="str">
        <f>""</f>
        <v/>
      </c>
      <c r="CK3" t="str">
        <f>""</f>
        <v/>
      </c>
      <c r="CL3" t="str">
        <f>""</f>
        <v/>
      </c>
      <c r="CM3" t="str">
        <f>""</f>
        <v/>
      </c>
      <c r="CN3" t="str">
        <f>""</f>
        <v/>
      </c>
      <c r="CO3" t="str">
        <f>""</f>
        <v/>
      </c>
      <c r="CP3" t="str">
        <f>""</f>
        <v/>
      </c>
      <c r="CQ3" t="str">
        <f>""</f>
        <v/>
      </c>
      <c r="CR3" t="str">
        <f>""</f>
        <v/>
      </c>
      <c r="CS3" t="str">
        <f>""</f>
        <v/>
      </c>
      <c r="CT3" t="str">
        <f>""</f>
        <v/>
      </c>
      <c r="CU3" t="str">
        <f>""</f>
        <v/>
      </c>
      <c r="CV3" t="str">
        <f>""</f>
        <v/>
      </c>
      <c r="CW3" t="str">
        <f>""</f>
        <v/>
      </c>
      <c r="CX3" t="str">
        <f>""</f>
        <v/>
      </c>
      <c r="CY3" t="str">
        <f>""</f>
        <v/>
      </c>
      <c r="CZ3" t="str">
        <f>""</f>
        <v/>
      </c>
      <c r="DA3" t="str">
        <f>""</f>
        <v/>
      </c>
      <c r="DB3" t="str">
        <f>""</f>
        <v/>
      </c>
      <c r="DC3" t="str">
        <f>""</f>
        <v/>
      </c>
      <c r="DD3" t="str">
        <f>""</f>
        <v/>
      </c>
      <c r="DE3" t="str">
        <f>""</f>
        <v/>
      </c>
      <c r="DF3" t="str">
        <f>""</f>
        <v/>
      </c>
      <c r="DG3" t="str">
        <f>""</f>
        <v/>
      </c>
      <c r="DH3" t="str">
        <f>""</f>
        <v/>
      </c>
      <c r="DI3" t="str">
        <f>""</f>
        <v/>
      </c>
      <c r="DJ3" t="str">
        <f>""</f>
        <v/>
      </c>
      <c r="DK3" t="str">
        <f>""</f>
        <v/>
      </c>
      <c r="DL3" t="str">
        <f>""</f>
        <v/>
      </c>
      <c r="DM3" t="str">
        <f>""</f>
        <v/>
      </c>
      <c r="DN3" t="str">
        <f>""</f>
        <v/>
      </c>
      <c r="DO3" t="str">
        <f>""</f>
        <v/>
      </c>
      <c r="DP3" t="str">
        <f>""</f>
        <v/>
      </c>
      <c r="DQ3" t="str">
        <f>""</f>
        <v/>
      </c>
      <c r="DR3" t="str">
        <f>""</f>
        <v/>
      </c>
      <c r="DS3" t="str">
        <f>""</f>
        <v/>
      </c>
      <c r="DT3" t="str">
        <f>""</f>
        <v/>
      </c>
      <c r="DU3" t="str">
        <f>""</f>
        <v/>
      </c>
    </row>
    <row r="4" spans="1:125" x14ac:dyDescent="0.25">
      <c r="A4" t="str">
        <f>"by Region/ Country of Sale (units)"</f>
        <v>by Region/ Country of Sale (units)</v>
      </c>
      <c r="B4" t="str">
        <f>"AUTMTVSA Index"</f>
        <v>AUTMTVSA Index</v>
      </c>
      <c r="E4" t="str">
        <f>"Sum"</f>
        <v>Sum</v>
      </c>
      <c r="F4">
        <f ca="1">IF(ISERROR(IF(SUM($F$5,$F$22,$F$56,$F$61,$F$67) = 0, "", SUM($F$5,$F$22,$F$56,$F$61,$F$67))), "", (IF(SUM($F$5,$F$22,$F$56,$F$61,$F$67) = 0, "", SUM($F$5,$F$22,$F$56,$F$61,$F$67))))</f>
        <v>4868119</v>
      </c>
      <c r="G4">
        <f ca="1">IF(ISERROR(IF(SUM($G$5,$G$22,$G$56,$G$61,$G$67) = 0, "", SUM($G$5,$G$22,$G$56,$G$61,$G$67))), "", (IF(SUM($G$5,$G$22,$G$56,$G$61,$G$67) = 0, "", SUM($G$5,$G$22,$G$56,$G$61,$G$67))))</f>
        <v>16056166</v>
      </c>
      <c r="H4">
        <f ca="1">IF(ISERROR(IF(SUM($H$5,$H$22,$H$56,$H$61,$H$67) = 0, "", SUM($H$5,$H$22,$H$56,$H$61,$H$67))), "", (IF(SUM($H$5,$H$22,$H$56,$H$61,$H$67) = 0, "", SUM($H$5,$H$22,$H$56,$H$61,$H$67))))</f>
        <v>15085594</v>
      </c>
      <c r="I4">
        <f ca="1">IF(ISERROR(IF(SUM($I$5,$I$22,$I$56,$I$61,$I$67) = 0, "", SUM($I$5,$I$22,$I$56,$I$61,$I$67))), "", (IF(SUM($I$5,$I$22,$I$56,$I$61,$I$67) = 0, "", SUM($I$5,$I$22,$I$56,$I$61,$I$67))))</f>
        <v>16374572</v>
      </c>
      <c r="J4">
        <f ca="1">IF(ISERROR(IF(SUM($J$5,$J$22,$J$56,$J$61,$J$67) = 0, "", SUM($J$5,$J$22,$J$56,$J$61,$J$67))), "", (IF(SUM($J$5,$J$22,$J$56,$J$61,$J$67) = 0, "", SUM($J$5,$J$22,$J$56,$J$61,$J$67))))</f>
        <v>20618349</v>
      </c>
      <c r="K4">
        <f ca="1">IF(ISERROR(IF(SUM($K$5,$K$22,$K$56,$K$61,$K$67) = 0, "", SUM($K$5,$K$22,$K$56,$K$61,$K$67))), "", (IF(SUM($K$5,$K$22,$K$56,$K$61,$K$67) = 0, "", SUM($K$5,$K$22,$K$56,$K$61,$K$67))))</f>
        <v>22125963</v>
      </c>
      <c r="L4">
        <f ca="1">IF(ISERROR(IF(SUM($L$5,$L$22,$L$56,$L$61,$L$67) = 0, "", SUM($L$5,$L$22,$L$56,$L$61,$L$67))), "", (IF(SUM($L$5,$L$22,$L$56,$L$61,$L$67) = 0, "", SUM($L$5,$L$22,$L$56,$L$61,$L$67))))</f>
        <v>20676218</v>
      </c>
      <c r="M4">
        <f ca="1">IF(ISERROR(IF(SUM($M$5,$M$22,$M$56,$M$61,$M$67) = 0, "", SUM($M$5,$M$22,$M$56,$M$61,$M$67))), "", (IF(SUM($M$5,$M$22,$M$56,$M$61,$M$67) = 0, "", SUM($M$5,$M$22,$M$56,$M$61,$M$67))))</f>
        <v>20961811</v>
      </c>
      <c r="N4">
        <f ca="1">IF(ISERROR(IF(SUM($N$5,$N$22,$N$56,$N$61,$N$67) = 0, "", SUM($N$5,$N$22,$N$56,$N$61,$N$67))), "", (IF(SUM($N$5,$N$22,$N$56,$N$61,$N$67) = 0, "", SUM($N$5,$N$22,$N$56,$N$61,$N$67))))</f>
        <v>21319971</v>
      </c>
      <c r="O4">
        <f ca="1">IF(ISERROR(IF(SUM($O$5,$O$22,$O$56,$O$61,$O$67) = 0, "", SUM($O$5,$O$22,$O$56,$O$61,$O$67))), "", (IF(SUM($O$5,$O$22,$O$56,$O$61,$O$67) = 0, "", SUM($O$5,$O$22,$O$56,$O$61,$O$67))))</f>
        <v>22693080</v>
      </c>
      <c r="P4">
        <f ca="1">IF(ISERROR(IF(SUM($P$5,$P$22,$P$56,$P$61,$P$67) = 0, "", SUM($P$5,$P$22,$P$56,$P$61,$P$67))), "", (IF(SUM($P$5,$P$22,$P$56,$P$61,$P$67) = 0, "", SUM($P$5,$P$22,$P$56,$P$61,$P$67))))</f>
        <v>20227384</v>
      </c>
      <c r="Q4">
        <f ca="1">IF(ISERROR(IF(SUM($Q$5,$Q$22,$Q$56,$Q$61,$Q$67) = 0, "", SUM($Q$5,$Q$22,$Q$56,$Q$61,$Q$67))), "", (IF(SUM($Q$5,$Q$22,$Q$56,$Q$61,$Q$67) = 0, "", SUM($Q$5,$Q$22,$Q$56,$Q$61,$Q$67))))</f>
        <v>20771275</v>
      </c>
      <c r="R4">
        <f ca="1">IF(ISERROR(IF(SUM($R$5,$R$22,$R$56,$R$61,$R$67) = 0, "", SUM($R$5,$R$22,$R$56,$R$61,$R$67))), "", (IF(SUM($R$5,$R$22,$R$56,$R$61,$R$67) = 0, "", SUM($R$5,$R$22,$R$56,$R$61,$R$67))))</f>
        <v>20267535</v>
      </c>
      <c r="S4">
        <f ca="1">IF(ISERROR(IF(SUM($S$5,$S$22,$S$56,$S$61,$S$67) = 0, "", SUM($S$5,$S$22,$S$56,$S$61,$S$67))), "", (IF(SUM($S$5,$S$22,$S$56,$S$61,$S$67) = 0, "", SUM($S$5,$S$22,$S$56,$S$61,$S$67))))</f>
        <v>21448110</v>
      </c>
      <c r="T4">
        <f ca="1">IF(ISERROR(IF(SUM($T$5,$T$22,$T$56,$T$61,$T$67) = 0, "", SUM($T$5,$T$22,$T$56,$T$61,$T$67))), "", (IF(SUM($T$5,$T$22,$T$56,$T$61,$T$67) = 0, "", SUM($T$5,$T$22,$T$56,$T$61,$T$67))))</f>
        <v>19015463</v>
      </c>
      <c r="U4">
        <f ca="1">IF(ISERROR(IF(SUM($U$5,$U$22,$U$56,$U$61,$U$67) = 0, "", SUM($U$5,$U$22,$U$56,$U$61,$U$67))), "", (IF(SUM($U$5,$U$22,$U$56,$U$61,$U$67) = 0, "", SUM($U$5,$U$22,$U$56,$U$61,$U$67))))</f>
        <v>19819643</v>
      </c>
      <c r="V4">
        <f ca="1">IF(ISERROR(IF(SUM($V$5,$V$22,$V$56,$V$61,$V$67) = 0, "", SUM($V$5,$V$22,$V$56,$V$61,$V$67))), "", (IF(SUM($V$5,$V$22,$V$56,$V$61,$V$67) = 0, "", SUM($V$5,$V$22,$V$56,$V$61,$V$67))))</f>
        <v>19800130</v>
      </c>
      <c r="W4">
        <f ca="1">IF(ISERROR(IF(SUM($W$5,$W$22,$W$56,$W$61,$W$67) = 0, "", SUM($W$5,$W$22,$W$56,$W$61,$W$67))), "", (IF(SUM($W$5,$W$22,$W$56,$W$61,$W$67) = 0, "", SUM($W$5,$W$22,$W$56,$W$61,$W$67))))</f>
        <v>20252621</v>
      </c>
      <c r="X4">
        <f ca="1">IF(ISERROR(IF(SUM($X$5,$X$22,$X$56,$X$61,$X$67) = 0, "", SUM($X$5,$X$22,$X$56,$X$61,$X$67))), "", (IF(SUM($X$5,$X$22,$X$56,$X$61,$X$67) = 0, "", SUM($X$5,$X$22,$X$56,$X$61,$X$67))))</f>
        <v>18901721</v>
      </c>
      <c r="Y4">
        <f ca="1">IF(ISERROR(IF(SUM($Y$5,$Y$22,$Y$56,$Y$61,$Y$67) = 0, "", SUM($Y$5,$Y$22,$Y$56,$Y$61,$Y$67))), "", (IF(SUM($Y$5,$Y$22,$Y$56,$Y$61,$Y$67) = 0, "", SUM($Y$5,$Y$22,$Y$56,$Y$61,$Y$67))))</f>
        <v>19814916</v>
      </c>
      <c r="Z4">
        <f ca="1">IF(ISERROR(IF(SUM($Z$5,$Z$22,$Z$56,$Z$61,$Z$67) = 0, "", SUM($Z$5,$Z$22,$Z$56,$Z$61,$Z$67))), "", (IF(SUM($Z$5,$Z$22,$Z$56,$Z$61,$Z$67) = 0, "", SUM($Z$5,$Z$22,$Z$56,$Z$61,$Z$67))))</f>
        <v>19591719</v>
      </c>
      <c r="AA4">
        <f ca="1">IF(ISERROR(IF(SUM($AA$5,$AA$22,$AA$56,$AA$61,$AA$67) = 0, "", SUM($AA$5,$AA$22,$AA$56,$AA$61,$AA$67))), "", (IF(SUM($AA$5,$AA$22,$AA$56,$AA$61,$AA$67) = 0, "", SUM($AA$5,$AA$22,$AA$56,$AA$61,$AA$67))))</f>
        <v>19584637</v>
      </c>
      <c r="AB4">
        <f ca="1">IF(ISERROR(IF(SUM($AB$5,$AB$22,$AB$56,$AB$61,$AB$67) = 0, "", SUM($AB$5,$AB$22,$AB$56,$AB$61,$AB$67))), "", (IF(SUM($AB$5,$AB$22,$AB$56,$AB$61,$AB$67) = 0, "", SUM($AB$5,$AB$22,$AB$56,$AB$61,$AB$67))))</f>
        <v>18608248</v>
      </c>
      <c r="AC4">
        <f ca="1">IF(ISERROR(IF(SUM($AC$5,$AC$22,$AC$56,$AC$61,$AC$67) = 0, "", SUM($AC$5,$AC$22,$AC$56,$AC$61,$AC$67))), "", (IF(SUM($AC$5,$AC$22,$AC$56,$AC$61,$AC$67) = 0, "", SUM($AC$5,$AC$22,$AC$56,$AC$61,$AC$67))))</f>
        <v>19388792</v>
      </c>
      <c r="AD4">
        <f ca="1">IF(ISERROR(IF(SUM($AD$5,$AD$22,$AD$56,$AD$61,$AD$67) = 0, "", SUM($AD$5,$AD$22,$AD$56,$AD$61,$AD$67))), "", (IF(SUM($AD$5,$AD$22,$AD$56,$AD$61,$AD$67) = 0, "", SUM($AD$5,$AD$22,$AD$56,$AD$61,$AD$67))))</f>
        <v>18742320</v>
      </c>
      <c r="AE4">
        <f ca="1">IF(ISERROR(IF(SUM($AE$5,$AE$22,$AE$56,$AE$61,$AE$67) = 0, "", SUM($AE$5,$AE$22,$AE$56,$AE$61,$AE$67))), "", (IF(SUM($AE$5,$AE$22,$AE$56,$AE$61,$AE$67) = 0, "", SUM($AE$5,$AE$22,$AE$56,$AE$61,$AE$67))))</f>
        <v>18223747</v>
      </c>
      <c r="AF4">
        <f ca="1">IF(ISERROR(IF(SUM($AF$5,$AF$22,$AF$56,$AF$61,$AF$67) = 0, "", SUM($AF$5,$AF$22,$AF$56,$AF$61,$AF$67))), "", (IF(SUM($AF$5,$AF$22,$AF$56,$AF$61,$AF$67) = 0, "", SUM($AF$5,$AF$22,$AF$56,$AF$61,$AF$67))))</f>
        <v>17616021</v>
      </c>
      <c r="AG4">
        <f ca="1">IF(ISERROR(IF(SUM($AG$5,$AG$22,$AG$56,$AG$61,$AG$67) = 0, "", SUM($AG$5,$AG$22,$AG$56,$AG$61,$AG$67))), "", (IF(SUM($AG$5,$AG$22,$AG$56,$AG$61,$AG$67) = 0, "", SUM($AG$5,$AG$22,$AG$56,$AG$61,$AG$67))))</f>
        <v>18631942</v>
      </c>
      <c r="AH4">
        <f ca="1">IF(ISERROR(IF(SUM($AH$5,$AH$22,$AH$56,$AH$61,$AH$67) = 0, "", SUM($AH$5,$AH$22,$AH$56,$AH$61,$AH$67))), "", (IF(SUM($AH$5,$AH$22,$AH$56,$AH$61,$AH$67) = 0, "", SUM($AH$5,$AH$22,$AH$56,$AH$61,$AH$67))))</f>
        <v>18218566</v>
      </c>
      <c r="AI4">
        <f ca="1">IF(ISERROR(IF(SUM($AI$5,$AI$22,$AI$56,$AI$61,$AI$67) = 0, "", SUM($AI$5,$AI$22,$AI$56,$AI$61,$AI$67))), "", (IF(SUM($AI$5,$AI$22,$AI$56,$AI$61,$AI$67) = 0, "", SUM($AI$5,$AI$22,$AI$56,$AI$61,$AI$67))))</f>
        <v>17268267.25</v>
      </c>
      <c r="AJ4">
        <f ca="1">IF(ISERROR(IF(SUM($AJ$5,$AJ$22,$AJ$56,$AJ$61,$AJ$67) = 0, "", SUM($AJ$5,$AJ$22,$AJ$56,$AJ$61,$AJ$67))), "", (IF(SUM($AJ$5,$AJ$22,$AJ$56,$AJ$61,$AJ$67) = 0, "", SUM($AJ$5,$AJ$22,$AJ$56,$AJ$61,$AJ$67))))</f>
        <v>16675125</v>
      </c>
      <c r="AK4">
        <f ca="1">IF(ISERROR(IF(SUM($AK$5,$AK$22,$AK$56,$AK$61,$AK$67) = 0, "", SUM($AK$5,$AK$22,$AK$56,$AK$61,$AK$67))), "", (IF(SUM($AK$5,$AK$22,$AK$56,$AK$61,$AK$67) = 0, "", SUM($AK$5,$AK$22,$AK$56,$AK$61,$AK$67))))</f>
        <v>16888620</v>
      </c>
      <c r="AL4">
        <f ca="1">IF(ISERROR(IF(SUM($AL$5,$AL$22,$AL$56,$AL$61,$AL$67) = 0, "", SUM($AL$5,$AL$22,$AL$56,$AL$61,$AL$67))), "", (IF(SUM($AL$5,$AL$22,$AL$56,$AL$61,$AL$67) = 0, "", SUM($AL$5,$AL$22,$AL$56,$AL$61,$AL$67))))</f>
        <v>17462650</v>
      </c>
      <c r="AM4">
        <f ca="1">IF(ISERROR(IF(SUM($AM$5,$AM$22,$AM$56,$AM$61,$AM$67) = 0, "", SUM($AM$5,$AM$22,$AM$56,$AM$61,$AM$67))), "", (IF(SUM($AM$5,$AM$22,$AM$56,$AM$61,$AM$67) = 0, "", SUM($AM$5,$AM$22,$AM$56,$AM$61,$AM$67))))</f>
        <v>16903196.75</v>
      </c>
      <c r="AN4">
        <f ca="1">IF(ISERROR(IF(SUM($AN$5,$AN$22,$AN$56,$AN$61,$AN$67) = 0, "", SUM($AN$5,$AN$22,$AN$56,$AN$61,$AN$67))), "", (IF(SUM($AN$5,$AN$22,$AN$56,$AN$61,$AN$67) = 0, "", SUM($AN$5,$AN$22,$AN$56,$AN$61,$AN$67))))</f>
        <v>16084298</v>
      </c>
      <c r="AO4">
        <f ca="1">IF(ISERROR(IF(SUM($AO$5,$AO$22,$AO$56,$AO$61,$AO$67) = 0, "", SUM($AO$5,$AO$22,$AO$56,$AO$61,$AO$67))), "", (IF(SUM($AO$5,$AO$22,$AO$56,$AO$61,$AO$67) = 0, "", SUM($AO$5,$AO$22,$AO$56,$AO$61,$AO$67))))</f>
        <v>16646796.25</v>
      </c>
      <c r="AP4">
        <f ca="1">IF(ISERROR(IF(SUM($AP$5,$AP$22,$AP$56,$AP$61,$AP$67) = 0, "", SUM($AP$5,$AP$22,$AP$56,$AP$61,$AP$67))), "", (IF(SUM($AP$5,$AP$22,$AP$56,$AP$61,$AP$67) = 0, "", SUM($AP$5,$AP$22,$AP$56,$AP$61,$AP$67))))</f>
        <v>16259152.1666667</v>
      </c>
      <c r="AQ4">
        <f ca="1">IF(ISERROR(IF(SUM($AQ$5,$AQ$22,$AQ$56,$AQ$61,$AQ$67) = 0, "", SUM($AQ$5,$AQ$22,$AQ$56,$AQ$61,$AQ$67))), "", (IF(SUM($AQ$5,$AQ$22,$AQ$56,$AQ$61,$AQ$67) = 0, "", SUM($AQ$5,$AQ$22,$AQ$56,$AQ$61,$AQ$67))))</f>
        <v>15265436</v>
      </c>
      <c r="AR4">
        <f ca="1">IF(ISERROR(IF(SUM($AR$5,$AR$22,$AR$56,$AR$61,$AR$67) = 0, "", SUM($AR$5,$AR$22,$AR$56,$AR$61,$AR$67))), "", (IF(SUM($AR$5,$AR$22,$AR$56,$AR$61,$AR$67) = 0, "", SUM($AR$5,$AR$22,$AR$56,$AR$61,$AR$67))))</f>
        <v>15069891</v>
      </c>
      <c r="AS4">
        <f ca="1">IF(ISERROR(IF(SUM($AS$5,$AS$22,$AS$56,$AS$61,$AS$67) = 0, "", SUM($AS$5,$AS$22,$AS$56,$AS$61,$AS$67))), "", (IF(SUM($AS$5,$AS$22,$AS$56,$AS$61,$AS$67) = 0, "", SUM($AS$5,$AS$22,$AS$56,$AS$61,$AS$67))))</f>
        <v>14631007</v>
      </c>
      <c r="AT4">
        <f ca="1">IF(ISERROR(IF(SUM($AT$5,$AT$22,$AT$56,$AT$61,$AT$67) = 0, "", SUM($AT$5,$AT$22,$AT$56,$AT$61,$AT$67))), "", (IF(SUM($AT$5,$AT$22,$AT$56,$AT$61,$AT$67) = 0, "", SUM($AT$5,$AT$22,$AT$56,$AT$61,$AT$67))))</f>
        <v>12791569</v>
      </c>
      <c r="AU4">
        <f ca="1">IF(ISERROR(IF(SUM($AU$5,$AU$22,$AU$56,$AU$61,$AU$67) = 0, "", SUM($AU$5,$AU$22,$AU$56,$AU$61,$AU$67))), "", (IF(SUM($AU$5,$AU$22,$AU$56,$AU$61,$AU$67) = 0, "", SUM($AU$5,$AU$22,$AU$56,$AU$61,$AU$67))))</f>
        <v>11876237</v>
      </c>
      <c r="AV4">
        <f ca="1">IF(ISERROR(IF(SUM($AV$5,$AV$22,$AV$56,$AV$61,$AV$67) = 0, "", SUM($AV$5,$AV$22,$AV$56,$AV$61,$AV$67))), "", (IF(SUM($AV$5,$AV$22,$AV$56,$AV$61,$AV$67) = 0, "", SUM($AV$5,$AV$22,$AV$56,$AV$61,$AV$67))))</f>
        <v>13900307</v>
      </c>
      <c r="AW4">
        <f ca="1">IF(ISERROR(IF(SUM($AW$5,$AW$22,$AW$56,$AW$61,$AW$67) = 0, "", SUM($AW$5,$AW$22,$AW$56,$AW$61,$AW$67))), "", (IF(SUM($AW$5,$AW$22,$AW$56,$AW$61,$AW$67) = 0, "", SUM($AW$5,$AW$22,$AW$56,$AW$61,$AW$67))))</f>
        <v>15946831</v>
      </c>
      <c r="AX4">
        <f ca="1">IF(ISERROR(IF(SUM($AX$5,$AX$22,$AX$56,$AX$61,$AX$67) = 0, "", SUM($AX$5,$AX$22,$AX$56,$AX$61,$AX$67))), "", (IF(SUM($AX$5,$AX$22,$AX$56,$AX$61,$AX$67) = 0, "", SUM($AX$5,$AX$22,$AX$56,$AX$61,$AX$67))))</f>
        <v>15474862</v>
      </c>
      <c r="AY4">
        <f ca="1">IF(ISERROR(IF(SUM($AY$5,$AY$22,$AY$56,$AY$61,$AY$67) = 0, "", SUM($AY$5,$AY$22,$AY$56,$AY$61,$AY$67))), "", (IF(SUM($AY$5,$AY$22,$AY$56,$AY$61,$AY$67) = 0, "", SUM($AY$5,$AY$22,$AY$56,$AY$61,$AY$67))))</f>
        <v>15055360</v>
      </c>
      <c r="AZ4">
        <f ca="1">IF(ISERROR(IF(SUM($AZ$5,$AZ$22,$AZ$56,$AZ$61,$AZ$67) = 0, "", SUM($AZ$5,$AZ$22,$AZ$56,$AZ$61,$AZ$67))), "", (IF(SUM($AZ$5,$AZ$22,$AZ$56,$AZ$61,$AZ$67) = 0, "", SUM($AZ$5,$AZ$22,$AZ$56,$AZ$61,$AZ$67))))</f>
        <v>14965933</v>
      </c>
      <c r="BA4">
        <f ca="1">IF(ISERROR(IF(SUM($BA$5,$BA$22,$BA$56,$BA$61,$BA$67) = 0, "", SUM($BA$5,$BA$22,$BA$56,$BA$61,$BA$67))), "", (IF(SUM($BA$5,$BA$22,$BA$56,$BA$61,$BA$67) = 0, "", SUM($BA$5,$BA$22,$BA$56,$BA$61,$BA$67))))</f>
        <v>15768706</v>
      </c>
      <c r="BB4">
        <f ca="1">IF(ISERROR(IF(SUM($BB$5,$BB$22,$BB$56,$BB$61,$BB$67) = 0, "", SUM($BB$5,$BB$22,$BB$56,$BB$61,$BB$67))), "", (IF(SUM($BB$5,$BB$22,$BB$56,$BB$61,$BB$67) = 0, "", SUM($BB$5,$BB$22,$BB$56,$BB$61,$BB$67))))</f>
        <v>15011834</v>
      </c>
      <c r="BC4">
        <f ca="1">IF(ISERROR(IF(SUM($BC$5,$BC$22,$BC$56,$BC$61,$BC$67) = 0, "", SUM($BC$5,$BC$22,$BC$56,$BC$61,$BC$67))), "", (IF(SUM($BC$5,$BC$22,$BC$56,$BC$61,$BC$67) = 0, "", SUM($BC$5,$BC$22,$BC$56,$BC$61,$BC$67))))</f>
        <v>14045895</v>
      </c>
      <c r="BD4">
        <f ca="1">IF(ISERROR(IF(SUM($BD$5,$BD$22,$BD$56,$BD$61,$BD$67) = 0, "", SUM($BD$5,$BD$22,$BD$56,$BD$61,$BD$67))), "", (IF(SUM($BD$5,$BD$22,$BD$56,$BD$61,$BD$67) = 0, "", SUM($BD$5,$BD$22,$BD$56,$BD$61,$BD$67))))</f>
        <v>14063631</v>
      </c>
      <c r="BE4">
        <f ca="1">IF(ISERROR(IF(SUM($BE$5,$BE$22,$BE$56,$BE$61,$BE$67) = 0, "", SUM($BE$5,$BE$22,$BE$56,$BE$61,$BE$67))), "", (IF(SUM($BE$5,$BE$22,$BE$56,$BE$61,$BE$67) = 0, "", SUM($BE$5,$BE$22,$BE$56,$BE$61,$BE$67))))</f>
        <v>14771147</v>
      </c>
      <c r="BF4">
        <f ca="1">IF(ISERROR(IF(SUM($BF$5,$BF$22,$BF$56,$BF$61,$BF$67) = 0, "", SUM($BF$5,$BF$22,$BF$56,$BF$61,$BF$67))), "", (IF(SUM($BF$5,$BF$22,$BF$56,$BF$61,$BF$67) = 0, "", SUM($BF$5,$BF$22,$BF$56,$BF$61,$BF$67))))</f>
        <v>14350131</v>
      </c>
      <c r="BG4">
        <f ca="1">IF(ISERROR(IF(SUM($BG$5,$BG$22,$BG$56,$BG$61,$BG$67) = 0, "", SUM($BG$5,$BG$22,$BG$56,$BG$61,$BG$67))), "", (IF(SUM($BG$5,$BG$22,$BG$56,$BG$61,$BG$67) = 0, "", SUM($BG$5,$BG$22,$BG$56,$BG$61,$BG$67))))</f>
        <v>13049800</v>
      </c>
      <c r="BH4">
        <f ca="1">IF(ISERROR(IF(SUM($BH$5,$BH$22,$BH$56,$BH$61,$BH$67) = 0, "", SUM($BH$5,$BH$22,$BH$56,$BH$61,$BH$67))), "", (IF(SUM($BH$5,$BH$22,$BH$56,$BH$61,$BH$67) = 0, "", SUM($BH$5,$BH$22,$BH$56,$BH$61,$BH$67))))</f>
        <v>13847413</v>
      </c>
      <c r="BI4">
        <f ca="1">IF(ISERROR(IF(SUM($BI$5,$BI$22,$BI$56,$BI$61,$BI$67) = 0, "", SUM($BI$5,$BI$22,$BI$56,$BI$61,$BI$67))), "", (IF(SUM($BI$5,$BI$22,$BI$56,$BI$61,$BI$67) = 0, "", SUM($BI$5,$BI$22,$BI$56,$BI$61,$BI$67))))</f>
        <v>14615928</v>
      </c>
      <c r="BJ4">
        <f ca="1">IF(ISERROR(IF(SUM($BJ$5,$BJ$22,$BJ$56,$BJ$61,$BJ$67) = 0, "", SUM($BJ$5,$BJ$22,$BJ$56,$BJ$61,$BJ$67))), "", (IF(SUM($BJ$5,$BJ$22,$BJ$56,$BJ$61,$BJ$67) = 0, "", SUM($BJ$5,$BJ$22,$BJ$56,$BJ$61,$BJ$67))))</f>
        <v>13479023</v>
      </c>
      <c r="BK4">
        <f ca="1">IF(ISERROR(IF(SUM($BK$5,$BK$22,$BK$56,$BK$61,$BK$67) = 0, "", SUM($BK$5,$BK$22,$BK$56,$BK$61,$BK$67))), "", (IF(SUM($BK$5,$BK$22,$BK$56,$BK$61,$BK$67) = 0, "", SUM($BK$5,$BK$22,$BK$56,$BK$61,$BK$67))))</f>
        <v>12916706</v>
      </c>
      <c r="BL4">
        <f ca="1">IF(ISERROR(IF(SUM($BL$5,$BL$22,$BL$56,$BL$61,$BL$67) = 0, "", SUM($BL$5,$BL$22,$BL$56,$BL$61,$BL$67))), "", (IF(SUM($BL$5,$BL$22,$BL$56,$BL$61,$BL$67) = 0, "", SUM($BL$5,$BL$22,$BL$56,$BL$61,$BL$67))))</f>
        <v>13011853</v>
      </c>
      <c r="BM4">
        <f ca="1">IF(ISERROR(IF(SUM($BM$5,$BM$22,$BM$56,$BM$61,$BM$67) = 0, "", SUM($BM$5,$BM$22,$BM$56,$BM$61,$BM$67))), "", (IF(SUM($BM$5,$BM$22,$BM$56,$BM$61,$BM$67) = 0, "", SUM($BM$5,$BM$22,$BM$56,$BM$61,$BM$67))))</f>
        <v>13654117</v>
      </c>
      <c r="BN4">
        <f>4839079</f>
        <v>4839079</v>
      </c>
      <c r="BO4">
        <f>16056166</f>
        <v>16056166</v>
      </c>
      <c r="BP4">
        <f>15085594</f>
        <v>15085594</v>
      </c>
      <c r="BQ4">
        <f>16374572</f>
        <v>16374572</v>
      </c>
      <c r="BR4">
        <f>20618349</f>
        <v>20618349</v>
      </c>
      <c r="BS4">
        <f>22125963</f>
        <v>22125963</v>
      </c>
      <c r="BT4">
        <f>20676218</f>
        <v>20676218</v>
      </c>
      <c r="BU4">
        <f>20961811</f>
        <v>20961811</v>
      </c>
      <c r="BV4">
        <f>21319971</f>
        <v>21319971</v>
      </c>
      <c r="BW4">
        <f>22693080</f>
        <v>22693080</v>
      </c>
      <c r="BX4">
        <f>20227384</f>
        <v>20227384</v>
      </c>
      <c r="BY4">
        <f>20771275</f>
        <v>20771275</v>
      </c>
      <c r="BZ4">
        <f>20267535</f>
        <v>20267535</v>
      </c>
      <c r="CA4">
        <f>21448110</f>
        <v>21448110</v>
      </c>
      <c r="CB4">
        <f>19015463</f>
        <v>19015463</v>
      </c>
      <c r="CC4">
        <f>19819643</f>
        <v>19819643</v>
      </c>
      <c r="CD4">
        <f>19800130</f>
        <v>19800130</v>
      </c>
      <c r="CE4">
        <f>20252621</f>
        <v>20252621</v>
      </c>
      <c r="CF4">
        <f>18901721</f>
        <v>18901721</v>
      </c>
      <c r="CG4">
        <f>19814916</f>
        <v>19814916</v>
      </c>
      <c r="CH4">
        <f>19591719</f>
        <v>19591719</v>
      </c>
      <c r="CI4">
        <f>19584637</f>
        <v>19584637</v>
      </c>
      <c r="CJ4">
        <f>18608248</f>
        <v>18608248</v>
      </c>
      <c r="CK4">
        <f>19388792</f>
        <v>19388792</v>
      </c>
      <c r="CL4">
        <f>18742320</f>
        <v>18742320</v>
      </c>
      <c r="CM4">
        <f>18223747</f>
        <v>18223747</v>
      </c>
      <c r="CN4">
        <f>17616021</f>
        <v>17616021</v>
      </c>
      <c r="CO4">
        <f>18631942</f>
        <v>18631942</v>
      </c>
      <c r="CP4">
        <f>18218566</f>
        <v>18218566</v>
      </c>
      <c r="CQ4">
        <f>17268267.25</f>
        <v>17268267.25</v>
      </c>
      <c r="CR4">
        <f>16675125</f>
        <v>16675125</v>
      </c>
      <c r="CS4">
        <f>16888620</f>
        <v>16888620</v>
      </c>
      <c r="CT4">
        <f>17462650</f>
        <v>17462650</v>
      </c>
      <c r="CU4">
        <f>16903196.75</f>
        <v>16903196.75</v>
      </c>
      <c r="CV4">
        <f>16084298</f>
        <v>16084298</v>
      </c>
      <c r="CW4">
        <f>16646796.25</f>
        <v>16646796.25</v>
      </c>
      <c r="CX4">
        <f>16259152.17</f>
        <v>16259152.17</v>
      </c>
      <c r="CY4">
        <f>15265436</f>
        <v>15265436</v>
      </c>
      <c r="CZ4">
        <f>15069891</f>
        <v>15069891</v>
      </c>
      <c r="DA4">
        <f>14631007</f>
        <v>14631007</v>
      </c>
      <c r="DB4">
        <f>12791569</f>
        <v>12791569</v>
      </c>
      <c r="DC4">
        <f>11876237</f>
        <v>11876237</v>
      </c>
      <c r="DD4">
        <f>13900307</f>
        <v>13900307</v>
      </c>
      <c r="DE4">
        <f>15946831</f>
        <v>15946831</v>
      </c>
      <c r="DF4">
        <f>15474862</f>
        <v>15474862</v>
      </c>
      <c r="DG4">
        <f>15055360</f>
        <v>15055360</v>
      </c>
      <c r="DH4">
        <f>14965933</f>
        <v>14965933</v>
      </c>
      <c r="DI4">
        <f>15768706</f>
        <v>15768706</v>
      </c>
      <c r="DJ4">
        <f>15011834</f>
        <v>15011834</v>
      </c>
      <c r="DK4">
        <f>14045895</f>
        <v>14045895</v>
      </c>
      <c r="DL4">
        <f>14063631</f>
        <v>14063631</v>
      </c>
      <c r="DM4">
        <f>14771147</f>
        <v>14771147</v>
      </c>
      <c r="DN4">
        <f>14350131</f>
        <v>14350131</v>
      </c>
      <c r="DO4">
        <f>13049800</f>
        <v>13049800</v>
      </c>
      <c r="DP4">
        <f>13847413</f>
        <v>13847413</v>
      </c>
      <c r="DQ4">
        <f>14615928</f>
        <v>14615928</v>
      </c>
      <c r="DR4">
        <f>13479023</f>
        <v>13479023</v>
      </c>
      <c r="DS4">
        <f>12916706</f>
        <v>12916706</v>
      </c>
      <c r="DT4">
        <f>13011853</f>
        <v>13011853</v>
      </c>
      <c r="DU4">
        <f>13654117</f>
        <v>13654117</v>
      </c>
    </row>
    <row r="5" spans="1:125" x14ac:dyDescent="0.25">
      <c r="A5" t="str">
        <f>"    Asia Pacific"</f>
        <v xml:space="preserve">    Asia Pacific</v>
      </c>
      <c r="B5" t="str">
        <f>"AUTMASBS Index"</f>
        <v>AUTMASBS Index</v>
      </c>
      <c r="E5" t="str">
        <f>"Sum"</f>
        <v>Sum</v>
      </c>
      <c r="F5">
        <f ca="1">IF(ISERROR(IF(SUM($F$6,$F$7,$F$8,$F$12,$F$13,$F$14,$F$15,$F$16,$F$17,$F$18,$F$19,$F$20,$F$21) = 0, "", SUM($F$6,$F$7,$F$8,$F$12,$F$13,$F$14,$F$15,$F$16,$F$17,$F$18,$F$19,$F$20,$F$21))), "", (IF(SUM($F$6,$F$7,$F$8,$F$12,$F$13,$F$14,$F$15,$F$16,$F$17,$F$18,$F$19,$F$20,$F$21) = 0, "", SUM($F$6,$F$7,$F$8,$F$12,$F$13,$F$14,$F$15,$F$16,$F$17,$F$18,$F$19,$F$20,$F$21))))</f>
        <v>3020556</v>
      </c>
      <c r="G5">
        <f ca="1">IF(ISERROR(IF(SUM($G$6,$G$7,$G$8,$G$12,$G$13,$G$14,$G$15,$G$16,$G$17,$G$18,$G$19,$G$20,$G$21) = 0, "", SUM($G$6,$G$7,$G$8,$G$12,$G$13,$G$14,$G$15,$G$16,$G$17,$G$18,$G$19,$G$20,$G$21))), "", (IF(SUM($G$6,$G$7,$G$8,$G$12,$G$13,$G$14,$G$15,$G$16,$G$17,$G$18,$G$19,$G$20,$G$21) = 0, "", SUM($G$6,$G$7,$G$8,$G$12,$G$13,$G$14,$G$15,$G$16,$G$17,$G$18,$G$19,$G$20,$G$21))))</f>
        <v>10208093</v>
      </c>
      <c r="H5">
        <f ca="1">IF(ISERROR(IF(SUM($H$6,$H$7,$H$8,$H$12,$H$13,$H$14,$H$15,$H$16,$H$17,$H$18,$H$19,$H$20,$H$21) = 0, "", SUM($H$6,$H$7,$H$8,$H$12,$H$13,$H$14,$H$15,$H$16,$H$17,$H$18,$H$19,$H$20,$H$21))), "", (IF(SUM($H$6,$H$7,$H$8,$H$12,$H$13,$H$14,$H$15,$H$16,$H$17,$H$18,$H$19,$H$20,$H$21) = 0, "", SUM($H$6,$H$7,$H$8,$H$12,$H$13,$H$14,$H$15,$H$16,$H$17,$H$18,$H$19,$H$20,$H$21))))</f>
        <v>8976171</v>
      </c>
      <c r="I5">
        <f ca="1">IF(ISERROR(IF(SUM($I$6,$I$7,$I$8,$I$12,$I$13,$I$14,$I$15,$I$16,$I$17,$I$18,$I$19,$I$20,$I$21) = 0, "", SUM($I$6,$I$7,$I$8,$I$12,$I$13,$I$14,$I$15,$I$16,$I$17,$I$18,$I$19,$I$20,$I$21))), "", (IF(SUM($I$6,$I$7,$I$8,$I$12,$I$13,$I$14,$I$15,$I$16,$I$17,$I$18,$I$19,$I$20,$I$21) = 0, "", SUM($I$6,$I$7,$I$8,$I$12,$I$13,$I$14,$I$15,$I$16,$I$17,$I$18,$I$19,$I$20,$I$21))))</f>
        <v>9372976</v>
      </c>
      <c r="J5">
        <f ca="1">IF(ISERROR(IF(SUM($J$6,$J$7,$J$8,$J$12,$J$13,$J$14,$J$15,$J$16,$J$17,$J$18,$J$19,$J$20,$J$21) = 0, "", SUM($J$6,$J$7,$J$8,$J$12,$J$13,$J$14,$J$15,$J$16,$J$17,$J$18,$J$19,$J$20,$J$21))), "", (IF(SUM($J$6,$J$7,$J$8,$J$12,$J$13,$J$14,$J$15,$J$16,$J$17,$J$18,$J$19,$J$20,$J$21) = 0, "", SUM($J$6,$J$7,$J$8,$J$12,$J$13,$J$14,$J$15,$J$16,$J$17,$J$18,$J$19,$J$20,$J$21))))</f>
        <v>9980596</v>
      </c>
      <c r="K5">
        <f ca="1">IF(ISERROR(IF(SUM($K$6,$K$7,$K$8,$K$12,$K$13,$K$14,$K$15,$K$16,$K$17,$K$18,$K$19,$K$20,$K$21) = 0, "", SUM($K$6,$K$7,$K$8,$K$12,$K$13,$K$14,$K$15,$K$16,$K$17,$K$18,$K$19,$K$20,$K$21))), "", (IF(SUM($K$6,$K$7,$K$8,$K$12,$K$13,$K$14,$K$15,$K$16,$K$17,$K$18,$K$19,$K$20,$K$21) = 0, "", SUM($K$6,$K$7,$K$8,$K$12,$K$13,$K$14,$K$15,$K$16,$K$17,$K$18,$K$19,$K$20,$K$21))))</f>
        <v>11421433</v>
      </c>
      <c r="L5">
        <f ca="1">IF(ISERROR(IF(SUM($L$6,$L$7,$L$8,$L$12,$L$13,$L$14,$L$15,$L$16,$L$17,$L$18,$L$19,$L$20,$L$21) = 0, "", SUM($L$6,$L$7,$L$8,$L$12,$L$13,$L$14,$L$15,$L$16,$L$17,$L$18,$L$19,$L$20,$L$21))), "", (IF(SUM($L$6,$L$7,$L$8,$L$12,$L$13,$L$14,$L$15,$L$16,$L$17,$L$18,$L$19,$L$20,$L$21) = 0, "", SUM($L$6,$L$7,$L$8,$L$12,$L$13,$L$14,$L$15,$L$16,$L$17,$L$18,$L$19,$L$20,$L$21))))</f>
        <v>10089613</v>
      </c>
      <c r="M5">
        <f ca="1">IF(ISERROR(IF(SUM($M$6,$M$7,$M$8,$M$12,$M$13,$M$14,$M$15,$M$16,$M$17,$M$18,$M$19,$M$20,$M$21) = 0, "", SUM($M$6,$M$7,$M$8,$M$12,$M$13,$M$14,$M$15,$M$16,$M$17,$M$18,$M$19,$M$20,$M$21))), "", (IF(SUM($M$6,$M$7,$M$8,$M$12,$M$13,$M$14,$M$15,$M$16,$M$17,$M$18,$M$19,$M$20,$M$21) = 0, "", SUM($M$6,$M$7,$M$8,$M$12,$M$13,$M$14,$M$15,$M$16,$M$17,$M$18,$M$19,$M$20,$M$21))))</f>
        <v>9843022</v>
      </c>
      <c r="N5">
        <f ca="1">IF(ISERROR(IF(SUM($N$6,$N$7,$N$8,$N$12,$N$13,$N$14,$N$15,$N$16,$N$17,$N$18,$N$19,$N$20,$N$21) = 0, "", SUM($N$6,$N$7,$N$8,$N$12,$N$13,$N$14,$N$15,$N$16,$N$17,$N$18,$N$19,$N$20,$N$21))), "", (IF(SUM($N$6,$N$7,$N$8,$N$12,$N$13,$N$14,$N$15,$N$16,$N$17,$N$18,$N$19,$N$20,$N$21) = 0, "", SUM($N$6,$N$7,$N$8,$N$12,$N$13,$N$14,$N$15,$N$16,$N$17,$N$18,$N$19,$N$20,$N$21))))</f>
        <v>10933748</v>
      </c>
      <c r="O5">
        <f ca="1">IF(ISERROR(IF(SUM($O$6,$O$7,$O$8,$O$12,$O$13,$O$14,$O$15,$O$16,$O$17,$O$18,$O$19,$O$20,$O$21) = 0, "", SUM($O$6,$O$7,$O$8,$O$12,$O$13,$O$14,$O$15,$O$16,$O$17,$O$18,$O$19,$O$20,$O$21))), "", (IF(SUM($O$6,$O$7,$O$8,$O$12,$O$13,$O$14,$O$15,$O$16,$O$17,$O$18,$O$19,$O$20,$O$21) = 0, "", SUM($O$6,$O$7,$O$8,$O$12,$O$13,$O$14,$O$15,$O$16,$O$17,$O$18,$O$19,$O$20,$O$21))))</f>
        <v>12211708</v>
      </c>
      <c r="P5">
        <f ca="1">IF(ISERROR(IF(SUM($P$6,$P$7,$P$8,$P$12,$P$13,$P$14,$P$15,$P$16,$P$17,$P$18,$P$19,$P$20,$P$21) = 0, "", SUM($P$6,$P$7,$P$8,$P$12,$P$13,$P$14,$P$15,$P$16,$P$17,$P$18,$P$19,$P$20,$P$21))), "", (IF(SUM($P$6,$P$7,$P$8,$P$12,$P$13,$P$14,$P$15,$P$16,$P$17,$P$18,$P$19,$P$20,$P$21) = 0, "", SUM($P$6,$P$7,$P$8,$P$12,$P$13,$P$14,$P$15,$P$16,$P$17,$P$18,$P$19,$P$20,$P$21))))</f>
        <v>9954796</v>
      </c>
      <c r="Q5">
        <f ca="1">IF(ISERROR(IF(SUM($Q$6,$Q$7,$Q$8,$Q$12,$Q$13,$Q$14,$Q$15,$Q$16,$Q$17,$Q$18,$Q$19,$Q$20,$Q$21) = 0, "", SUM($Q$6,$Q$7,$Q$8,$Q$12,$Q$13,$Q$14,$Q$15,$Q$16,$Q$17,$Q$18,$Q$19,$Q$20,$Q$21))), "", (IF(SUM($Q$6,$Q$7,$Q$8,$Q$12,$Q$13,$Q$14,$Q$15,$Q$16,$Q$17,$Q$18,$Q$19,$Q$20,$Q$21) = 0, "", SUM($Q$6,$Q$7,$Q$8,$Q$12,$Q$13,$Q$14,$Q$15,$Q$16,$Q$17,$Q$18,$Q$19,$Q$20,$Q$21))))</f>
        <v>9676095</v>
      </c>
      <c r="R5">
        <f ca="1">IF(ISERROR(IF(SUM($R$6,$R$7,$R$8,$R$12,$R$13,$R$14,$R$15,$R$16,$R$17,$R$18,$R$19,$R$20,$R$21) = 0, "", SUM($R$6,$R$7,$R$8,$R$12,$R$13,$R$14,$R$15,$R$16,$R$17,$R$18,$R$19,$R$20,$R$21))), "", (IF(SUM($R$6,$R$7,$R$8,$R$12,$R$13,$R$14,$R$15,$R$16,$R$17,$R$18,$R$19,$R$20,$R$21) = 0, "", SUM($R$6,$R$7,$R$8,$R$12,$R$13,$R$14,$R$15,$R$16,$R$17,$R$18,$R$19,$R$20,$R$21))))</f>
        <v>10191998</v>
      </c>
      <c r="S5">
        <f ca="1">IF(ISERROR(IF(SUM($S$6,$S$7,$S$8,$S$12,$S$13,$S$14,$S$15,$S$16,$S$17,$S$18,$S$19,$S$20,$S$21) = 0, "", SUM($S$6,$S$7,$S$8,$S$12,$S$13,$S$14,$S$15,$S$16,$S$17,$S$18,$S$19,$S$20,$S$21))), "", (IF(SUM($S$6,$S$7,$S$8,$S$12,$S$13,$S$14,$S$15,$S$16,$S$17,$S$18,$S$19,$S$20,$S$21) = 0, "", SUM($S$6,$S$7,$S$8,$S$12,$S$13,$S$14,$S$15,$S$16,$S$17,$S$18,$S$19,$S$20,$S$21))))</f>
        <v>11103225</v>
      </c>
      <c r="T5">
        <f ca="1">IF(ISERROR(IF(SUM($T$6,$T$7,$T$8,$T$12,$T$13,$T$14,$T$15,$T$16,$T$17,$T$18,$T$19,$T$20,$T$21) = 0, "", SUM($T$6,$T$7,$T$8,$T$12,$T$13,$T$14,$T$15,$T$16,$T$17,$T$18,$T$19,$T$20,$T$21))), "", (IF(SUM($T$6,$T$7,$T$8,$T$12,$T$13,$T$14,$T$15,$T$16,$T$17,$T$18,$T$19,$T$20,$T$21) = 0, "", SUM($T$6,$T$7,$T$8,$T$12,$T$13,$T$14,$T$15,$T$16,$T$17,$T$18,$T$19,$T$20,$T$21))))</f>
        <v>8622856</v>
      </c>
      <c r="U5">
        <f ca="1">IF(ISERROR(IF(SUM($U$6,$U$7,$U$8,$U$12,$U$13,$U$14,$U$15,$U$16,$U$17,$U$18,$U$19,$U$20,$U$21) = 0, "", SUM($U$6,$U$7,$U$8,$U$12,$U$13,$U$14,$U$15,$U$16,$U$17,$U$18,$U$19,$U$20,$U$21))), "", (IF(SUM($U$6,$U$7,$U$8,$U$12,$U$13,$U$14,$U$15,$U$16,$U$17,$U$18,$U$19,$U$20,$U$21) = 0, "", SUM($U$6,$U$7,$U$8,$U$12,$U$13,$U$14,$U$15,$U$16,$U$17,$U$18,$U$19,$U$20,$U$21))))</f>
        <v>8960536</v>
      </c>
      <c r="V5">
        <f ca="1">IF(ISERROR(IF(SUM($V$6,$V$7,$V$8,$V$12,$V$13,$V$14,$V$15,$V$16,$V$17,$V$18,$V$19,$V$20,$V$21) = 0, "", SUM($V$6,$V$7,$V$8,$V$12,$V$13,$V$14,$V$15,$V$16,$V$17,$V$18,$V$19,$V$20,$V$21))), "", (IF(SUM($V$6,$V$7,$V$8,$V$12,$V$13,$V$14,$V$15,$V$16,$V$17,$V$18,$V$19,$V$20,$V$21) = 0, "", SUM($V$6,$V$7,$V$8,$V$12,$V$13,$V$14,$V$15,$V$16,$V$17,$V$18,$V$19,$V$20,$V$21))))</f>
        <v>9964429</v>
      </c>
      <c r="W5">
        <f ca="1">IF(ISERROR(IF(SUM($W$6,$W$7,$W$8,$W$12,$W$13,$W$14,$W$15,$W$16,$W$17,$W$18,$W$19,$W$20,$W$21) = 0, "", SUM($W$6,$W$7,$W$8,$W$12,$W$13,$W$14,$W$15,$W$16,$W$17,$W$18,$W$19,$W$20,$W$21))), "", (IF(SUM($W$6,$W$7,$W$8,$W$12,$W$13,$W$14,$W$15,$W$16,$W$17,$W$18,$W$19,$W$20,$W$21) = 0, "", SUM($W$6,$W$7,$W$8,$W$12,$W$13,$W$14,$W$15,$W$16,$W$17,$W$18,$W$19,$W$20,$W$21))))</f>
        <v>9968076</v>
      </c>
      <c r="X5">
        <f ca="1">IF(ISERROR(IF(SUM($X$6,$X$7,$X$8,$X$12,$X$13,$X$14,$X$15,$X$16,$X$17,$X$18,$X$19,$X$20,$X$21) = 0, "", SUM($X$6,$X$7,$X$8,$X$12,$X$13,$X$14,$X$15,$X$16,$X$17,$X$18,$X$19,$X$20,$X$21))), "", (IF(SUM($X$6,$X$7,$X$8,$X$12,$X$13,$X$14,$X$15,$X$16,$X$17,$X$18,$X$19,$X$20,$X$21) = 0, "", SUM($X$6,$X$7,$X$8,$X$12,$X$13,$X$14,$X$15,$X$16,$X$17,$X$18,$X$19,$X$20,$X$21))))</f>
        <v>8750186</v>
      </c>
      <c r="Y5">
        <f ca="1">IF(ISERROR(IF(SUM($Y$6,$Y$7,$Y$8,$Y$12,$Y$13,$Y$14,$Y$15,$Y$16,$Y$17,$Y$18,$Y$19,$Y$20,$Y$21) = 0, "", SUM($Y$6,$Y$7,$Y$8,$Y$12,$Y$13,$Y$14,$Y$15,$Y$16,$Y$17,$Y$18,$Y$19,$Y$20,$Y$21))), "", (IF(SUM($Y$6,$Y$7,$Y$8,$Y$12,$Y$13,$Y$14,$Y$15,$Y$16,$Y$17,$Y$18,$Y$19,$Y$20,$Y$21) = 0, "", SUM($Y$6,$Y$7,$Y$8,$Y$12,$Y$13,$Y$14,$Y$15,$Y$16,$Y$17,$Y$18,$Y$19,$Y$20,$Y$21))))</f>
        <v>9096319</v>
      </c>
      <c r="Z5">
        <f ca="1">IF(ISERROR(IF(SUM($Z$6,$Z$7,$Z$8,$Z$12,$Z$13,$Z$14,$Z$15,$Z$16,$Z$17,$Z$18,$Z$19,$Z$20,$Z$21) = 0, "", SUM($Z$6,$Z$7,$Z$8,$Z$12,$Z$13,$Z$14,$Z$15,$Z$16,$Z$17,$Z$18,$Z$19,$Z$20,$Z$21))), "", (IF(SUM($Z$6,$Z$7,$Z$8,$Z$12,$Z$13,$Z$14,$Z$15,$Z$16,$Z$17,$Z$18,$Z$19,$Z$20,$Z$21) = 0, "", SUM($Z$6,$Z$7,$Z$8,$Z$12,$Z$13,$Z$14,$Z$15,$Z$16,$Z$17,$Z$18,$Z$19,$Z$20,$Z$21))))</f>
        <v>9957352</v>
      </c>
      <c r="AA5">
        <f ca="1">IF(ISERROR(IF(SUM($AA$6,$AA$7,$AA$8,$AA$12,$AA$13,$AA$14,$AA$15,$AA$16,$AA$17,$AA$18,$AA$19,$AA$20,$AA$21) = 0, "", SUM($AA$6,$AA$7,$AA$8,$AA$12,$AA$13,$AA$14,$AA$15,$AA$16,$AA$17,$AA$18,$AA$19,$AA$20,$AA$21))), "", (IF(SUM($AA$6,$AA$7,$AA$8,$AA$12,$AA$13,$AA$14,$AA$15,$AA$16,$AA$17,$AA$18,$AA$19,$AA$20,$AA$21) = 0, "", SUM($AA$6,$AA$7,$AA$8,$AA$12,$AA$13,$AA$14,$AA$15,$AA$16,$AA$17,$AA$18,$AA$19,$AA$20,$AA$21))))</f>
        <v>9640834</v>
      </c>
      <c r="AB5">
        <f ca="1">IF(ISERROR(IF(SUM($AB$6,$AB$7,$AB$8,$AB$12,$AB$13,$AB$14,$AB$15,$AB$16,$AB$17,$AB$18,$AB$19,$AB$20,$AB$21) = 0, "", SUM($AB$6,$AB$7,$AB$8,$AB$12,$AB$13,$AB$14,$AB$15,$AB$16,$AB$17,$AB$18,$AB$19,$AB$20,$AB$21))), "", (IF(SUM($AB$6,$AB$7,$AB$8,$AB$12,$AB$13,$AB$14,$AB$15,$AB$16,$AB$17,$AB$18,$AB$19,$AB$20,$AB$21) = 0, "", SUM($AB$6,$AB$7,$AB$8,$AB$12,$AB$13,$AB$14,$AB$15,$AB$16,$AB$17,$AB$18,$AB$19,$AB$20,$AB$21))))</f>
        <v>8609895</v>
      </c>
      <c r="AC5">
        <f ca="1">IF(ISERROR(IF(SUM($AC$6,$AC$7,$AC$8,$AC$12,$AC$13,$AC$14,$AC$15,$AC$16,$AC$17,$AC$18,$AC$19,$AC$20,$AC$21) = 0, "", SUM($AC$6,$AC$7,$AC$8,$AC$12,$AC$13,$AC$14,$AC$15,$AC$16,$AC$17,$AC$18,$AC$19,$AC$20,$AC$21))), "", (IF(SUM($AC$6,$AC$7,$AC$8,$AC$12,$AC$13,$AC$14,$AC$15,$AC$16,$AC$17,$AC$18,$AC$19,$AC$20,$AC$21) = 0, "", SUM($AC$6,$AC$7,$AC$8,$AC$12,$AC$13,$AC$14,$AC$15,$AC$16,$AC$17,$AC$18,$AC$19,$AC$20,$AC$21))))</f>
        <v>8728294</v>
      </c>
      <c r="AD5">
        <f ca="1">IF(ISERROR(IF(SUM($AD$6,$AD$7,$AD$8,$AD$12,$AD$13,$AD$14,$AD$15,$AD$16,$AD$17,$AD$18,$AD$19,$AD$20,$AD$21) = 0, "", SUM($AD$6,$AD$7,$AD$8,$AD$12,$AD$13,$AD$14,$AD$15,$AD$16,$AD$17,$AD$18,$AD$19,$AD$20,$AD$21))), "", (IF(SUM($AD$6,$AD$7,$AD$8,$AD$12,$AD$13,$AD$14,$AD$15,$AD$16,$AD$17,$AD$18,$AD$19,$AD$20,$AD$21) = 0, "", SUM($AD$6,$AD$7,$AD$8,$AD$12,$AD$13,$AD$14,$AD$15,$AD$16,$AD$17,$AD$18,$AD$19,$AD$20,$AD$21))))</f>
        <v>9300785</v>
      </c>
      <c r="AE5">
        <f ca="1">IF(ISERROR(IF(SUM($AE$6,$AE$7,$AE$8,$AE$12,$AE$13,$AE$14,$AE$15,$AE$16,$AE$17,$AE$18,$AE$19,$AE$20,$AE$21) = 0, "", SUM($AE$6,$AE$7,$AE$8,$AE$12,$AE$13,$AE$14,$AE$15,$AE$16,$AE$17,$AE$18,$AE$19,$AE$20,$AE$21))), "", (IF(SUM($AE$6,$AE$7,$AE$8,$AE$12,$AE$13,$AE$14,$AE$15,$AE$16,$AE$17,$AE$18,$AE$19,$AE$20,$AE$21) = 0, "", SUM($AE$6,$AE$7,$AE$8,$AE$12,$AE$13,$AE$14,$AE$15,$AE$16,$AE$17,$AE$18,$AE$19,$AE$20,$AE$21))))</f>
        <v>8697151</v>
      </c>
      <c r="AF5">
        <f ca="1">IF(ISERROR(IF(SUM($AF$6,$AF$7,$AF$8,$AF$12,$AF$13,$AF$14,$AF$15,$AF$16,$AF$17,$AF$18,$AF$19,$AF$20,$AF$21) = 0, "", SUM($AF$6,$AF$7,$AF$8,$AF$12,$AF$13,$AF$14,$AF$15,$AF$16,$AF$17,$AF$18,$AF$19,$AF$20,$AF$21))), "", (IF(SUM($AF$6,$AF$7,$AF$8,$AF$12,$AF$13,$AF$14,$AF$15,$AF$16,$AF$17,$AF$18,$AF$19,$AF$20,$AF$21) = 0, "", SUM($AF$6,$AF$7,$AF$8,$AF$12,$AF$13,$AF$14,$AF$15,$AF$16,$AF$17,$AF$18,$AF$19,$AF$20,$AF$21))))</f>
        <v>8002813</v>
      </c>
      <c r="AG5">
        <f ca="1">IF(ISERROR(IF(SUM($AG$6,$AG$7,$AG$8,$AG$12,$AG$13,$AG$14,$AG$15,$AG$16,$AG$17,$AG$18,$AG$19,$AG$20,$AG$21) = 0, "", SUM($AG$6,$AG$7,$AG$8,$AG$12,$AG$13,$AG$14,$AG$15,$AG$16,$AG$17,$AG$18,$AG$19,$AG$20,$AG$21))), "", (IF(SUM($AG$6,$AG$7,$AG$8,$AG$12,$AG$13,$AG$14,$AG$15,$AG$16,$AG$17,$AG$18,$AG$19,$AG$20,$AG$21) = 0, "", SUM($AG$6,$AG$7,$AG$8,$AG$12,$AG$13,$AG$14,$AG$15,$AG$16,$AG$17,$AG$18,$AG$19,$AG$20,$AG$21))))</f>
        <v>8287520</v>
      </c>
      <c r="AH5">
        <f ca="1">IF(ISERROR(IF(SUM($AH$6,$AH$7,$AH$8,$AH$12,$AH$13,$AH$14,$AH$15,$AH$16,$AH$17,$AH$18,$AH$19,$AH$20,$AH$21) = 0, "", SUM($AH$6,$AH$7,$AH$8,$AH$12,$AH$13,$AH$14,$AH$15,$AH$16,$AH$17,$AH$18,$AH$19,$AH$20,$AH$21))), "", (IF(SUM($AH$6,$AH$7,$AH$8,$AH$12,$AH$13,$AH$14,$AH$15,$AH$16,$AH$17,$AH$18,$AH$19,$AH$20,$AH$21) = 0, "", SUM($AH$6,$AH$7,$AH$8,$AH$12,$AH$13,$AH$14,$AH$15,$AH$16,$AH$17,$AH$18,$AH$19,$AH$20,$AH$21))))</f>
        <v>8721760</v>
      </c>
      <c r="AI5">
        <f ca="1">IF(ISERROR(IF(SUM($AI$6,$AI$7,$AI$8,$AI$12,$AI$13,$AI$14,$AI$15,$AI$16,$AI$17,$AI$18,$AI$19,$AI$20,$AI$21) = 0, "", SUM($AI$6,$AI$7,$AI$8,$AI$12,$AI$13,$AI$14,$AI$15,$AI$16,$AI$17,$AI$18,$AI$19,$AI$20,$AI$21))), "", (IF(SUM($AI$6,$AI$7,$AI$8,$AI$12,$AI$13,$AI$14,$AI$15,$AI$16,$AI$17,$AI$18,$AI$19,$AI$20,$AI$21) = 0, "", SUM($AI$6,$AI$7,$AI$8,$AI$12,$AI$13,$AI$14,$AI$15,$AI$16,$AI$17,$AI$18,$AI$19,$AI$20,$AI$21))))</f>
        <v>7884329</v>
      </c>
      <c r="AJ5">
        <f ca="1">IF(ISERROR(IF(SUM($AJ$6,$AJ$7,$AJ$8,$AJ$12,$AJ$13,$AJ$14,$AJ$15,$AJ$16,$AJ$17,$AJ$18,$AJ$19,$AJ$20,$AJ$21) = 0, "", SUM($AJ$6,$AJ$7,$AJ$8,$AJ$12,$AJ$13,$AJ$14,$AJ$15,$AJ$16,$AJ$17,$AJ$18,$AJ$19,$AJ$20,$AJ$21))), "", (IF(SUM($AJ$6,$AJ$7,$AJ$8,$AJ$12,$AJ$13,$AJ$14,$AJ$15,$AJ$16,$AJ$17,$AJ$18,$AJ$19,$AJ$20,$AJ$21) = 0, "", SUM($AJ$6,$AJ$7,$AJ$8,$AJ$12,$AJ$13,$AJ$14,$AJ$15,$AJ$16,$AJ$17,$AJ$18,$AJ$19,$AJ$20,$AJ$21))))</f>
        <v>7476349</v>
      </c>
      <c r="AK5">
        <f ca="1">IF(ISERROR(IF(SUM($AK$6,$AK$7,$AK$8,$AK$12,$AK$13,$AK$14,$AK$15,$AK$16,$AK$17,$AK$18,$AK$19,$AK$20,$AK$21) = 0, "", SUM($AK$6,$AK$7,$AK$8,$AK$12,$AK$13,$AK$14,$AK$15,$AK$16,$AK$17,$AK$18,$AK$19,$AK$20,$AK$21))), "", (IF(SUM($AK$6,$AK$7,$AK$8,$AK$12,$AK$13,$AK$14,$AK$15,$AK$16,$AK$17,$AK$18,$AK$19,$AK$20,$AK$21) = 0, "", SUM($AK$6,$AK$7,$AK$8,$AK$12,$AK$13,$AK$14,$AK$15,$AK$16,$AK$17,$AK$18,$AK$19,$AK$20,$AK$21))))</f>
        <v>7012667</v>
      </c>
      <c r="AL5">
        <f ca="1">IF(ISERROR(IF(SUM($AL$6,$AL$7,$AL$8,$AL$12,$AL$13,$AL$14,$AL$15,$AL$16,$AL$17,$AL$18,$AL$19,$AL$20,$AL$21) = 0, "", SUM($AL$6,$AL$7,$AL$8,$AL$12,$AL$13,$AL$14,$AL$15,$AL$16,$AL$17,$AL$18,$AL$19,$AL$20,$AL$21))), "", (IF(SUM($AL$6,$AL$7,$AL$8,$AL$12,$AL$13,$AL$14,$AL$15,$AL$16,$AL$17,$AL$18,$AL$19,$AL$20,$AL$21) = 0, "", SUM($AL$6,$AL$7,$AL$8,$AL$12,$AL$13,$AL$14,$AL$15,$AL$16,$AL$17,$AL$18,$AL$19,$AL$20,$AL$21))))</f>
        <v>8250135</v>
      </c>
      <c r="AM5">
        <f ca="1">IF(ISERROR(IF(SUM($AM$6,$AM$7,$AM$8,$AM$12,$AM$13,$AM$14,$AM$15,$AM$16,$AM$17,$AM$18,$AM$19,$AM$20,$AM$21) = 0, "", SUM($AM$6,$AM$7,$AM$8,$AM$12,$AM$13,$AM$14,$AM$15,$AM$16,$AM$17,$AM$18,$AM$19,$AM$20,$AM$21))), "", (IF(SUM($AM$6,$AM$7,$AM$8,$AM$12,$AM$13,$AM$14,$AM$15,$AM$16,$AM$17,$AM$18,$AM$19,$AM$20,$AM$21) = 0, "", SUM($AM$6,$AM$7,$AM$8,$AM$12,$AM$13,$AM$14,$AM$15,$AM$16,$AM$17,$AM$18,$AM$19,$AM$20,$AM$21))))</f>
        <v>7847239</v>
      </c>
      <c r="AN5">
        <f ca="1">IF(ISERROR(IF(SUM($AN$6,$AN$7,$AN$8,$AN$12,$AN$13,$AN$14,$AN$15,$AN$16,$AN$17,$AN$18,$AN$19,$AN$20,$AN$21) = 0, "", SUM($AN$6,$AN$7,$AN$8,$AN$12,$AN$13,$AN$14,$AN$15,$AN$16,$AN$17,$AN$18,$AN$19,$AN$20,$AN$21))), "", (IF(SUM($AN$6,$AN$7,$AN$8,$AN$12,$AN$13,$AN$14,$AN$15,$AN$16,$AN$17,$AN$18,$AN$19,$AN$20,$AN$21) = 0, "", SUM($AN$6,$AN$7,$AN$8,$AN$12,$AN$13,$AN$14,$AN$15,$AN$16,$AN$17,$AN$18,$AN$19,$AN$20,$AN$21))))</f>
        <v>7410425</v>
      </c>
      <c r="AO5">
        <f ca="1">IF(ISERROR(IF(SUM($AO$6,$AO$7,$AO$8,$AO$12,$AO$13,$AO$14,$AO$15,$AO$16,$AO$17,$AO$18,$AO$19,$AO$20,$AO$21) = 0, "", SUM($AO$6,$AO$7,$AO$8,$AO$12,$AO$13,$AO$14,$AO$15,$AO$16,$AO$17,$AO$18,$AO$19,$AO$20,$AO$21))), "", (IF(SUM($AO$6,$AO$7,$AO$8,$AO$12,$AO$13,$AO$14,$AO$15,$AO$16,$AO$17,$AO$18,$AO$19,$AO$20,$AO$21) = 0, "", SUM($AO$6,$AO$7,$AO$8,$AO$12,$AO$13,$AO$14,$AO$15,$AO$16,$AO$17,$AO$18,$AO$19,$AO$20,$AO$21))))</f>
        <v>7433120</v>
      </c>
      <c r="AP5">
        <f ca="1">IF(ISERROR(IF(SUM($AP$6,$AP$7,$AP$8,$AP$12,$AP$13,$AP$14,$AP$15,$AP$16,$AP$17,$AP$18,$AP$19,$AP$20,$AP$21) = 0, "", SUM($AP$6,$AP$7,$AP$8,$AP$12,$AP$13,$AP$14,$AP$15,$AP$16,$AP$17,$AP$18,$AP$19,$AP$20,$AP$21))), "", (IF(SUM($AP$6,$AP$7,$AP$8,$AP$12,$AP$13,$AP$14,$AP$15,$AP$16,$AP$17,$AP$18,$AP$19,$AP$20,$AP$21) = 0, "", SUM($AP$6,$AP$7,$AP$8,$AP$12,$AP$13,$AP$14,$AP$15,$AP$16,$AP$17,$AP$18,$AP$19,$AP$20,$AP$21))))</f>
        <v>7923312</v>
      </c>
      <c r="AQ5">
        <f ca="1">IF(ISERROR(IF(SUM($AQ$6,$AQ$7,$AQ$8,$AQ$12,$AQ$13,$AQ$14,$AQ$15,$AQ$16,$AQ$17,$AQ$18,$AQ$19,$AQ$20,$AQ$21) = 0, "", SUM($AQ$6,$AQ$7,$AQ$8,$AQ$12,$AQ$13,$AQ$14,$AQ$15,$AQ$16,$AQ$17,$AQ$18,$AQ$19,$AQ$20,$AQ$21))), "", (IF(SUM($AQ$6,$AQ$7,$AQ$8,$AQ$12,$AQ$13,$AQ$14,$AQ$15,$AQ$16,$AQ$17,$AQ$18,$AQ$19,$AQ$20,$AQ$21) = 0, "", SUM($AQ$6,$AQ$7,$AQ$8,$AQ$12,$AQ$13,$AQ$14,$AQ$15,$AQ$16,$AQ$17,$AQ$18,$AQ$19,$AQ$20,$AQ$21))))</f>
        <v>6964713</v>
      </c>
      <c r="AR5">
        <f ca="1">IF(ISERROR(IF(SUM($AR$6,$AR$7,$AR$8,$AR$12,$AR$13,$AR$14,$AR$15,$AR$16,$AR$17,$AR$18,$AR$19,$AR$20,$AR$21) = 0, "", SUM($AR$6,$AR$7,$AR$8,$AR$12,$AR$13,$AR$14,$AR$15,$AR$16,$AR$17,$AR$18,$AR$19,$AR$20,$AR$21))), "", (IF(SUM($AR$6,$AR$7,$AR$8,$AR$12,$AR$13,$AR$14,$AR$15,$AR$16,$AR$17,$AR$18,$AR$19,$AR$20,$AR$21) = 0, "", SUM($AR$6,$AR$7,$AR$8,$AR$12,$AR$13,$AR$14,$AR$15,$AR$16,$AR$17,$AR$18,$AR$19,$AR$20,$AR$21))))</f>
        <v>6349351</v>
      </c>
      <c r="AS5">
        <f ca="1">IF(ISERROR(IF(SUM($AS$6,$AS$7,$AS$8,$AS$12,$AS$13,$AS$14,$AS$15,$AS$16,$AS$17,$AS$18,$AS$19,$AS$20,$AS$21) = 0, "", SUM($AS$6,$AS$7,$AS$8,$AS$12,$AS$13,$AS$14,$AS$15,$AS$16,$AS$17,$AS$18,$AS$19,$AS$20,$AS$21))), "", (IF(SUM($AS$6,$AS$7,$AS$8,$AS$12,$AS$13,$AS$14,$AS$15,$AS$16,$AS$17,$AS$18,$AS$19,$AS$20,$AS$21) = 0, "", SUM($AS$6,$AS$7,$AS$8,$AS$12,$AS$13,$AS$14,$AS$15,$AS$16,$AS$17,$AS$18,$AS$19,$AS$20,$AS$21))))</f>
        <v>5853651</v>
      </c>
      <c r="AT5">
        <f ca="1">IF(ISERROR(IF(SUM($AT$6,$AT$7,$AT$8,$AT$12,$AT$13,$AT$14,$AT$15,$AT$16,$AT$17,$AT$18,$AT$19,$AT$20,$AT$21) = 0, "", SUM($AT$6,$AT$7,$AT$8,$AT$12,$AT$13,$AT$14,$AT$15,$AT$16,$AT$17,$AT$18,$AT$19,$AT$20,$AT$21))), "", (IF(SUM($AT$6,$AT$7,$AT$8,$AT$12,$AT$13,$AT$14,$AT$15,$AT$16,$AT$17,$AT$18,$AT$19,$AT$20,$AT$21) = 0, "", SUM($AT$6,$AT$7,$AT$8,$AT$12,$AT$13,$AT$14,$AT$15,$AT$16,$AT$17,$AT$18,$AT$19,$AT$20,$AT$21))))</f>
        <v>5249699</v>
      </c>
      <c r="AU5">
        <f ca="1">IF(ISERROR(IF(SUM($AU$6,$AU$7,$AU$8,$AU$12,$AU$13,$AU$14,$AU$15,$AU$16,$AU$17,$AU$18,$AU$19,$AU$20,$AU$21) = 0, "", SUM($AU$6,$AU$7,$AU$8,$AU$12,$AU$13,$AU$14,$AU$15,$AU$16,$AU$17,$AU$18,$AU$19,$AU$20,$AU$21))), "", (IF(SUM($AU$6,$AU$7,$AU$8,$AU$12,$AU$13,$AU$14,$AU$15,$AU$16,$AU$17,$AU$18,$AU$19,$AU$20,$AU$21) = 0, "", SUM($AU$6,$AU$7,$AU$8,$AU$12,$AU$13,$AU$14,$AU$15,$AU$16,$AU$17,$AU$18,$AU$19,$AU$20,$AU$21))))</f>
        <v>4455081</v>
      </c>
      <c r="AV5">
        <f ca="1">IF(ISERROR(IF(SUM($AV$6,$AV$7,$AV$8,$AV$12,$AV$13,$AV$14,$AV$15,$AV$16,$AV$17,$AV$18,$AV$19,$AV$20,$AV$21) = 0, "", SUM($AV$6,$AV$7,$AV$8,$AV$12,$AV$13,$AV$14,$AV$15,$AV$16,$AV$17,$AV$18,$AV$19,$AV$20,$AV$21))), "", (IF(SUM($AV$6,$AV$7,$AV$8,$AV$12,$AV$13,$AV$14,$AV$15,$AV$16,$AV$17,$AV$18,$AV$19,$AV$20,$AV$21) = 0, "", SUM($AV$6,$AV$7,$AV$8,$AV$12,$AV$13,$AV$14,$AV$15,$AV$16,$AV$17,$AV$18,$AV$19,$AV$20,$AV$21))))</f>
        <v>4658156</v>
      </c>
      <c r="AW5">
        <f ca="1">IF(ISERROR(IF(SUM($AW$6,$AW$7,$AW$8,$AW$12,$AW$13,$AW$14,$AW$15,$AW$16,$AW$17,$AW$18,$AW$19,$AW$20,$AW$21) = 0, "", SUM($AW$6,$AW$7,$AW$8,$AW$12,$AW$13,$AW$14,$AW$15,$AW$16,$AW$17,$AW$18,$AW$19,$AW$20,$AW$21))), "", (IF(SUM($AW$6,$AW$7,$AW$8,$AW$12,$AW$13,$AW$14,$AW$15,$AW$16,$AW$17,$AW$18,$AW$19,$AW$20,$AW$21) = 0, "", SUM($AW$6,$AW$7,$AW$8,$AW$12,$AW$13,$AW$14,$AW$15,$AW$16,$AW$17,$AW$18,$AW$19,$AW$20,$AW$21))))</f>
        <v>5264939</v>
      </c>
      <c r="AX5">
        <f ca="1">IF(ISERROR(IF(SUM($AX$6,$AX$7,$AX$8,$AX$12,$AX$13,$AX$14,$AX$15,$AX$16,$AX$17,$AX$18,$AX$19,$AX$20,$AX$21) = 0, "", SUM($AX$6,$AX$7,$AX$8,$AX$12,$AX$13,$AX$14,$AX$15,$AX$16,$AX$17,$AX$18,$AX$19,$AX$20,$AX$21))), "", (IF(SUM($AX$6,$AX$7,$AX$8,$AX$12,$AX$13,$AX$14,$AX$15,$AX$16,$AX$17,$AX$18,$AX$19,$AX$20,$AX$21) = 0, "", SUM($AX$6,$AX$7,$AX$8,$AX$12,$AX$13,$AX$14,$AX$15,$AX$16,$AX$17,$AX$18,$AX$19,$AX$20,$AX$21))))</f>
        <v>5669690</v>
      </c>
      <c r="AY5">
        <f ca="1">IF(ISERROR(IF(SUM($AY$6,$AY$7,$AY$8,$AY$12,$AY$13,$AY$14,$AY$15,$AY$16,$AY$17,$AY$18,$AY$19,$AY$20,$AY$21) = 0, "", SUM($AY$6,$AY$7,$AY$8,$AY$12,$AY$13,$AY$14,$AY$15,$AY$16,$AY$17,$AY$18,$AY$19,$AY$20,$AY$21))), "", (IF(SUM($AY$6,$AY$7,$AY$8,$AY$12,$AY$13,$AY$14,$AY$15,$AY$16,$AY$17,$AY$18,$AY$19,$AY$20,$AY$21) = 0, "", SUM($AY$6,$AY$7,$AY$8,$AY$12,$AY$13,$AY$14,$AY$15,$AY$16,$AY$17,$AY$18,$AY$19,$AY$20,$AY$21))))</f>
        <v>5017193</v>
      </c>
      <c r="AZ5">
        <f ca="1">IF(ISERROR(IF(SUM($AZ$6,$AZ$7,$AZ$8,$AZ$12,$AZ$13,$AZ$14,$AZ$15,$AZ$16,$AZ$17,$AZ$18,$AZ$19,$AZ$20,$AZ$21) = 0, "", SUM($AZ$6,$AZ$7,$AZ$8,$AZ$12,$AZ$13,$AZ$14,$AZ$15,$AZ$16,$AZ$17,$AZ$18,$AZ$19,$AZ$20,$AZ$21))), "", (IF(SUM($AZ$6,$AZ$7,$AZ$8,$AZ$12,$AZ$13,$AZ$14,$AZ$15,$AZ$16,$AZ$17,$AZ$18,$AZ$19,$AZ$20,$AZ$21) = 0, "", SUM($AZ$6,$AZ$7,$AZ$8,$AZ$12,$AZ$13,$AZ$14,$AZ$15,$AZ$16,$AZ$17,$AZ$18,$AZ$19,$AZ$20,$AZ$21))))</f>
        <v>4784857</v>
      </c>
      <c r="BA5">
        <f ca="1">IF(ISERROR(IF(SUM($BA$6,$BA$7,$BA$8,$BA$12,$BA$13,$BA$14,$BA$15,$BA$16,$BA$17,$BA$18,$BA$19,$BA$20,$BA$21) = 0, "", SUM($BA$6,$BA$7,$BA$8,$BA$12,$BA$13,$BA$14,$BA$15,$BA$16,$BA$17,$BA$18,$BA$19,$BA$20,$BA$21))), "", (IF(SUM($BA$6,$BA$7,$BA$8,$BA$12,$BA$13,$BA$14,$BA$15,$BA$16,$BA$17,$BA$18,$BA$19,$BA$20,$BA$21) = 0, "", SUM($BA$6,$BA$7,$BA$8,$BA$12,$BA$13,$BA$14,$BA$15,$BA$16,$BA$17,$BA$18,$BA$19,$BA$20,$BA$21))))</f>
        <v>4830563</v>
      </c>
      <c r="BB5">
        <f ca="1">IF(ISERROR(IF(SUM($BB$6,$BB$7,$BB$8,$BB$12,$BB$13,$BB$14,$BB$15,$BB$16,$BB$17,$BB$18,$BB$19,$BB$20,$BB$21) = 0, "", SUM($BB$6,$BB$7,$BB$8,$BB$12,$BB$13,$BB$14,$BB$15,$BB$16,$BB$17,$BB$18,$BB$19,$BB$20,$BB$21))), "", (IF(SUM($BB$6,$BB$7,$BB$8,$BB$12,$BB$13,$BB$14,$BB$15,$BB$16,$BB$17,$BB$18,$BB$19,$BB$20,$BB$21) = 0, "", SUM($BB$6,$BB$7,$BB$8,$BB$12,$BB$13,$BB$14,$BB$15,$BB$16,$BB$17,$BB$18,$BB$19,$BB$20,$BB$21))))</f>
        <v>5097224</v>
      </c>
      <c r="BC5">
        <f ca="1">IF(ISERROR(IF(SUM($BC$6,$BC$7,$BC$8,$BC$12,$BC$13,$BC$14,$BC$15,$BC$16,$BC$17,$BC$18,$BC$19,$BC$20,$BC$21) = 0, "", SUM($BC$6,$BC$7,$BC$8,$BC$12,$BC$13,$BC$14,$BC$15,$BC$16,$BC$17,$BC$18,$BC$19,$BC$20,$BC$21))), "", (IF(SUM($BC$6,$BC$7,$BC$8,$BC$12,$BC$13,$BC$14,$BC$15,$BC$16,$BC$17,$BC$18,$BC$19,$BC$20,$BC$21) = 0, "", SUM($BC$6,$BC$7,$BC$8,$BC$12,$BC$13,$BC$14,$BC$15,$BC$16,$BC$17,$BC$18,$BC$19,$BC$20,$BC$21))))</f>
        <v>4646721</v>
      </c>
      <c r="BD5">
        <f ca="1">IF(ISERROR(IF(SUM($BD$6,$BD$7,$BD$8,$BD$12,$BD$13,$BD$14,$BD$15,$BD$16,$BD$17,$BD$18,$BD$19,$BD$20,$BD$21) = 0, "", SUM($BD$6,$BD$7,$BD$8,$BD$12,$BD$13,$BD$14,$BD$15,$BD$16,$BD$17,$BD$18,$BD$19,$BD$20,$BD$21))), "", (IF(SUM($BD$6,$BD$7,$BD$8,$BD$12,$BD$13,$BD$14,$BD$15,$BD$16,$BD$17,$BD$18,$BD$19,$BD$20,$BD$21) = 0, "", SUM($BD$6,$BD$7,$BD$8,$BD$12,$BD$13,$BD$14,$BD$15,$BD$16,$BD$17,$BD$18,$BD$19,$BD$20,$BD$21))))</f>
        <v>4311371</v>
      </c>
      <c r="BE5">
        <f ca="1">IF(ISERROR(IF(SUM($BE$6,$BE$7,$BE$8,$BE$12,$BE$13,$BE$14,$BE$15,$BE$16,$BE$17,$BE$18,$BE$19,$BE$20,$BE$21) = 0, "", SUM($BE$6,$BE$7,$BE$8,$BE$12,$BE$13,$BE$14,$BE$15,$BE$16,$BE$17,$BE$18,$BE$19,$BE$20,$BE$21))), "", (IF(SUM($BE$6,$BE$7,$BE$8,$BE$12,$BE$13,$BE$14,$BE$15,$BE$16,$BE$17,$BE$18,$BE$19,$BE$20,$BE$21) = 0, "", SUM($BE$6,$BE$7,$BE$8,$BE$12,$BE$13,$BE$14,$BE$15,$BE$16,$BE$17,$BE$18,$BE$19,$BE$20,$BE$21))))</f>
        <v>4342671</v>
      </c>
      <c r="BF5">
        <f ca="1">IF(ISERROR(IF(SUM($BF$6,$BF$7,$BF$8,$BF$12,$BF$13,$BF$14,$BF$15,$BF$16,$BF$17,$BF$18,$BF$19,$BF$20,$BF$21) = 0, "", SUM($BF$6,$BF$7,$BF$8,$BF$12,$BF$13,$BF$14,$BF$15,$BF$16,$BF$17,$BF$18,$BF$19,$BF$20,$BF$21))), "", (IF(SUM($BF$6,$BF$7,$BF$8,$BF$12,$BF$13,$BF$14,$BF$15,$BF$16,$BF$17,$BF$18,$BF$19,$BF$20,$BF$21) = 0, "", SUM($BF$6,$BF$7,$BF$8,$BF$12,$BF$13,$BF$14,$BF$15,$BF$16,$BF$17,$BF$18,$BF$19,$BF$20,$BF$21))))</f>
        <v>4784259</v>
      </c>
      <c r="BG5">
        <f ca="1">IF(ISERROR(IF(SUM($BG$6,$BG$7,$BG$8,$BG$12,$BG$13,$BG$14,$BG$15,$BG$16,$BG$17,$BG$18,$BG$19,$BG$20,$BG$21) = 0, "", SUM($BG$6,$BG$7,$BG$8,$BG$12,$BG$13,$BG$14,$BG$15,$BG$16,$BG$17,$BG$18,$BG$19,$BG$20,$BG$21))), "", (IF(SUM($BG$6,$BG$7,$BG$8,$BG$12,$BG$13,$BG$14,$BG$15,$BG$16,$BG$17,$BG$18,$BG$19,$BG$20,$BG$21) = 0, "", SUM($BG$6,$BG$7,$BG$8,$BG$12,$BG$13,$BG$14,$BG$15,$BG$16,$BG$17,$BG$18,$BG$19,$BG$20,$BG$21))))</f>
        <v>4263256</v>
      </c>
      <c r="BH5">
        <f ca="1">IF(ISERROR(IF(SUM($BH$6,$BH$7,$BH$8,$BH$12,$BH$13,$BH$14,$BH$15,$BH$16,$BH$17,$BH$18,$BH$19,$BH$20,$BH$21) = 0, "", SUM($BH$6,$BH$7,$BH$8,$BH$12,$BH$13,$BH$14,$BH$15,$BH$16,$BH$17,$BH$18,$BH$19,$BH$20,$BH$21))), "", (IF(SUM($BH$6,$BH$7,$BH$8,$BH$12,$BH$13,$BH$14,$BH$15,$BH$16,$BH$17,$BH$18,$BH$19,$BH$20,$BH$21) = 0, "", SUM($BH$6,$BH$7,$BH$8,$BH$12,$BH$13,$BH$14,$BH$15,$BH$16,$BH$17,$BH$18,$BH$19,$BH$20,$BH$21))))</f>
        <v>4110318</v>
      </c>
      <c r="BI5">
        <f ca="1">IF(ISERROR(IF(SUM($BI$6,$BI$7,$BI$8,$BI$12,$BI$13,$BI$14,$BI$15,$BI$16,$BI$17,$BI$18,$BI$19,$BI$20,$BI$21) = 0, "", SUM($BI$6,$BI$7,$BI$8,$BI$12,$BI$13,$BI$14,$BI$15,$BI$16,$BI$17,$BI$18,$BI$19,$BI$20,$BI$21))), "", (IF(SUM($BI$6,$BI$7,$BI$8,$BI$12,$BI$13,$BI$14,$BI$15,$BI$16,$BI$17,$BI$18,$BI$19,$BI$20,$BI$21) = 0, "", SUM($BI$6,$BI$7,$BI$8,$BI$12,$BI$13,$BI$14,$BI$15,$BI$16,$BI$17,$BI$18,$BI$19,$BI$20,$BI$21))))</f>
        <v>4219666</v>
      </c>
      <c r="BJ5">
        <f ca="1">IF(ISERROR(IF(SUM($BJ$6,$BJ$7,$BJ$8,$BJ$12,$BJ$13,$BJ$14,$BJ$15,$BJ$16,$BJ$17,$BJ$18,$BJ$19,$BJ$20,$BJ$21) = 0, "", SUM($BJ$6,$BJ$7,$BJ$8,$BJ$12,$BJ$13,$BJ$14,$BJ$15,$BJ$16,$BJ$17,$BJ$18,$BJ$19,$BJ$20,$BJ$21))), "", (IF(SUM($BJ$6,$BJ$7,$BJ$8,$BJ$12,$BJ$13,$BJ$14,$BJ$15,$BJ$16,$BJ$17,$BJ$18,$BJ$19,$BJ$20,$BJ$21) = 0, "", SUM($BJ$6,$BJ$7,$BJ$8,$BJ$12,$BJ$13,$BJ$14,$BJ$15,$BJ$16,$BJ$17,$BJ$18,$BJ$19,$BJ$20,$BJ$21))))</f>
        <v>4344460</v>
      </c>
      <c r="BK5">
        <f ca="1">IF(ISERROR(IF(SUM($BK$6,$BK$7,$BK$8,$BK$12,$BK$13,$BK$14,$BK$15,$BK$16,$BK$17,$BK$18,$BK$19,$BK$20,$BK$21) = 0, "", SUM($BK$6,$BK$7,$BK$8,$BK$12,$BK$13,$BK$14,$BK$15,$BK$16,$BK$17,$BK$18,$BK$19,$BK$20,$BK$21))), "", (IF(SUM($BK$6,$BK$7,$BK$8,$BK$12,$BK$13,$BK$14,$BK$15,$BK$16,$BK$17,$BK$18,$BK$19,$BK$20,$BK$21) = 0, "", SUM($BK$6,$BK$7,$BK$8,$BK$12,$BK$13,$BK$14,$BK$15,$BK$16,$BK$17,$BK$18,$BK$19,$BK$20,$BK$21))))</f>
        <v>3999258</v>
      </c>
      <c r="BL5">
        <f ca="1">IF(ISERROR(IF(SUM($BL$6,$BL$7,$BL$8,$BL$12,$BL$13,$BL$14,$BL$15,$BL$16,$BL$17,$BL$18,$BL$19,$BL$20,$BL$21) = 0, "", SUM($BL$6,$BL$7,$BL$8,$BL$12,$BL$13,$BL$14,$BL$15,$BL$16,$BL$17,$BL$18,$BL$19,$BL$20,$BL$21))), "", (IF(SUM($BL$6,$BL$7,$BL$8,$BL$12,$BL$13,$BL$14,$BL$15,$BL$16,$BL$17,$BL$18,$BL$19,$BL$20,$BL$21) = 0, "", SUM($BL$6,$BL$7,$BL$8,$BL$12,$BL$13,$BL$14,$BL$15,$BL$16,$BL$17,$BL$18,$BL$19,$BL$20,$BL$21))))</f>
        <v>3826199</v>
      </c>
      <c r="BM5">
        <f ca="1">IF(ISERROR(IF(SUM($BM$6,$BM$7,$BM$8,$BM$12,$BM$13,$BM$14,$BM$15,$BM$16,$BM$17,$BM$18,$BM$19,$BM$20,$BM$21) = 0, "", SUM($BM$6,$BM$7,$BM$8,$BM$12,$BM$13,$BM$14,$BM$15,$BM$16,$BM$17,$BM$18,$BM$19,$BM$20,$BM$21))), "", (IF(SUM($BM$6,$BM$7,$BM$8,$BM$12,$BM$13,$BM$14,$BM$15,$BM$16,$BM$17,$BM$18,$BM$19,$BM$20,$BM$21) = 0, "", SUM($BM$6,$BM$7,$BM$8,$BM$12,$BM$13,$BM$14,$BM$15,$BM$16,$BM$17,$BM$18,$BM$19,$BM$20,$BM$21))))</f>
        <v>3756323</v>
      </c>
      <c r="BN5">
        <f>3020556</f>
        <v>3020556</v>
      </c>
      <c r="BO5">
        <f>10208093</f>
        <v>10208093</v>
      </c>
      <c r="BP5">
        <f>8976171</f>
        <v>8976171</v>
      </c>
      <c r="BQ5">
        <f>9372976</f>
        <v>9372976</v>
      </c>
      <c r="BR5">
        <f>9980596</f>
        <v>9980596</v>
      </c>
      <c r="BS5">
        <f>11421433</f>
        <v>11421433</v>
      </c>
      <c r="BT5">
        <f>10089613</f>
        <v>10089613</v>
      </c>
      <c r="BU5">
        <f>9843022</f>
        <v>9843022</v>
      </c>
      <c r="BV5">
        <f>10933748</f>
        <v>10933748</v>
      </c>
      <c r="BW5">
        <f>12211708</f>
        <v>12211708</v>
      </c>
      <c r="BX5">
        <f>9954796</f>
        <v>9954796</v>
      </c>
      <c r="BY5">
        <f>9676095</f>
        <v>9676095</v>
      </c>
      <c r="BZ5">
        <f>10191998</f>
        <v>10191998</v>
      </c>
      <c r="CA5">
        <f>11103225</f>
        <v>11103225</v>
      </c>
      <c r="CB5">
        <f>8622856</f>
        <v>8622856</v>
      </c>
      <c r="CC5">
        <f>8960536</f>
        <v>8960536</v>
      </c>
      <c r="CD5">
        <f>9964429</f>
        <v>9964429</v>
      </c>
      <c r="CE5">
        <f>9968076</f>
        <v>9968076</v>
      </c>
      <c r="CF5">
        <f>8750186</f>
        <v>8750186</v>
      </c>
      <c r="CG5">
        <f>9096319</f>
        <v>9096319</v>
      </c>
      <c r="CH5">
        <f>9957352</f>
        <v>9957352</v>
      </c>
      <c r="CI5">
        <f>9640834</f>
        <v>9640834</v>
      </c>
      <c r="CJ5">
        <f>8609895</f>
        <v>8609895</v>
      </c>
      <c r="CK5">
        <f>8728294</f>
        <v>8728294</v>
      </c>
      <c r="CL5">
        <f>9300785</f>
        <v>9300785</v>
      </c>
      <c r="CM5">
        <f>8697151</f>
        <v>8697151</v>
      </c>
      <c r="CN5">
        <f>8002813</f>
        <v>8002813</v>
      </c>
      <c r="CO5">
        <f>8287520</f>
        <v>8287520</v>
      </c>
      <c r="CP5">
        <f>8721760</f>
        <v>8721760</v>
      </c>
      <c r="CQ5">
        <f>7884329</f>
        <v>7884329</v>
      </c>
      <c r="CR5">
        <f>7476349</f>
        <v>7476349</v>
      </c>
      <c r="CS5">
        <f>7012667</f>
        <v>7012667</v>
      </c>
      <c r="CT5">
        <f>8250135</f>
        <v>8250135</v>
      </c>
      <c r="CU5">
        <f>7847239</f>
        <v>7847239</v>
      </c>
      <c r="CV5">
        <f>7410425</f>
        <v>7410425</v>
      </c>
      <c r="CW5">
        <f>7433120</f>
        <v>7433120</v>
      </c>
      <c r="CX5">
        <f>7923312</f>
        <v>7923312</v>
      </c>
      <c r="CY5">
        <f>6964713</f>
        <v>6964713</v>
      </c>
      <c r="CZ5">
        <f>6349351</f>
        <v>6349351</v>
      </c>
      <c r="DA5">
        <f>5853651</f>
        <v>5853651</v>
      </c>
      <c r="DB5">
        <f>5249699</f>
        <v>5249699</v>
      </c>
      <c r="DC5">
        <f>4455081</f>
        <v>4455081</v>
      </c>
      <c r="DD5">
        <f>4658156</f>
        <v>4658156</v>
      </c>
      <c r="DE5">
        <f>5264939</f>
        <v>5264939</v>
      </c>
      <c r="DF5">
        <f>5669690</f>
        <v>5669690</v>
      </c>
      <c r="DG5">
        <f>5017193</f>
        <v>5017193</v>
      </c>
      <c r="DH5">
        <f>4784857</f>
        <v>4784857</v>
      </c>
      <c r="DI5">
        <f>4830563</f>
        <v>4830563</v>
      </c>
      <c r="DJ5">
        <f>5097224</f>
        <v>5097224</v>
      </c>
      <c r="DK5">
        <f>4646721</f>
        <v>4646721</v>
      </c>
      <c r="DL5">
        <f>4311371</f>
        <v>4311371</v>
      </c>
      <c r="DM5">
        <f>4342671</f>
        <v>4342671</v>
      </c>
      <c r="DN5">
        <f>4784259</f>
        <v>4784259</v>
      </c>
      <c r="DO5">
        <f>4263256</f>
        <v>4263256</v>
      </c>
      <c r="DP5">
        <f>4110318</f>
        <v>4110318</v>
      </c>
      <c r="DQ5">
        <f>4219666</f>
        <v>4219666</v>
      </c>
      <c r="DR5">
        <f>4344460</f>
        <v>4344460</v>
      </c>
      <c r="DS5">
        <f>3999258</f>
        <v>3999258</v>
      </c>
      <c r="DT5">
        <f>3826199</f>
        <v>3826199</v>
      </c>
      <c r="DU5">
        <f>3756323</f>
        <v>3756323</v>
      </c>
    </row>
    <row r="6" spans="1:125" x14ac:dyDescent="0.25">
      <c r="A6" t="str">
        <f>"        Australia"</f>
        <v xml:space="preserve">        Australia</v>
      </c>
      <c r="B6" t="str">
        <f>"AUTMAUVS Index"</f>
        <v>AUTMAUVS Index</v>
      </c>
      <c r="C6" t="str">
        <f>"PX385"</f>
        <v>PX385</v>
      </c>
      <c r="D6" t="str">
        <f>"INTERVAL_SUM"</f>
        <v>INTERVAL_SUM</v>
      </c>
      <c r="E6" t="str">
        <f>"Dynamic"</f>
        <v>Dynamic</v>
      </c>
      <c r="F6" t="str">
        <f ca="1">IF(AND(ISNUMBER($F$161),$B$156=1),$F$161,HLOOKUP(INDIRECT(ADDRESS(2,COLUMN())),OFFSET($BN$2,0,0,ROW()-1,60),ROW()-1,FALSE))</f>
        <v/>
      </c>
      <c r="G6" t="str">
        <f ca="1">IF(AND(ISNUMBER($G$161),$B$156=1),$G$161,HLOOKUP(INDIRECT(ADDRESS(2,COLUMN())),OFFSET($BN$2,0,0,ROW()-1,60),ROW()-1,FALSE))</f>
        <v/>
      </c>
      <c r="H6" t="str">
        <f ca="1">IF(AND(ISNUMBER($H$161),$B$156=1),$H$161,HLOOKUP(INDIRECT(ADDRESS(2,COLUMN())),OFFSET($BN$2,0,0,ROW()-1,60),ROW()-1,FALSE))</f>
        <v/>
      </c>
      <c r="I6" t="str">
        <f ca="1">IF(AND(ISNUMBER($I$161),$B$156=1),$I$161,HLOOKUP(INDIRECT(ADDRESS(2,COLUMN())),OFFSET($BN$2,0,0,ROW()-1,60),ROW()-1,FALSE))</f>
        <v/>
      </c>
      <c r="J6" t="str">
        <f ca="1">IF(AND(ISNUMBER($J$161),$B$156=1),$J$161,HLOOKUP(INDIRECT(ADDRESS(2,COLUMN())),OFFSET($BN$2,0,0,ROW()-1,60),ROW()-1,FALSE))</f>
        <v/>
      </c>
      <c r="K6">
        <f ca="1">IF(AND(ISNUMBER($K$161),$B$156=1),$K$161,HLOOKUP(INDIRECT(ADDRESS(2,COLUMN())),OFFSET($BN$2,0,0,ROW()-1,60),ROW()-1,FALSE))</f>
        <v>230165</v>
      </c>
      <c r="L6">
        <f ca="1">IF(AND(ISNUMBER($L$161),$B$156=1),$L$161,HLOOKUP(INDIRECT(ADDRESS(2,COLUMN())),OFFSET($BN$2,0,0,ROW()-1,60),ROW()-1,FALSE))</f>
        <v>228010</v>
      </c>
      <c r="M6">
        <f ca="1">IF(AND(ISNUMBER($M$161),$B$156=1),$M$161,HLOOKUP(INDIRECT(ADDRESS(2,COLUMN())),OFFSET($BN$2,0,0,ROW()-1,60),ROW()-1,FALSE))</f>
        <v>232140</v>
      </c>
      <c r="N6">
        <f ca="1">IF(AND(ISNUMBER($N$161),$B$156=1),$N$161,HLOOKUP(INDIRECT(ADDRESS(2,COLUMN())),OFFSET($BN$2,0,0,ROW()-1,60),ROW()-1,FALSE))</f>
        <v>226679</v>
      </c>
      <c r="O6">
        <f ca="1">IF(AND(ISNUMBER($O$161),$B$156=1),$O$161,HLOOKUP(INDIRECT(ADDRESS(2,COLUMN())),OFFSET($BN$2,0,0,ROW()-1,60),ROW()-1,FALSE))</f>
        <v>229699</v>
      </c>
      <c r="P6">
        <f ca="1">IF(AND(ISNUMBER($P$161),$B$156=1),$P$161,HLOOKUP(INDIRECT(ADDRESS(2,COLUMN())),OFFSET($BN$2,0,0,ROW()-1,60),ROW()-1,FALSE))</f>
        <v>232664</v>
      </c>
      <c r="Q6">
        <f ca="1">IF(AND(ISNUMBER($Q$161),$B$156=1),$Q$161,HLOOKUP(INDIRECT(ADDRESS(2,COLUMN())),OFFSET($BN$2,0,0,ROW()-1,60),ROW()-1,FALSE))</f>
        <v>229610</v>
      </c>
      <c r="R6">
        <f ca="1">IF(AND(ISNUMBER($R$161),$B$156=1),$R$161,HLOOKUP(INDIRECT(ADDRESS(2,COLUMN())),OFFSET($BN$2,0,0,ROW()-1,60),ROW()-1,FALSE))</f>
        <v>233629</v>
      </c>
      <c r="S6">
        <f ca="1">IF(AND(ISNUMBER($S$161),$B$156=1),$S$161,HLOOKUP(INDIRECT(ADDRESS(2,COLUMN())),OFFSET($BN$2,0,0,ROW()-1,60),ROW()-1,FALSE))</f>
        <v>232677</v>
      </c>
      <c r="T6">
        <f ca="1">IF(AND(ISNUMBER($T$161),$B$156=1),$T$161,HLOOKUP(INDIRECT(ADDRESS(2,COLUMN())),OFFSET($BN$2,0,0,ROW()-1,60),ROW()-1,FALSE))</f>
        <v>234769</v>
      </c>
      <c r="U6">
        <f ca="1">IF(AND(ISNUMBER($U$161),$B$156=1),$U$161,HLOOKUP(INDIRECT(ADDRESS(2,COLUMN())),OFFSET($BN$2,0,0,ROW()-1,60),ROW()-1,FALSE))</f>
        <v>227533</v>
      </c>
      <c r="V6">
        <f ca="1">IF(AND(ISNUMBER($V$161),$B$156=1),$V$161,HLOOKUP(INDIRECT(ADDRESS(2,COLUMN())),OFFSET($BN$2,0,0,ROW()-1,60),ROW()-1,FALSE))</f>
        <v>228659</v>
      </c>
      <c r="W6">
        <f ca="1">IF(AND(ISNUMBER($W$161),$B$156=1),$W$161,HLOOKUP(INDIRECT(ADDRESS(2,COLUMN())),OFFSET($BN$2,0,0,ROW()-1,60),ROW()-1,FALSE))</f>
        <v>222148</v>
      </c>
      <c r="X6">
        <f ca="1">IF(AND(ISNUMBER($X$161),$B$156=1),$X$161,HLOOKUP(INDIRECT(ADDRESS(2,COLUMN())),OFFSET($BN$2,0,0,ROW()-1,60),ROW()-1,FALSE))</f>
        <v>220748</v>
      </c>
      <c r="Y6">
        <f ca="1">IF(AND(ISNUMBER($Y$161),$B$156=1),$Y$161,HLOOKUP(INDIRECT(ADDRESS(2,COLUMN())),OFFSET($BN$2,0,0,ROW()-1,60),ROW()-1,FALSE))</f>
        <v>221723</v>
      </c>
      <c r="Z6">
        <f ca="1">IF(AND(ISNUMBER($Z$161),$B$156=1),$Z$161,HLOOKUP(INDIRECT(ADDRESS(2,COLUMN())),OFFSET($BN$2,0,0,ROW()-1,60),ROW()-1,FALSE))</f>
        <v>221405</v>
      </c>
      <c r="AA6">
        <f ca="1">IF(AND(ISNUMBER($AA$161),$B$156=1),$AA$161,HLOOKUP(INDIRECT(ADDRESS(2,COLUMN())),OFFSET($BN$2,0,0,ROW()-1,60),ROW()-1,FALSE))</f>
        <v>226461</v>
      </c>
      <c r="AB6">
        <f ca="1">IF(AND(ISNUMBER($AB$161),$B$156=1),$AB$161,HLOOKUP(INDIRECT(ADDRESS(2,COLUMN())),OFFSET($BN$2,0,0,ROW()-1,60),ROW()-1,FALSE))</f>
        <v>224738</v>
      </c>
      <c r="AC6">
        <f ca="1">IF(AND(ISNUMBER($AC$161),$B$156=1),$AC$161,HLOOKUP(INDIRECT(ADDRESS(2,COLUMN())),OFFSET($BN$2,0,0,ROW()-1,60),ROW()-1,FALSE))</f>
        <v>226183</v>
      </c>
      <c r="AD6">
        <f ca="1">IF(AND(ISNUMBER($AD$161),$B$156=1),$AD$161,HLOOKUP(INDIRECT(ADDRESS(2,COLUMN())),OFFSET($BN$2,0,0,ROW()-1,60),ROW()-1,FALSE))</f>
        <v>223923</v>
      </c>
      <c r="AE6">
        <f ca="1">IF(AND(ISNUMBER($AE$161),$B$156=1),$AE$161,HLOOKUP(INDIRECT(ADDRESS(2,COLUMN())),OFFSET($BN$2,0,0,ROW()-1,60),ROW()-1,FALSE))</f>
        <v>228636</v>
      </c>
      <c r="AF6">
        <f ca="1">IF(AND(ISNUMBER($AF$161),$B$156=1),$AF$161,HLOOKUP(INDIRECT(ADDRESS(2,COLUMN())),OFFSET($BN$2,0,0,ROW()-1,60),ROW()-1,FALSE))</f>
        <v>220423</v>
      </c>
      <c r="AG6">
        <f ca="1">IF(AND(ISNUMBER($AG$161),$B$156=1),$AG$161,HLOOKUP(INDIRECT(ADDRESS(2,COLUMN())),OFFSET($BN$2,0,0,ROW()-1,60),ROW()-1,FALSE))</f>
        <v>217393</v>
      </c>
      <c r="AH6">
        <f ca="1">IF(AND(ISNUMBER($AH$161),$B$156=1),$AH$161,HLOOKUP(INDIRECT(ADDRESS(2,COLUMN())),OFFSET($BN$2,0,0,ROW()-1,60),ROW()-1,FALSE))</f>
        <v>211478</v>
      </c>
      <c r="AI6">
        <f ca="1">IF(AND(ISNUMBER($AI$161),$B$156=1),$AI$161,HLOOKUP(INDIRECT(ADDRESS(2,COLUMN())),OFFSET($BN$2,0,0,ROW()-1,60),ROW()-1,FALSE))</f>
        <v>208745</v>
      </c>
      <c r="AJ6">
        <f ca="1">IF(AND(ISNUMBER($AJ$161),$B$156=1),$AJ$161,HLOOKUP(INDIRECT(ADDRESS(2,COLUMN())),OFFSET($BN$2,0,0,ROW()-1,60),ROW()-1,FALSE))</f>
        <v>207004</v>
      </c>
      <c r="AK6">
        <f ca="1">IF(AND(ISNUMBER($AK$161),$B$156=1),$AK$161,HLOOKUP(INDIRECT(ADDRESS(2,COLUMN())),OFFSET($BN$2,0,0,ROW()-1,60),ROW()-1,FALSE))</f>
        <v>188912</v>
      </c>
      <c r="AL6">
        <f ca="1">IF(AND(ISNUMBER($AL$161),$B$156=1),$AL$161,HLOOKUP(INDIRECT(ADDRESS(2,COLUMN())),OFFSET($BN$2,0,0,ROW()-1,60),ROW()-1,FALSE))</f>
        <v>201409</v>
      </c>
      <c r="AM6">
        <f ca="1">IF(AND(ISNUMBER($AM$161),$B$156=1),$AM$161,HLOOKUP(INDIRECT(ADDRESS(2,COLUMN())),OFFSET($BN$2,0,0,ROW()-1,60),ROW()-1,FALSE))</f>
        <v>205065</v>
      </c>
      <c r="AN6">
        <f ca="1">IF(AND(ISNUMBER($AN$161),$B$156=1),$AN$161,HLOOKUP(INDIRECT(ADDRESS(2,COLUMN())),OFFSET($BN$2,0,0,ROW()-1,60),ROW()-1,FALSE))</f>
        <v>203356</v>
      </c>
      <c r="AO6">
        <f ca="1">IF(AND(ISNUMBER($AO$161),$B$156=1),$AO$161,HLOOKUP(INDIRECT(ADDRESS(2,COLUMN())),OFFSET($BN$2,0,0,ROW()-1,60),ROW()-1,FALSE))</f>
        <v>216584</v>
      </c>
      <c r="AP6">
        <f ca="1">IF(AND(ISNUMBER($AP$161),$B$156=1),$AP$161,HLOOKUP(INDIRECT(ADDRESS(2,COLUMN())),OFFSET($BN$2,0,0,ROW()-1,60),ROW()-1,FALSE))</f>
        <v>203025</v>
      </c>
      <c r="AQ6">
        <f ca="1">IF(AND(ISNUMBER($AQ$161),$B$156=1),$AQ$161,HLOOKUP(INDIRECT(ADDRESS(2,COLUMN())),OFFSET($BN$2,0,0,ROW()-1,60),ROW()-1,FALSE))</f>
        <v>195504</v>
      </c>
      <c r="AR6">
        <f ca="1">IF(AND(ISNUMBER($AR$161),$B$156=1),$AR$161,HLOOKUP(INDIRECT(ADDRESS(2,COLUMN())),OFFSET($BN$2,0,0,ROW()-1,60),ROW()-1,FALSE))</f>
        <v>183927</v>
      </c>
      <c r="AS6">
        <f ca="1">IF(AND(ISNUMBER($AS$161),$B$156=1),$AS$161,HLOOKUP(INDIRECT(ADDRESS(2,COLUMN())),OFFSET($BN$2,0,0,ROW()-1,60),ROW()-1,FALSE))</f>
        <v>177092</v>
      </c>
      <c r="AT6">
        <f ca="1">IF(AND(ISNUMBER($AT$161),$B$156=1),$AT$161,HLOOKUP(INDIRECT(ADDRESS(2,COLUMN())),OFFSET($BN$2,0,0,ROW()-1,60),ROW()-1,FALSE))</f>
        <v>172733</v>
      </c>
      <c r="AU6">
        <f ca="1">IF(AND(ISNUMBER($AU$161),$B$156=1),$AU$161,HLOOKUP(INDIRECT(ADDRESS(2,COLUMN())),OFFSET($BN$2,0,0,ROW()-1,60),ROW()-1,FALSE))</f>
        <v>177870</v>
      </c>
      <c r="AV6">
        <f ca="1">IF(AND(ISNUMBER($AV$161),$B$156=1),$AV$161,HLOOKUP(INDIRECT(ADDRESS(2,COLUMN())),OFFSET($BN$2,0,0,ROW()-1,60),ROW()-1,FALSE))</f>
        <v>192060</v>
      </c>
      <c r="AW6">
        <f ca="1">IF(AND(ISNUMBER($AW$161),$B$156=1),$AW$161,HLOOKUP(INDIRECT(ADDRESS(2,COLUMN())),OFFSET($BN$2,0,0,ROW()-1,60),ROW()-1,FALSE))</f>
        <v>206386</v>
      </c>
      <c r="AX6">
        <f ca="1">IF(AND(ISNUMBER($AX$161),$B$156=1),$AX$161,HLOOKUP(INDIRECT(ADDRESS(2,COLUMN())),OFFSET($BN$2,0,0,ROW()-1,60),ROW()-1,FALSE))</f>
        <v>213411</v>
      </c>
      <c r="AY6">
        <f ca="1">IF(AND(ISNUMBER($AY$161),$B$156=1),$AY$161,HLOOKUP(INDIRECT(ADDRESS(2,COLUMN())),OFFSET($BN$2,0,0,ROW()-1,60),ROW()-1,FALSE))</f>
        <v>213421</v>
      </c>
      <c r="AZ6">
        <f ca="1">IF(AND(ISNUMBER($AZ$161),$B$156=1),$AZ$161,HLOOKUP(INDIRECT(ADDRESS(2,COLUMN())),OFFSET($BN$2,0,0,ROW()-1,60),ROW()-1,FALSE))</f>
        <v>209918</v>
      </c>
      <c r="BA6">
        <f ca="1">IF(AND(ISNUMBER($BA$161),$B$156=1),$BA$161,HLOOKUP(INDIRECT(ADDRESS(2,COLUMN())),OFFSET($BN$2,0,0,ROW()-1,60),ROW()-1,FALSE))</f>
        <v>204725</v>
      </c>
      <c r="BB6">
        <f ca="1">IF(AND(ISNUMBER($BB$161),$B$156=1),$BB$161,HLOOKUP(INDIRECT(ADDRESS(2,COLUMN())),OFFSET($BN$2,0,0,ROW()-1,60),ROW()-1,FALSE))</f>
        <v>208186</v>
      </c>
      <c r="BC6">
        <f ca="1">IF(AND(ISNUMBER($BC$161),$B$156=1),$BC$161,HLOOKUP(INDIRECT(ADDRESS(2,COLUMN())),OFFSET($BN$2,0,0,ROW()-1,60),ROW()-1,FALSE))</f>
        <v>198037</v>
      </c>
      <c r="BD6">
        <f ca="1">IF(AND(ISNUMBER($BD$161),$B$156=1),$BD$161,HLOOKUP(INDIRECT(ADDRESS(2,COLUMN())),OFFSET($BN$2,0,0,ROW()-1,60),ROW()-1,FALSE))</f>
        <v>194992</v>
      </c>
      <c r="BE6">
        <f ca="1">IF(AND(ISNUMBER($BE$161),$B$156=1),$BE$161,HLOOKUP(INDIRECT(ADDRESS(2,COLUMN())),OFFSET($BN$2,0,0,ROW()-1,60),ROW()-1,FALSE))</f>
        <v>188660</v>
      </c>
      <c r="BF6">
        <f ca="1">IF(AND(ISNUMBER($BF$161),$B$156=1),$BF$161,HLOOKUP(INDIRECT(ADDRESS(2,COLUMN())),OFFSET($BN$2,0,0,ROW()-1,60),ROW()-1,FALSE))</f>
        <v>190945</v>
      </c>
      <c r="BG6">
        <f ca="1">IF(AND(ISNUMBER($BG$161),$B$156=1),$BG$161,HLOOKUP(INDIRECT(ADDRESS(2,COLUMN())),OFFSET($BN$2,0,0,ROW()-1,60),ROW()-1,FALSE))</f>
        <v>193475</v>
      </c>
      <c r="BH6">
        <f ca="1">IF(AND(ISNUMBER($BH$161),$B$156=1),$BH$161,HLOOKUP(INDIRECT(ADDRESS(2,COLUMN())),OFFSET($BN$2,0,0,ROW()-1,60),ROW()-1,FALSE))</f>
        <v>199855</v>
      </c>
      <c r="BI6">
        <f ca="1">IF(AND(ISNUMBER($BI$161),$B$156=1),$BI$161,HLOOKUP(INDIRECT(ADDRESS(2,COLUMN())),OFFSET($BN$2,0,0,ROW()-1,60),ROW()-1,FALSE))</f>
        <v>196925</v>
      </c>
      <c r="BJ6">
        <f ca="1">IF(AND(ISNUMBER($BJ$161),$B$156=1),$BJ$161,HLOOKUP(INDIRECT(ADDRESS(2,COLUMN())),OFFSET($BN$2,0,0,ROW()-1,60),ROW()-1,FALSE))</f>
        <v>201515</v>
      </c>
      <c r="BK6">
        <f ca="1">IF(AND(ISNUMBER($BK$161),$B$156=1),$BK$161,HLOOKUP(INDIRECT(ADDRESS(2,COLUMN())),OFFSET($BN$2,0,0,ROW()-1,60),ROW()-1,FALSE))</f>
        <v>197669</v>
      </c>
      <c r="BL6">
        <f ca="1">IF(AND(ISNUMBER($BL$161),$B$156=1),$BL$161,HLOOKUP(INDIRECT(ADDRESS(2,COLUMN())),OFFSET($BN$2,0,0,ROW()-1,60),ROW()-1,FALSE))</f>
        <v>190060</v>
      </c>
      <c r="BM6">
        <f ca="1">IF(AND(ISNUMBER($BM$161),$B$156=1),$BM$161,HLOOKUP(INDIRECT(ADDRESS(2,COLUMN())),OFFSET($BN$2,0,0,ROW()-1,60),ROW()-1,FALSE))</f>
        <v>187870</v>
      </c>
      <c r="BN6" t="str">
        <f>""</f>
        <v/>
      </c>
      <c r="BO6" t="str">
        <f>""</f>
        <v/>
      </c>
      <c r="BP6" t="str">
        <f>""</f>
        <v/>
      </c>
      <c r="BQ6" t="str">
        <f>""</f>
        <v/>
      </c>
      <c r="BR6" t="str">
        <f>""</f>
        <v/>
      </c>
      <c r="BS6">
        <f>230165</f>
        <v>230165</v>
      </c>
      <c r="BT6">
        <f>228010</f>
        <v>228010</v>
      </c>
      <c r="BU6">
        <f>232140</f>
        <v>232140</v>
      </c>
      <c r="BV6">
        <f>226679</f>
        <v>226679</v>
      </c>
      <c r="BW6">
        <f>229699</f>
        <v>229699</v>
      </c>
      <c r="BX6">
        <f>232664</f>
        <v>232664</v>
      </c>
      <c r="BY6">
        <f>229610</f>
        <v>229610</v>
      </c>
      <c r="BZ6">
        <f>233629</f>
        <v>233629</v>
      </c>
      <c r="CA6">
        <f>232677</f>
        <v>232677</v>
      </c>
      <c r="CB6">
        <f>234769</f>
        <v>234769</v>
      </c>
      <c r="CC6">
        <f>227533</f>
        <v>227533</v>
      </c>
      <c r="CD6">
        <f>228659</f>
        <v>228659</v>
      </c>
      <c r="CE6">
        <f>222148</f>
        <v>222148</v>
      </c>
      <c r="CF6">
        <f>220748</f>
        <v>220748</v>
      </c>
      <c r="CG6">
        <f>221723</f>
        <v>221723</v>
      </c>
      <c r="CH6">
        <f>221405</f>
        <v>221405</v>
      </c>
      <c r="CI6">
        <f>226461</f>
        <v>226461</v>
      </c>
      <c r="CJ6">
        <f>224738</f>
        <v>224738</v>
      </c>
      <c r="CK6">
        <f>226183</f>
        <v>226183</v>
      </c>
      <c r="CL6">
        <f>223923</f>
        <v>223923</v>
      </c>
      <c r="CM6">
        <f>228636</f>
        <v>228636</v>
      </c>
      <c r="CN6">
        <f>220423</f>
        <v>220423</v>
      </c>
      <c r="CO6">
        <f>217393</f>
        <v>217393</v>
      </c>
      <c r="CP6">
        <f>211478</f>
        <v>211478</v>
      </c>
      <c r="CQ6">
        <f>208745</f>
        <v>208745</v>
      </c>
      <c r="CR6">
        <f>207004</f>
        <v>207004</v>
      </c>
      <c r="CS6">
        <f>188912</f>
        <v>188912</v>
      </c>
      <c r="CT6">
        <f>201409</f>
        <v>201409</v>
      </c>
      <c r="CU6">
        <f>205065</f>
        <v>205065</v>
      </c>
      <c r="CV6">
        <f>203356</f>
        <v>203356</v>
      </c>
      <c r="CW6">
        <f>216584</f>
        <v>216584</v>
      </c>
      <c r="CX6">
        <f>203025</f>
        <v>203025</v>
      </c>
      <c r="CY6">
        <f>195504</f>
        <v>195504</v>
      </c>
      <c r="CZ6">
        <f>183927</f>
        <v>183927</v>
      </c>
      <c r="DA6">
        <f>177092</f>
        <v>177092</v>
      </c>
      <c r="DB6">
        <f>172733</f>
        <v>172733</v>
      </c>
      <c r="DC6">
        <f>177870</f>
        <v>177870</v>
      </c>
      <c r="DD6">
        <f>192060</f>
        <v>192060</v>
      </c>
      <c r="DE6">
        <f>206386</f>
        <v>206386</v>
      </c>
      <c r="DF6">
        <f>213411</f>
        <v>213411</v>
      </c>
      <c r="DG6">
        <f>213421</f>
        <v>213421</v>
      </c>
      <c r="DH6">
        <f>209918</f>
        <v>209918</v>
      </c>
      <c r="DI6">
        <f>204725</f>
        <v>204725</v>
      </c>
      <c r="DJ6">
        <f>208186</f>
        <v>208186</v>
      </c>
      <c r="DK6">
        <f>198037</f>
        <v>198037</v>
      </c>
      <c r="DL6">
        <f>194992</f>
        <v>194992</v>
      </c>
      <c r="DM6">
        <f>188660</f>
        <v>188660</v>
      </c>
      <c r="DN6">
        <f>190945</f>
        <v>190945</v>
      </c>
      <c r="DO6">
        <f>193475</f>
        <v>193475</v>
      </c>
      <c r="DP6">
        <f>199855</f>
        <v>199855</v>
      </c>
      <c r="DQ6">
        <f>196925</f>
        <v>196925</v>
      </c>
      <c r="DR6">
        <f>201515</f>
        <v>201515</v>
      </c>
      <c r="DS6">
        <f>197669</f>
        <v>197669</v>
      </c>
      <c r="DT6">
        <f>190060</f>
        <v>190060</v>
      </c>
      <c r="DU6">
        <f>187870</f>
        <v>187870</v>
      </c>
    </row>
    <row r="7" spans="1:125" x14ac:dyDescent="0.25">
      <c r="A7" t="str">
        <f>"        China"</f>
        <v xml:space="preserve">        China</v>
      </c>
      <c r="B7" t="str">
        <f>"CNVSTTL Index"</f>
        <v>CNVSTTL Index</v>
      </c>
      <c r="C7" t="str">
        <f>"PX385"</f>
        <v>PX385</v>
      </c>
      <c r="D7" t="str">
        <f>"INTERVAL_SUM"</f>
        <v>INTERVAL_SUM</v>
      </c>
      <c r="E7" t="str">
        <f>"Dynamic"</f>
        <v>Dynamic</v>
      </c>
      <c r="F7">
        <f ca="1">IF(AND(ISNUMBER($F$162),$B$156=1),$F$162,HLOOKUP(INDIRECT(ADDRESS(2,COLUMN())),OFFSET($BN$2,0,0,ROW()-1,60),ROW()-1,FALSE))</f>
        <v>2367278</v>
      </c>
      <c r="G7">
        <f ca="1">IF(AND(ISNUMBER($G$162),$B$156=1),$G$162,HLOOKUP(INDIRECT(ADDRESS(2,COLUMN())),OFFSET($BN$2,0,0,ROW()-1,60),ROW()-1,FALSE))</f>
        <v>7589411</v>
      </c>
      <c r="H7">
        <f ca="1">IF(AND(ISNUMBER($H$162),$B$156=1),$H$162,HLOOKUP(INDIRECT(ADDRESS(2,COLUMN())),OFFSET($BN$2,0,0,ROW()-1,60),ROW()-1,FALSE))</f>
        <v>6386536</v>
      </c>
      <c r="I7">
        <f ca="1">IF(AND(ISNUMBER($I$162),$B$156=1),$I$162,HLOOKUP(INDIRECT(ADDRESS(2,COLUMN())),OFFSET($BN$2,0,0,ROW()-1,60),ROW()-1,FALSE))</f>
        <v>6879927</v>
      </c>
      <c r="J7">
        <f ca="1">IF(AND(ISNUMBER($J$162),$B$156=1),$J$162,HLOOKUP(INDIRECT(ADDRESS(2,COLUMN())),OFFSET($BN$2,0,0,ROW()-1,60),ROW()-1,FALSE))</f>
        <v>7183073</v>
      </c>
      <c r="K7">
        <f ca="1">IF(AND(ISNUMBER($K$162),$B$156=1),$K$162,HLOOKUP(INDIRECT(ADDRESS(2,COLUMN())),OFFSET($BN$2,0,0,ROW()-1,60),ROW()-1,FALSE))</f>
        <v>8721416</v>
      </c>
      <c r="L7">
        <f ca="1">IF(AND(ISNUMBER($L$162),$B$156=1),$L$162,HLOOKUP(INDIRECT(ADDRESS(2,COLUMN())),OFFSET($BN$2,0,0,ROW()-1,60),ROW()-1,FALSE))</f>
        <v>6866382</v>
      </c>
      <c r="M7">
        <f ca="1">IF(AND(ISNUMBER($M$162),$B$156=1),$M$162,HLOOKUP(INDIRECT(ADDRESS(2,COLUMN())),OFFSET($BN$2,0,0,ROW()-1,60),ROW()-1,FALSE))</f>
        <v>6351893</v>
      </c>
      <c r="N7">
        <f ca="1">IF(AND(ISNUMBER($N$162),$B$156=1),$N$162,HLOOKUP(INDIRECT(ADDRESS(2,COLUMN())),OFFSET($BN$2,0,0,ROW()-1,60),ROW()-1,FALSE))</f>
        <v>7001690</v>
      </c>
      <c r="O7">
        <f ca="1">IF(AND(ISNUMBER($O$162),$B$156=1),$O$162,HLOOKUP(INDIRECT(ADDRESS(2,COLUMN())),OFFSET($BN$2,0,0,ROW()-1,60),ROW()-1,FALSE))</f>
        <v>8645873</v>
      </c>
      <c r="P7">
        <f ca="1">IF(AND(ISNUMBER($P$162),$B$156=1),$P$162,HLOOKUP(INDIRECT(ADDRESS(2,COLUMN())),OFFSET($BN$2,0,0,ROW()-1,60),ROW()-1,FALSE))</f>
        <v>6487058</v>
      </c>
      <c r="Q7">
        <f ca="1">IF(AND(ISNUMBER($Q$162),$B$156=1),$Q$162,HLOOKUP(INDIRECT(ADDRESS(2,COLUMN())),OFFSET($BN$2,0,0,ROW()-1,60),ROW()-1,FALSE))</f>
        <v>6284767</v>
      </c>
      <c r="R7">
        <f ca="1">IF(AND(ISNUMBER($R$162),$B$156=1),$R$162,HLOOKUP(INDIRECT(ADDRESS(2,COLUMN())),OFFSET($BN$2,0,0,ROW()-1,60),ROW()-1,FALSE))</f>
        <v>6521233</v>
      </c>
      <c r="S7">
        <f ca="1">IF(AND(ISNUMBER($S$162),$B$156=1),$S$162,HLOOKUP(INDIRECT(ADDRESS(2,COLUMN())),OFFSET($BN$2,0,0,ROW()-1,60),ROW()-1,FALSE))</f>
        <v>7515842</v>
      </c>
      <c r="T7">
        <f ca="1">IF(AND(ISNUMBER($T$162),$B$156=1),$T$162,HLOOKUP(INDIRECT(ADDRESS(2,COLUMN())),OFFSET($BN$2,0,0,ROW()-1,60),ROW()-1,FALSE))</f>
        <v>5192294</v>
      </c>
      <c r="U7">
        <f ca="1">IF(AND(ISNUMBER($U$162),$B$156=1),$U$162,HLOOKUP(INDIRECT(ADDRESS(2,COLUMN())),OFFSET($BN$2,0,0,ROW()-1,60),ROW()-1,FALSE))</f>
        <v>5701371</v>
      </c>
      <c r="V7">
        <f ca="1">IF(AND(ISNUMBER($V$162),$B$156=1),$V$162,HLOOKUP(INDIRECT(ADDRESS(2,COLUMN())),OFFSET($BN$2,0,0,ROW()-1,60),ROW()-1,FALSE))</f>
        <v>6153468</v>
      </c>
      <c r="W7">
        <f ca="1">IF(AND(ISNUMBER($W$162),$B$156=1),$W$162,HLOOKUP(INDIRECT(ADDRESS(2,COLUMN())),OFFSET($BN$2,0,0,ROW()-1,60),ROW()-1,FALSE))</f>
        <v>6488150</v>
      </c>
      <c r="X7">
        <f ca="1">IF(AND(ISNUMBER($X$162),$B$156=1),$X$162,HLOOKUP(INDIRECT(ADDRESS(2,COLUMN())),OFFSET($BN$2,0,0,ROW()-1,60),ROW()-1,FALSE))</f>
        <v>5317296</v>
      </c>
      <c r="Y7">
        <f ca="1">IF(AND(ISNUMBER($Y$162),$B$156=1),$Y$162,HLOOKUP(INDIRECT(ADDRESS(2,COLUMN())),OFFSET($BN$2,0,0,ROW()-1,60),ROW()-1,FALSE))</f>
        <v>5761303</v>
      </c>
      <c r="Z7">
        <f ca="1">IF(AND(ISNUMBER($Z$162),$B$156=1),$Z$162,HLOOKUP(INDIRECT(ADDRESS(2,COLUMN())),OFFSET($BN$2,0,0,ROW()-1,60),ROW()-1,FALSE))</f>
        <v>5921854</v>
      </c>
      <c r="AA7">
        <f ca="1">IF(AND(ISNUMBER($AA$162),$B$156=1),$AA$162,HLOOKUP(INDIRECT(ADDRESS(2,COLUMN())),OFFSET($BN$2,0,0,ROW()-1,60),ROW()-1,FALSE))</f>
        <v>6110758</v>
      </c>
      <c r="AB7">
        <f ca="1">IF(AND(ISNUMBER($AB$162),$B$156=1),$AB$162,HLOOKUP(INDIRECT(ADDRESS(2,COLUMN())),OFFSET($BN$2,0,0,ROW()-1,60),ROW()-1,FALSE))</f>
        <v>5101012</v>
      </c>
      <c r="AC7">
        <f ca="1">IF(AND(ISNUMBER($AC$162),$B$156=1),$AC$162,HLOOKUP(INDIRECT(ADDRESS(2,COLUMN())),OFFSET($BN$2,0,0,ROW()-1,60),ROW()-1,FALSE))</f>
        <v>5357343</v>
      </c>
      <c r="AD7">
        <f ca="1">IF(AND(ISNUMBER($AD$162),$B$156=1),$AD$162,HLOOKUP(INDIRECT(ADDRESS(2,COLUMN())),OFFSET($BN$2,0,0,ROW()-1,60),ROW()-1,FALSE))</f>
        <v>5424230</v>
      </c>
      <c r="AE7">
        <f ca="1">IF(AND(ISNUMBER($AE$162),$B$156=1),$AE$162,HLOOKUP(INDIRECT(ADDRESS(2,COLUMN())),OFFSET($BN$2,0,0,ROW()-1,60),ROW()-1,FALSE))</f>
        <v>5206923</v>
      </c>
      <c r="AF7">
        <f ca="1">IF(AND(ISNUMBER($AF$162),$B$156=1),$AF$162,HLOOKUP(INDIRECT(ADDRESS(2,COLUMN())),OFFSET($BN$2,0,0,ROW()-1,60),ROW()-1,FALSE))</f>
        <v>4491951</v>
      </c>
      <c r="AG7">
        <f ca="1">IF(AND(ISNUMBER($AG$162),$B$156=1),$AG$162,HLOOKUP(INDIRECT(ADDRESS(2,COLUMN())),OFFSET($BN$2,0,0,ROW()-1,60),ROW()-1,FALSE))</f>
        <v>4809115</v>
      </c>
      <c r="AH7">
        <f ca="1">IF(AND(ISNUMBER($AH$162),$B$156=1),$AH$162,HLOOKUP(INDIRECT(ADDRESS(2,COLUMN())),OFFSET($BN$2,0,0,ROW()-1,60),ROW()-1,FALSE))</f>
        <v>4795421</v>
      </c>
      <c r="AI7">
        <f ca="1">IF(AND(ISNUMBER($AI$162),$B$156=1),$AI$162,HLOOKUP(INDIRECT(ADDRESS(2,COLUMN())),OFFSET($BN$2,0,0,ROW()-1,60),ROW()-1,FALSE))</f>
        <v>4870394</v>
      </c>
      <c r="AJ7">
        <f ca="1">IF(AND(ISNUMBER($AJ$162),$B$156=1),$AJ$162,HLOOKUP(INDIRECT(ADDRESS(2,COLUMN())),OFFSET($BN$2,0,0,ROW()-1,60),ROW()-1,FALSE))</f>
        <v>4302469</v>
      </c>
      <c r="AK7">
        <f ca="1">IF(AND(ISNUMBER($AK$162),$B$156=1),$AK$162,HLOOKUP(INDIRECT(ADDRESS(2,COLUMN())),OFFSET($BN$2,0,0,ROW()-1,60),ROW()-1,FALSE))</f>
        <v>4370730</v>
      </c>
      <c r="AL7">
        <f ca="1">IF(AND(ISNUMBER($AL$162),$B$156=1),$AL$162,HLOOKUP(INDIRECT(ADDRESS(2,COLUMN())),OFFSET($BN$2,0,0,ROW()-1,60),ROW()-1,FALSE))</f>
        <v>4989813</v>
      </c>
      <c r="AM7">
        <f ca="1">IF(AND(ISNUMBER($AM$162),$B$156=1),$AM$162,HLOOKUP(INDIRECT(ADDRESS(2,COLUMN())),OFFSET($BN$2,0,0,ROW()-1,60),ROW()-1,FALSE))</f>
        <v>4902324</v>
      </c>
      <c r="AN7">
        <f ca="1">IF(AND(ISNUMBER($AN$162),$B$156=1),$AN$162,HLOOKUP(INDIRECT(ADDRESS(2,COLUMN())),OFFSET($BN$2,0,0,ROW()-1,60),ROW()-1,FALSE))</f>
        <v>4123038</v>
      </c>
      <c r="AO7">
        <f ca="1">IF(AND(ISNUMBER($AO$162),$B$156=1),$AO$162,HLOOKUP(INDIRECT(ADDRESS(2,COLUMN())),OFFSET($BN$2,0,0,ROW()-1,60),ROW()-1,FALSE))</f>
        <v>4405608</v>
      </c>
      <c r="AP7">
        <f ca="1">IF(AND(ISNUMBER($AP$162),$B$156=1),$AP$162,HLOOKUP(INDIRECT(ADDRESS(2,COLUMN())),OFFSET($BN$2,0,0,ROW()-1,60),ROW()-1,FALSE))</f>
        <v>4610847</v>
      </c>
      <c r="AQ7">
        <f ca="1">IF(AND(ISNUMBER($AQ$162),$B$156=1),$AQ$162,HLOOKUP(INDIRECT(ADDRESS(2,COLUMN())),OFFSET($BN$2,0,0,ROW()-1,60),ROW()-1,FALSE))</f>
        <v>3977655</v>
      </c>
      <c r="AR7">
        <f ca="1">IF(AND(ISNUMBER($AR$162),$B$156=1),$AR$162,HLOOKUP(INDIRECT(ADDRESS(2,COLUMN())),OFFSET($BN$2,0,0,ROW()-1,60),ROW()-1,FALSE))</f>
        <v>3555907</v>
      </c>
      <c r="AS7">
        <f ca="1">IF(AND(ISNUMBER($AS$162),$B$156=1),$AS$162,HLOOKUP(INDIRECT(ADDRESS(2,COLUMN())),OFFSET($BN$2,0,0,ROW()-1,60),ROW()-1,FALSE))</f>
        <v>3414874</v>
      </c>
      <c r="AT7">
        <f ca="1">IF(AND(ISNUMBER($AT$162),$B$156=1),$AT$162,HLOOKUP(INDIRECT(ADDRESS(2,COLUMN())),OFFSET($BN$2,0,0,ROW()-1,60),ROW()-1,FALSE))</f>
        <v>2673149</v>
      </c>
      <c r="AU7">
        <f ca="1">IF(AND(ISNUMBER($AU$162),$B$156=1),$AU$162,HLOOKUP(INDIRECT(ADDRESS(2,COLUMN())),OFFSET($BN$2,0,0,ROW()-1,60),ROW()-1,FALSE))</f>
        <v>2142413</v>
      </c>
      <c r="AV7">
        <f ca="1">IF(AND(ISNUMBER($AV$162),$B$156=1),$AV$162,HLOOKUP(INDIRECT(ADDRESS(2,COLUMN())),OFFSET($BN$2,0,0,ROW()-1,60),ROW()-1,FALSE))</f>
        <v>2046402</v>
      </c>
      <c r="AW7">
        <f ca="1">IF(AND(ISNUMBER($AW$162),$B$156=1),$AW$162,HLOOKUP(INDIRECT(ADDRESS(2,COLUMN())),OFFSET($BN$2,0,0,ROW()-1,60),ROW()-1,FALSE))</f>
        <v>2594986</v>
      </c>
      <c r="AX7">
        <f ca="1">IF(AND(ISNUMBER($AX$162),$B$156=1),$AX$162,HLOOKUP(INDIRECT(ADDRESS(2,COLUMN())),OFFSET($BN$2,0,0,ROW()-1,60),ROW()-1,FALSE))</f>
        <v>2579505</v>
      </c>
      <c r="AY7">
        <f ca="1">IF(AND(ISNUMBER($AY$162),$B$156=1),$AY$162,HLOOKUP(INDIRECT(ADDRESS(2,COLUMN())),OFFSET($BN$2,0,0,ROW()-1,60),ROW()-1,FALSE))</f>
        <v>2332546</v>
      </c>
      <c r="AZ7">
        <f ca="1">IF(AND(ISNUMBER($AZ$162),$B$156=1),$AZ$162,HLOOKUP(INDIRECT(ADDRESS(2,COLUMN())),OFFSET($BN$2,0,0,ROW()-1,60),ROW()-1,FALSE))</f>
        <v>2085410</v>
      </c>
      <c r="BA7">
        <f ca="1">IF(AND(ISNUMBER($BA$162),$B$156=1),$BA$162,HLOOKUP(INDIRECT(ADDRESS(2,COLUMN())),OFFSET($BN$2,0,0,ROW()-1,60),ROW()-1,FALSE))</f>
        <v>2249175</v>
      </c>
      <c r="BB7">
        <f ca="1">IF(AND(ISNUMBER($BB$162),$B$156=1),$BB$162,HLOOKUP(INDIRECT(ADDRESS(2,COLUMN())),OFFSET($BN$2,0,0,ROW()-1,60),ROW()-1,FALSE))</f>
        <v>2117660</v>
      </c>
      <c r="BC7">
        <f ca="1">IF(AND(ISNUMBER($BC$162),$B$156=1),$BC$162,HLOOKUP(INDIRECT(ADDRESS(2,COLUMN())),OFFSET($BN$2,0,0,ROW()-1,60),ROW()-1,FALSE))</f>
        <v>2023888</v>
      </c>
      <c r="BD7">
        <f ca="1">IF(AND(ISNUMBER($BD$162),$B$156=1),$BD$162,HLOOKUP(INDIRECT(ADDRESS(2,COLUMN())),OFFSET($BN$2,0,0,ROW()-1,60),ROW()-1,FALSE))</f>
        <v>1630166</v>
      </c>
      <c r="BE7">
        <f ca="1">IF(AND(ISNUMBER($BE$162),$B$156=1),$BE$162,HLOOKUP(INDIRECT(ADDRESS(2,COLUMN())),OFFSET($BN$2,0,0,ROW()-1,60),ROW()-1,FALSE))</f>
        <v>1798010</v>
      </c>
      <c r="BF7">
        <f ca="1">IF(AND(ISNUMBER($BF$162),$B$156=1),$BF$162,HLOOKUP(INDIRECT(ADDRESS(2,COLUMN())),OFFSET($BN$2,0,0,ROW()-1,60),ROW()-1,FALSE))</f>
        <v>1731494</v>
      </c>
      <c r="BG7">
        <f ca="1">IF(AND(ISNUMBER($BG$162),$B$156=1),$BG$162,HLOOKUP(INDIRECT(ADDRESS(2,COLUMN())),OFFSET($BN$2,0,0,ROW()-1,60),ROW()-1,FALSE))</f>
        <v>1622392</v>
      </c>
      <c r="BH7">
        <f ca="1">IF(AND(ISNUMBER($BH$162),$B$156=1),$BH$162,HLOOKUP(INDIRECT(ADDRESS(2,COLUMN())),OFFSET($BN$2,0,0,ROW()-1,60),ROW()-1,FALSE))</f>
        <v>1347879</v>
      </c>
      <c r="BI7">
        <f ca="1">IF(AND(ISNUMBER($BI$162),$B$156=1),$BI$162,HLOOKUP(INDIRECT(ADDRESS(2,COLUMN())),OFFSET($BN$2,0,0,ROW()-1,60),ROW()-1,FALSE))</f>
        <v>1520045</v>
      </c>
      <c r="BJ7">
        <f ca="1">IF(AND(ISNUMBER($BJ$162),$B$156=1),$BJ$162,HLOOKUP(INDIRECT(ADDRESS(2,COLUMN())),OFFSET($BN$2,0,0,ROW()-1,60),ROW()-1,FALSE))</f>
        <v>1267075</v>
      </c>
      <c r="BK7">
        <f ca="1">IF(AND(ISNUMBER($BK$162),$B$156=1),$BK$162,HLOOKUP(INDIRECT(ADDRESS(2,COLUMN())),OFFSET($BN$2,0,0,ROW()-1,60),ROW()-1,FALSE))</f>
        <v>1342979</v>
      </c>
      <c r="BL7">
        <f ca="1">IF(AND(ISNUMBER($BL$162),$B$156=1),$BL$162,HLOOKUP(INDIRECT(ADDRESS(2,COLUMN())),OFFSET($BN$2,0,0,ROW()-1,60),ROW()-1,FALSE))</f>
        <v>1167309</v>
      </c>
      <c r="BM7">
        <f ca="1">IF(AND(ISNUMBER($BM$162),$B$156=1),$BM$162,HLOOKUP(INDIRECT(ADDRESS(2,COLUMN())),OFFSET($BN$2,0,0,ROW()-1,60),ROW()-1,FALSE))</f>
        <v>1274162</v>
      </c>
      <c r="BN7">
        <f>2367278</f>
        <v>2367278</v>
      </c>
      <c r="BO7">
        <f>7589411</f>
        <v>7589411</v>
      </c>
      <c r="BP7">
        <f>6386536</f>
        <v>6386536</v>
      </c>
      <c r="BQ7">
        <f>6879927</f>
        <v>6879927</v>
      </c>
      <c r="BR7">
        <f>7183073</f>
        <v>7183073</v>
      </c>
      <c r="BS7">
        <f>8721416</f>
        <v>8721416</v>
      </c>
      <c r="BT7">
        <f>6866382</f>
        <v>6866382</v>
      </c>
      <c r="BU7">
        <f>6351893</f>
        <v>6351893</v>
      </c>
      <c r="BV7">
        <f>7001690</f>
        <v>7001690</v>
      </c>
      <c r="BW7">
        <f>8645873</f>
        <v>8645873</v>
      </c>
      <c r="BX7">
        <f>6487058</f>
        <v>6487058</v>
      </c>
      <c r="BY7">
        <f>6284767</f>
        <v>6284767</v>
      </c>
      <c r="BZ7">
        <f>6521233</f>
        <v>6521233</v>
      </c>
      <c r="CA7">
        <f>7515842</f>
        <v>7515842</v>
      </c>
      <c r="CB7">
        <f>5192294</f>
        <v>5192294</v>
      </c>
      <c r="CC7">
        <f>5701371</f>
        <v>5701371</v>
      </c>
      <c r="CD7">
        <f>6153468</f>
        <v>6153468</v>
      </c>
      <c r="CE7">
        <f>6488150</f>
        <v>6488150</v>
      </c>
      <c r="CF7">
        <f>5317296</f>
        <v>5317296</v>
      </c>
      <c r="CG7">
        <f>5761303</f>
        <v>5761303</v>
      </c>
      <c r="CH7">
        <f>5921854</f>
        <v>5921854</v>
      </c>
      <c r="CI7">
        <f>6110758</f>
        <v>6110758</v>
      </c>
      <c r="CJ7">
        <f>5101012</f>
        <v>5101012</v>
      </c>
      <c r="CK7">
        <f>5357343</f>
        <v>5357343</v>
      </c>
      <c r="CL7">
        <f>5424230</f>
        <v>5424230</v>
      </c>
      <c r="CM7">
        <f>5206923</f>
        <v>5206923</v>
      </c>
      <c r="CN7">
        <f>4491951</f>
        <v>4491951</v>
      </c>
      <c r="CO7">
        <f>4809115</f>
        <v>4809115</v>
      </c>
      <c r="CP7">
        <f>4795421</f>
        <v>4795421</v>
      </c>
      <c r="CQ7">
        <f>4870394</f>
        <v>4870394</v>
      </c>
      <c r="CR7">
        <f>4302469</f>
        <v>4302469</v>
      </c>
      <c r="CS7">
        <f>4370730</f>
        <v>4370730</v>
      </c>
      <c r="CT7">
        <f>4989813</f>
        <v>4989813</v>
      </c>
      <c r="CU7">
        <f>4902324</f>
        <v>4902324</v>
      </c>
      <c r="CV7">
        <f>4123038</f>
        <v>4123038</v>
      </c>
      <c r="CW7">
        <f>4405608</f>
        <v>4405608</v>
      </c>
      <c r="CX7">
        <f>4610847</f>
        <v>4610847</v>
      </c>
      <c r="CY7">
        <f>3977655</f>
        <v>3977655</v>
      </c>
      <c r="CZ7">
        <f>3555907</f>
        <v>3555907</v>
      </c>
      <c r="DA7">
        <f>3414874</f>
        <v>3414874</v>
      </c>
      <c r="DB7">
        <f>2673149</f>
        <v>2673149</v>
      </c>
      <c r="DC7">
        <f>2142413</f>
        <v>2142413</v>
      </c>
      <c r="DD7">
        <f>2046402</f>
        <v>2046402</v>
      </c>
      <c r="DE7">
        <f>2594986</f>
        <v>2594986</v>
      </c>
      <c r="DF7">
        <f>2579505</f>
        <v>2579505</v>
      </c>
      <c r="DG7">
        <f>2332546</f>
        <v>2332546</v>
      </c>
      <c r="DH7">
        <f>2085410</f>
        <v>2085410</v>
      </c>
      <c r="DI7">
        <f>2249175</f>
        <v>2249175</v>
      </c>
      <c r="DJ7">
        <f>2117660</f>
        <v>2117660</v>
      </c>
      <c r="DK7">
        <f>2023888</f>
        <v>2023888</v>
      </c>
      <c r="DL7">
        <f>1630166</f>
        <v>1630166</v>
      </c>
      <c r="DM7">
        <f>1798010</f>
        <v>1798010</v>
      </c>
      <c r="DN7">
        <f>1731494</f>
        <v>1731494</v>
      </c>
      <c r="DO7">
        <f>1622392</f>
        <v>1622392</v>
      </c>
      <c r="DP7">
        <f>1347879</f>
        <v>1347879</v>
      </c>
      <c r="DQ7">
        <f>1520045</f>
        <v>1520045</v>
      </c>
      <c r="DR7">
        <f>1267075</f>
        <v>1267075</v>
      </c>
      <c r="DS7">
        <f>1342979</f>
        <v>1342979</v>
      </c>
      <c r="DT7">
        <f>1167309</f>
        <v>1167309</v>
      </c>
      <c r="DU7">
        <f>1274162</f>
        <v>1274162</v>
      </c>
    </row>
    <row r="8" spans="1:125" x14ac:dyDescent="0.25">
      <c r="A8" t="str">
        <f>"        India"</f>
        <v xml:space="preserve">        India</v>
      </c>
      <c r="B8" t="str">
        <f>""</f>
        <v/>
      </c>
      <c r="E8" t="str">
        <f>"Sum"</f>
        <v>Sum</v>
      </c>
      <c r="F8" t="str">
        <f ca="1">IF(ISERROR(IF(SUM($F$9:$F$11) = 0, "", SUM($F$9:$F$11))), "", (IF(SUM($F$9:$F$11) = 0, "", SUM($F$9:$F$11))))</f>
        <v/>
      </c>
      <c r="G8" t="str">
        <f ca="1">IF(ISERROR(IF(SUM($G$9:$G$11) = 0, "", SUM($G$9:$G$11))), "", (IF(SUM($G$9:$G$11) = 0, "", SUM($G$9:$G$11))))</f>
        <v/>
      </c>
      <c r="H8" t="str">
        <f ca="1">IF(ISERROR(IF(SUM($H$9:$H$11) = 0, "", SUM($H$9:$H$11))), "", (IF(SUM($H$9:$H$11) = 0, "", SUM($H$9:$H$11))))</f>
        <v/>
      </c>
      <c r="I8" t="str">
        <f ca="1">IF(ISERROR(IF(SUM($I$9:$I$11) = 0, "", SUM($I$9:$I$11))), "", (IF(SUM($I$9:$I$11) = 0, "", SUM($I$9:$I$11))))</f>
        <v/>
      </c>
      <c r="J8" t="str">
        <f ca="1">IF(ISERROR(IF(SUM($J$9:$J$11) = 0, "", SUM($J$9:$J$11))), "", (IF(SUM($J$9:$J$11) = 0, "", SUM($J$9:$J$11))))</f>
        <v/>
      </c>
      <c r="K8" t="str">
        <f ca="1">IF(ISERROR(IF(SUM($K$9:$K$11) = 0, "", SUM($K$9:$K$11))), "", (IF(SUM($K$9:$K$11) = 0, "", SUM($K$9:$K$11))))</f>
        <v/>
      </c>
      <c r="L8">
        <f ca="1">IF(ISERROR(IF(SUM($L$9:$L$11) = 0, "", SUM($L$9:$L$11))), "", (IF(SUM($L$9:$L$11) = 0, "", SUM($L$9:$L$11))))</f>
        <v>497808</v>
      </c>
      <c r="M8">
        <f ca="1">IF(ISERROR(IF(SUM($M$9:$M$11) = 0, "", SUM($M$9:$M$11))), "", (IF(SUM($M$9:$M$11) = 0, "", SUM($M$9:$M$11))))</f>
        <v>727643</v>
      </c>
      <c r="N8">
        <f ca="1">IF(ISERROR(IF(SUM($N$9:$N$11) = 0, "", SUM($N$9:$N$11))), "", (IF(SUM($N$9:$N$11) = 0, "", SUM($N$9:$N$11))))</f>
        <v>803198</v>
      </c>
      <c r="O8">
        <f ca="1">IF(ISERROR(IF(SUM($O$9:$O$11) = 0, "", SUM($O$9:$O$11))), "", (IF(SUM($O$9:$O$11) = 0, "", SUM($O$9:$O$11))))</f>
        <v>749480</v>
      </c>
      <c r="P8">
        <f ca="1">IF(ISERROR(IF(SUM($P$9:$P$11) = 0, "", SUM($P$9:$P$11))), "", (IF(SUM($P$9:$P$11) = 0, "", SUM($P$9:$P$11))))</f>
        <v>796870</v>
      </c>
      <c r="Q8">
        <f ca="1">IF(ISERROR(IF(SUM($Q$9:$Q$11) = 0, "", SUM($Q$9:$Q$11))), "", (IF(SUM($Q$9:$Q$11) = 0, "", SUM($Q$9:$Q$11))))</f>
        <v>697154</v>
      </c>
      <c r="R8">
        <f ca="1">IF(ISERROR(IF(SUM($R$9:$R$11) = 0, "", SUM($R$9:$R$11))), "", (IF(SUM($R$9:$R$11) = 0, "", SUM($R$9:$R$11))))</f>
        <v>723081</v>
      </c>
      <c r="S8">
        <f ca="1">IF(ISERROR(IF(SUM($S$9:$S$11) = 0, "", SUM($S$9:$S$11))), "", (IF(SUM($S$9:$S$11) = 0, "", SUM($S$9:$S$11))))</f>
        <v>736254</v>
      </c>
      <c r="T8">
        <f ca="1">IF(ISERROR(IF(SUM($T$9:$T$11) = 0, "", SUM($T$9:$T$11))), "", (IF(SUM($T$9:$T$11) = 0, "", SUM($T$9:$T$11))))</f>
        <v>676281</v>
      </c>
      <c r="U8">
        <f ca="1">IF(ISERROR(IF(SUM($U$9:$U$11) = 0, "", SUM($U$9:$U$11))), "", (IF(SUM($U$9:$U$11) = 0, "", SUM($U$9:$U$11))))</f>
        <v>653593</v>
      </c>
      <c r="V8">
        <f ca="1">IF(ISERROR(IF(SUM($V$9:$V$11) = 0, "", SUM($V$9:$V$11))), "", (IF(SUM($V$9:$V$11) = 0, "", SUM($V$9:$V$11))))</f>
        <v>705294</v>
      </c>
      <c r="W8">
        <f ca="1">IF(ISERROR(IF(SUM($W$9:$W$11) = 0, "", SUM($W$9:$W$11))), "", (IF(SUM($W$9:$W$11) = 0, "", SUM($W$9:$W$11))))</f>
        <v>642686</v>
      </c>
      <c r="X8">
        <f ca="1">IF(ISERROR(IF(SUM($X$9:$X$11) = 0, "", SUM($X$9:$X$11))), "", (IF(SUM($X$9:$X$11) = 0, "", SUM($X$9:$X$11))))</f>
        <v>637084</v>
      </c>
      <c r="Y8">
        <f ca="1">IF(ISERROR(IF(SUM($Y$9:$Y$11) = 0, "", SUM($Y$9:$Y$11))), "", (IF(SUM($Y$9:$Y$11) = 0, "", SUM($Y$9:$Y$11))))</f>
        <v>614943</v>
      </c>
      <c r="Z8">
        <f ca="1">IF(ISERROR(IF(SUM($Z$9:$Z$11) = 0, "", SUM($Z$9:$Z$11))), "", (IF(SUM($Z$9:$Z$11) = 0, "", SUM($Z$9:$Z$11))))</f>
        <v>679336</v>
      </c>
      <c r="AA8">
        <f ca="1">IF(ISERROR(IF(SUM($AA$9:$AA$11) = 0, "", SUM($AA$9:$AA$11))), "", (IF(SUM($AA$9:$AA$11) = 0, "", SUM($AA$9:$AA$11))))</f>
        <v>626612</v>
      </c>
      <c r="AB8">
        <f ca="1">IF(ISERROR(IF(SUM($AB$9:$AB$11) = 0, "", SUM($AB$9:$AB$11))), "", (IF(SUM($AB$9:$AB$11) = 0, "", SUM($AB$9:$AB$11))))</f>
        <v>593829</v>
      </c>
      <c r="AC8">
        <f ca="1">IF(ISERROR(IF(SUM($AC$9:$AC$11) = 0, "", SUM($AC$9:$AC$11))), "", (IF(SUM($AC$9:$AC$11) = 0, "", SUM($AC$9:$AC$11))))</f>
        <v>607425</v>
      </c>
      <c r="AD8">
        <f ca="1">IF(ISERROR(IF(SUM($AD$9:$AD$11) = 0, "", SUM($AD$9:$AD$11))), "", (IF(SUM($AD$9:$AD$11) = 0, "", SUM($AD$9:$AD$11))))</f>
        <v>725922</v>
      </c>
      <c r="AE8">
        <f ca="1">IF(ISERROR(IF(SUM($AE$9:$AE$11) = 0, "", SUM($AE$9:$AE$11))), "", (IF(SUM($AE$9:$AE$11) = 0, "", SUM($AE$9:$AE$11))))</f>
        <v>673040</v>
      </c>
      <c r="AF8">
        <f ca="1">IF(ISERROR(IF(SUM($AF$9:$AF$11) = 0, "", SUM($AF$9:$AF$11))), "", (IF(SUM($AF$9:$AF$11) = 0, "", SUM($AF$9:$AF$11))))</f>
        <v>611195</v>
      </c>
      <c r="AG8">
        <f ca="1">IF(ISERROR(IF(SUM($AG$9:$AG$11) = 0, "", SUM($AG$9:$AG$11))), "", (IF(SUM($AG$9:$AG$11) = 0, "", SUM($AG$9:$AG$11))))</f>
        <v>654858</v>
      </c>
      <c r="AH8">
        <f ca="1">IF(ISERROR(IF(SUM($AH$9:$AH$11) = 0, "", SUM($AH$9:$AH$11))), "", (IF(SUM($AH$9:$AH$11) = 0, "", SUM($AH$9:$AH$11))))</f>
        <v>821376</v>
      </c>
      <c r="AI8">
        <f ca="1">IF(ISERROR(IF(SUM($AI$9:$AI$11) = 0, "", SUM($AI$9:$AI$11))), "", (IF(SUM($AI$9:$AI$11) = 0, "", SUM($AI$9:$AI$11))))</f>
        <v>612490</v>
      </c>
      <c r="AJ8">
        <f ca="1">IF(ISERROR(IF(SUM($AJ$9:$AJ$11) = 0, "", SUM($AJ$9:$AJ$11))), "", (IF(SUM($AJ$9:$AJ$11) = 0, "", SUM($AJ$9:$AJ$11))))</f>
        <v>593419</v>
      </c>
      <c r="AK8">
        <f ca="1">IF(ISERROR(IF(SUM($AK$9:$AK$11) = 0, "", SUM($AK$9:$AK$11))), "", (IF(SUM($AK$9:$AK$11) = 0, "", SUM($AK$9:$AK$11))))</f>
        <v>602140</v>
      </c>
      <c r="AL8">
        <f ca="1">IF(ISERROR(IF(SUM($AL$9:$AL$11) = 0, "", SUM($AL$9:$AL$11))), "", (IF(SUM($AL$9:$AL$11) = 0, "", SUM($AL$9:$AL$11))))</f>
        <v>706313</v>
      </c>
      <c r="AM8">
        <f ca="1">IF(ISERROR(IF(SUM($AM$9:$AM$11) = 0, "", SUM($AM$9:$AM$11))), "", (IF(SUM($AM$9:$AM$11) = 0, "", SUM($AM$9:$AM$11))))</f>
        <v>620745</v>
      </c>
      <c r="AN8">
        <f ca="1">IF(ISERROR(IF(SUM($AN$9:$AN$11) = 0, "", SUM($AN$9:$AN$11))), "", (IF(SUM($AN$9:$AN$11) = 0, "", SUM($AN$9:$AN$11))))</f>
        <v>620661</v>
      </c>
      <c r="AO8">
        <f ca="1">IF(ISERROR(IF(SUM($AO$9:$AO$11) = 0, "", SUM($AO$9:$AO$11))), "", (IF(SUM($AO$9:$AO$11) = 0, "", SUM($AO$9:$AO$11))))</f>
        <v>554213</v>
      </c>
      <c r="AP8">
        <f ca="1">IF(ISERROR(IF(SUM($AP$9:$AP$11) = 0, "", SUM($AP$9:$AP$11))), "", (IF(SUM($AP$9:$AP$11) = 0, "", SUM($AP$9:$AP$11))))</f>
        <v>582160</v>
      </c>
      <c r="AQ8">
        <f ca="1">IF(ISERROR(IF(SUM($AQ$9:$AQ$11) = 0, "", SUM($AQ$9:$AQ$11))), "", (IF(SUM($AQ$9:$AQ$11) = 0, "", SUM($AQ$9:$AQ$11))))</f>
        <v>483953</v>
      </c>
      <c r="AR8">
        <f ca="1">IF(ISERROR(IF(SUM($AR$9:$AR$11) = 0, "", SUM($AR$9:$AR$11))), "", (IF(SUM($AR$9:$AR$11) = 0, "", SUM($AR$9:$AR$11))))</f>
        <v>467302</v>
      </c>
      <c r="AS8">
        <f ca="1">IF(ISERROR(IF(SUM($AS$9:$AS$11) = 0, "", SUM($AS$9:$AS$11))), "", (IF(SUM($AS$9:$AS$11) = 0, "", SUM($AS$9:$AS$11))))</f>
        <v>417591</v>
      </c>
      <c r="AT8">
        <f ca="1">IF(ISERROR(IF(SUM($AT$9:$AT$11) = 0, "", SUM($AT$9:$AT$11))), "", (IF(SUM($AT$9:$AT$11) = 0, "", SUM($AT$9:$AT$11))))</f>
        <v>447704</v>
      </c>
      <c r="AU8">
        <f ca="1">IF(ISERROR(IF(SUM($AU$9:$AU$11) = 0, "", SUM($AU$9:$AU$11))), "", (IF(SUM($AU$9:$AU$11) = 0, "", SUM($AU$9:$AU$11))))</f>
        <v>264347</v>
      </c>
      <c r="AV8">
        <f ca="1">IF(ISERROR(IF(SUM($AV$9:$AV$11) = 0, "", SUM($AV$9:$AV$11))), "", (IF(SUM($AV$9:$AV$11) = 0, "", SUM($AV$9:$AV$11))))</f>
        <v>291500</v>
      </c>
      <c r="AW8">
        <f ca="1">IF(ISERROR(IF(SUM($AW$9:$AW$11) = 0, "", SUM($AW$9:$AW$11))), "", (IF(SUM($AW$9:$AW$11) = 0, "", SUM($AW$9:$AW$11))))</f>
        <v>309238</v>
      </c>
      <c r="AX8">
        <f ca="1">IF(ISERROR(IF(SUM($AX$9:$AX$11) = 0, "", SUM($AX$9:$AX$11))), "", (IF(SUM($AX$9:$AX$11) = 0, "", SUM($AX$9:$AX$11))))</f>
        <v>336749</v>
      </c>
      <c r="AY8">
        <f ca="1">IF(ISERROR(IF(SUM($AY$9:$AY$11) = 0, "", SUM($AY$9:$AY$11))), "", (IF(SUM($AY$9:$AY$11) = 0, "", SUM($AY$9:$AY$11))))</f>
        <v>297180</v>
      </c>
      <c r="AZ8">
        <f ca="1">IF(ISERROR(IF(SUM($AZ$9:$AZ$11) = 0, "", SUM($AZ$9:$AZ$11))), "", (IF(SUM($AZ$9:$AZ$11) = 0, "", SUM($AZ$9:$AZ$11))))</f>
        <v>293965</v>
      </c>
      <c r="BA8">
        <f ca="1">IF(ISERROR(IF(SUM($BA$9:$BA$11) = 0, "", SUM($BA$9:$BA$11))), "", (IF(SUM($BA$9:$BA$11) = 0, "", SUM($BA$9:$BA$11))))</f>
        <v>275208</v>
      </c>
      <c r="BB8">
        <f ca="1">IF(ISERROR(IF(SUM($BB$9:$BB$11) = 0, "", SUM($BB$9:$BB$11))), "", (IF(SUM($BB$9:$BB$11) = 0, "", SUM($BB$9:$BB$11))))</f>
        <v>311264</v>
      </c>
      <c r="BC8">
        <f ca="1">IF(ISERROR(IF(SUM($BC$9:$BC$11) = 0, "", SUM($BC$9:$BC$11))), "", (IF(SUM($BC$9:$BC$11) = 0, "", SUM($BC$9:$BC$11))))</f>
        <v>261923</v>
      </c>
      <c r="BD8">
        <f ca="1">IF(ISERROR(IF(SUM($BD$9:$BD$11) = 0, "", SUM($BD$9:$BD$11))), "", (IF(SUM($BD$9:$BD$11) = 0, "", SUM($BD$9:$BD$11))))</f>
        <v>259164</v>
      </c>
      <c r="BE8">
        <f ca="1">IF(ISERROR(IF(SUM($BE$9:$BE$11) = 0, "", SUM($BE$9:$BE$11))), "", (IF(SUM($BE$9:$BE$11) = 0, "", SUM($BE$9:$BE$11))))</f>
        <v>244189</v>
      </c>
      <c r="BF8">
        <f ca="1">IF(ISERROR(IF(SUM($BF$9:$BF$11) = 0, "", SUM($BF$9:$BF$11))), "", (IF(SUM($BF$9:$BF$11) = 0, "", SUM($BF$9:$BF$11))))</f>
        <v>258426</v>
      </c>
      <c r="BG8">
        <f ca="1">IF(ISERROR(IF(SUM($BG$9:$BG$11) = 0, "", SUM($BG$9:$BG$11))), "", (IF(SUM($BG$9:$BG$11) = 0, "", SUM($BG$9:$BG$11))))</f>
        <v>214101</v>
      </c>
      <c r="BH8">
        <f ca="1">IF(ISERROR(IF(SUM($BH$9:$BH$11) = 0, "", SUM($BH$9:$BH$11))), "", (IF(SUM($BH$9:$BH$11) = 0, "", SUM($BH$9:$BH$11))))</f>
        <v>212760</v>
      </c>
      <c r="BI8">
        <f ca="1">IF(ISERROR(IF(SUM($BI$9:$BI$11) = 0, "", SUM($BI$9:$BI$11))), "", (IF(SUM($BI$9:$BI$11) = 0, "", SUM($BI$9:$BI$11))))</f>
        <v>196921</v>
      </c>
      <c r="BJ8">
        <f ca="1">IF(ISERROR(IF(SUM($BJ$9:$BJ$11) = 0, "", SUM($BJ$9:$BJ$11))), "", (IF(SUM($BJ$9:$BJ$11) = 0, "", SUM($BJ$9:$BJ$11))))</f>
        <v>229541</v>
      </c>
      <c r="BK8">
        <f ca="1">IF(ISERROR(IF(SUM($BK$9:$BK$11) = 0, "", SUM($BK$9:$BK$11))), "", (IF(SUM($BK$9:$BK$11) = 0, "", SUM($BK$9:$BK$11))))</f>
        <v>204761</v>
      </c>
      <c r="BL8">
        <f ca="1">IF(ISERROR(IF(SUM($BL$9:$BL$11) = 0, "", SUM($BL$9:$BL$11))), "", (IF(SUM($BL$9:$BL$11) = 0, "", SUM($BL$9:$BL$11))))</f>
        <v>203958</v>
      </c>
      <c r="BM8">
        <f ca="1">IF(ISERROR(IF(SUM($BM$9:$BM$11) = 0, "", SUM($BM$9:$BM$11))), "", (IF(SUM($BM$9:$BM$11) = 0, "", SUM($BM$9:$BM$11))))</f>
        <v>181919</v>
      </c>
      <c r="BN8" t="str">
        <f>""</f>
        <v/>
      </c>
      <c r="BO8" t="str">
        <f>""</f>
        <v/>
      </c>
      <c r="BP8" t="str">
        <f>""</f>
        <v/>
      </c>
      <c r="BQ8" t="str">
        <f>""</f>
        <v/>
      </c>
      <c r="BR8" t="str">
        <f>""</f>
        <v/>
      </c>
      <c r="BS8" t="str">
        <f>""</f>
        <v/>
      </c>
      <c r="BT8">
        <f>497808</f>
        <v>497808</v>
      </c>
      <c r="BU8">
        <f>727643</f>
        <v>727643</v>
      </c>
      <c r="BV8">
        <f>803198</f>
        <v>803198</v>
      </c>
      <c r="BW8">
        <f>749480</f>
        <v>749480</v>
      </c>
      <c r="BX8">
        <f>796870</f>
        <v>796870</v>
      </c>
      <c r="BY8">
        <f>697154</f>
        <v>697154</v>
      </c>
      <c r="BZ8">
        <f>723081</f>
        <v>723081</v>
      </c>
      <c r="CA8">
        <f>736254</f>
        <v>736254</v>
      </c>
      <c r="CB8">
        <f>676281</f>
        <v>676281</v>
      </c>
      <c r="CC8">
        <f>653593</f>
        <v>653593</v>
      </c>
      <c r="CD8">
        <f>705294</f>
        <v>705294</v>
      </c>
      <c r="CE8">
        <f>642686</f>
        <v>642686</v>
      </c>
      <c r="CF8">
        <f>637084</f>
        <v>637084</v>
      </c>
      <c r="CG8">
        <f>614943</f>
        <v>614943</v>
      </c>
      <c r="CH8">
        <f>679336</f>
        <v>679336</v>
      </c>
      <c r="CI8">
        <f>626612</f>
        <v>626612</v>
      </c>
      <c r="CJ8">
        <f>593829</f>
        <v>593829</v>
      </c>
      <c r="CK8">
        <f>607425</f>
        <v>607425</v>
      </c>
      <c r="CL8">
        <f>725922</f>
        <v>725922</v>
      </c>
      <c r="CM8">
        <f>673040</f>
        <v>673040</v>
      </c>
      <c r="CN8">
        <f>611195</f>
        <v>611195</v>
      </c>
      <c r="CO8">
        <f>654858</f>
        <v>654858</v>
      </c>
      <c r="CP8">
        <f>821376</f>
        <v>821376</v>
      </c>
      <c r="CQ8">
        <f>612490</f>
        <v>612490</v>
      </c>
      <c r="CR8">
        <f>593419</f>
        <v>593419</v>
      </c>
      <c r="CS8">
        <f>602140</f>
        <v>602140</v>
      </c>
      <c r="CT8">
        <f>706313</f>
        <v>706313</v>
      </c>
      <c r="CU8">
        <f>620745</f>
        <v>620745</v>
      </c>
      <c r="CV8">
        <f>620661</f>
        <v>620661</v>
      </c>
      <c r="CW8">
        <f>554213</f>
        <v>554213</v>
      </c>
      <c r="CX8">
        <f>582160</f>
        <v>582160</v>
      </c>
      <c r="CY8">
        <f>483953</f>
        <v>483953</v>
      </c>
      <c r="CZ8">
        <f>467302</f>
        <v>467302</v>
      </c>
      <c r="DA8">
        <f>417591</f>
        <v>417591</v>
      </c>
      <c r="DB8">
        <f>447704</f>
        <v>447704</v>
      </c>
      <c r="DC8">
        <f>264347</f>
        <v>264347</v>
      </c>
      <c r="DD8">
        <f>291500</f>
        <v>291500</v>
      </c>
      <c r="DE8">
        <f>309238</f>
        <v>309238</v>
      </c>
      <c r="DF8">
        <f>336749</f>
        <v>336749</v>
      </c>
      <c r="DG8">
        <f>297180</f>
        <v>297180</v>
      </c>
      <c r="DH8">
        <f>293965</f>
        <v>293965</v>
      </c>
      <c r="DI8">
        <f>275208</f>
        <v>275208</v>
      </c>
      <c r="DJ8">
        <f>311264</f>
        <v>311264</v>
      </c>
      <c r="DK8">
        <f>261923</f>
        <v>261923</v>
      </c>
      <c r="DL8">
        <f>259164</f>
        <v>259164</v>
      </c>
      <c r="DM8">
        <f>244189</f>
        <v>244189</v>
      </c>
      <c r="DN8">
        <f>258426</f>
        <v>258426</v>
      </c>
      <c r="DO8">
        <f>214101</f>
        <v>214101</v>
      </c>
      <c r="DP8">
        <f>212760</f>
        <v>212760</v>
      </c>
      <c r="DQ8">
        <f>196921</f>
        <v>196921</v>
      </c>
      <c r="DR8">
        <f>229541</f>
        <v>229541</v>
      </c>
      <c r="DS8">
        <f>204761</f>
        <v>204761</v>
      </c>
      <c r="DT8">
        <f>203958</f>
        <v>203958</v>
      </c>
      <c r="DU8">
        <f>181919</f>
        <v>181919</v>
      </c>
    </row>
    <row r="9" spans="1:125" x14ac:dyDescent="0.25">
      <c r="A9" t="str">
        <f>"            India Passeger Vehicle"</f>
        <v xml:space="preserve">            India Passeger Vehicle</v>
      </c>
      <c r="B9" t="str">
        <f>"INVSDPAS Index"</f>
        <v>INVSDPAS Index</v>
      </c>
      <c r="C9" t="str">
        <f t="shared" ref="C9:C21" si="0">"PX385"</f>
        <v>PX385</v>
      </c>
      <c r="D9" t="str">
        <f t="shared" ref="D9:D21" si="1">"INTERVAL_SUM"</f>
        <v>INTERVAL_SUM</v>
      </c>
      <c r="E9" t="str">
        <f t="shared" ref="E9:E21" si="2">"Dynamic"</f>
        <v>Dynamic</v>
      </c>
      <c r="F9" t="str">
        <f ca="1">IF(AND(ISNUMBER($F$163),$B$156=1),$F$163,HLOOKUP(INDIRECT(ADDRESS(2,COLUMN())),OFFSET($BN$2,0,0,ROW()-1,60),ROW()-1,FALSE))</f>
        <v/>
      </c>
      <c r="G9" t="str">
        <f ca="1">IF(AND(ISNUMBER($G$163),$B$156=1),$G$163,HLOOKUP(INDIRECT(ADDRESS(2,COLUMN())),OFFSET($BN$2,0,0,ROW()-1,60),ROW()-1,FALSE))</f>
        <v/>
      </c>
      <c r="H9" t="str">
        <f ca="1">IF(AND(ISNUMBER($H$163),$B$156=1),$H$163,HLOOKUP(INDIRECT(ADDRESS(2,COLUMN())),OFFSET($BN$2,0,0,ROW()-1,60),ROW()-1,FALSE))</f>
        <v/>
      </c>
      <c r="I9" t="str">
        <f ca="1">IF(AND(ISNUMBER($I$163),$B$156=1),$I$163,HLOOKUP(INDIRECT(ADDRESS(2,COLUMN())),OFFSET($BN$2,0,0,ROW()-1,60),ROW()-1,FALSE))</f>
        <v/>
      </c>
      <c r="J9" t="str">
        <f ca="1">IF(AND(ISNUMBER($J$163),$B$156=1),$J$163,HLOOKUP(INDIRECT(ADDRESS(2,COLUMN())),OFFSET($BN$2,0,0,ROW()-1,60),ROW()-1,FALSE))</f>
        <v/>
      </c>
      <c r="K9" t="str">
        <f ca="1">IF(AND(ISNUMBER($K$163),$B$156=1),$K$163,HLOOKUP(INDIRECT(ADDRESS(2,COLUMN())),OFFSET($BN$2,0,0,ROW()-1,60),ROW()-1,FALSE))</f>
        <v/>
      </c>
      <c r="L9">
        <f ca="1">IF(AND(ISNUMBER($L$163),$B$156=1),$L$163,HLOOKUP(INDIRECT(ADDRESS(2,COLUMN())),OFFSET($BN$2,0,0,ROW()-1,60),ROW()-1,FALSE))</f>
        <v>391584</v>
      </c>
      <c r="M9">
        <f ca="1">IF(AND(ISNUMBER($M$163),$B$156=1),$M$163,HLOOKUP(INDIRECT(ADDRESS(2,COLUMN())),OFFSET($BN$2,0,0,ROW()-1,60),ROW()-1,FALSE))</f>
        <v>494313</v>
      </c>
      <c r="N9">
        <f ca="1">IF(AND(ISNUMBER($N$163),$B$156=1),$N$163,HLOOKUP(INDIRECT(ADDRESS(2,COLUMN())),OFFSET($BN$2,0,0,ROW()-1,60),ROW()-1,FALSE))</f>
        <v>549211</v>
      </c>
      <c r="O9">
        <f ca="1">IF(AND(ISNUMBER($O$163),$B$156=1),$O$163,HLOOKUP(INDIRECT(ADDRESS(2,COLUMN())),OFFSET($BN$2,0,0,ROW()-1,60),ROW()-1,FALSE))</f>
        <v>527259</v>
      </c>
      <c r="P9">
        <f ca="1">IF(AND(ISNUMBER($P$163),$B$156=1),$P$163,HLOOKUP(INDIRECT(ADDRESS(2,COLUMN())),OFFSET($BN$2,0,0,ROW()-1,60),ROW()-1,FALSE))</f>
        <v>550727</v>
      </c>
      <c r="Q9">
        <f ca="1">IF(AND(ISNUMBER($Q$163),$B$156=1),$Q$163,HLOOKUP(INDIRECT(ADDRESS(2,COLUMN())),OFFSET($BN$2,0,0,ROW()-1,60),ROW()-1,FALSE))</f>
        <v>475799</v>
      </c>
      <c r="R9">
        <f ca="1">IF(AND(ISNUMBER($R$163),$B$156=1),$R$163,HLOOKUP(INDIRECT(ADDRESS(2,COLUMN())),OFFSET($BN$2,0,0,ROW()-1,60),ROW()-1,FALSE))</f>
        <v>508571</v>
      </c>
      <c r="S9">
        <f ca="1">IF(AND(ISNUMBER($S$163),$B$156=1),$S$163,HLOOKUP(INDIRECT(ADDRESS(2,COLUMN())),OFFSET($BN$2,0,0,ROW()-1,60),ROW()-1,FALSE))</f>
        <v>539940</v>
      </c>
      <c r="T9">
        <f ca="1">IF(AND(ISNUMBER($T$163),$B$156=1),$T$163,HLOOKUP(INDIRECT(ADDRESS(2,COLUMN())),OFFSET($BN$2,0,0,ROW()-1,60),ROW()-1,FALSE))</f>
        <v>493972</v>
      </c>
      <c r="U9">
        <f ca="1">IF(AND(ISNUMBER($U$163),$B$156=1),$U$163,HLOOKUP(INDIRECT(ADDRESS(2,COLUMN())),OFFSET($BN$2,0,0,ROW()-1,60),ROW()-1,FALSE))</f>
        <v>482614</v>
      </c>
      <c r="V9">
        <f ca="1">IF(AND(ISNUMBER($V$163),$B$156=1),$V$163,HLOOKUP(INDIRECT(ADDRESS(2,COLUMN())),OFFSET($BN$2,0,0,ROW()-1,60),ROW()-1,FALSE))</f>
        <v>517490</v>
      </c>
      <c r="W9">
        <f ca="1">IF(AND(ISNUMBER($W$163),$B$156=1),$W$163,HLOOKUP(INDIRECT(ADDRESS(2,COLUMN())),OFFSET($BN$2,0,0,ROW()-1,60),ROW()-1,FALSE))</f>
        <v>469205</v>
      </c>
      <c r="X9">
        <f ca="1">IF(AND(ISNUMBER($X$163),$B$156=1),$X$163,HLOOKUP(INDIRECT(ADDRESS(2,COLUMN())),OFFSET($BN$2,0,0,ROW()-1,60),ROW()-1,FALSE))</f>
        <v>446601</v>
      </c>
      <c r="Y9">
        <f ca="1">IF(AND(ISNUMBER($Y$163),$B$156=1),$Y$163,HLOOKUP(INDIRECT(ADDRESS(2,COLUMN())),OFFSET($BN$2,0,0,ROW()-1,60),ROW()-1,FALSE))</f>
        <v>443863</v>
      </c>
      <c r="Z9">
        <f ca="1">IF(AND(ISNUMBER($Z$163),$B$156=1),$Z$163,HLOOKUP(INDIRECT(ADDRESS(2,COLUMN())),OFFSET($BN$2,0,0,ROW()-1,60),ROW()-1,FALSE))</f>
        <v>496357</v>
      </c>
      <c r="AA9">
        <f ca="1">IF(AND(ISNUMBER($AA$163),$B$156=1),$AA$163,HLOOKUP(INDIRECT(ADDRESS(2,COLUMN())),OFFSET($BN$2,0,0,ROW()-1,60),ROW()-1,FALSE))</f>
        <v>438572</v>
      </c>
      <c r="AB9">
        <f ca="1">IF(AND(ISNUMBER($AB$163),$B$156=1),$AB$163,HLOOKUP(INDIRECT(ADDRESS(2,COLUMN())),OFFSET($BN$2,0,0,ROW()-1,60),ROW()-1,FALSE))</f>
        <v>421264</v>
      </c>
      <c r="AC9">
        <f ca="1">IF(AND(ISNUMBER($AC$163),$B$156=1),$AC$163,HLOOKUP(INDIRECT(ADDRESS(2,COLUMN())),OFFSET($BN$2,0,0,ROW()-1,60),ROW()-1,FALSE))</f>
        <v>434493</v>
      </c>
      <c r="AD9">
        <f ca="1">IF(AND(ISNUMBER($AD$163),$B$156=1),$AD$163,HLOOKUP(INDIRECT(ADDRESS(2,COLUMN())),OFFSET($BN$2,0,0,ROW()-1,60),ROW()-1,FALSE))</f>
        <v>512636</v>
      </c>
      <c r="AE9">
        <f ca="1">IF(AND(ISNUMBER($AE$163),$B$156=1),$AE$163,HLOOKUP(INDIRECT(ADDRESS(2,COLUMN())),OFFSET($BN$2,0,0,ROW()-1,60),ROW()-1,FALSE))</f>
        <v>464158</v>
      </c>
      <c r="AF9">
        <f ca="1">IF(AND(ISNUMBER($AF$163),$B$156=1),$AF$163,HLOOKUP(INDIRECT(ADDRESS(2,COLUMN())),OFFSET($BN$2,0,0,ROW()-1,60),ROW()-1,FALSE))</f>
        <v>412235</v>
      </c>
      <c r="AG9">
        <f ca="1">IF(AND(ISNUMBER($AG$163),$B$156=1),$AG$163,HLOOKUP(INDIRECT(ADDRESS(2,COLUMN())),OFFSET($BN$2,0,0,ROW()-1,60),ROW()-1,FALSE))</f>
        <v>485026</v>
      </c>
      <c r="AH9">
        <f ca="1">IF(AND(ISNUMBER($AH$163),$B$156=1),$AH$163,HLOOKUP(INDIRECT(ADDRESS(2,COLUMN())),OFFSET($BN$2,0,0,ROW()-1,60),ROW()-1,FALSE))</f>
        <v>644592</v>
      </c>
      <c r="AI9">
        <f ca="1">IF(AND(ISNUMBER($AI$163),$B$156=1),$AI$163,HLOOKUP(INDIRECT(ADDRESS(2,COLUMN())),OFFSET($BN$2,0,0,ROW()-1,60),ROW()-1,FALSE))</f>
        <v>473845</v>
      </c>
      <c r="AJ9">
        <f ca="1">IF(AND(ISNUMBER($AJ$163),$B$156=1),$AJ$163,HLOOKUP(INDIRECT(ADDRESS(2,COLUMN())),OFFSET($BN$2,0,0,ROW()-1,60),ROW()-1,FALSE))</f>
        <v>446003</v>
      </c>
      <c r="AK9">
        <f ca="1">IF(AND(ISNUMBER($AK$163),$B$156=1),$AK$163,HLOOKUP(INDIRECT(ADDRESS(2,COLUMN())),OFFSET($BN$2,0,0,ROW()-1,60),ROW()-1,FALSE))</f>
        <v>465473</v>
      </c>
      <c r="AL9">
        <f ca="1">IF(AND(ISNUMBER($AL$163),$B$156=1),$AL$163,HLOOKUP(INDIRECT(ADDRESS(2,COLUMN())),OFFSET($BN$2,0,0,ROW()-1,60),ROW()-1,FALSE))</f>
        <v>561847</v>
      </c>
      <c r="AM9">
        <f ca="1">IF(AND(ISNUMBER($AM$163),$B$156=1),$AM$163,HLOOKUP(INDIRECT(ADDRESS(2,COLUMN())),OFFSET($BN$2,0,0,ROW()-1,60),ROW()-1,FALSE))</f>
        <v>488499</v>
      </c>
      <c r="AN9">
        <f ca="1">IF(AND(ISNUMBER($AN$163),$B$156=1),$AN$163,HLOOKUP(INDIRECT(ADDRESS(2,COLUMN())),OFFSET($BN$2,0,0,ROW()-1,60),ROW()-1,FALSE))</f>
        <v>488439</v>
      </c>
      <c r="AO9">
        <f ca="1">IF(AND(ISNUMBER($AO$163),$B$156=1),$AO$163,HLOOKUP(INDIRECT(ADDRESS(2,COLUMN())),OFFSET($BN$2,0,0,ROW()-1,60),ROW()-1,FALSE))</f>
        <v>433373</v>
      </c>
      <c r="AP9">
        <f ca="1">IF(AND(ISNUMBER($AP$163),$B$156=1),$AP$163,HLOOKUP(INDIRECT(ADDRESS(2,COLUMN())),OFFSET($BN$2,0,0,ROW()-1,60),ROW()-1,FALSE))</f>
        <v>456248</v>
      </c>
      <c r="AQ9">
        <f ca="1">IF(AND(ISNUMBER($AQ$163),$B$156=1),$AQ$163,HLOOKUP(INDIRECT(ADDRESS(2,COLUMN())),OFFSET($BN$2,0,0,ROW()-1,60),ROW()-1,FALSE))</f>
        <v>381655</v>
      </c>
      <c r="AR9">
        <f ca="1">IF(AND(ISNUMBER($AR$163),$B$156=1),$AR$163,HLOOKUP(INDIRECT(ADDRESS(2,COLUMN())),OFFSET($BN$2,0,0,ROW()-1,60),ROW()-1,FALSE))</f>
        <v>365449</v>
      </c>
      <c r="AS9">
        <f ca="1">IF(AND(ISNUMBER($AS$163),$B$156=1),$AS$163,HLOOKUP(INDIRECT(ADDRESS(2,COLUMN())),OFFSET($BN$2,0,0,ROW()-1,60),ROW()-1,FALSE))</f>
        <v>324657</v>
      </c>
      <c r="AT9">
        <f ca="1">IF(AND(ISNUMBER($AT$163),$B$156=1),$AT$163,HLOOKUP(INDIRECT(ADDRESS(2,COLUMN())),OFFSET($BN$2,0,0,ROW()-1,60),ROW()-1,FALSE))</f>
        <v>355390</v>
      </c>
      <c r="AU9">
        <f ca="1">IF(AND(ISNUMBER($AU$163),$B$156=1),$AU$163,HLOOKUP(INDIRECT(ADDRESS(2,COLUMN())),OFFSET($BN$2,0,0,ROW()-1,60),ROW()-1,FALSE))</f>
        <v>264347</v>
      </c>
      <c r="AV9">
        <f ca="1">IF(AND(ISNUMBER($AV$163),$B$156=1),$AV$163,HLOOKUP(INDIRECT(ADDRESS(2,COLUMN())),OFFSET($BN$2,0,0,ROW()-1,60),ROW()-1,FALSE))</f>
        <v>291500</v>
      </c>
      <c r="AW9">
        <f ca="1">IF(AND(ISNUMBER($AW$163),$B$156=1),$AW$163,HLOOKUP(INDIRECT(ADDRESS(2,COLUMN())),OFFSET($BN$2,0,0,ROW()-1,60),ROW()-1,FALSE))</f>
        <v>309238</v>
      </c>
      <c r="AX9">
        <f ca="1">IF(AND(ISNUMBER($AX$163),$B$156=1),$AX$163,HLOOKUP(INDIRECT(ADDRESS(2,COLUMN())),OFFSET($BN$2,0,0,ROW()-1,60),ROW()-1,FALSE))</f>
        <v>336749</v>
      </c>
      <c r="AY9">
        <f ca="1">IF(AND(ISNUMBER($AY$163),$B$156=1),$AY$163,HLOOKUP(INDIRECT(ADDRESS(2,COLUMN())),OFFSET($BN$2,0,0,ROW()-1,60),ROW()-1,FALSE))</f>
        <v>297180</v>
      </c>
      <c r="AZ9">
        <f ca="1">IF(AND(ISNUMBER($AZ$163),$B$156=1),$AZ$163,HLOOKUP(INDIRECT(ADDRESS(2,COLUMN())),OFFSET($BN$2,0,0,ROW()-1,60),ROW()-1,FALSE))</f>
        <v>293965</v>
      </c>
      <c r="BA9">
        <f ca="1">IF(AND(ISNUMBER($BA$163),$B$156=1),$BA$163,HLOOKUP(INDIRECT(ADDRESS(2,COLUMN())),OFFSET($BN$2,0,0,ROW()-1,60),ROW()-1,FALSE))</f>
        <v>275208</v>
      </c>
      <c r="BB9">
        <f ca="1">IF(AND(ISNUMBER($BB$163),$B$156=1),$BB$163,HLOOKUP(INDIRECT(ADDRESS(2,COLUMN())),OFFSET($BN$2,0,0,ROW()-1,60),ROW()-1,FALSE))</f>
        <v>311264</v>
      </c>
      <c r="BC9">
        <f ca="1">IF(AND(ISNUMBER($BC$163),$B$156=1),$BC$163,HLOOKUP(INDIRECT(ADDRESS(2,COLUMN())),OFFSET($BN$2,0,0,ROW()-1,60),ROW()-1,FALSE))</f>
        <v>261923</v>
      </c>
      <c r="BD9">
        <f ca="1">IF(AND(ISNUMBER($BD$163),$B$156=1),$BD$163,HLOOKUP(INDIRECT(ADDRESS(2,COLUMN())),OFFSET($BN$2,0,0,ROW()-1,60),ROW()-1,FALSE))</f>
        <v>259164</v>
      </c>
      <c r="BE9">
        <f ca="1">IF(AND(ISNUMBER($BE$163),$B$156=1),$BE$163,HLOOKUP(INDIRECT(ADDRESS(2,COLUMN())),OFFSET($BN$2,0,0,ROW()-1,60),ROW()-1,FALSE))</f>
        <v>244189</v>
      </c>
      <c r="BF9">
        <f ca="1">IF(AND(ISNUMBER($BF$163),$B$156=1),$BF$163,HLOOKUP(INDIRECT(ADDRESS(2,COLUMN())),OFFSET($BN$2,0,0,ROW()-1,60),ROW()-1,FALSE))</f>
        <v>258426</v>
      </c>
      <c r="BG9">
        <f ca="1">IF(AND(ISNUMBER($BG$163),$B$156=1),$BG$163,HLOOKUP(INDIRECT(ADDRESS(2,COLUMN())),OFFSET($BN$2,0,0,ROW()-1,60),ROW()-1,FALSE))</f>
        <v>214101</v>
      </c>
      <c r="BH9">
        <f ca="1">IF(AND(ISNUMBER($BH$163),$B$156=1),$BH$163,HLOOKUP(INDIRECT(ADDRESS(2,COLUMN())),OFFSET($BN$2,0,0,ROW()-1,60),ROW()-1,FALSE))</f>
        <v>212760</v>
      </c>
      <c r="BI9">
        <f ca="1">IF(AND(ISNUMBER($BI$163),$B$156=1),$BI$163,HLOOKUP(INDIRECT(ADDRESS(2,COLUMN())),OFFSET($BN$2,0,0,ROW()-1,60),ROW()-1,FALSE))</f>
        <v>196921</v>
      </c>
      <c r="BJ9">
        <f ca="1">IF(AND(ISNUMBER($BJ$163),$B$156=1),$BJ$163,HLOOKUP(INDIRECT(ADDRESS(2,COLUMN())),OFFSET($BN$2,0,0,ROW()-1,60),ROW()-1,FALSE))</f>
        <v>229541</v>
      </c>
      <c r="BK9">
        <f ca="1">IF(AND(ISNUMBER($BK$163),$B$156=1),$BK$163,HLOOKUP(INDIRECT(ADDRESS(2,COLUMN())),OFFSET($BN$2,0,0,ROW()-1,60),ROW()-1,FALSE))</f>
        <v>204761</v>
      </c>
      <c r="BL9">
        <f ca="1">IF(AND(ISNUMBER($BL$163),$B$156=1),$BL$163,HLOOKUP(INDIRECT(ADDRESS(2,COLUMN())),OFFSET($BN$2,0,0,ROW()-1,60),ROW()-1,FALSE))</f>
        <v>203958</v>
      </c>
      <c r="BM9">
        <f ca="1">IF(AND(ISNUMBER($BM$163),$B$156=1),$BM$163,HLOOKUP(INDIRECT(ADDRESS(2,COLUMN())),OFFSET($BN$2,0,0,ROW()-1,60),ROW()-1,FALSE))</f>
        <v>181919</v>
      </c>
      <c r="BN9" t="str">
        <f>""</f>
        <v/>
      </c>
      <c r="BO9" t="str">
        <f>""</f>
        <v/>
      </c>
      <c r="BP9" t="str">
        <f>""</f>
        <v/>
      </c>
      <c r="BQ9" t="str">
        <f>""</f>
        <v/>
      </c>
      <c r="BR9" t="str">
        <f>""</f>
        <v/>
      </c>
      <c r="BS9" t="str">
        <f>""</f>
        <v/>
      </c>
      <c r="BT9">
        <f>391584</f>
        <v>391584</v>
      </c>
      <c r="BU9">
        <f>494313</f>
        <v>494313</v>
      </c>
      <c r="BV9">
        <f>549211</f>
        <v>549211</v>
      </c>
      <c r="BW9">
        <f>527259</f>
        <v>527259</v>
      </c>
      <c r="BX9">
        <f>550727</f>
        <v>550727</v>
      </c>
      <c r="BY9">
        <f>475799</f>
        <v>475799</v>
      </c>
      <c r="BZ9">
        <f>508571</f>
        <v>508571</v>
      </c>
      <c r="CA9">
        <f>539940</f>
        <v>539940</v>
      </c>
      <c r="CB9">
        <f>493972</f>
        <v>493972</v>
      </c>
      <c r="CC9">
        <f>482614</f>
        <v>482614</v>
      </c>
      <c r="CD9">
        <f>517490</f>
        <v>517490</v>
      </c>
      <c r="CE9">
        <f>469205</f>
        <v>469205</v>
      </c>
      <c r="CF9">
        <f>446601</f>
        <v>446601</v>
      </c>
      <c r="CG9">
        <f>443863</f>
        <v>443863</v>
      </c>
      <c r="CH9">
        <f>496357</f>
        <v>496357</v>
      </c>
      <c r="CI9">
        <f>438572</f>
        <v>438572</v>
      </c>
      <c r="CJ9">
        <f>421264</f>
        <v>421264</v>
      </c>
      <c r="CK9">
        <f>434493</f>
        <v>434493</v>
      </c>
      <c r="CL9">
        <f>512636</f>
        <v>512636</v>
      </c>
      <c r="CM9">
        <f>464158</f>
        <v>464158</v>
      </c>
      <c r="CN9">
        <f>412235</f>
        <v>412235</v>
      </c>
      <c r="CO9">
        <f>485026</f>
        <v>485026</v>
      </c>
      <c r="CP9">
        <f>644592</f>
        <v>644592</v>
      </c>
      <c r="CQ9">
        <f>473845</f>
        <v>473845</v>
      </c>
      <c r="CR9">
        <f>446003</f>
        <v>446003</v>
      </c>
      <c r="CS9">
        <f>465473</f>
        <v>465473</v>
      </c>
      <c r="CT9">
        <f>561847</f>
        <v>561847</v>
      </c>
      <c r="CU9">
        <f>488499</f>
        <v>488499</v>
      </c>
      <c r="CV9">
        <f>488439</f>
        <v>488439</v>
      </c>
      <c r="CW9">
        <f>433373</f>
        <v>433373</v>
      </c>
      <c r="CX9">
        <f>456248</f>
        <v>456248</v>
      </c>
      <c r="CY9">
        <f>381655</f>
        <v>381655</v>
      </c>
      <c r="CZ9">
        <f>365449</f>
        <v>365449</v>
      </c>
      <c r="DA9">
        <f>324657</f>
        <v>324657</v>
      </c>
      <c r="DB9">
        <f>355390</f>
        <v>355390</v>
      </c>
      <c r="DC9">
        <f>264347</f>
        <v>264347</v>
      </c>
      <c r="DD9">
        <f>291500</f>
        <v>291500</v>
      </c>
      <c r="DE9">
        <f>309238</f>
        <v>309238</v>
      </c>
      <c r="DF9">
        <f>336749</f>
        <v>336749</v>
      </c>
      <c r="DG9">
        <f>297180</f>
        <v>297180</v>
      </c>
      <c r="DH9">
        <f>293965</f>
        <v>293965</v>
      </c>
      <c r="DI9">
        <f>275208</f>
        <v>275208</v>
      </c>
      <c r="DJ9">
        <f>311264</f>
        <v>311264</v>
      </c>
      <c r="DK9">
        <f>261923</f>
        <v>261923</v>
      </c>
      <c r="DL9">
        <f>259164</f>
        <v>259164</v>
      </c>
      <c r="DM9">
        <f>244189</f>
        <v>244189</v>
      </c>
      <c r="DN9">
        <f>258426</f>
        <v>258426</v>
      </c>
      <c r="DO9">
        <f>214101</f>
        <v>214101</v>
      </c>
      <c r="DP9">
        <f>212760</f>
        <v>212760</v>
      </c>
      <c r="DQ9">
        <f>196921</f>
        <v>196921</v>
      </c>
      <c r="DR9">
        <f>229541</f>
        <v>229541</v>
      </c>
      <c r="DS9">
        <f>204761</f>
        <v>204761</v>
      </c>
      <c r="DT9">
        <f>203958</f>
        <v>203958</v>
      </c>
      <c r="DU9">
        <f>181919</f>
        <v>181919</v>
      </c>
    </row>
    <row r="10" spans="1:125" x14ac:dyDescent="0.25">
      <c r="A10" t="str">
        <f>"            India Utility Vehicle"</f>
        <v xml:space="preserve">            India Utility Vehicle</v>
      </c>
      <c r="B10" t="str">
        <f>"INVSDMUT Index"</f>
        <v>INVSDMUT Index</v>
      </c>
      <c r="C10" t="str">
        <f t="shared" si="0"/>
        <v>PX385</v>
      </c>
      <c r="D10" t="str">
        <f t="shared" si="1"/>
        <v>INTERVAL_SUM</v>
      </c>
      <c r="E10" t="str">
        <f t="shared" si="2"/>
        <v>Dynamic</v>
      </c>
      <c r="F10" t="str">
        <f ca="1">IF(AND(ISNUMBER($F$164),$B$156=1),$F$164,HLOOKUP(INDIRECT(ADDRESS(2,COLUMN())),OFFSET($BN$2,0,0,ROW()-1,60),ROW()-1,FALSE))</f>
        <v/>
      </c>
      <c r="G10" t="str">
        <f ca="1">IF(AND(ISNUMBER($G$164),$B$156=1),$G$164,HLOOKUP(INDIRECT(ADDRESS(2,COLUMN())),OFFSET($BN$2,0,0,ROW()-1,60),ROW()-1,FALSE))</f>
        <v/>
      </c>
      <c r="H10" t="str">
        <f ca="1">IF(AND(ISNUMBER($H$164),$B$156=1),$H$164,HLOOKUP(INDIRECT(ADDRESS(2,COLUMN())),OFFSET($BN$2,0,0,ROW()-1,60),ROW()-1,FALSE))</f>
        <v/>
      </c>
      <c r="I10" t="str">
        <f ca="1">IF(AND(ISNUMBER($I$164),$B$156=1),$I$164,HLOOKUP(INDIRECT(ADDRESS(2,COLUMN())),OFFSET($BN$2,0,0,ROW()-1,60),ROW()-1,FALSE))</f>
        <v/>
      </c>
      <c r="J10" t="str">
        <f ca="1">IF(AND(ISNUMBER($J$164),$B$156=1),$J$164,HLOOKUP(INDIRECT(ADDRESS(2,COLUMN())),OFFSET($BN$2,0,0,ROW()-1,60),ROW()-1,FALSE))</f>
        <v/>
      </c>
      <c r="K10" t="str">
        <f ca="1">IF(AND(ISNUMBER($K$164),$B$156=1),$K$164,HLOOKUP(INDIRECT(ADDRESS(2,COLUMN())),OFFSET($BN$2,0,0,ROW()-1,60),ROW()-1,FALSE))</f>
        <v/>
      </c>
      <c r="L10">
        <f ca="1">IF(AND(ISNUMBER($L$164),$B$156=1),$L$164,HLOOKUP(INDIRECT(ADDRESS(2,COLUMN())),OFFSET($BN$2,0,0,ROW()-1,60),ROW()-1,FALSE))</f>
        <v>86874</v>
      </c>
      <c r="M10">
        <f ca="1">IF(AND(ISNUMBER($M$164),$B$156=1),$M$164,HLOOKUP(INDIRECT(ADDRESS(2,COLUMN())),OFFSET($BN$2,0,0,ROW()-1,60),ROW()-1,FALSE))</f>
        <v>190083</v>
      </c>
      <c r="N10">
        <f ca="1">IF(AND(ISNUMBER($N$164),$B$156=1),$N$164,HLOOKUP(INDIRECT(ADDRESS(2,COLUMN())),OFFSET($BN$2,0,0,ROW()-1,60),ROW()-1,FALSE))</f>
        <v>205830</v>
      </c>
      <c r="O10">
        <f ca="1">IF(AND(ISNUMBER($O$164),$B$156=1),$O$164,HLOOKUP(INDIRECT(ADDRESS(2,COLUMN())),OFFSET($BN$2,0,0,ROW()-1,60),ROW()-1,FALSE))</f>
        <v>182653</v>
      </c>
      <c r="P10">
        <f ca="1">IF(AND(ISNUMBER($P$164),$B$156=1),$P$164,HLOOKUP(INDIRECT(ADDRESS(2,COLUMN())),OFFSET($BN$2,0,0,ROW()-1,60),ROW()-1,FALSE))</f>
        <v>196701</v>
      </c>
      <c r="Q10">
        <f ca="1">IF(AND(ISNUMBER($Q$164),$B$156=1),$Q$164,HLOOKUP(INDIRECT(ADDRESS(2,COLUMN())),OFFSET($BN$2,0,0,ROW()-1,60),ROW()-1,FALSE))</f>
        <v>176788</v>
      </c>
      <c r="R10">
        <f ca="1">IF(AND(ISNUMBER($R$164),$B$156=1),$R$164,HLOOKUP(INDIRECT(ADDRESS(2,COLUMN())),OFFSET($BN$2,0,0,ROW()-1,60),ROW()-1,FALSE))</f>
        <v>168363</v>
      </c>
      <c r="S10">
        <f ca="1">IF(AND(ISNUMBER($S$164),$B$156=1),$S$164,HLOOKUP(INDIRECT(ADDRESS(2,COLUMN())),OFFSET($BN$2,0,0,ROW()-1,60),ROW()-1,FALSE))</f>
        <v>151874</v>
      </c>
      <c r="T10">
        <f ca="1">IF(AND(ISNUMBER($T$164),$B$156=1),$T$164,HLOOKUP(INDIRECT(ADDRESS(2,COLUMN())),OFFSET($BN$2,0,0,ROW()-1,60),ROW()-1,FALSE))</f>
        <v>138266</v>
      </c>
      <c r="U10">
        <f ca="1">IF(AND(ISNUMBER($U$164),$B$156=1),$U$164,HLOOKUP(INDIRECT(ADDRESS(2,COLUMN())),OFFSET($BN$2,0,0,ROW()-1,60),ROW()-1,FALSE))</f>
        <v>128073</v>
      </c>
      <c r="V10">
        <f ca="1">IF(AND(ISNUMBER($V$164),$B$156=1),$V$164,HLOOKUP(INDIRECT(ADDRESS(2,COLUMN())),OFFSET($BN$2,0,0,ROW()-1,60),ROW()-1,FALSE))</f>
        <v>146223</v>
      </c>
      <c r="W10">
        <f ca="1">IF(AND(ISNUMBER($W$164),$B$156=1),$W$164,HLOOKUP(INDIRECT(ADDRESS(2,COLUMN())),OFFSET($BN$2,0,0,ROW()-1,60),ROW()-1,FALSE))</f>
        <v>132030</v>
      </c>
      <c r="X10">
        <f ca="1">IF(AND(ISNUMBER($X$164),$B$156=1),$X$164,HLOOKUP(INDIRECT(ADDRESS(2,COLUMN())),OFFSET($BN$2,0,0,ROW()-1,60),ROW()-1,FALSE))</f>
        <v>144527</v>
      </c>
      <c r="Y10">
        <f ca="1">IF(AND(ISNUMBER($Y$164),$B$156=1),$Y$164,HLOOKUP(INDIRECT(ADDRESS(2,COLUMN())),OFFSET($BN$2,0,0,ROW()-1,60),ROW()-1,FALSE))</f>
        <v>128796</v>
      </c>
      <c r="Z10">
        <f ca="1">IF(AND(ISNUMBER($Z$164),$B$156=1),$Z$164,HLOOKUP(INDIRECT(ADDRESS(2,COLUMN())),OFFSET($BN$2,0,0,ROW()-1,60),ROW()-1,FALSE))</f>
        <v>140567</v>
      </c>
      <c r="AA10">
        <f ca="1">IF(AND(ISNUMBER($AA$164),$B$156=1),$AA$164,HLOOKUP(INDIRECT(ADDRESS(2,COLUMN())),OFFSET($BN$2,0,0,ROW()-1,60),ROW()-1,FALSE))</f>
        <v>141442</v>
      </c>
      <c r="AB10">
        <f ca="1">IF(AND(ISNUMBER($AB$164),$B$156=1),$AB$164,HLOOKUP(INDIRECT(ADDRESS(2,COLUMN())),OFFSET($BN$2,0,0,ROW()-1,60),ROW()-1,FALSE))</f>
        <v>119740</v>
      </c>
      <c r="AC10">
        <f ca="1">IF(AND(ISNUMBER($AC$164),$B$156=1),$AC$164,HLOOKUP(INDIRECT(ADDRESS(2,COLUMN())),OFFSET($BN$2,0,0,ROW()-1,60),ROW()-1,FALSE))</f>
        <v>123923</v>
      </c>
      <c r="AD10">
        <f ca="1">IF(AND(ISNUMBER($AD$164),$B$156=1),$AD$164,HLOOKUP(INDIRECT(ADDRESS(2,COLUMN())),OFFSET($BN$2,0,0,ROW()-1,60),ROW()-1,FALSE))</f>
        <v>150740</v>
      </c>
      <c r="AE10">
        <f ca="1">IF(AND(ISNUMBER($AE$164),$B$156=1),$AE$164,HLOOKUP(INDIRECT(ADDRESS(2,COLUMN())),OFFSET($BN$2,0,0,ROW()-1,60),ROW()-1,FALSE))</f>
        <v>147026</v>
      </c>
      <c r="AF10">
        <f ca="1">IF(AND(ISNUMBER($AF$164),$B$156=1),$AF$164,HLOOKUP(INDIRECT(ADDRESS(2,COLUMN())),OFFSET($BN$2,0,0,ROW()-1,60),ROW()-1,FALSE))</f>
        <v>138185</v>
      </c>
      <c r="AG10">
        <f ca="1">IF(AND(ISNUMBER($AG$164),$B$156=1),$AG$164,HLOOKUP(INDIRECT(ADDRESS(2,COLUMN())),OFFSET($BN$2,0,0,ROW()-1,60),ROW()-1,FALSE))</f>
        <v>117711</v>
      </c>
      <c r="AH10">
        <f ca="1">IF(AND(ISNUMBER($AH$164),$B$156=1),$AH$164,HLOOKUP(INDIRECT(ADDRESS(2,COLUMN())),OFFSET($BN$2,0,0,ROW()-1,60),ROW()-1,FALSE))</f>
        <v>110520</v>
      </c>
      <c r="AI10">
        <f ca="1">IF(AND(ISNUMBER($AI$164),$B$156=1),$AI$164,HLOOKUP(INDIRECT(ADDRESS(2,COLUMN())),OFFSET($BN$2,0,0,ROW()-1,60),ROW()-1,FALSE))</f>
        <v>89043</v>
      </c>
      <c r="AJ10">
        <f ca="1">IF(AND(ISNUMBER($AJ$164),$B$156=1),$AJ$164,HLOOKUP(INDIRECT(ADDRESS(2,COLUMN())),OFFSET($BN$2,0,0,ROW()-1,60),ROW()-1,FALSE))</f>
        <v>86175</v>
      </c>
      <c r="AK10">
        <f ca="1">IF(AND(ISNUMBER($AK$164),$B$156=1),$AK$164,HLOOKUP(INDIRECT(ADDRESS(2,COLUMN())),OFFSET($BN$2,0,0,ROW()-1,60),ROW()-1,FALSE))</f>
        <v>79013</v>
      </c>
      <c r="AL10">
        <f ca="1">IF(AND(ISNUMBER($AL$164),$B$156=1),$AL$164,HLOOKUP(INDIRECT(ADDRESS(2,COLUMN())),OFFSET($BN$2,0,0,ROW()-1,60),ROW()-1,FALSE))</f>
        <v>87483</v>
      </c>
      <c r="AM10">
        <f ca="1">IF(AND(ISNUMBER($AM$164),$B$156=1),$AM$164,HLOOKUP(INDIRECT(ADDRESS(2,COLUMN())),OFFSET($BN$2,0,0,ROW()-1,60),ROW()-1,FALSE))</f>
        <v>75520</v>
      </c>
      <c r="AN10">
        <f ca="1">IF(AND(ISNUMBER($AN$164),$B$156=1),$AN$164,HLOOKUP(INDIRECT(ADDRESS(2,COLUMN())),OFFSET($BN$2,0,0,ROW()-1,60),ROW()-1,FALSE))</f>
        <v>76850</v>
      </c>
      <c r="AO10">
        <f ca="1">IF(AND(ISNUMBER($AO$164),$B$156=1),$AO$164,HLOOKUP(INDIRECT(ADDRESS(2,COLUMN())),OFFSET($BN$2,0,0,ROW()-1,60),ROW()-1,FALSE))</f>
        <v>76347</v>
      </c>
      <c r="AP10">
        <f ca="1">IF(AND(ISNUMBER($AP$164),$B$156=1),$AP$164,HLOOKUP(INDIRECT(ADDRESS(2,COLUMN())),OFFSET($BN$2,0,0,ROW()-1,60),ROW()-1,FALSE))</f>
        <v>79603</v>
      </c>
      <c r="AQ10">
        <f ca="1">IF(AND(ISNUMBER($AQ$164),$B$156=1),$AQ$164,HLOOKUP(INDIRECT(ADDRESS(2,COLUMN())),OFFSET($BN$2,0,0,ROW()-1,60),ROW()-1,FALSE))</f>
        <v>65229</v>
      </c>
      <c r="AR10">
        <f ca="1">IF(AND(ISNUMBER($AR$164),$B$156=1),$AR$164,HLOOKUP(INDIRECT(ADDRESS(2,COLUMN())),OFFSET($BN$2,0,0,ROW()-1,60),ROW()-1,FALSE))</f>
        <v>66940</v>
      </c>
      <c r="AS10">
        <f ca="1">IF(AND(ISNUMBER($AS$164),$B$156=1),$AS$164,HLOOKUP(INDIRECT(ADDRESS(2,COLUMN())),OFFSET($BN$2,0,0,ROW()-1,60),ROW()-1,FALSE))</f>
        <v>60969</v>
      </c>
      <c r="AT10">
        <f ca="1">IF(AND(ISNUMBER($AT$164),$B$156=1),$AT$164,HLOOKUP(INDIRECT(ADDRESS(2,COLUMN())),OFFSET($BN$2,0,0,ROW()-1,60),ROW()-1,FALSE))</f>
        <v>62728</v>
      </c>
      <c r="AU10" t="str">
        <f ca="1">IF(AND(ISNUMBER($AU$164),$B$156=1),$AU$164,HLOOKUP(INDIRECT(ADDRESS(2,COLUMN())),OFFSET($BN$2,0,0,ROW()-1,60),ROW()-1,FALSE))</f>
        <v/>
      </c>
      <c r="AV10" t="str">
        <f ca="1">IF(AND(ISNUMBER($AV$164),$B$156=1),$AV$164,HLOOKUP(INDIRECT(ADDRESS(2,COLUMN())),OFFSET($BN$2,0,0,ROW()-1,60),ROW()-1,FALSE))</f>
        <v/>
      </c>
      <c r="AW10" t="str">
        <f ca="1">IF(AND(ISNUMBER($AW$164),$B$156=1),$AW$164,HLOOKUP(INDIRECT(ADDRESS(2,COLUMN())),OFFSET($BN$2,0,0,ROW()-1,60),ROW()-1,FALSE))</f>
        <v/>
      </c>
      <c r="AX10" t="str">
        <f ca="1">IF(AND(ISNUMBER($AX$164),$B$156=1),$AX$164,HLOOKUP(INDIRECT(ADDRESS(2,COLUMN())),OFFSET($BN$2,0,0,ROW()-1,60),ROW()-1,FALSE))</f>
        <v/>
      </c>
      <c r="AY10" t="str">
        <f ca="1">IF(AND(ISNUMBER($AY$164),$B$156=1),$AY$164,HLOOKUP(INDIRECT(ADDRESS(2,COLUMN())),OFFSET($BN$2,0,0,ROW()-1,60),ROW()-1,FALSE))</f>
        <v/>
      </c>
      <c r="AZ10" t="str">
        <f ca="1">IF(AND(ISNUMBER($AZ$164),$B$156=1),$AZ$164,HLOOKUP(INDIRECT(ADDRESS(2,COLUMN())),OFFSET($BN$2,0,0,ROW()-1,60),ROW()-1,FALSE))</f>
        <v/>
      </c>
      <c r="BA10" t="str">
        <f ca="1">IF(AND(ISNUMBER($BA$164),$B$156=1),$BA$164,HLOOKUP(INDIRECT(ADDRESS(2,COLUMN())),OFFSET($BN$2,0,0,ROW()-1,60),ROW()-1,FALSE))</f>
        <v/>
      </c>
      <c r="BB10" t="str">
        <f ca="1">IF(AND(ISNUMBER($BB$164),$B$156=1),$BB$164,HLOOKUP(INDIRECT(ADDRESS(2,COLUMN())),OFFSET($BN$2,0,0,ROW()-1,60),ROW()-1,FALSE))</f>
        <v/>
      </c>
      <c r="BC10" t="str">
        <f ca="1">IF(AND(ISNUMBER($BC$164),$B$156=1),$BC$164,HLOOKUP(INDIRECT(ADDRESS(2,COLUMN())),OFFSET($BN$2,0,0,ROW()-1,60),ROW()-1,FALSE))</f>
        <v/>
      </c>
      <c r="BD10" t="str">
        <f ca="1">IF(AND(ISNUMBER($BD$164),$B$156=1),$BD$164,HLOOKUP(INDIRECT(ADDRESS(2,COLUMN())),OFFSET($BN$2,0,0,ROW()-1,60),ROW()-1,FALSE))</f>
        <v/>
      </c>
      <c r="BE10" t="str">
        <f ca="1">IF(AND(ISNUMBER($BE$164),$B$156=1),$BE$164,HLOOKUP(INDIRECT(ADDRESS(2,COLUMN())),OFFSET($BN$2,0,0,ROW()-1,60),ROW()-1,FALSE))</f>
        <v/>
      </c>
      <c r="BF10" t="str">
        <f ca="1">IF(AND(ISNUMBER($BF$164),$B$156=1),$BF$164,HLOOKUP(INDIRECT(ADDRESS(2,COLUMN())),OFFSET($BN$2,0,0,ROW()-1,60),ROW()-1,FALSE))</f>
        <v/>
      </c>
      <c r="BG10" t="str">
        <f ca="1">IF(AND(ISNUMBER($BG$164),$B$156=1),$BG$164,HLOOKUP(INDIRECT(ADDRESS(2,COLUMN())),OFFSET($BN$2,0,0,ROW()-1,60),ROW()-1,FALSE))</f>
        <v/>
      </c>
      <c r="BH10" t="str">
        <f ca="1">IF(AND(ISNUMBER($BH$164),$B$156=1),$BH$164,HLOOKUP(INDIRECT(ADDRESS(2,COLUMN())),OFFSET($BN$2,0,0,ROW()-1,60),ROW()-1,FALSE))</f>
        <v/>
      </c>
      <c r="BI10" t="str">
        <f ca="1">IF(AND(ISNUMBER($BI$164),$B$156=1),$BI$164,HLOOKUP(INDIRECT(ADDRESS(2,COLUMN())),OFFSET($BN$2,0,0,ROW()-1,60),ROW()-1,FALSE))</f>
        <v/>
      </c>
      <c r="BJ10" t="str">
        <f ca="1">IF(AND(ISNUMBER($BJ$164),$B$156=1),$BJ$164,HLOOKUP(INDIRECT(ADDRESS(2,COLUMN())),OFFSET($BN$2,0,0,ROW()-1,60),ROW()-1,FALSE))</f>
        <v/>
      </c>
      <c r="BK10" t="str">
        <f ca="1">IF(AND(ISNUMBER($BK$164),$B$156=1),$BK$164,HLOOKUP(INDIRECT(ADDRESS(2,COLUMN())),OFFSET($BN$2,0,0,ROW()-1,60),ROW()-1,FALSE))</f>
        <v/>
      </c>
      <c r="BL10" t="str">
        <f ca="1">IF(AND(ISNUMBER($BL$164),$B$156=1),$BL$164,HLOOKUP(INDIRECT(ADDRESS(2,COLUMN())),OFFSET($BN$2,0,0,ROW()-1,60),ROW()-1,FALSE))</f>
        <v/>
      </c>
      <c r="BM10" t="str">
        <f ca="1">IF(AND(ISNUMBER($BM$164),$B$156=1),$BM$164,HLOOKUP(INDIRECT(ADDRESS(2,COLUMN())),OFFSET($BN$2,0,0,ROW()-1,60),ROW()-1,FALSE))</f>
        <v/>
      </c>
      <c r="BN10" t="str">
        <f>""</f>
        <v/>
      </c>
      <c r="BO10" t="str">
        <f>""</f>
        <v/>
      </c>
      <c r="BP10" t="str">
        <f>""</f>
        <v/>
      </c>
      <c r="BQ10" t="str">
        <f>""</f>
        <v/>
      </c>
      <c r="BR10" t="str">
        <f>""</f>
        <v/>
      </c>
      <c r="BS10" t="str">
        <f>""</f>
        <v/>
      </c>
      <c r="BT10">
        <f>86874</f>
        <v>86874</v>
      </c>
      <c r="BU10">
        <f>190083</f>
        <v>190083</v>
      </c>
      <c r="BV10">
        <f>205830</f>
        <v>205830</v>
      </c>
      <c r="BW10">
        <f>182653</f>
        <v>182653</v>
      </c>
      <c r="BX10">
        <f>196701</f>
        <v>196701</v>
      </c>
      <c r="BY10">
        <f>176788</f>
        <v>176788</v>
      </c>
      <c r="BZ10">
        <f>168363</f>
        <v>168363</v>
      </c>
      <c r="CA10">
        <f>151874</f>
        <v>151874</v>
      </c>
      <c r="CB10">
        <f>138266</f>
        <v>138266</v>
      </c>
      <c r="CC10">
        <f>128073</f>
        <v>128073</v>
      </c>
      <c r="CD10">
        <f>146223</f>
        <v>146223</v>
      </c>
      <c r="CE10">
        <f>132030</f>
        <v>132030</v>
      </c>
      <c r="CF10">
        <f>144527</f>
        <v>144527</v>
      </c>
      <c r="CG10">
        <f>128796</f>
        <v>128796</v>
      </c>
      <c r="CH10">
        <f>140567</f>
        <v>140567</v>
      </c>
      <c r="CI10">
        <f>141442</f>
        <v>141442</v>
      </c>
      <c r="CJ10">
        <f>119740</f>
        <v>119740</v>
      </c>
      <c r="CK10">
        <f>123923</f>
        <v>123923</v>
      </c>
      <c r="CL10">
        <f>150740</f>
        <v>150740</v>
      </c>
      <c r="CM10">
        <f>147026</f>
        <v>147026</v>
      </c>
      <c r="CN10">
        <f>138185</f>
        <v>138185</v>
      </c>
      <c r="CO10">
        <f>117711</f>
        <v>117711</v>
      </c>
      <c r="CP10">
        <f>110520</f>
        <v>110520</v>
      </c>
      <c r="CQ10">
        <f>89043</f>
        <v>89043</v>
      </c>
      <c r="CR10">
        <f>86175</f>
        <v>86175</v>
      </c>
      <c r="CS10">
        <f>79013</f>
        <v>79013</v>
      </c>
      <c r="CT10">
        <f>87483</f>
        <v>87483</v>
      </c>
      <c r="CU10">
        <f>75520</f>
        <v>75520</v>
      </c>
      <c r="CV10">
        <f>76850</f>
        <v>76850</v>
      </c>
      <c r="CW10">
        <f>76347</f>
        <v>76347</v>
      </c>
      <c r="CX10">
        <f>79603</f>
        <v>79603</v>
      </c>
      <c r="CY10">
        <f>65229</f>
        <v>65229</v>
      </c>
      <c r="CZ10">
        <f>66940</f>
        <v>66940</v>
      </c>
      <c r="DA10">
        <f>60969</f>
        <v>60969</v>
      </c>
      <c r="DB10">
        <f>62728</f>
        <v>62728</v>
      </c>
      <c r="DC10" t="str">
        <f>""</f>
        <v/>
      </c>
      <c r="DD10" t="str">
        <f>""</f>
        <v/>
      </c>
      <c r="DE10" t="str">
        <f>""</f>
        <v/>
      </c>
      <c r="DF10" t="str">
        <f>""</f>
        <v/>
      </c>
      <c r="DG10" t="str">
        <f>""</f>
        <v/>
      </c>
      <c r="DH10" t="str">
        <f>""</f>
        <v/>
      </c>
      <c r="DI10" t="str">
        <f>""</f>
        <v/>
      </c>
      <c r="DJ10" t="str">
        <f>""</f>
        <v/>
      </c>
      <c r="DK10" t="str">
        <f>""</f>
        <v/>
      </c>
      <c r="DL10" t="str">
        <f>""</f>
        <v/>
      </c>
      <c r="DM10" t="str">
        <f>""</f>
        <v/>
      </c>
      <c r="DN10" t="str">
        <f>""</f>
        <v/>
      </c>
      <c r="DO10" t="str">
        <f>""</f>
        <v/>
      </c>
      <c r="DP10" t="str">
        <f>""</f>
        <v/>
      </c>
      <c r="DQ10" t="str">
        <f>""</f>
        <v/>
      </c>
      <c r="DR10" t="str">
        <f>""</f>
        <v/>
      </c>
      <c r="DS10" t="str">
        <f>""</f>
        <v/>
      </c>
      <c r="DT10" t="str">
        <f>""</f>
        <v/>
      </c>
      <c r="DU10" t="str">
        <f>""</f>
        <v/>
      </c>
    </row>
    <row r="11" spans="1:125" x14ac:dyDescent="0.25">
      <c r="A11" t="str">
        <f>"            India Muliti Purpose Vehicle"</f>
        <v xml:space="preserve">            India Muliti Purpose Vehicle</v>
      </c>
      <c r="B11" t="str">
        <f>"INVSDMPV Index"</f>
        <v>INVSDMPV Index</v>
      </c>
      <c r="C11" t="str">
        <f t="shared" si="0"/>
        <v>PX385</v>
      </c>
      <c r="D11" t="str">
        <f t="shared" si="1"/>
        <v>INTERVAL_SUM</v>
      </c>
      <c r="E11" t="str">
        <f t="shared" si="2"/>
        <v>Dynamic</v>
      </c>
      <c r="F11" t="str">
        <f ca="1">IF(AND(ISNUMBER($F$165),$B$156=1),$F$165,HLOOKUP(INDIRECT(ADDRESS(2,COLUMN())),OFFSET($BN$2,0,0,ROW()-1,60),ROW()-1,FALSE))</f>
        <v/>
      </c>
      <c r="G11" t="str">
        <f ca="1">IF(AND(ISNUMBER($G$165),$B$156=1),$G$165,HLOOKUP(INDIRECT(ADDRESS(2,COLUMN())),OFFSET($BN$2,0,0,ROW()-1,60),ROW()-1,FALSE))</f>
        <v/>
      </c>
      <c r="H11" t="str">
        <f ca="1">IF(AND(ISNUMBER($H$165),$B$156=1),$H$165,HLOOKUP(INDIRECT(ADDRESS(2,COLUMN())),OFFSET($BN$2,0,0,ROW()-1,60),ROW()-1,FALSE))</f>
        <v/>
      </c>
      <c r="I11" t="str">
        <f ca="1">IF(AND(ISNUMBER($I$165),$B$156=1),$I$165,HLOOKUP(INDIRECT(ADDRESS(2,COLUMN())),OFFSET($BN$2,0,0,ROW()-1,60),ROW()-1,FALSE))</f>
        <v/>
      </c>
      <c r="J11" t="str">
        <f ca="1">IF(AND(ISNUMBER($J$165),$B$156=1),$J$165,HLOOKUP(INDIRECT(ADDRESS(2,COLUMN())),OFFSET($BN$2,0,0,ROW()-1,60),ROW()-1,FALSE))</f>
        <v/>
      </c>
      <c r="K11" t="str">
        <f ca="1">IF(AND(ISNUMBER($K$165),$B$156=1),$K$165,HLOOKUP(INDIRECT(ADDRESS(2,COLUMN())),OFFSET($BN$2,0,0,ROW()-1,60),ROW()-1,FALSE))</f>
        <v/>
      </c>
      <c r="L11">
        <f ca="1">IF(AND(ISNUMBER($L$165),$B$156=1),$L$165,HLOOKUP(INDIRECT(ADDRESS(2,COLUMN())),OFFSET($BN$2,0,0,ROW()-1,60),ROW()-1,FALSE))</f>
        <v>19350</v>
      </c>
      <c r="M11">
        <f ca="1">IF(AND(ISNUMBER($M$165),$B$156=1),$M$165,HLOOKUP(INDIRECT(ADDRESS(2,COLUMN())),OFFSET($BN$2,0,0,ROW()-1,60),ROW()-1,FALSE))</f>
        <v>43247</v>
      </c>
      <c r="N11">
        <f ca="1">IF(AND(ISNUMBER($N$165),$B$156=1),$N$165,HLOOKUP(INDIRECT(ADDRESS(2,COLUMN())),OFFSET($BN$2,0,0,ROW()-1,60),ROW()-1,FALSE))</f>
        <v>48157</v>
      </c>
      <c r="O11">
        <f ca="1">IF(AND(ISNUMBER($O$165),$B$156=1),$O$165,HLOOKUP(INDIRECT(ADDRESS(2,COLUMN())),OFFSET($BN$2,0,0,ROW()-1,60),ROW()-1,FALSE))</f>
        <v>39568</v>
      </c>
      <c r="P11">
        <f ca="1">IF(AND(ISNUMBER($P$165),$B$156=1),$P$165,HLOOKUP(INDIRECT(ADDRESS(2,COLUMN())),OFFSET($BN$2,0,0,ROW()-1,60),ROW()-1,FALSE))</f>
        <v>49442</v>
      </c>
      <c r="Q11">
        <f ca="1">IF(AND(ISNUMBER($Q$165),$B$156=1),$Q$165,HLOOKUP(INDIRECT(ADDRESS(2,COLUMN())),OFFSET($BN$2,0,0,ROW()-1,60),ROW()-1,FALSE))</f>
        <v>44567</v>
      </c>
      <c r="R11">
        <f ca="1">IF(AND(ISNUMBER($R$165),$B$156=1),$R$165,HLOOKUP(INDIRECT(ADDRESS(2,COLUMN())),OFFSET($BN$2,0,0,ROW()-1,60),ROW()-1,FALSE))</f>
        <v>46147</v>
      </c>
      <c r="S11">
        <f ca="1">IF(AND(ISNUMBER($S$165),$B$156=1),$S$165,HLOOKUP(INDIRECT(ADDRESS(2,COLUMN())),OFFSET($BN$2,0,0,ROW()-1,60),ROW()-1,FALSE))</f>
        <v>44440</v>
      </c>
      <c r="T11">
        <f ca="1">IF(AND(ISNUMBER($T$165),$B$156=1),$T$165,HLOOKUP(INDIRECT(ADDRESS(2,COLUMN())),OFFSET($BN$2,0,0,ROW()-1,60),ROW()-1,FALSE))</f>
        <v>44043</v>
      </c>
      <c r="U11">
        <f ca="1">IF(AND(ISNUMBER($U$165),$B$156=1),$U$165,HLOOKUP(INDIRECT(ADDRESS(2,COLUMN())),OFFSET($BN$2,0,0,ROW()-1,60),ROW()-1,FALSE))</f>
        <v>42906</v>
      </c>
      <c r="V11">
        <f ca="1">IF(AND(ISNUMBER($V$165),$B$156=1),$V$165,HLOOKUP(INDIRECT(ADDRESS(2,COLUMN())),OFFSET($BN$2,0,0,ROW()-1,60),ROW()-1,FALSE))</f>
        <v>41581</v>
      </c>
      <c r="W11">
        <f ca="1">IF(AND(ISNUMBER($W$165),$B$156=1),$W$165,HLOOKUP(INDIRECT(ADDRESS(2,COLUMN())),OFFSET($BN$2,0,0,ROW()-1,60),ROW()-1,FALSE))</f>
        <v>41451</v>
      </c>
      <c r="X11">
        <f ca="1">IF(AND(ISNUMBER($X$165),$B$156=1),$X$165,HLOOKUP(INDIRECT(ADDRESS(2,COLUMN())),OFFSET($BN$2,0,0,ROW()-1,60),ROW()-1,FALSE))</f>
        <v>45956</v>
      </c>
      <c r="Y11">
        <f ca="1">IF(AND(ISNUMBER($Y$165),$B$156=1),$Y$165,HLOOKUP(INDIRECT(ADDRESS(2,COLUMN())),OFFSET($BN$2,0,0,ROW()-1,60),ROW()-1,FALSE))</f>
        <v>42284</v>
      </c>
      <c r="Z11">
        <f ca="1">IF(AND(ISNUMBER($Z$165),$B$156=1),$Z$165,HLOOKUP(INDIRECT(ADDRESS(2,COLUMN())),OFFSET($BN$2,0,0,ROW()-1,60),ROW()-1,FALSE))</f>
        <v>42412</v>
      </c>
      <c r="AA11">
        <f ca="1">IF(AND(ISNUMBER($AA$165),$B$156=1),$AA$165,HLOOKUP(INDIRECT(ADDRESS(2,COLUMN())),OFFSET($BN$2,0,0,ROW()-1,60),ROW()-1,FALSE))</f>
        <v>46598</v>
      </c>
      <c r="AB11">
        <f ca="1">IF(AND(ISNUMBER($AB$165),$B$156=1),$AB$165,HLOOKUP(INDIRECT(ADDRESS(2,COLUMN())),OFFSET($BN$2,0,0,ROW()-1,60),ROW()-1,FALSE))</f>
        <v>52825</v>
      </c>
      <c r="AC11">
        <f ca="1">IF(AND(ISNUMBER($AC$165),$B$156=1),$AC$165,HLOOKUP(INDIRECT(ADDRESS(2,COLUMN())),OFFSET($BN$2,0,0,ROW()-1,60),ROW()-1,FALSE))</f>
        <v>49009</v>
      </c>
      <c r="AD11">
        <f ca="1">IF(AND(ISNUMBER($AD$165),$B$156=1),$AD$165,HLOOKUP(INDIRECT(ADDRESS(2,COLUMN())),OFFSET($BN$2,0,0,ROW()-1,60),ROW()-1,FALSE))</f>
        <v>62546</v>
      </c>
      <c r="AE11">
        <f ca="1">IF(AND(ISNUMBER($AE$165),$B$156=1),$AE$165,HLOOKUP(INDIRECT(ADDRESS(2,COLUMN())),OFFSET($BN$2,0,0,ROW()-1,60),ROW()-1,FALSE))</f>
        <v>61856</v>
      </c>
      <c r="AF11">
        <f ca="1">IF(AND(ISNUMBER($AF$165),$B$156=1),$AF$165,HLOOKUP(INDIRECT(ADDRESS(2,COLUMN())),OFFSET($BN$2,0,0,ROW()-1,60),ROW()-1,FALSE))</f>
        <v>60775</v>
      </c>
      <c r="AG11">
        <f ca="1">IF(AND(ISNUMBER($AG$165),$B$156=1),$AG$165,HLOOKUP(INDIRECT(ADDRESS(2,COLUMN())),OFFSET($BN$2,0,0,ROW()-1,60),ROW()-1,FALSE))</f>
        <v>52121</v>
      </c>
      <c r="AH11">
        <f ca="1">IF(AND(ISNUMBER($AH$165),$B$156=1),$AH$165,HLOOKUP(INDIRECT(ADDRESS(2,COLUMN())),OFFSET($BN$2,0,0,ROW()-1,60),ROW()-1,FALSE))</f>
        <v>66264</v>
      </c>
      <c r="AI11">
        <f ca="1">IF(AND(ISNUMBER($AI$165),$B$156=1),$AI$165,HLOOKUP(INDIRECT(ADDRESS(2,COLUMN())),OFFSET($BN$2,0,0,ROW()-1,60),ROW()-1,FALSE))</f>
        <v>49602</v>
      </c>
      <c r="AJ11">
        <f ca="1">IF(AND(ISNUMBER($AJ$165),$B$156=1),$AJ$165,HLOOKUP(INDIRECT(ADDRESS(2,COLUMN())),OFFSET($BN$2,0,0,ROW()-1,60),ROW()-1,FALSE))</f>
        <v>61241</v>
      </c>
      <c r="AK11">
        <f ca="1">IF(AND(ISNUMBER($AK$165),$B$156=1),$AK$165,HLOOKUP(INDIRECT(ADDRESS(2,COLUMN())),OFFSET($BN$2,0,0,ROW()-1,60),ROW()-1,FALSE))</f>
        <v>57654</v>
      </c>
      <c r="AL11">
        <f ca="1">IF(AND(ISNUMBER($AL$165),$B$156=1),$AL$165,HLOOKUP(INDIRECT(ADDRESS(2,COLUMN())),OFFSET($BN$2,0,0,ROW()-1,60),ROW()-1,FALSE))</f>
        <v>56983</v>
      </c>
      <c r="AM11">
        <f ca="1">IF(AND(ISNUMBER($AM$165),$B$156=1),$AM$165,HLOOKUP(INDIRECT(ADDRESS(2,COLUMN())),OFFSET($BN$2,0,0,ROW()-1,60),ROW()-1,FALSE))</f>
        <v>56726</v>
      </c>
      <c r="AN11">
        <f ca="1">IF(AND(ISNUMBER($AN$165),$B$156=1),$AN$165,HLOOKUP(INDIRECT(ADDRESS(2,COLUMN())),OFFSET($BN$2,0,0,ROW()-1,60),ROW()-1,FALSE))</f>
        <v>55372</v>
      </c>
      <c r="AO11">
        <f ca="1">IF(AND(ISNUMBER($AO$165),$B$156=1),$AO$165,HLOOKUP(INDIRECT(ADDRESS(2,COLUMN())),OFFSET($BN$2,0,0,ROW()-1,60),ROW()-1,FALSE))</f>
        <v>44493</v>
      </c>
      <c r="AP11">
        <f ca="1">IF(AND(ISNUMBER($AP$165),$B$156=1),$AP$165,HLOOKUP(INDIRECT(ADDRESS(2,COLUMN())),OFFSET($BN$2,0,0,ROW()-1,60),ROW()-1,FALSE))</f>
        <v>46309</v>
      </c>
      <c r="AQ11">
        <f ca="1">IF(AND(ISNUMBER($AQ$165),$B$156=1),$AQ$165,HLOOKUP(INDIRECT(ADDRESS(2,COLUMN())),OFFSET($BN$2,0,0,ROW()-1,60),ROW()-1,FALSE))</f>
        <v>37069</v>
      </c>
      <c r="AR11">
        <f ca="1">IF(AND(ISNUMBER($AR$165),$B$156=1),$AR$165,HLOOKUP(INDIRECT(ADDRESS(2,COLUMN())),OFFSET($BN$2,0,0,ROW()-1,60),ROW()-1,FALSE))</f>
        <v>34913</v>
      </c>
      <c r="AS11">
        <f ca="1">IF(AND(ISNUMBER($AS$165),$B$156=1),$AS$165,HLOOKUP(INDIRECT(ADDRESS(2,COLUMN())),OFFSET($BN$2,0,0,ROW()-1,60),ROW()-1,FALSE))</f>
        <v>31965</v>
      </c>
      <c r="AT11">
        <f ca="1">IF(AND(ISNUMBER($AT$165),$B$156=1),$AT$165,HLOOKUP(INDIRECT(ADDRESS(2,COLUMN())),OFFSET($BN$2,0,0,ROW()-1,60),ROW()-1,FALSE))</f>
        <v>29586</v>
      </c>
      <c r="AU11" t="str">
        <f ca="1">IF(AND(ISNUMBER($AU$165),$B$156=1),$AU$165,HLOOKUP(INDIRECT(ADDRESS(2,COLUMN())),OFFSET($BN$2,0,0,ROW()-1,60),ROW()-1,FALSE))</f>
        <v/>
      </c>
      <c r="AV11" t="str">
        <f ca="1">IF(AND(ISNUMBER($AV$165),$B$156=1),$AV$165,HLOOKUP(INDIRECT(ADDRESS(2,COLUMN())),OFFSET($BN$2,0,0,ROW()-1,60),ROW()-1,FALSE))</f>
        <v/>
      </c>
      <c r="AW11" t="str">
        <f ca="1">IF(AND(ISNUMBER($AW$165),$B$156=1),$AW$165,HLOOKUP(INDIRECT(ADDRESS(2,COLUMN())),OFFSET($BN$2,0,0,ROW()-1,60),ROW()-1,FALSE))</f>
        <v/>
      </c>
      <c r="AX11" t="str">
        <f ca="1">IF(AND(ISNUMBER($AX$165),$B$156=1),$AX$165,HLOOKUP(INDIRECT(ADDRESS(2,COLUMN())),OFFSET($BN$2,0,0,ROW()-1,60),ROW()-1,FALSE))</f>
        <v/>
      </c>
      <c r="AY11" t="str">
        <f ca="1">IF(AND(ISNUMBER($AY$165),$B$156=1),$AY$165,HLOOKUP(INDIRECT(ADDRESS(2,COLUMN())),OFFSET($BN$2,0,0,ROW()-1,60),ROW()-1,FALSE))</f>
        <v/>
      </c>
      <c r="AZ11" t="str">
        <f ca="1">IF(AND(ISNUMBER($AZ$165),$B$156=1),$AZ$165,HLOOKUP(INDIRECT(ADDRESS(2,COLUMN())),OFFSET($BN$2,0,0,ROW()-1,60),ROW()-1,FALSE))</f>
        <v/>
      </c>
      <c r="BA11" t="str">
        <f ca="1">IF(AND(ISNUMBER($BA$165),$B$156=1),$BA$165,HLOOKUP(INDIRECT(ADDRESS(2,COLUMN())),OFFSET($BN$2,0,0,ROW()-1,60),ROW()-1,FALSE))</f>
        <v/>
      </c>
      <c r="BB11" t="str">
        <f ca="1">IF(AND(ISNUMBER($BB$165),$B$156=1),$BB$165,HLOOKUP(INDIRECT(ADDRESS(2,COLUMN())),OFFSET($BN$2,0,0,ROW()-1,60),ROW()-1,FALSE))</f>
        <v/>
      </c>
      <c r="BC11" t="str">
        <f ca="1">IF(AND(ISNUMBER($BC$165),$B$156=1),$BC$165,HLOOKUP(INDIRECT(ADDRESS(2,COLUMN())),OFFSET($BN$2,0,0,ROW()-1,60),ROW()-1,FALSE))</f>
        <v/>
      </c>
      <c r="BD11" t="str">
        <f ca="1">IF(AND(ISNUMBER($BD$165),$B$156=1),$BD$165,HLOOKUP(INDIRECT(ADDRESS(2,COLUMN())),OFFSET($BN$2,0,0,ROW()-1,60),ROW()-1,FALSE))</f>
        <v/>
      </c>
      <c r="BE11" t="str">
        <f ca="1">IF(AND(ISNUMBER($BE$165),$B$156=1),$BE$165,HLOOKUP(INDIRECT(ADDRESS(2,COLUMN())),OFFSET($BN$2,0,0,ROW()-1,60),ROW()-1,FALSE))</f>
        <v/>
      </c>
      <c r="BF11" t="str">
        <f ca="1">IF(AND(ISNUMBER($BF$165),$B$156=1),$BF$165,HLOOKUP(INDIRECT(ADDRESS(2,COLUMN())),OFFSET($BN$2,0,0,ROW()-1,60),ROW()-1,FALSE))</f>
        <v/>
      </c>
      <c r="BG11" t="str">
        <f ca="1">IF(AND(ISNUMBER($BG$165),$B$156=1),$BG$165,HLOOKUP(INDIRECT(ADDRESS(2,COLUMN())),OFFSET($BN$2,0,0,ROW()-1,60),ROW()-1,FALSE))</f>
        <v/>
      </c>
      <c r="BH11" t="str">
        <f ca="1">IF(AND(ISNUMBER($BH$165),$B$156=1),$BH$165,HLOOKUP(INDIRECT(ADDRESS(2,COLUMN())),OFFSET($BN$2,0,0,ROW()-1,60),ROW()-1,FALSE))</f>
        <v/>
      </c>
      <c r="BI11" t="str">
        <f ca="1">IF(AND(ISNUMBER($BI$165),$B$156=1),$BI$165,HLOOKUP(INDIRECT(ADDRESS(2,COLUMN())),OFFSET($BN$2,0,0,ROW()-1,60),ROW()-1,FALSE))</f>
        <v/>
      </c>
      <c r="BJ11" t="str">
        <f ca="1">IF(AND(ISNUMBER($BJ$165),$B$156=1),$BJ$165,HLOOKUP(INDIRECT(ADDRESS(2,COLUMN())),OFFSET($BN$2,0,0,ROW()-1,60),ROW()-1,FALSE))</f>
        <v/>
      </c>
      <c r="BK11" t="str">
        <f ca="1">IF(AND(ISNUMBER($BK$165),$B$156=1),$BK$165,HLOOKUP(INDIRECT(ADDRESS(2,COLUMN())),OFFSET($BN$2,0,0,ROW()-1,60),ROW()-1,FALSE))</f>
        <v/>
      </c>
      <c r="BL11" t="str">
        <f ca="1">IF(AND(ISNUMBER($BL$165),$B$156=1),$BL$165,HLOOKUP(INDIRECT(ADDRESS(2,COLUMN())),OFFSET($BN$2,0,0,ROW()-1,60),ROW()-1,FALSE))</f>
        <v/>
      </c>
      <c r="BM11" t="str">
        <f ca="1">IF(AND(ISNUMBER($BM$165),$B$156=1),$BM$165,HLOOKUP(INDIRECT(ADDRESS(2,COLUMN())),OFFSET($BN$2,0,0,ROW()-1,60),ROW()-1,FALSE))</f>
        <v/>
      </c>
      <c r="BN11" t="str">
        <f>""</f>
        <v/>
      </c>
      <c r="BO11" t="str">
        <f>""</f>
        <v/>
      </c>
      <c r="BP11" t="str">
        <f>""</f>
        <v/>
      </c>
      <c r="BQ11" t="str">
        <f>""</f>
        <v/>
      </c>
      <c r="BR11" t="str">
        <f>""</f>
        <v/>
      </c>
      <c r="BS11" t="str">
        <f>""</f>
        <v/>
      </c>
      <c r="BT11">
        <f>19350</f>
        <v>19350</v>
      </c>
      <c r="BU11">
        <f>43247</f>
        <v>43247</v>
      </c>
      <c r="BV11">
        <f>48157</f>
        <v>48157</v>
      </c>
      <c r="BW11">
        <f>39568</f>
        <v>39568</v>
      </c>
      <c r="BX11">
        <f>49442</f>
        <v>49442</v>
      </c>
      <c r="BY11">
        <f>44567</f>
        <v>44567</v>
      </c>
      <c r="BZ11">
        <f>46147</f>
        <v>46147</v>
      </c>
      <c r="CA11">
        <f>44440</f>
        <v>44440</v>
      </c>
      <c r="CB11">
        <f>44043</f>
        <v>44043</v>
      </c>
      <c r="CC11">
        <f>42906</f>
        <v>42906</v>
      </c>
      <c r="CD11">
        <f>41581</f>
        <v>41581</v>
      </c>
      <c r="CE11">
        <f>41451</f>
        <v>41451</v>
      </c>
      <c r="CF11">
        <f>45956</f>
        <v>45956</v>
      </c>
      <c r="CG11">
        <f>42284</f>
        <v>42284</v>
      </c>
      <c r="CH11">
        <f>42412</f>
        <v>42412</v>
      </c>
      <c r="CI11">
        <f>46598</f>
        <v>46598</v>
      </c>
      <c r="CJ11">
        <f>52825</f>
        <v>52825</v>
      </c>
      <c r="CK11">
        <f>49009</f>
        <v>49009</v>
      </c>
      <c r="CL11">
        <f>62546</f>
        <v>62546</v>
      </c>
      <c r="CM11">
        <f>61856</f>
        <v>61856</v>
      </c>
      <c r="CN11">
        <f>60775</f>
        <v>60775</v>
      </c>
      <c r="CO11">
        <f>52121</f>
        <v>52121</v>
      </c>
      <c r="CP11">
        <f>66264</f>
        <v>66264</v>
      </c>
      <c r="CQ11">
        <f>49602</f>
        <v>49602</v>
      </c>
      <c r="CR11">
        <f>61241</f>
        <v>61241</v>
      </c>
      <c r="CS11">
        <f>57654</f>
        <v>57654</v>
      </c>
      <c r="CT11">
        <f>56983</f>
        <v>56983</v>
      </c>
      <c r="CU11">
        <f>56726</f>
        <v>56726</v>
      </c>
      <c r="CV11">
        <f>55372</f>
        <v>55372</v>
      </c>
      <c r="CW11">
        <f>44493</f>
        <v>44493</v>
      </c>
      <c r="CX11">
        <f>46309</f>
        <v>46309</v>
      </c>
      <c r="CY11">
        <f>37069</f>
        <v>37069</v>
      </c>
      <c r="CZ11">
        <f>34913</f>
        <v>34913</v>
      </c>
      <c r="DA11">
        <f>31965</f>
        <v>31965</v>
      </c>
      <c r="DB11">
        <f>29586</f>
        <v>29586</v>
      </c>
      <c r="DC11" t="str">
        <f>""</f>
        <v/>
      </c>
      <c r="DD11" t="str">
        <f>""</f>
        <v/>
      </c>
      <c r="DE11" t="str">
        <f>""</f>
        <v/>
      </c>
      <c r="DF11" t="str">
        <f>""</f>
        <v/>
      </c>
      <c r="DG11" t="str">
        <f>""</f>
        <v/>
      </c>
      <c r="DH11" t="str">
        <f>""</f>
        <v/>
      </c>
      <c r="DI11" t="str">
        <f>""</f>
        <v/>
      </c>
      <c r="DJ11" t="str">
        <f>""</f>
        <v/>
      </c>
      <c r="DK11" t="str">
        <f>""</f>
        <v/>
      </c>
      <c r="DL11" t="str">
        <f>""</f>
        <v/>
      </c>
      <c r="DM11" t="str">
        <f>""</f>
        <v/>
      </c>
      <c r="DN11" t="str">
        <f>""</f>
        <v/>
      </c>
      <c r="DO11" t="str">
        <f>""</f>
        <v/>
      </c>
      <c r="DP11" t="str">
        <f>""</f>
        <v/>
      </c>
      <c r="DQ11" t="str">
        <f>""</f>
        <v/>
      </c>
      <c r="DR11" t="str">
        <f>""</f>
        <v/>
      </c>
      <c r="DS11" t="str">
        <f>""</f>
        <v/>
      </c>
      <c r="DT11" t="str">
        <f>""</f>
        <v/>
      </c>
      <c r="DU11" t="str">
        <f>""</f>
        <v/>
      </c>
    </row>
    <row r="12" spans="1:125" x14ac:dyDescent="0.25">
      <c r="A12" t="str">
        <f>"        Indonesia"</f>
        <v xml:space="preserve">        Indonesia</v>
      </c>
      <c r="B12" t="str">
        <f>"IDVHCLOC Index"</f>
        <v>IDVHCLOC Index</v>
      </c>
      <c r="C12" t="str">
        <f t="shared" si="0"/>
        <v>PX385</v>
      </c>
      <c r="D12" t="str">
        <f t="shared" si="1"/>
        <v>INTERVAL_SUM</v>
      </c>
      <c r="E12" t="str">
        <f t="shared" si="2"/>
        <v>Dynamic</v>
      </c>
      <c r="F12">
        <f ca="1">IF(AND(ISNUMBER($F$166),$B$156=1),$F$166,HLOOKUP(INDIRECT(ADDRESS(2,COLUMN())),OFFSET($BN$2,0,0,ROW()-1,60),ROW()-1,FALSE))</f>
        <v>81218</v>
      </c>
      <c r="G12">
        <f ca="1">IF(AND(ISNUMBER($G$166),$B$156=1),$G$166,HLOOKUP(INDIRECT(ADDRESS(2,COLUMN())),OFFSET($BN$2,0,0,ROW()-1,60),ROW()-1,FALSE))</f>
        <v>294658</v>
      </c>
      <c r="H12">
        <f ca="1">IF(AND(ISNUMBER($H$166),$B$156=1),$H$166,HLOOKUP(INDIRECT(ADDRESS(2,COLUMN())),OFFSET($BN$2,0,0,ROW()-1,60),ROW()-1,FALSE))</f>
        <v>302729</v>
      </c>
      <c r="I12">
        <f ca="1">IF(AND(ISNUMBER($I$166),$B$156=1),$I$166,HLOOKUP(INDIRECT(ADDRESS(2,COLUMN())),OFFSET($BN$2,0,0,ROW()-1,60),ROW()-1,FALSE))</f>
        <v>261615</v>
      </c>
      <c r="J12">
        <f ca="1">IF(AND(ISNUMBER($J$166),$B$156=1),$J$166,HLOOKUP(INDIRECT(ADDRESS(2,COLUMN())),OFFSET($BN$2,0,0,ROW()-1,60),ROW()-1,FALSE))</f>
        <v>292164</v>
      </c>
      <c r="K12">
        <f ca="1">IF(AND(ISNUMBER($K$166),$B$156=1),$K$166,HLOOKUP(INDIRECT(ADDRESS(2,COLUMN())),OFFSET($BN$2,0,0,ROW()-1,60),ROW()-1,FALSE))</f>
        <v>275722</v>
      </c>
      <c r="L12">
        <f ca="1">IF(AND(ISNUMBER($L$166),$B$156=1),$L$166,HLOOKUP(INDIRECT(ADDRESS(2,COLUMN())),OFFSET($BN$2,0,0,ROW()-1,60),ROW()-1,FALSE))</f>
        <v>270306</v>
      </c>
      <c r="M12">
        <f ca="1">IF(AND(ISNUMBER($M$166),$B$156=1),$M$166,HLOOKUP(INDIRECT(ADDRESS(2,COLUMN())),OFFSET($BN$2,0,0,ROW()-1,60),ROW()-1,FALSE))</f>
        <v>250098</v>
      </c>
      <c r="N12">
        <f ca="1">IF(AND(ISNUMBER($N$166),$B$156=1),$N$166,HLOOKUP(INDIRECT(ADDRESS(2,COLUMN())),OFFSET($BN$2,0,0,ROW()-1,60),ROW()-1,FALSE))</f>
        <v>283760</v>
      </c>
      <c r="O12">
        <f ca="1">IF(AND(ISNUMBER($O$166),$B$156=1),$O$166,HLOOKUP(INDIRECT(ADDRESS(2,COLUMN())),OFFSET($BN$2,0,0,ROW()-1,60),ROW()-1,FALSE))</f>
        <v>279018</v>
      </c>
      <c r="P12">
        <f ca="1">IF(AND(ISNUMBER($P$166),$B$156=1),$P$166,HLOOKUP(INDIRECT(ADDRESS(2,COLUMN())),OFFSET($BN$2,0,0,ROW()-1,60),ROW()-1,FALSE))</f>
        <v>250714</v>
      </c>
      <c r="Q12">
        <f ca="1">IF(AND(ISNUMBER($Q$166),$B$156=1),$Q$166,HLOOKUP(INDIRECT(ADDRESS(2,COLUMN())),OFFSET($BN$2,0,0,ROW()-1,60),ROW()-1,FALSE))</f>
        <v>264825</v>
      </c>
      <c r="R12">
        <f ca="1">IF(AND(ISNUMBER($R$166),$B$156=1),$R$166,HLOOKUP(INDIRECT(ADDRESS(2,COLUMN())),OFFSET($BN$2,0,0,ROW()-1,60),ROW()-1,FALSE))</f>
        <v>267302</v>
      </c>
      <c r="S12">
        <f ca="1">IF(AND(ISNUMBER($S$166),$B$156=1),$S$166,HLOOKUP(INDIRECT(ADDRESS(2,COLUMN())),OFFSET($BN$2,0,0,ROW()-1,60),ROW()-1,FALSE))</f>
        <v>248610</v>
      </c>
      <c r="T12">
        <f ca="1">IF(AND(ISNUMBER($T$166),$B$156=1),$T$166,HLOOKUP(INDIRECT(ADDRESS(2,COLUMN())),OFFSET($BN$2,0,0,ROW()-1,60),ROW()-1,FALSE))</f>
        <v>239190</v>
      </c>
      <c r="U12">
        <f ca="1">IF(AND(ISNUMBER($U$166),$B$156=1),$U$166,HLOOKUP(INDIRECT(ADDRESS(2,COLUMN())),OFFSET($BN$2,0,0,ROW()-1,60),ROW()-1,FALSE))</f>
        <v>243147</v>
      </c>
      <c r="V12">
        <f ca="1">IF(AND(ISNUMBER($V$166),$B$156=1),$V$166,HLOOKUP(INDIRECT(ADDRESS(2,COLUMN())),OFFSET($BN$2,0,0,ROW()-1,60),ROW()-1,FALSE))</f>
        <v>282344</v>
      </c>
      <c r="W12">
        <f ca="1">IF(AND(ISNUMBER($W$166),$B$156=1),$W$166,HLOOKUP(INDIRECT(ADDRESS(2,COLUMN())),OFFSET($BN$2,0,0,ROW()-1,60),ROW()-1,FALSE))</f>
        <v>275351</v>
      </c>
      <c r="X12">
        <f ca="1">IF(AND(ISNUMBER($X$166),$B$156=1),$X$166,HLOOKUP(INDIRECT(ADDRESS(2,COLUMN())),OFFSET($BN$2,0,0,ROW()-1,60),ROW()-1,FALSE))</f>
        <v>290558</v>
      </c>
      <c r="Y12">
        <f ca="1">IF(AND(ISNUMBER($Y$166),$B$156=1),$Y$166,HLOOKUP(INDIRECT(ADDRESS(2,COLUMN())),OFFSET($BN$2,0,0,ROW()-1,60),ROW()-1,FALSE))</f>
        <v>313610</v>
      </c>
      <c r="Z12">
        <f ca="1">IF(AND(ISNUMBER($Z$166),$B$156=1),$Z$166,HLOOKUP(INDIRECT(ADDRESS(2,COLUMN())),OFFSET($BN$2,0,0,ROW()-1,60),ROW()-1,FALSE))</f>
        <v>328500</v>
      </c>
      <c r="AA12">
        <f ca="1">IF(AND(ISNUMBER($AA$166),$B$156=1),$AA$166,HLOOKUP(INDIRECT(ADDRESS(2,COLUMN())),OFFSET($BN$2,0,0,ROW()-1,60),ROW()-1,FALSE))</f>
        <v>321586</v>
      </c>
      <c r="AB12">
        <f ca="1">IF(AND(ISNUMBER($AB$166),$B$156=1),$AB$166,HLOOKUP(INDIRECT(ADDRESS(2,COLUMN())),OFFSET($BN$2,0,0,ROW()-1,60),ROW()-1,FALSE))</f>
        <v>306116</v>
      </c>
      <c r="AC12">
        <f ca="1">IF(AND(ISNUMBER($AC$166),$B$156=1),$AC$166,HLOOKUP(INDIRECT(ADDRESS(2,COLUMN())),OFFSET($BN$2,0,0,ROW()-1,60),ROW()-1,FALSE))</f>
        <v>306222</v>
      </c>
      <c r="AD12">
        <f ca="1">IF(AND(ISNUMBER($AD$166),$B$156=1),$AD$166,HLOOKUP(INDIRECT(ADDRESS(2,COLUMN())),OFFSET($BN$2,0,0,ROW()-1,60),ROW()-1,FALSE))</f>
        <v>295992</v>
      </c>
      <c r="AE12">
        <f ca="1">IF(AND(ISNUMBER($AE$166),$B$156=1),$AE$166,HLOOKUP(INDIRECT(ADDRESS(2,COLUMN())),OFFSET($BN$2,0,0,ROW()-1,60),ROW()-1,FALSE))</f>
        <v>299913</v>
      </c>
      <c r="AF12">
        <f ca="1">IF(AND(ISNUMBER($AF$166),$B$156=1),$AF$166,HLOOKUP(INDIRECT(ADDRESS(2,COLUMN())),OFFSET($BN$2,0,0,ROW()-1,60),ROW()-1,FALSE))</f>
        <v>281056</v>
      </c>
      <c r="AG12">
        <f ca="1">IF(AND(ISNUMBER($AG$166),$B$156=1),$AG$166,HLOOKUP(INDIRECT(ADDRESS(2,COLUMN())),OFFSET($BN$2,0,0,ROW()-1,60),ROW()-1,FALSE))</f>
        <v>284431</v>
      </c>
      <c r="AH12">
        <f ca="1">IF(AND(ISNUMBER($AH$166),$B$156=1),$AH$166,HLOOKUP(INDIRECT(ADDRESS(2,COLUMN())),OFFSET($BN$2,0,0,ROW()-1,60),ROW()-1,FALSE))</f>
        <v>250830</v>
      </c>
      <c r="AI12">
        <f ca="1">IF(AND(ISNUMBER($AI$166),$B$156=1),$AI$166,HLOOKUP(INDIRECT(ADDRESS(2,COLUMN())),OFFSET($BN$2,0,0,ROW()-1,60),ROW()-1,FALSE))</f>
        <v>234325</v>
      </c>
      <c r="AJ12">
        <f ca="1">IF(AND(ISNUMBER($AJ$166),$B$156=1),$AJ$166,HLOOKUP(INDIRECT(ADDRESS(2,COLUMN())),OFFSET($BN$2,0,0,ROW()-1,60),ROW()-1,FALSE))</f>
        <v>242167</v>
      </c>
      <c r="AK12">
        <f ca="1">IF(AND(ISNUMBER($AK$166),$B$156=1),$AK$166,HLOOKUP(INDIRECT(ADDRESS(2,COLUMN())),OFFSET($BN$2,0,0,ROW()-1,60),ROW()-1,FALSE))</f>
        <v>191933</v>
      </c>
      <c r="AL12">
        <f ca="1">IF(AND(ISNUMBER($AL$166),$B$156=1),$AL$166,HLOOKUP(INDIRECT(ADDRESS(2,COLUMN())),OFFSET($BN$2,0,0,ROW()-1,60),ROW()-1,FALSE))</f>
        <v>225739</v>
      </c>
      <c r="AM12">
        <f ca="1">IF(AND(ISNUMBER($AM$166),$B$156=1),$AM$166,HLOOKUP(INDIRECT(ADDRESS(2,COLUMN())),OFFSET($BN$2,0,0,ROW()-1,60),ROW()-1,FALSE))</f>
        <v>208470</v>
      </c>
      <c r="AN12">
        <f ca="1">IF(AND(ISNUMBER($AN$166),$B$156=1),$AN$166,HLOOKUP(INDIRECT(ADDRESS(2,COLUMN())),OFFSET($BN$2,0,0,ROW()-1,60),ROW()-1,FALSE))</f>
        <v>186026</v>
      </c>
      <c r="AO12">
        <f ca="1">IF(AND(ISNUMBER($AO$166),$B$156=1),$AO$166,HLOOKUP(INDIRECT(ADDRESS(2,COLUMN())),OFFSET($BN$2,0,0,ROW()-1,60),ROW()-1,FALSE))</f>
        <v>196140</v>
      </c>
      <c r="AP12">
        <f ca="1">IF(AND(ISNUMBER($AP$166),$B$156=1),$AP$166,HLOOKUP(INDIRECT(ADDRESS(2,COLUMN())),OFFSET($BN$2,0,0,ROW()-1,60),ROW()-1,FALSE))</f>
        <v>174074</v>
      </c>
      <c r="AQ12">
        <f ca="1">IF(AND(ISNUMBER($AQ$166),$B$156=1),$AQ$166,HLOOKUP(INDIRECT(ADDRESS(2,COLUMN())),OFFSET($BN$2,0,0,ROW()-1,60),ROW()-1,FALSE))</f>
        <v>148598</v>
      </c>
      <c r="AR12">
        <f ca="1">IF(AND(ISNUMBER($AR$166),$B$156=1),$AR$166,HLOOKUP(INDIRECT(ADDRESS(2,COLUMN())),OFFSET($BN$2,0,0,ROW()-1,60),ROW()-1,FALSE))</f>
        <v>127217</v>
      </c>
      <c r="AS12">
        <f ca="1">IF(AND(ISNUMBER($AS$166),$B$156=1),$AS$166,HLOOKUP(INDIRECT(ADDRESS(2,COLUMN())),OFFSET($BN$2,0,0,ROW()-1,60),ROW()-1,FALSE))</f>
        <v>109989</v>
      </c>
      <c r="AT12">
        <f ca="1">IF(AND(ISNUMBER($AT$166),$B$156=1),$AT$166,HLOOKUP(INDIRECT(ADDRESS(2,COLUMN())),OFFSET($BN$2,0,0,ROW()-1,60),ROW()-1,FALSE))</f>
        <v>100257</v>
      </c>
      <c r="AU12">
        <f ca="1">IF(AND(ISNUMBER($AU$166),$B$156=1),$AU$166,HLOOKUP(INDIRECT(ADDRESS(2,COLUMN())),OFFSET($BN$2,0,0,ROW()-1,60),ROW()-1,FALSE))</f>
        <v>140583</v>
      </c>
      <c r="AV12">
        <f ca="1">IF(AND(ISNUMBER($AV$166),$B$156=1),$AV$166,HLOOKUP(INDIRECT(ADDRESS(2,COLUMN())),OFFSET($BN$2,0,0,ROW()-1,60),ROW()-1,FALSE))</f>
        <v>174552</v>
      </c>
      <c r="AW12">
        <f ca="1">IF(AND(ISNUMBER($AW$166),$B$156=1),$AW$166,HLOOKUP(INDIRECT(ADDRESS(2,COLUMN())),OFFSET($BN$2,0,0,ROW()-1,60),ROW()-1,FALSE))</f>
        <v>157067</v>
      </c>
      <c r="AX12">
        <f ca="1">IF(AND(ISNUMBER($AX$166),$B$156=1),$AX$166,HLOOKUP(INDIRECT(ADDRESS(2,COLUMN())),OFFSET($BN$2,0,0,ROW()-1,60),ROW()-1,FALSE))</f>
        <v>135603</v>
      </c>
      <c r="AY12">
        <f ca="1">IF(AND(ISNUMBER($AY$166),$B$156=1),$AY$166,HLOOKUP(INDIRECT(ADDRESS(2,COLUMN())),OFFSET($BN$2,0,0,ROW()-1,60),ROW()-1,FALSE))</f>
        <v>116265</v>
      </c>
      <c r="AZ12">
        <f ca="1">IF(AND(ISNUMBER($AZ$166),$B$156=1),$AZ$166,HLOOKUP(INDIRECT(ADDRESS(2,COLUMN())),OFFSET($BN$2,0,0,ROW()-1,60),ROW()-1,FALSE))</f>
        <v>120892</v>
      </c>
      <c r="BA12">
        <f ca="1">IF(AND(ISNUMBER($BA$166),$B$156=1),$BA$166,HLOOKUP(INDIRECT(ADDRESS(2,COLUMN())),OFFSET($BN$2,0,0,ROW()-1,60),ROW()-1,FALSE))</f>
        <v>112979</v>
      </c>
      <c r="BB12">
        <f ca="1">IF(AND(ISNUMBER($BB$166),$B$156=1),$BB$166,HLOOKUP(INDIRECT(ADDRESS(2,COLUMN())),OFFSET($BN$2,0,0,ROW()-1,60),ROW()-1,FALSE))</f>
        <v>84337</v>
      </c>
      <c r="BC12">
        <f ca="1">IF(AND(ISNUMBER($BC$166),$B$156=1),$BC$166,HLOOKUP(INDIRECT(ADDRESS(2,COLUMN())),OFFSET($BN$2,0,0,ROW()-1,60),ROW()-1,FALSE))</f>
        <v>85151</v>
      </c>
      <c r="BD12">
        <f ca="1">IF(AND(ISNUMBER($BD$166),$B$156=1),$BD$166,HLOOKUP(INDIRECT(ADDRESS(2,COLUMN())),OFFSET($BN$2,0,0,ROW()-1,60),ROW()-1,FALSE))</f>
        <v>84119</v>
      </c>
      <c r="BE12">
        <f ca="1">IF(AND(ISNUMBER($BE$166),$B$156=1),$BE$166,HLOOKUP(INDIRECT(ADDRESS(2,COLUMN())),OFFSET($BN$2,0,0,ROW()-1,60),ROW()-1,FALSE))</f>
        <v>70223</v>
      </c>
      <c r="BF12">
        <f ca="1">IF(AND(ISNUMBER($BF$166),$B$156=1),$BF$166,HLOOKUP(INDIRECT(ADDRESS(2,COLUMN())),OFFSET($BN$2,0,0,ROW()-1,60),ROW()-1,FALSE))</f>
        <v>79412</v>
      </c>
      <c r="BG12">
        <f ca="1">IF(AND(ISNUMBER($BG$166),$B$156=1),$BG$166,HLOOKUP(INDIRECT(ADDRESS(2,COLUMN())),OFFSET($BN$2,0,0,ROW()-1,60),ROW()-1,FALSE))</f>
        <v>94092</v>
      </c>
      <c r="BH12">
        <f ca="1">IF(AND(ISNUMBER($BH$166),$B$156=1),$BH$166,HLOOKUP(INDIRECT(ADDRESS(2,COLUMN())),OFFSET($BN$2,0,0,ROW()-1,60),ROW()-1,FALSE))</f>
        <v>144039</v>
      </c>
      <c r="BI12">
        <f ca="1">IF(AND(ISNUMBER($BI$166),$B$156=1),$BI$166,HLOOKUP(INDIRECT(ADDRESS(2,COLUMN())),OFFSET($BN$2,0,0,ROW()-1,60),ROW()-1,FALSE))</f>
        <v>151816</v>
      </c>
      <c r="BJ12">
        <f ca="1">IF(AND(ISNUMBER($BJ$166),$B$156=1),$BJ$166,HLOOKUP(INDIRECT(ADDRESS(2,COLUMN())),OFFSET($BN$2,0,0,ROW()-1,60),ROW()-1,FALSE))</f>
        <v>143963</v>
      </c>
      <c r="BK12">
        <f ca="1">IF(AND(ISNUMBER($BK$166),$B$156=1),$BK$166,HLOOKUP(INDIRECT(ADDRESS(2,COLUMN())),OFFSET($BN$2,0,0,ROW()-1,60),ROW()-1,FALSE))</f>
        <v>134646</v>
      </c>
      <c r="BL12">
        <f ca="1">IF(AND(ISNUMBER($BL$166),$B$156=1),$BL$166,HLOOKUP(INDIRECT(ADDRESS(2,COLUMN())),OFFSET($BN$2,0,0,ROW()-1,60),ROW()-1,FALSE))</f>
        <v>122516</v>
      </c>
      <c r="BM12">
        <f ca="1">IF(AND(ISNUMBER($BM$166),$B$156=1),$BM$166,HLOOKUP(INDIRECT(ADDRESS(2,COLUMN())),OFFSET($BN$2,0,0,ROW()-1,60),ROW()-1,FALSE))</f>
        <v>122506</v>
      </c>
      <c r="BN12">
        <f>81218</f>
        <v>81218</v>
      </c>
      <c r="BO12">
        <f>294658</f>
        <v>294658</v>
      </c>
      <c r="BP12">
        <f>302729</f>
        <v>302729</v>
      </c>
      <c r="BQ12">
        <f>261615</f>
        <v>261615</v>
      </c>
      <c r="BR12">
        <f>292164</f>
        <v>292164</v>
      </c>
      <c r="BS12">
        <f>275722</f>
        <v>275722</v>
      </c>
      <c r="BT12">
        <f>270306</f>
        <v>270306</v>
      </c>
      <c r="BU12">
        <f>250098</f>
        <v>250098</v>
      </c>
      <c r="BV12">
        <f>283760</f>
        <v>283760</v>
      </c>
      <c r="BW12">
        <f>279018</f>
        <v>279018</v>
      </c>
      <c r="BX12">
        <f>250714</f>
        <v>250714</v>
      </c>
      <c r="BY12">
        <f>264825</f>
        <v>264825</v>
      </c>
      <c r="BZ12">
        <f>267302</f>
        <v>267302</v>
      </c>
      <c r="CA12">
        <f>248610</f>
        <v>248610</v>
      </c>
      <c r="CB12">
        <f>239190</f>
        <v>239190</v>
      </c>
      <c r="CC12">
        <f>243147</f>
        <v>243147</v>
      </c>
      <c r="CD12">
        <f>282344</f>
        <v>282344</v>
      </c>
      <c r="CE12">
        <f>275351</f>
        <v>275351</v>
      </c>
      <c r="CF12">
        <f>290558</f>
        <v>290558</v>
      </c>
      <c r="CG12">
        <f>313610</f>
        <v>313610</v>
      </c>
      <c r="CH12">
        <f>328500</f>
        <v>328500</v>
      </c>
      <c r="CI12">
        <f>321586</f>
        <v>321586</v>
      </c>
      <c r="CJ12">
        <f>306116</f>
        <v>306116</v>
      </c>
      <c r="CK12">
        <f>306222</f>
        <v>306222</v>
      </c>
      <c r="CL12">
        <f>295992</f>
        <v>295992</v>
      </c>
      <c r="CM12">
        <f>299913</f>
        <v>299913</v>
      </c>
      <c r="CN12">
        <f>281056</f>
        <v>281056</v>
      </c>
      <c r="CO12">
        <f>284431</f>
        <v>284431</v>
      </c>
      <c r="CP12">
        <f>250830</f>
        <v>250830</v>
      </c>
      <c r="CQ12">
        <f>234325</f>
        <v>234325</v>
      </c>
      <c r="CR12">
        <f>242167</f>
        <v>242167</v>
      </c>
      <c r="CS12">
        <f>191933</f>
        <v>191933</v>
      </c>
      <c r="CT12">
        <f>225739</f>
        <v>225739</v>
      </c>
      <c r="CU12">
        <f>208470</f>
        <v>208470</v>
      </c>
      <c r="CV12">
        <f>186026</f>
        <v>186026</v>
      </c>
      <c r="CW12">
        <f>196140</f>
        <v>196140</v>
      </c>
      <c r="CX12">
        <f>174074</f>
        <v>174074</v>
      </c>
      <c r="CY12">
        <f>148598</f>
        <v>148598</v>
      </c>
      <c r="CZ12">
        <f>127217</f>
        <v>127217</v>
      </c>
      <c r="DA12">
        <f>109989</f>
        <v>109989</v>
      </c>
      <c r="DB12">
        <f>100257</f>
        <v>100257</v>
      </c>
      <c r="DC12">
        <f>140583</f>
        <v>140583</v>
      </c>
      <c r="DD12">
        <f>174552</f>
        <v>174552</v>
      </c>
      <c r="DE12">
        <f>157067</f>
        <v>157067</v>
      </c>
      <c r="DF12">
        <f>135603</f>
        <v>135603</v>
      </c>
      <c r="DG12">
        <f>116265</f>
        <v>116265</v>
      </c>
      <c r="DH12">
        <f>120892</f>
        <v>120892</v>
      </c>
      <c r="DI12">
        <f>112979</f>
        <v>112979</v>
      </c>
      <c r="DJ12">
        <f>84337</f>
        <v>84337</v>
      </c>
      <c r="DK12">
        <f>85151</f>
        <v>85151</v>
      </c>
      <c r="DL12">
        <f>84119</f>
        <v>84119</v>
      </c>
      <c r="DM12">
        <f>70223</f>
        <v>70223</v>
      </c>
      <c r="DN12">
        <f>79412</f>
        <v>79412</v>
      </c>
      <c r="DO12">
        <f>94092</f>
        <v>94092</v>
      </c>
      <c r="DP12">
        <f>144039</f>
        <v>144039</v>
      </c>
      <c r="DQ12">
        <f>151816</f>
        <v>151816</v>
      </c>
      <c r="DR12">
        <f>143963</f>
        <v>143963</v>
      </c>
      <c r="DS12">
        <f>134646</f>
        <v>134646</v>
      </c>
      <c r="DT12">
        <f>122516</f>
        <v>122516</v>
      </c>
      <c r="DU12">
        <f>122506</f>
        <v>122506</v>
      </c>
    </row>
    <row r="13" spans="1:125" x14ac:dyDescent="0.25">
      <c r="A13" t="str">
        <f>"        Japan"</f>
        <v xml:space="preserve">        Japan</v>
      </c>
      <c r="B13" t="str">
        <f>"JNVTTOTL Index"</f>
        <v>JNVTTOTL Index</v>
      </c>
      <c r="C13" t="str">
        <f t="shared" si="0"/>
        <v>PX385</v>
      </c>
      <c r="D13" t="str">
        <f t="shared" si="1"/>
        <v>INTERVAL_SUM</v>
      </c>
      <c r="E13" t="str">
        <f t="shared" si="2"/>
        <v>Dynamic</v>
      </c>
      <c r="F13">
        <f ca="1">IF(AND(ISNUMBER($F$167),$B$156=1),$F$167,HLOOKUP(INDIRECT(ADDRESS(2,COLUMN())),OFFSET($BN$2,0,0,ROW()-1,60),ROW()-1,FALSE))</f>
        <v>407975</v>
      </c>
      <c r="G13">
        <f ca="1">IF(AND(ISNUMBER($G$167),$B$156=1),$G$167,HLOOKUP(INDIRECT(ADDRESS(2,COLUMN())),OFFSET($BN$2,0,0,ROW()-1,60),ROW()-1,FALSE))</f>
        <v>1248461</v>
      </c>
      <c r="H13">
        <f ca="1">IF(AND(ISNUMBER($H$167),$B$156=1),$H$167,HLOOKUP(INDIRECT(ADDRESS(2,COLUMN())),OFFSET($BN$2,0,0,ROW()-1,60),ROW()-1,FALSE))</f>
        <v>1291129</v>
      </c>
      <c r="I13">
        <f ca="1">IF(AND(ISNUMBER($I$167),$B$156=1),$I$167,HLOOKUP(INDIRECT(ADDRESS(2,COLUMN())),OFFSET($BN$2,0,0,ROW()-1,60),ROW()-1,FALSE))</f>
        <v>1191785</v>
      </c>
      <c r="J13">
        <f ca="1">IF(AND(ISNUMBER($J$167),$B$156=1),$J$167,HLOOKUP(INDIRECT(ADDRESS(2,COLUMN())),OFFSET($BN$2,0,0,ROW()-1,60),ROW()-1,FALSE))</f>
        <v>1540693</v>
      </c>
      <c r="K13">
        <f ca="1">IF(AND(ISNUMBER($K$167),$B$156=1),$K$167,HLOOKUP(INDIRECT(ADDRESS(2,COLUMN())),OFFSET($BN$2,0,0,ROW()-1,60),ROW()-1,FALSE))</f>
        <v>1173582</v>
      </c>
      <c r="L13">
        <f ca="1">IF(AND(ISNUMBER($L$167),$B$156=1),$L$167,HLOOKUP(INDIRECT(ADDRESS(2,COLUMN())),OFFSET($BN$2,0,0,ROW()-1,60),ROW()-1,FALSE))</f>
        <v>1278042</v>
      </c>
      <c r="M13">
        <f ca="1">IF(AND(ISNUMBER($M$167),$B$156=1),$M$167,HLOOKUP(INDIRECT(ADDRESS(2,COLUMN())),OFFSET($BN$2,0,0,ROW()-1,60),ROW()-1,FALSE))</f>
        <v>1204792</v>
      </c>
      <c r="N13">
        <f ca="1">IF(AND(ISNUMBER($N$167),$B$156=1),$N$167,HLOOKUP(INDIRECT(ADDRESS(2,COLUMN())),OFFSET($BN$2,0,0,ROW()-1,60),ROW()-1,FALSE))</f>
        <v>1577749</v>
      </c>
      <c r="O13">
        <f ca="1">IF(AND(ISNUMBER($O$167),$B$156=1),$O$167,HLOOKUP(INDIRECT(ADDRESS(2,COLUMN())),OFFSET($BN$2,0,0,ROW()-1,60),ROW()-1,FALSE))</f>
        <v>1193874</v>
      </c>
      <c r="P13">
        <f ca="1">IF(AND(ISNUMBER($P$167),$B$156=1),$P$167,HLOOKUP(INDIRECT(ADDRESS(2,COLUMN())),OFFSET($BN$2,0,0,ROW()-1,60),ROW()-1,FALSE))</f>
        <v>1229035</v>
      </c>
      <c r="Q13">
        <f ca="1">IF(AND(ISNUMBER($Q$167),$B$156=1),$Q$167,HLOOKUP(INDIRECT(ADDRESS(2,COLUMN())),OFFSET($BN$2,0,0,ROW()-1,60),ROW()-1,FALSE))</f>
        <v>1077241</v>
      </c>
      <c r="R13">
        <f ca="1">IF(AND(ISNUMBER($R$167),$B$156=1),$R$167,HLOOKUP(INDIRECT(ADDRESS(2,COLUMN())),OFFSET($BN$2,0,0,ROW()-1,60),ROW()-1,FALSE))</f>
        <v>1470104</v>
      </c>
      <c r="S13">
        <f ca="1">IF(AND(ISNUMBER($S$167),$B$156=1),$S$167,HLOOKUP(INDIRECT(ADDRESS(2,COLUMN())),OFFSET($BN$2,0,0,ROW()-1,60),ROW()-1,FALSE))</f>
        <v>1138362</v>
      </c>
      <c r="T13">
        <f ca="1">IF(AND(ISNUMBER($T$167),$B$156=1),$T$167,HLOOKUP(INDIRECT(ADDRESS(2,COLUMN())),OFFSET($BN$2,0,0,ROW()-1,60),ROW()-1,FALSE))</f>
        <v>1231514</v>
      </c>
      <c r="U13">
        <f ca="1">IF(AND(ISNUMBER($U$167),$B$156=1),$U$167,HLOOKUP(INDIRECT(ADDRESS(2,COLUMN())),OFFSET($BN$2,0,0,ROW()-1,60),ROW()-1,FALSE))</f>
        <v>1097754</v>
      </c>
      <c r="V13">
        <f ca="1">IF(AND(ISNUMBER($V$167),$B$156=1),$V$167,HLOOKUP(INDIRECT(ADDRESS(2,COLUMN())),OFFSET($BN$2,0,0,ROW()-1,60),ROW()-1,FALSE))</f>
        <v>1578880</v>
      </c>
      <c r="W13">
        <f ca="1">IF(AND(ISNUMBER($W$167),$B$156=1),$W$167,HLOOKUP(INDIRECT(ADDRESS(2,COLUMN())),OFFSET($BN$2,0,0,ROW()-1,60),ROW()-1,FALSE))</f>
        <v>1244577</v>
      </c>
      <c r="X13">
        <f ca="1">IF(AND(ISNUMBER($X$167),$B$156=1),$X$167,HLOOKUP(INDIRECT(ADDRESS(2,COLUMN())),OFFSET($BN$2,0,0,ROW()-1,60),ROW()-1,FALSE))</f>
        <v>1312505</v>
      </c>
      <c r="Y13">
        <f ca="1">IF(AND(ISNUMBER($Y$167),$B$156=1),$Y$167,HLOOKUP(INDIRECT(ADDRESS(2,COLUMN())),OFFSET($BN$2,0,0,ROW()-1,60),ROW()-1,FALSE))</f>
        <v>1161149</v>
      </c>
      <c r="Z13">
        <f ca="1">IF(AND(ISNUMBER($Z$167),$B$156=1),$Z$167,HLOOKUP(INDIRECT(ADDRESS(2,COLUMN())),OFFSET($BN$2,0,0,ROW()-1,60),ROW()-1,FALSE))</f>
        <v>1844657</v>
      </c>
      <c r="AA13">
        <f ca="1">IF(AND(ISNUMBER($AA$167),$B$156=1),$AA$167,HLOOKUP(INDIRECT(ADDRESS(2,COLUMN())),OFFSET($BN$2,0,0,ROW()-1,60),ROW()-1,FALSE))</f>
        <v>1302248</v>
      </c>
      <c r="AB13">
        <f ca="1">IF(AND(ISNUMBER($AB$167),$B$156=1),$AB$167,HLOOKUP(INDIRECT(ADDRESS(2,COLUMN())),OFFSET($BN$2,0,0,ROW()-1,60),ROW()-1,FALSE))</f>
        <v>1361620</v>
      </c>
      <c r="AC13">
        <f ca="1">IF(AND(ISNUMBER($AC$167),$B$156=1),$AC$167,HLOOKUP(INDIRECT(ADDRESS(2,COLUMN())),OFFSET($BN$2,0,0,ROW()-1,60),ROW()-1,FALSE))</f>
        <v>1183637</v>
      </c>
      <c r="AD13">
        <f ca="1">IF(AND(ISNUMBER($AD$167),$B$156=1),$AD$167,HLOOKUP(INDIRECT(ADDRESS(2,COLUMN())),OFFSET($BN$2,0,0,ROW()-1,60),ROW()-1,FALSE))</f>
        <v>1528008</v>
      </c>
      <c r="AE13">
        <f ca="1">IF(AND(ISNUMBER($AE$167),$B$156=1),$AE$167,HLOOKUP(INDIRECT(ADDRESS(2,COLUMN())),OFFSET($BN$2,0,0,ROW()-1,60),ROW()-1,FALSE))</f>
        <v>1091777</v>
      </c>
      <c r="AF13">
        <f ca="1">IF(AND(ISNUMBER($AF$167),$B$156=1),$AF$167,HLOOKUP(INDIRECT(ADDRESS(2,COLUMN())),OFFSET($BN$2,0,0,ROW()-1,60),ROW()-1,FALSE))</f>
        <v>1330587</v>
      </c>
      <c r="AG13">
        <f ca="1">IF(AND(ISNUMBER($AG$167),$B$156=1),$AG$167,HLOOKUP(INDIRECT(ADDRESS(2,COLUMN())),OFFSET($BN$2,0,0,ROW()-1,60),ROW()-1,FALSE))</f>
        <v>1259918</v>
      </c>
      <c r="AH13">
        <f ca="1">IF(AND(ISNUMBER($AH$167),$B$156=1),$AH$167,HLOOKUP(INDIRECT(ADDRESS(2,COLUMN())),OFFSET($BN$2,0,0,ROW()-1,60),ROW()-1,FALSE))</f>
        <v>1687438</v>
      </c>
      <c r="AI13">
        <f ca="1">IF(AND(ISNUMBER($AI$167),$B$156=1),$AI$167,HLOOKUP(INDIRECT(ADDRESS(2,COLUMN())),OFFSET($BN$2,0,0,ROW()-1,60),ROW()-1,FALSE))</f>
        <v>1125883</v>
      </c>
      <c r="AJ13">
        <f ca="1">IF(AND(ISNUMBER($AJ$167),$B$156=1),$AJ$167,HLOOKUP(INDIRECT(ADDRESS(2,COLUMN())),OFFSET($BN$2,0,0,ROW()-1,60),ROW()-1,FALSE))</f>
        <v>1165091</v>
      </c>
      <c r="AK13">
        <f ca="1">IF(AND(ISNUMBER($AK$167),$B$156=1),$AK$167,HLOOKUP(INDIRECT(ADDRESS(2,COLUMN())),OFFSET($BN$2,0,0,ROW()-1,60),ROW()-1,FALSE))</f>
        <v>774861</v>
      </c>
      <c r="AL13">
        <f ca="1">IF(AND(ISNUMBER($AL$167),$B$156=1),$AL$167,HLOOKUP(INDIRECT(ADDRESS(2,COLUMN())),OFFSET($BN$2,0,0,ROW()-1,60),ROW()-1,FALSE))</f>
        <v>1144384</v>
      </c>
      <c r="AM13">
        <f ca="1">IF(AND(ISNUMBER($AM$167),$B$156=1),$AM$167,HLOOKUP(INDIRECT(ADDRESS(2,COLUMN())),OFFSET($BN$2,0,0,ROW()-1,60),ROW()-1,FALSE))</f>
        <v>915779</v>
      </c>
      <c r="AN13">
        <f ca="1">IF(AND(ISNUMBER($AN$167),$B$156=1),$AN$167,HLOOKUP(INDIRECT(ADDRESS(2,COLUMN())),OFFSET($BN$2,0,0,ROW()-1,60),ROW()-1,FALSE))</f>
        <v>1383544</v>
      </c>
      <c r="AO13">
        <f ca="1">IF(AND(ISNUMBER($AO$167),$B$156=1),$AO$167,HLOOKUP(INDIRECT(ADDRESS(2,COLUMN())),OFFSET($BN$2,0,0,ROW()-1,60),ROW()-1,FALSE))</f>
        <v>1157428</v>
      </c>
      <c r="AP13">
        <f ca="1">IF(AND(ISNUMBER($AP$167),$B$156=1),$AP$167,HLOOKUP(INDIRECT(ADDRESS(2,COLUMN())),OFFSET($BN$2,0,0,ROW()-1,60),ROW()-1,FALSE))</f>
        <v>1499385</v>
      </c>
      <c r="AQ13">
        <f ca="1">IF(AND(ISNUMBER($AQ$167),$B$156=1),$AQ$167,HLOOKUP(INDIRECT(ADDRESS(2,COLUMN())),OFFSET($BN$2,0,0,ROW()-1,60),ROW()-1,FALSE))</f>
        <v>1205190</v>
      </c>
      <c r="AR13">
        <f ca="1">IF(AND(ISNUMBER($AR$167),$B$156=1),$AR$167,HLOOKUP(INDIRECT(ADDRESS(2,COLUMN())),OFFSET($BN$2,0,0,ROW()-1,60),ROW()-1,FALSE))</f>
        <v>1217327</v>
      </c>
      <c r="AS13">
        <f ca="1">IF(AND(ISNUMBER($AS$167),$B$156=1),$AS$167,HLOOKUP(INDIRECT(ADDRESS(2,COLUMN())),OFFSET($BN$2,0,0,ROW()-1,60),ROW()-1,FALSE))</f>
        <v>958361</v>
      </c>
      <c r="AT13">
        <f ca="1">IF(AND(ISNUMBER($AT$167),$B$156=1),$AT$167,HLOOKUP(INDIRECT(ADDRESS(2,COLUMN())),OFFSET($BN$2,0,0,ROW()-1,60),ROW()-1,FALSE))</f>
        <v>1228377</v>
      </c>
      <c r="AU13">
        <f ca="1">IF(AND(ISNUMBER($AU$167),$B$156=1),$AU$167,HLOOKUP(INDIRECT(ADDRESS(2,COLUMN())),OFFSET($BN$2,0,0,ROW()-1,60),ROW()-1,FALSE))</f>
        <v>1054566</v>
      </c>
      <c r="AV13">
        <f ca="1">IF(AND(ISNUMBER($AV$167),$B$156=1),$AV$167,HLOOKUP(INDIRECT(ADDRESS(2,COLUMN())),OFFSET($BN$2,0,0,ROW()-1,60),ROW()-1,FALSE))</f>
        <v>1241501</v>
      </c>
      <c r="AW13">
        <f ca="1">IF(AND(ISNUMBER($AW$167),$B$156=1),$AW$167,HLOOKUP(INDIRECT(ADDRESS(2,COLUMN())),OFFSET($BN$2,0,0,ROW()-1,60),ROW()-1,FALSE))</f>
        <v>1176335</v>
      </c>
      <c r="AX13">
        <f ca="1">IF(AND(ISNUMBER($AX$167),$B$156=1),$AX$167,HLOOKUP(INDIRECT(ADDRESS(2,COLUMN())),OFFSET($BN$2,0,0,ROW()-1,60),ROW()-1,FALSE))</f>
        <v>1609833</v>
      </c>
      <c r="AY13">
        <f ca="1">IF(AND(ISNUMBER($AY$167),$B$156=1),$AY$167,HLOOKUP(INDIRECT(ADDRESS(2,COLUMN())),OFFSET($BN$2,0,0,ROW()-1,60),ROW()-1,FALSE))</f>
        <v>1225090</v>
      </c>
      <c r="AZ13">
        <f ca="1">IF(AND(ISNUMBER($AZ$167),$B$156=1),$AZ$167,HLOOKUP(INDIRECT(ADDRESS(2,COLUMN())),OFFSET($BN$2,0,0,ROW()-1,60),ROW()-1,FALSE))</f>
        <v>1286040</v>
      </c>
      <c r="BA13">
        <f ca="1">IF(AND(ISNUMBER($BA$167),$B$156=1),$BA$167,HLOOKUP(INDIRECT(ADDRESS(2,COLUMN())),OFFSET($BN$2,0,0,ROW()-1,60),ROW()-1,FALSE))</f>
        <v>1198657</v>
      </c>
      <c r="BB13">
        <f ca="1">IF(AND(ISNUMBER($BB$167),$B$156=1),$BB$167,HLOOKUP(INDIRECT(ADDRESS(2,COLUMN())),OFFSET($BN$2,0,0,ROW()-1,60),ROW()-1,FALSE))</f>
        <v>1643861</v>
      </c>
      <c r="BC13">
        <f ca="1">IF(AND(ISNUMBER($BC$167),$B$156=1),$BC$167,HLOOKUP(INDIRECT(ADDRESS(2,COLUMN())),OFFSET($BN$2,0,0,ROW()-1,60),ROW()-1,FALSE))</f>
        <v>1272162</v>
      </c>
      <c r="BD13">
        <f ca="1">IF(AND(ISNUMBER($BD$167),$B$156=1),$BD$167,HLOOKUP(INDIRECT(ADDRESS(2,COLUMN())),OFFSET($BN$2,0,0,ROW()-1,60),ROW()-1,FALSE))</f>
        <v>1396346</v>
      </c>
      <c r="BE13">
        <f ca="1">IF(AND(ISNUMBER($BE$167),$B$156=1),$BE$167,HLOOKUP(INDIRECT(ADDRESS(2,COLUMN())),OFFSET($BN$2,0,0,ROW()-1,60),ROW()-1,FALSE))</f>
        <v>1306176</v>
      </c>
      <c r="BF13">
        <f ca="1">IF(AND(ISNUMBER($BF$167),$B$156=1),$BF$167,HLOOKUP(INDIRECT(ADDRESS(2,COLUMN())),OFFSET($BN$2,0,0,ROW()-1,60),ROW()-1,FALSE))</f>
        <v>1764822</v>
      </c>
      <c r="BG13">
        <f ca="1">IF(AND(ISNUMBER($BG$167),$B$156=1),$BG$167,HLOOKUP(INDIRECT(ADDRESS(2,COLUMN())),OFFSET($BN$2,0,0,ROW()-1,60),ROW()-1,FALSE))</f>
        <v>1298801</v>
      </c>
      <c r="BH13">
        <f ca="1">IF(AND(ISNUMBER($BH$167),$B$156=1),$BH$167,HLOOKUP(INDIRECT(ADDRESS(2,COLUMN())),OFFSET($BN$2,0,0,ROW()-1,60),ROW()-1,FALSE))</f>
        <v>1450402</v>
      </c>
      <c r="BI13">
        <f ca="1">IF(AND(ISNUMBER($BI$167),$B$156=1),$BI$167,HLOOKUP(INDIRECT(ADDRESS(2,COLUMN())),OFFSET($BN$2,0,0,ROW()-1,60),ROW()-1,FALSE))</f>
        <v>1347520</v>
      </c>
      <c r="BJ13">
        <f ca="1">IF(AND(ISNUMBER($BJ$167),$B$156=1),$BJ$167,HLOOKUP(INDIRECT(ADDRESS(2,COLUMN())),OFFSET($BN$2,0,0,ROW()-1,60),ROW()-1,FALSE))</f>
        <v>1755344</v>
      </c>
      <c r="BK13">
        <f ca="1">IF(AND(ISNUMBER($BK$167),$B$156=1),$BK$167,HLOOKUP(INDIRECT(ADDRESS(2,COLUMN())),OFFSET($BN$2,0,0,ROW()-1,60),ROW()-1,FALSE))</f>
        <v>1361490</v>
      </c>
      <c r="BL13">
        <f ca="1">IF(AND(ISNUMBER($BL$167),$B$156=1),$BL$167,HLOOKUP(INDIRECT(ADDRESS(2,COLUMN())),OFFSET($BN$2,0,0,ROW()-1,60),ROW()-1,FALSE))</f>
        <v>1449457</v>
      </c>
      <c r="BM13">
        <f ca="1">IF(AND(ISNUMBER($BM$167),$B$156=1),$BM$167,HLOOKUP(INDIRECT(ADDRESS(2,COLUMN())),OFFSET($BN$2,0,0,ROW()-1,60),ROW()-1,FALSE))</f>
        <v>1254431</v>
      </c>
      <c r="BN13">
        <f>407975</f>
        <v>407975</v>
      </c>
      <c r="BO13">
        <f>1248461</f>
        <v>1248461</v>
      </c>
      <c r="BP13">
        <f>1291129</f>
        <v>1291129</v>
      </c>
      <c r="BQ13">
        <f>1191785</f>
        <v>1191785</v>
      </c>
      <c r="BR13">
        <f>1540693</f>
        <v>1540693</v>
      </c>
      <c r="BS13">
        <f>1173582</f>
        <v>1173582</v>
      </c>
      <c r="BT13">
        <f>1278042</f>
        <v>1278042</v>
      </c>
      <c r="BU13">
        <f>1204792</f>
        <v>1204792</v>
      </c>
      <c r="BV13">
        <f>1577749</f>
        <v>1577749</v>
      </c>
      <c r="BW13">
        <f>1193874</f>
        <v>1193874</v>
      </c>
      <c r="BX13">
        <f>1229035</f>
        <v>1229035</v>
      </c>
      <c r="BY13">
        <f>1077241</f>
        <v>1077241</v>
      </c>
      <c r="BZ13">
        <f>1470104</f>
        <v>1470104</v>
      </c>
      <c r="CA13">
        <f>1138362</f>
        <v>1138362</v>
      </c>
      <c r="CB13">
        <f>1231514</f>
        <v>1231514</v>
      </c>
      <c r="CC13">
        <f>1097754</f>
        <v>1097754</v>
      </c>
      <c r="CD13">
        <f>1578880</f>
        <v>1578880</v>
      </c>
      <c r="CE13">
        <f>1244577</f>
        <v>1244577</v>
      </c>
      <c r="CF13">
        <f>1312505</f>
        <v>1312505</v>
      </c>
      <c r="CG13">
        <f>1161149</f>
        <v>1161149</v>
      </c>
      <c r="CH13">
        <f>1844657</f>
        <v>1844657</v>
      </c>
      <c r="CI13">
        <f>1302248</f>
        <v>1302248</v>
      </c>
      <c r="CJ13">
        <f>1361620</f>
        <v>1361620</v>
      </c>
      <c r="CK13">
        <f>1183637</f>
        <v>1183637</v>
      </c>
      <c r="CL13">
        <f>1528008</f>
        <v>1528008</v>
      </c>
      <c r="CM13">
        <f>1091777</f>
        <v>1091777</v>
      </c>
      <c r="CN13">
        <f>1330587</f>
        <v>1330587</v>
      </c>
      <c r="CO13">
        <f>1259918</f>
        <v>1259918</v>
      </c>
      <c r="CP13">
        <f>1687438</f>
        <v>1687438</v>
      </c>
      <c r="CQ13">
        <f>1125883</f>
        <v>1125883</v>
      </c>
      <c r="CR13">
        <f>1165091</f>
        <v>1165091</v>
      </c>
      <c r="CS13">
        <f>774861</f>
        <v>774861</v>
      </c>
      <c r="CT13">
        <f>1144384</f>
        <v>1144384</v>
      </c>
      <c r="CU13">
        <f>915779</f>
        <v>915779</v>
      </c>
      <c r="CV13">
        <f>1383544</f>
        <v>1383544</v>
      </c>
      <c r="CW13">
        <f>1157428</f>
        <v>1157428</v>
      </c>
      <c r="CX13">
        <f>1499385</f>
        <v>1499385</v>
      </c>
      <c r="CY13">
        <f>1205190</f>
        <v>1205190</v>
      </c>
      <c r="CZ13">
        <f>1217327</f>
        <v>1217327</v>
      </c>
      <c r="DA13">
        <f>958361</f>
        <v>958361</v>
      </c>
      <c r="DB13">
        <f>1228377</f>
        <v>1228377</v>
      </c>
      <c r="DC13">
        <f>1054566</f>
        <v>1054566</v>
      </c>
      <c r="DD13">
        <f>1241501</f>
        <v>1241501</v>
      </c>
      <c r="DE13">
        <f>1176335</f>
        <v>1176335</v>
      </c>
      <c r="DF13">
        <f>1609833</f>
        <v>1609833</v>
      </c>
      <c r="DG13">
        <f>1225090</f>
        <v>1225090</v>
      </c>
      <c r="DH13">
        <f>1286040</f>
        <v>1286040</v>
      </c>
      <c r="DI13">
        <f>1198657</f>
        <v>1198657</v>
      </c>
      <c r="DJ13">
        <f>1643861</f>
        <v>1643861</v>
      </c>
      <c r="DK13">
        <f>1272162</f>
        <v>1272162</v>
      </c>
      <c r="DL13">
        <f>1396346</f>
        <v>1396346</v>
      </c>
      <c r="DM13">
        <f>1306176</f>
        <v>1306176</v>
      </c>
      <c r="DN13">
        <f>1764822</f>
        <v>1764822</v>
      </c>
      <c r="DO13">
        <f>1298801</f>
        <v>1298801</v>
      </c>
      <c r="DP13">
        <f>1450402</f>
        <v>1450402</v>
      </c>
      <c r="DQ13">
        <f>1347520</f>
        <v>1347520</v>
      </c>
      <c r="DR13">
        <f>1755344</f>
        <v>1755344</v>
      </c>
      <c r="DS13">
        <f>1361490</f>
        <v>1361490</v>
      </c>
      <c r="DT13">
        <f>1449457</f>
        <v>1449457</v>
      </c>
      <c r="DU13">
        <f>1254431</f>
        <v>1254431</v>
      </c>
    </row>
    <row r="14" spans="1:125" x14ac:dyDescent="0.25">
      <c r="A14" t="str">
        <f>"        Malaysia"</f>
        <v xml:space="preserve">        Malaysia</v>
      </c>
      <c r="B14" t="str">
        <f>"MAVSTTL Index"</f>
        <v>MAVSTTL Index</v>
      </c>
      <c r="C14" t="str">
        <f t="shared" si="0"/>
        <v>PX385</v>
      </c>
      <c r="D14" t="str">
        <f t="shared" si="1"/>
        <v>INTERVAL_SUM</v>
      </c>
      <c r="E14" t="str">
        <f t="shared" si="2"/>
        <v>Dynamic</v>
      </c>
      <c r="F14">
        <f ca="1">IF(AND(ISNUMBER($F$168),$B$156=1),$F$168,HLOOKUP(INDIRECT(ADDRESS(2,COLUMN())),OFFSET($BN$2,0,0,ROW()-1,60),ROW()-1,FALSE))</f>
        <v>48450</v>
      </c>
      <c r="G14">
        <f ca="1">IF(AND(ISNUMBER($G$168),$B$156=1),$G$168,HLOOKUP(INDIRECT(ADDRESS(2,COLUMN())),OFFSET($BN$2,0,0,ROW()-1,60),ROW()-1,FALSE))</f>
        <v>143743</v>
      </c>
      <c r="H14">
        <f ca="1">IF(AND(ISNUMBER($H$168),$B$156=1),$H$168,HLOOKUP(INDIRECT(ADDRESS(2,COLUMN())),OFFSET($BN$2,0,0,ROW()-1,60),ROW()-1,FALSE))</f>
        <v>165257</v>
      </c>
      <c r="I14">
        <f ca="1">IF(AND(ISNUMBER($I$168),$B$156=1),$I$168,HLOOKUP(INDIRECT(ADDRESS(2,COLUMN())),OFFSET($BN$2,0,0,ROW()-1,60),ROW()-1,FALSE))</f>
        <v>154574</v>
      </c>
      <c r="J14">
        <f ca="1">IF(AND(ISNUMBER($J$168),$B$156=1),$J$168,HLOOKUP(INDIRECT(ADDRESS(2,COLUMN())),OFFSET($BN$2,0,0,ROW()-1,60),ROW()-1,FALSE))</f>
        <v>135123</v>
      </c>
      <c r="K14">
        <f ca="1">IF(AND(ISNUMBER($K$168),$B$156=1),$K$168,HLOOKUP(INDIRECT(ADDRESS(2,COLUMN())),OFFSET($BN$2,0,0,ROW()-1,60),ROW()-1,FALSE))</f>
        <v>150947</v>
      </c>
      <c r="L14">
        <f ca="1">IF(AND(ISNUMBER($L$168),$B$156=1),$L$168,HLOOKUP(INDIRECT(ADDRESS(2,COLUMN())),OFFSET($BN$2,0,0,ROW()-1,60),ROW()-1,FALSE))</f>
        <v>141225</v>
      </c>
      <c r="M14">
        <f ca="1">IF(AND(ISNUMBER($M$168),$B$156=1),$M$168,HLOOKUP(INDIRECT(ADDRESS(2,COLUMN())),OFFSET($BN$2,0,0,ROW()-1,60),ROW()-1,FALSE))</f>
        <v>143613</v>
      </c>
      <c r="N14">
        <f ca="1">IF(AND(ISNUMBER($N$168),$B$156=1),$N$168,HLOOKUP(INDIRECT(ADDRESS(2,COLUMN())),OFFSET($BN$2,0,0,ROW()-1,60),ROW()-1,FALSE))</f>
        <v>140840</v>
      </c>
      <c r="O14">
        <f ca="1">IF(AND(ISNUMBER($O$168),$B$156=1),$O$168,HLOOKUP(INDIRECT(ADDRESS(2,COLUMN())),OFFSET($BN$2,0,0,ROW()-1,60),ROW()-1,FALSE))</f>
        <v>161808</v>
      </c>
      <c r="P14">
        <f ca="1">IF(AND(ISNUMBER($P$168),$B$156=1),$P$168,HLOOKUP(INDIRECT(ADDRESS(2,COLUMN())),OFFSET($BN$2,0,0,ROW()-1,60),ROW()-1,FALSE))</f>
        <v>142827</v>
      </c>
      <c r="Q14">
        <f ca="1">IF(AND(ISNUMBER($Q$168),$B$156=1),$Q$168,HLOOKUP(INDIRECT(ADDRESS(2,COLUMN())),OFFSET($BN$2,0,0,ROW()-1,60),ROW()-1,FALSE))</f>
        <v>144232</v>
      </c>
      <c r="R14">
        <f ca="1">IF(AND(ISNUMBER($R$168),$B$156=1),$R$168,HLOOKUP(INDIRECT(ADDRESS(2,COLUMN())),OFFSET($BN$2,0,0,ROW()-1,60),ROW()-1,FALSE))</f>
        <v>131251</v>
      </c>
      <c r="S14">
        <f ca="1">IF(AND(ISNUMBER($S$168),$B$156=1),$S$168,HLOOKUP(INDIRECT(ADDRESS(2,COLUMN())),OFFSET($BN$2,0,0,ROW()-1,60),ROW()-1,FALSE))</f>
        <v>181227</v>
      </c>
      <c r="T14">
        <f ca="1">IF(AND(ISNUMBER($T$168),$B$156=1),$T$168,HLOOKUP(INDIRECT(ADDRESS(2,COLUMN())),OFFSET($BN$2,0,0,ROW()-1,60),ROW()-1,FALSE))</f>
        <v>163235</v>
      </c>
      <c r="U14">
        <f ca="1">IF(AND(ISNUMBER($U$168),$B$156=1),$U$168,HLOOKUP(INDIRECT(ADDRESS(2,COLUMN())),OFFSET($BN$2,0,0,ROW()-1,60),ROW()-1,FALSE))</f>
        <v>153875</v>
      </c>
      <c r="V14">
        <f ca="1">IF(AND(ISNUMBER($V$168),$B$156=1),$V$168,HLOOKUP(INDIRECT(ADDRESS(2,COLUMN())),OFFSET($BN$2,0,0,ROW()-1,60),ROW()-1,FALSE))</f>
        <v>168379</v>
      </c>
      <c r="W14">
        <f ca="1">IF(AND(ISNUMBER($W$168),$B$156=1),$W$168,HLOOKUP(INDIRECT(ADDRESS(2,COLUMN())),OFFSET($BN$2,0,0,ROW()-1,60),ROW()-1,FALSE))</f>
        <v>174161</v>
      </c>
      <c r="X14">
        <f ca="1">IF(AND(ISNUMBER($X$168),$B$156=1),$X$168,HLOOKUP(INDIRECT(ADDRESS(2,COLUMN())),OFFSET($BN$2,0,0,ROW()-1,60),ROW()-1,FALSE))</f>
        <v>159166</v>
      </c>
      <c r="Y14">
        <f ca="1">IF(AND(ISNUMBER($Y$168),$B$156=1),$Y$168,HLOOKUP(INDIRECT(ADDRESS(2,COLUMN())),OFFSET($BN$2,0,0,ROW()-1,60),ROW()-1,FALSE))</f>
        <v>173243</v>
      </c>
      <c r="Z14">
        <f ca="1">IF(AND(ISNUMBER($Z$168),$B$156=1),$Z$168,HLOOKUP(INDIRECT(ADDRESS(2,COLUMN())),OFFSET($BN$2,0,0,ROW()-1,60),ROW()-1,FALSE))</f>
        <v>159915</v>
      </c>
      <c r="AA14">
        <f ca="1">IF(AND(ISNUMBER($AA$168),$B$156=1),$AA$168,HLOOKUP(INDIRECT(ADDRESS(2,COLUMN())),OFFSET($BN$2,0,0,ROW()-1,60),ROW()-1,FALSE))</f>
        <v>167823</v>
      </c>
      <c r="AB14">
        <f ca="1">IF(AND(ISNUMBER($AB$168),$B$156=1),$AB$168,HLOOKUP(INDIRECT(ADDRESS(2,COLUMN())),OFFSET($BN$2,0,0,ROW()-1,60),ROW()-1,FALSE))</f>
        <v>174480</v>
      </c>
      <c r="AC14">
        <f ca="1">IF(AND(ISNUMBER($AC$168),$B$156=1),$AC$168,HLOOKUP(INDIRECT(ADDRESS(2,COLUMN())),OFFSET($BN$2,0,0,ROW()-1,60),ROW()-1,FALSE))</f>
        <v>155754</v>
      </c>
      <c r="AD14">
        <f ca="1">IF(AND(ISNUMBER($AD$168),$B$156=1),$AD$168,HLOOKUP(INDIRECT(ADDRESS(2,COLUMN())),OFFSET($BN$2,0,0,ROW()-1,60),ROW()-1,FALSE))</f>
        <v>157734</v>
      </c>
      <c r="AE14">
        <f ca="1">IF(AND(ISNUMBER($AE$168),$B$156=1),$AE$168,HLOOKUP(INDIRECT(ADDRESS(2,COLUMN())),OFFSET($BN$2,0,0,ROW()-1,60),ROW()-1,FALSE))</f>
        <v>169282</v>
      </c>
      <c r="AF14">
        <f ca="1">IF(AND(ISNUMBER($AF$168),$B$156=1),$AF$168,HLOOKUP(INDIRECT(ADDRESS(2,COLUMN())),OFFSET($BN$2,0,0,ROW()-1,60),ROW()-1,FALSE))</f>
        <v>157202</v>
      </c>
      <c r="AG14">
        <f ca="1">IF(AND(ISNUMBER($AG$168),$B$156=1),$AG$168,HLOOKUP(INDIRECT(ADDRESS(2,COLUMN())),OFFSET($BN$2,0,0,ROW()-1,60),ROW()-1,FALSE))</f>
        <v>162725</v>
      </c>
      <c r="AH14">
        <f ca="1">IF(AND(ISNUMBER($AH$168),$B$156=1),$AH$168,HLOOKUP(INDIRECT(ADDRESS(2,COLUMN())),OFFSET($BN$2,0,0,ROW()-1,60),ROW()-1,FALSE))</f>
        <v>138544</v>
      </c>
      <c r="AI14">
        <f ca="1">IF(AND(ISNUMBER($AI$168),$B$156=1),$AI$168,HLOOKUP(INDIRECT(ADDRESS(2,COLUMN())),OFFSET($BN$2,0,0,ROW()-1,60),ROW()-1,FALSE))</f>
        <v>149879</v>
      </c>
      <c r="AJ14">
        <f ca="1">IF(AND(ISNUMBER($AJ$168),$B$156=1),$AJ$168,HLOOKUP(INDIRECT(ADDRESS(2,COLUMN())),OFFSET($BN$2,0,0,ROW()-1,60),ROW()-1,FALSE))</f>
        <v>153041</v>
      </c>
      <c r="AK14">
        <f ca="1">IF(AND(ISNUMBER($AK$168),$B$156=1),$AK$168,HLOOKUP(INDIRECT(ADDRESS(2,COLUMN())),OFFSET($BN$2,0,0,ROW()-1,60),ROW()-1,FALSE))</f>
        <v>138771</v>
      </c>
      <c r="AL14">
        <f ca="1">IF(AND(ISNUMBER($AL$168),$B$156=1),$AL$168,HLOOKUP(INDIRECT(ADDRESS(2,COLUMN())),OFFSET($BN$2,0,0,ROW()-1,60),ROW()-1,FALSE))</f>
        <v>158432</v>
      </c>
      <c r="AM14">
        <f ca="1">IF(AND(ISNUMBER($AM$168),$B$156=1),$AM$168,HLOOKUP(INDIRECT(ADDRESS(2,COLUMN())),OFFSET($BN$2,0,0,ROW()-1,60),ROW()-1,FALSE))</f>
        <v>151907</v>
      </c>
      <c r="AN14">
        <f ca="1">IF(AND(ISNUMBER($AN$168),$B$156=1),$AN$168,HLOOKUP(INDIRECT(ADDRESS(2,COLUMN())),OFFSET($BN$2,0,0,ROW()-1,60),ROW()-1,FALSE))</f>
        <v>152133</v>
      </c>
      <c r="AO14">
        <f ca="1">IF(AND(ISNUMBER($AO$168),$B$156=1),$AO$168,HLOOKUP(INDIRECT(ADDRESS(2,COLUMN())),OFFSET($BN$2,0,0,ROW()-1,60),ROW()-1,FALSE))</f>
        <v>153556</v>
      </c>
      <c r="AP14">
        <f ca="1">IF(AND(ISNUMBER($AP$168),$B$156=1),$AP$168,HLOOKUP(INDIRECT(ADDRESS(2,COLUMN())),OFFSET($BN$2,0,0,ROW()-1,60),ROW()-1,FALSE))</f>
        <v>147415</v>
      </c>
      <c r="AQ14">
        <f ca="1">IF(AND(ISNUMBER($AQ$168),$B$156=1),$AQ$168,HLOOKUP(INDIRECT(ADDRESS(2,COLUMN())),OFFSET($BN$2,0,0,ROW()-1,60),ROW()-1,FALSE))</f>
        <v>138960</v>
      </c>
      <c r="AR14">
        <f ca="1">IF(AND(ISNUMBER($AR$168),$B$156=1),$AR$168,HLOOKUP(INDIRECT(ADDRESS(2,COLUMN())),OFFSET($BN$2,0,0,ROW()-1,60),ROW()-1,FALSE))</f>
        <v>146535</v>
      </c>
      <c r="AS14">
        <f ca="1">IF(AND(ISNUMBER($AS$168),$B$156=1),$AS$168,HLOOKUP(INDIRECT(ADDRESS(2,COLUMN())),OFFSET($BN$2,0,0,ROW()-1,60),ROW()-1,FALSE))</f>
        <v>130290</v>
      </c>
      <c r="AT14">
        <f ca="1">IF(AND(ISNUMBER($AT$168),$B$156=1),$AT$168,HLOOKUP(INDIRECT(ADDRESS(2,COLUMN())),OFFSET($BN$2,0,0,ROW()-1,60),ROW()-1,FALSE))</f>
        <v>118681</v>
      </c>
      <c r="AU14">
        <f ca="1">IF(AND(ISNUMBER($AU$168),$B$156=1),$AU$168,HLOOKUP(INDIRECT(ADDRESS(2,COLUMN())),OFFSET($BN$2,0,0,ROW()-1,60),ROW()-1,FALSE))</f>
        <v>118202</v>
      </c>
      <c r="AV14">
        <f ca="1">IF(AND(ISNUMBER($AV$168),$B$156=1),$AV$168,HLOOKUP(INDIRECT(ADDRESS(2,COLUMN())),OFFSET($BN$2,0,0,ROW()-1,60),ROW()-1,FALSE))</f>
        <v>151940</v>
      </c>
      <c r="AW14">
        <f ca="1">IF(AND(ISNUMBER($AW$168),$B$156=1),$AW$168,HLOOKUP(INDIRECT(ADDRESS(2,COLUMN())),OFFSET($BN$2,0,0,ROW()-1,60),ROW()-1,FALSE))</f>
        <v>147122</v>
      </c>
      <c r="AX14">
        <f ca="1">IF(AND(ISNUMBER($AX$168),$B$156=1),$AX$168,HLOOKUP(INDIRECT(ADDRESS(2,COLUMN())),OFFSET($BN$2,0,0,ROW()-1,60),ROW()-1,FALSE))</f>
        <v>130851</v>
      </c>
      <c r="AY14">
        <f ca="1">IF(AND(ISNUMBER($AY$168),$B$156=1),$AY$168,HLOOKUP(INDIRECT(ADDRESS(2,COLUMN())),OFFSET($BN$2,0,0,ROW()-1,60),ROW()-1,FALSE))</f>
        <v>128942</v>
      </c>
      <c r="AZ14">
        <f ca="1">IF(AND(ISNUMBER($AZ$168),$B$156=1),$AZ$168,HLOOKUP(INDIRECT(ADDRESS(2,COLUMN())),OFFSET($BN$2,0,0,ROW()-1,60),ROW()-1,FALSE))</f>
        <v>137495</v>
      </c>
      <c r="BA14">
        <f ca="1">IF(AND(ISNUMBER($BA$168),$B$156=1),$BA$168,HLOOKUP(INDIRECT(ADDRESS(2,COLUMN())),OFFSET($BN$2,0,0,ROW()-1,60),ROW()-1,FALSE))</f>
        <v>115789</v>
      </c>
      <c r="BB14">
        <f ca="1">IF(AND(ISNUMBER($BB$168),$B$156=1),$BB$168,HLOOKUP(INDIRECT(ADDRESS(2,COLUMN())),OFFSET($BN$2,0,0,ROW()-1,60),ROW()-1,FALSE))</f>
        <v>104950</v>
      </c>
      <c r="BC14">
        <f ca="1">IF(AND(ISNUMBER($BC$168),$B$156=1),$BC$168,HLOOKUP(INDIRECT(ADDRESS(2,COLUMN())),OFFSET($BN$2,0,0,ROW()-1,60),ROW()-1,FALSE))</f>
        <v>108275</v>
      </c>
      <c r="BD14">
        <f ca="1">IF(AND(ISNUMBER($BD$168),$B$156=1),$BD$168,HLOOKUP(INDIRECT(ADDRESS(2,COLUMN())),OFFSET($BN$2,0,0,ROW()-1,60),ROW()-1,FALSE))</f>
        <v>133995</v>
      </c>
      <c r="BE14">
        <f ca="1">IF(AND(ISNUMBER($BE$168),$B$156=1),$BE$168,HLOOKUP(INDIRECT(ADDRESS(2,COLUMN())),OFFSET($BN$2,0,0,ROW()-1,60),ROW()-1,FALSE))</f>
        <v>124455</v>
      </c>
      <c r="BF14">
        <f ca="1">IF(AND(ISNUMBER($BF$168),$B$156=1),$BF$168,HLOOKUP(INDIRECT(ADDRESS(2,COLUMN())),OFFSET($BN$2,0,0,ROW()-1,60),ROW()-1,FALSE))</f>
        <v>123303</v>
      </c>
      <c r="BG14">
        <f ca="1">IF(AND(ISNUMBER($BG$168),$B$156=1),$BG$168,HLOOKUP(INDIRECT(ADDRESS(2,COLUMN())),OFFSET($BN$2,0,0,ROW()-1,60),ROW()-1,FALSE))</f>
        <v>143849</v>
      </c>
      <c r="BH14">
        <f ca="1">IF(AND(ISNUMBER($BH$168),$B$156=1),$BH$168,HLOOKUP(INDIRECT(ADDRESS(2,COLUMN())),OFFSET($BN$2,0,0,ROW()-1,60),ROW()-1,FALSE))</f>
        <v>146409</v>
      </c>
      <c r="BI14">
        <f ca="1">IF(AND(ISNUMBER($BI$168),$B$156=1),$BI$168,HLOOKUP(INDIRECT(ADDRESS(2,COLUMN())),OFFSET($BN$2,0,0,ROW()-1,60),ROW()-1,FALSE))</f>
        <v>133724</v>
      </c>
      <c r="BJ14">
        <f ca="1">IF(AND(ISNUMBER($BJ$168),$B$156=1),$BJ$168,HLOOKUP(INDIRECT(ADDRESS(2,COLUMN())),OFFSET($BN$2,0,0,ROW()-1,60),ROW()-1,FALSE))</f>
        <v>127115</v>
      </c>
      <c r="BK14">
        <f ca="1">IF(AND(ISNUMBER($BK$168),$B$156=1),$BK$168,HLOOKUP(INDIRECT(ADDRESS(2,COLUMN())),OFFSET($BN$2,0,0,ROW()-1,60),ROW()-1,FALSE))</f>
        <v>126047</v>
      </c>
      <c r="BL14">
        <f ca="1">IF(AND(ISNUMBER($BL$168),$B$156=1),$BL$168,HLOOKUP(INDIRECT(ADDRESS(2,COLUMN())),OFFSET($BN$2,0,0,ROW()-1,60),ROW()-1,FALSE))</f>
        <v>132591</v>
      </c>
      <c r="BM14">
        <f ca="1">IF(AND(ISNUMBER($BM$168),$B$156=1),$BM$168,HLOOKUP(INDIRECT(ADDRESS(2,COLUMN())),OFFSET($BN$2,0,0,ROW()-1,60),ROW()-1,FALSE))</f>
        <v>123759</v>
      </c>
      <c r="BN14">
        <f>48450</f>
        <v>48450</v>
      </c>
      <c r="BO14">
        <f>143743</f>
        <v>143743</v>
      </c>
      <c r="BP14">
        <f>165257</f>
        <v>165257</v>
      </c>
      <c r="BQ14">
        <f>154574</f>
        <v>154574</v>
      </c>
      <c r="BR14">
        <f>135123</f>
        <v>135123</v>
      </c>
      <c r="BS14">
        <f>150947</f>
        <v>150947</v>
      </c>
      <c r="BT14">
        <f>141225</f>
        <v>141225</v>
      </c>
      <c r="BU14">
        <f>143613</f>
        <v>143613</v>
      </c>
      <c r="BV14">
        <f>140840</f>
        <v>140840</v>
      </c>
      <c r="BW14">
        <f>161808</f>
        <v>161808</v>
      </c>
      <c r="BX14">
        <f>142827</f>
        <v>142827</v>
      </c>
      <c r="BY14">
        <f>144232</f>
        <v>144232</v>
      </c>
      <c r="BZ14">
        <f>131251</f>
        <v>131251</v>
      </c>
      <c r="CA14">
        <f>181227</f>
        <v>181227</v>
      </c>
      <c r="CB14">
        <f>163235</f>
        <v>163235</v>
      </c>
      <c r="CC14">
        <f>153875</f>
        <v>153875</v>
      </c>
      <c r="CD14">
        <f>168379</f>
        <v>168379</v>
      </c>
      <c r="CE14">
        <f>174161</f>
        <v>174161</v>
      </c>
      <c r="CF14">
        <f>159166</f>
        <v>159166</v>
      </c>
      <c r="CG14">
        <f>173243</f>
        <v>173243</v>
      </c>
      <c r="CH14">
        <f>159915</f>
        <v>159915</v>
      </c>
      <c r="CI14">
        <f>167823</f>
        <v>167823</v>
      </c>
      <c r="CJ14">
        <f>174480</f>
        <v>174480</v>
      </c>
      <c r="CK14">
        <f>155754</f>
        <v>155754</v>
      </c>
      <c r="CL14">
        <f>157734</f>
        <v>157734</v>
      </c>
      <c r="CM14">
        <f>169282</f>
        <v>169282</v>
      </c>
      <c r="CN14">
        <f>157202</f>
        <v>157202</v>
      </c>
      <c r="CO14">
        <f>162725</f>
        <v>162725</v>
      </c>
      <c r="CP14">
        <f>138544</f>
        <v>138544</v>
      </c>
      <c r="CQ14">
        <f>149879</f>
        <v>149879</v>
      </c>
      <c r="CR14">
        <f>153041</f>
        <v>153041</v>
      </c>
      <c r="CS14">
        <f>138771</f>
        <v>138771</v>
      </c>
      <c r="CT14">
        <f>158432</f>
        <v>158432</v>
      </c>
      <c r="CU14">
        <f>151907</f>
        <v>151907</v>
      </c>
      <c r="CV14">
        <f>152133</f>
        <v>152133</v>
      </c>
      <c r="CW14">
        <f>153556</f>
        <v>153556</v>
      </c>
      <c r="CX14">
        <f>147415</f>
        <v>147415</v>
      </c>
      <c r="CY14">
        <f>138960</f>
        <v>138960</v>
      </c>
      <c r="CZ14">
        <f>146535</f>
        <v>146535</v>
      </c>
      <c r="DA14">
        <f>130290</f>
        <v>130290</v>
      </c>
      <c r="DB14">
        <f>118681</f>
        <v>118681</v>
      </c>
      <c r="DC14">
        <f>118202</f>
        <v>118202</v>
      </c>
      <c r="DD14">
        <f>151940</f>
        <v>151940</v>
      </c>
      <c r="DE14">
        <f>147122</f>
        <v>147122</v>
      </c>
      <c r="DF14">
        <f>130851</f>
        <v>130851</v>
      </c>
      <c r="DG14">
        <f>128942</f>
        <v>128942</v>
      </c>
      <c r="DH14">
        <f>137495</f>
        <v>137495</v>
      </c>
      <c r="DI14">
        <f>115789</f>
        <v>115789</v>
      </c>
      <c r="DJ14">
        <f>104950</f>
        <v>104950</v>
      </c>
      <c r="DK14">
        <f>108275</f>
        <v>108275</v>
      </c>
      <c r="DL14">
        <f>133995</f>
        <v>133995</v>
      </c>
      <c r="DM14">
        <f>124455</f>
        <v>124455</v>
      </c>
      <c r="DN14">
        <f>123303</f>
        <v>123303</v>
      </c>
      <c r="DO14">
        <f>143849</f>
        <v>143849</v>
      </c>
      <c r="DP14">
        <f>146409</f>
        <v>146409</v>
      </c>
      <c r="DQ14">
        <f>133724</f>
        <v>133724</v>
      </c>
      <c r="DR14">
        <f>127115</f>
        <v>127115</v>
      </c>
      <c r="DS14">
        <f>126047</f>
        <v>126047</v>
      </c>
      <c r="DT14">
        <f>132591</f>
        <v>132591</v>
      </c>
      <c r="DU14">
        <f>123759</f>
        <v>123759</v>
      </c>
    </row>
    <row r="15" spans="1:125" x14ac:dyDescent="0.25">
      <c r="A15" t="str">
        <f>"        Pakistan"</f>
        <v xml:space="preserve">        Pakistan</v>
      </c>
      <c r="B15" t="str">
        <f>"PAVSCAR Index"</f>
        <v>PAVSCAR Index</v>
      </c>
      <c r="C15" t="str">
        <f t="shared" si="0"/>
        <v>PX385</v>
      </c>
      <c r="D15" t="str">
        <f t="shared" si="1"/>
        <v>INTERVAL_SUM</v>
      </c>
      <c r="E15" t="str">
        <f t="shared" si="2"/>
        <v>Dynamic</v>
      </c>
      <c r="F15" t="str">
        <f ca="1">IF(AND(ISNUMBER($F$169),$B$156=1),$F$169,HLOOKUP(INDIRECT(ADDRESS(2,COLUMN())),OFFSET($BN$2,0,0,ROW()-1,60),ROW()-1,FALSE))</f>
        <v/>
      </c>
      <c r="G15">
        <f ca="1">IF(AND(ISNUMBER($G$169),$B$156=1),$G$169,HLOOKUP(INDIRECT(ADDRESS(2,COLUMN())),OFFSET($BN$2,0,0,ROW()-1,60),ROW()-1,FALSE))</f>
        <v>52817</v>
      </c>
      <c r="H15">
        <f ca="1">IF(AND(ISNUMBER($H$169),$B$156=1),$H$169,HLOOKUP(INDIRECT(ADDRESS(2,COLUMN())),OFFSET($BN$2,0,0,ROW()-1,60),ROW()-1,FALSE))</f>
        <v>51221</v>
      </c>
      <c r="I15">
        <f ca="1">IF(AND(ISNUMBER($I$169),$B$156=1),$I$169,HLOOKUP(INDIRECT(ADDRESS(2,COLUMN())),OFFSET($BN$2,0,0,ROW()-1,60),ROW()-1,FALSE))</f>
        <v>55415</v>
      </c>
      <c r="J15">
        <f ca="1">IF(AND(ISNUMBER($J$169),$B$156=1),$J$169,HLOOKUP(INDIRECT(ADDRESS(2,COLUMN())),OFFSET($BN$2,0,0,ROW()-1,60),ROW()-1,FALSE))</f>
        <v>57939</v>
      </c>
      <c r="K15">
        <f ca="1">IF(AND(ISNUMBER($K$169),$B$156=1),$K$169,HLOOKUP(INDIRECT(ADDRESS(2,COLUMN())),OFFSET($BN$2,0,0,ROW()-1,60),ROW()-1,FALSE))</f>
        <v>52792</v>
      </c>
      <c r="L15">
        <f ca="1">IF(AND(ISNUMBER($L$169),$B$156=1),$L$169,HLOOKUP(INDIRECT(ADDRESS(2,COLUMN())),OFFSET($BN$2,0,0,ROW()-1,60),ROW()-1,FALSE))</f>
        <v>50640</v>
      </c>
      <c r="M15">
        <f ca="1">IF(AND(ISNUMBER($M$169),$B$156=1),$M$169,HLOOKUP(INDIRECT(ADDRESS(2,COLUMN())),OFFSET($BN$2,0,0,ROW()-1,60),ROW()-1,FALSE))</f>
        <v>46211</v>
      </c>
      <c r="N15">
        <f ca="1">IF(AND(ISNUMBER($N$169),$B$156=1),$N$169,HLOOKUP(INDIRECT(ADDRESS(2,COLUMN())),OFFSET($BN$2,0,0,ROW()-1,60),ROW()-1,FALSE))</f>
        <v>53669</v>
      </c>
      <c r="O15">
        <f ca="1">IF(AND(ISNUMBER($O$169),$B$156=1),$O$169,HLOOKUP(INDIRECT(ADDRESS(2,COLUMN())),OFFSET($BN$2,0,0,ROW()-1,60),ROW()-1,FALSE))</f>
        <v>44496</v>
      </c>
      <c r="P15">
        <f ca="1">IF(AND(ISNUMBER($P$169),$B$156=1),$P$169,HLOOKUP(INDIRECT(ADDRESS(2,COLUMN())),OFFSET($BN$2,0,0,ROW()-1,60),ROW()-1,FALSE))</f>
        <v>41405</v>
      </c>
      <c r="Q15">
        <f ca="1">IF(AND(ISNUMBER($Q$169),$B$156=1),$Q$169,HLOOKUP(INDIRECT(ADDRESS(2,COLUMN())),OFFSET($BN$2,0,0,ROW()-1,60),ROW()-1,FALSE))</f>
        <v>43939</v>
      </c>
      <c r="R15">
        <f ca="1">IF(AND(ISNUMBER($R$169),$B$156=1),$R$169,HLOOKUP(INDIRECT(ADDRESS(2,COLUMN())),OFFSET($BN$2,0,0,ROW()-1,60),ROW()-1,FALSE))</f>
        <v>47382</v>
      </c>
      <c r="S15">
        <f ca="1">IF(AND(ISNUMBER($S$169),$B$156=1),$S$169,HLOOKUP(INDIRECT(ADDRESS(2,COLUMN())),OFFSET($BN$2,0,0,ROW()-1,60),ROW()-1,FALSE))</f>
        <v>45452</v>
      </c>
      <c r="T15">
        <f ca="1">IF(AND(ISNUMBER($T$169),$B$156=1),$T$169,HLOOKUP(INDIRECT(ADDRESS(2,COLUMN())),OFFSET($BN$2,0,0,ROW()-1,60),ROW()-1,FALSE))</f>
        <v>44372</v>
      </c>
      <c r="U15">
        <f ca="1">IF(AND(ISNUMBER($U$169),$B$156=1),$U$169,HLOOKUP(INDIRECT(ADDRESS(2,COLUMN())),OFFSET($BN$2,0,0,ROW()-1,60),ROW()-1,FALSE))</f>
        <v>45790</v>
      </c>
      <c r="V15">
        <f ca="1">IF(AND(ISNUMBER($V$169),$B$156=1),$V$169,HLOOKUP(INDIRECT(ADDRESS(2,COLUMN())),OFFSET($BN$2,0,0,ROW()-1,60),ROW()-1,FALSE))</f>
        <v>46617</v>
      </c>
      <c r="W15">
        <f ca="1">IF(AND(ISNUMBER($W$169),$B$156=1),$W$169,HLOOKUP(INDIRECT(ADDRESS(2,COLUMN())),OFFSET($BN$2,0,0,ROW()-1,60),ROW()-1,FALSE))</f>
        <v>31097</v>
      </c>
      <c r="X15">
        <f ca="1">IF(AND(ISNUMBER($X$169),$B$156=1),$X$169,HLOOKUP(INDIRECT(ADDRESS(2,COLUMN())),OFFSET($BN$2,0,0,ROW()-1,60),ROW()-1,FALSE))</f>
        <v>27630</v>
      </c>
      <c r="Y15">
        <f ca="1">IF(AND(ISNUMBER($Y$169),$B$156=1),$Y$169,HLOOKUP(INDIRECT(ADDRESS(2,COLUMN())),OFFSET($BN$2,0,0,ROW()-1,60),ROW()-1,FALSE))</f>
        <v>31707</v>
      </c>
      <c r="Z15">
        <f ca="1">IF(AND(ISNUMBER($Z$169),$B$156=1),$Z$169,HLOOKUP(INDIRECT(ADDRESS(2,COLUMN())),OFFSET($BN$2,0,0,ROW()-1,60),ROW()-1,FALSE))</f>
        <v>33516</v>
      </c>
      <c r="AA15">
        <f ca="1">IF(AND(ISNUMBER($AA$169),$B$156=1),$AA$169,HLOOKUP(INDIRECT(ADDRESS(2,COLUMN())),OFFSET($BN$2,0,0,ROW()-1,60),ROW()-1,FALSE))</f>
        <v>24340</v>
      </c>
      <c r="AB15">
        <f ca="1">IF(AND(ISNUMBER($AB$169),$B$156=1),$AB$169,HLOOKUP(INDIRECT(ADDRESS(2,COLUMN())),OFFSET($BN$2,0,0,ROW()-1,60),ROW()-1,FALSE))</f>
        <v>28539</v>
      </c>
      <c r="AC15">
        <f ca="1">IF(AND(ISNUMBER($AC$169),$B$156=1),$AC$169,HLOOKUP(INDIRECT(ADDRESS(2,COLUMN())),OFFSET($BN$2,0,0,ROW()-1,60),ROW()-1,FALSE))</f>
        <v>33747</v>
      </c>
      <c r="AD15">
        <f ca="1">IF(AND(ISNUMBER($AD$169),$B$156=1),$AD$169,HLOOKUP(INDIRECT(ADDRESS(2,COLUMN())),OFFSET($BN$2,0,0,ROW()-1,60),ROW()-1,FALSE))</f>
        <v>34496</v>
      </c>
      <c r="AE15">
        <f ca="1">IF(AND(ISNUMBER($AE$169),$B$156=1),$AE$169,HLOOKUP(INDIRECT(ADDRESS(2,COLUMN())),OFFSET($BN$2,0,0,ROW()-1,60),ROW()-1,FALSE))</f>
        <v>23781</v>
      </c>
      <c r="AF15">
        <f ca="1">IF(AND(ISNUMBER($AF$169),$B$156=1),$AF$169,HLOOKUP(INDIRECT(ADDRESS(2,COLUMN())),OFFSET($BN$2,0,0,ROW()-1,60),ROW()-1,FALSE))</f>
        <v>26806</v>
      </c>
      <c r="AG15">
        <f ca="1">IF(AND(ISNUMBER($AG$169),$B$156=1),$AG$169,HLOOKUP(INDIRECT(ADDRESS(2,COLUMN())),OFFSET($BN$2,0,0,ROW()-1,60),ROW()-1,FALSE))</f>
        <v>44604</v>
      </c>
      <c r="AH15">
        <f ca="1">IF(AND(ISNUMBER($AH$169),$B$156=1),$AH$169,HLOOKUP(INDIRECT(ADDRESS(2,COLUMN())),OFFSET($BN$2,0,0,ROW()-1,60),ROW()-1,FALSE))</f>
        <v>40835</v>
      </c>
      <c r="AI15">
        <f ca="1">IF(AND(ISNUMBER($AI$169),$B$156=1),$AI$169,HLOOKUP(INDIRECT(ADDRESS(2,COLUMN())),OFFSET($BN$2,0,0,ROW()-1,60),ROW()-1,FALSE))</f>
        <v>33821</v>
      </c>
      <c r="AJ15">
        <f ca="1">IF(AND(ISNUMBER($AJ$169),$B$156=1),$AJ$169,HLOOKUP(INDIRECT(ADDRESS(2,COLUMN())),OFFSET($BN$2,0,0,ROW()-1,60),ROW()-1,FALSE))</f>
        <v>38065</v>
      </c>
      <c r="AK15">
        <f ca="1">IF(AND(ISNUMBER($AK$169),$B$156=1),$AK$169,HLOOKUP(INDIRECT(ADDRESS(2,COLUMN())),OFFSET($BN$2,0,0,ROW()-1,60),ROW()-1,FALSE))</f>
        <v>30140</v>
      </c>
      <c r="AL15">
        <f ca="1">IF(AND(ISNUMBER($AL$169),$B$156=1),$AL$169,HLOOKUP(INDIRECT(ADDRESS(2,COLUMN())),OFFSET($BN$2,0,0,ROW()-1,60),ROW()-1,FALSE))</f>
        <v>38158</v>
      </c>
      <c r="AM15">
        <f ca="1">IF(AND(ISNUMBER($AM$169),$B$156=1),$AM$169,HLOOKUP(INDIRECT(ADDRESS(2,COLUMN())),OFFSET($BN$2,0,0,ROW()-1,60),ROW()-1,FALSE))</f>
        <v>29616</v>
      </c>
      <c r="AN15">
        <f ca="1">IF(AND(ISNUMBER($AN$169),$B$156=1),$AN$169,HLOOKUP(INDIRECT(ADDRESS(2,COLUMN())),OFFSET($BN$2,0,0,ROW()-1,60),ROW()-1,FALSE))</f>
        <v>30030</v>
      </c>
      <c r="AO15">
        <f ca="1">IF(AND(ISNUMBER($AO$169),$B$156=1),$AO$169,HLOOKUP(INDIRECT(ADDRESS(2,COLUMN())),OFFSET($BN$2,0,0,ROW()-1,60),ROW()-1,FALSE))</f>
        <v>37474</v>
      </c>
      <c r="AP15">
        <f ca="1">IF(AND(ISNUMBER($AP$169),$B$156=1),$AP$169,HLOOKUP(INDIRECT(ADDRESS(2,COLUMN())),OFFSET($BN$2,0,0,ROW()-1,60),ROW()-1,FALSE))</f>
        <v>32918</v>
      </c>
      <c r="AQ15">
        <f ca="1">IF(AND(ISNUMBER($AQ$169),$B$156=1),$AQ$169,HLOOKUP(INDIRECT(ADDRESS(2,COLUMN())),OFFSET($BN$2,0,0,ROW()-1,60),ROW()-1,FALSE))</f>
        <v>26753</v>
      </c>
      <c r="AR15">
        <f ca="1">IF(AND(ISNUMBER($AR$169),$B$156=1),$AR$169,HLOOKUP(INDIRECT(ADDRESS(2,COLUMN())),OFFSET($BN$2,0,0,ROW()-1,60),ROW()-1,FALSE))</f>
        <v>26812</v>
      </c>
      <c r="AS15">
        <f ca="1">IF(AND(ISNUMBER($AS$169),$B$156=1),$AS$169,HLOOKUP(INDIRECT(ADDRESS(2,COLUMN())),OFFSET($BN$2,0,0,ROW()-1,60),ROW()-1,FALSE))</f>
        <v>21659</v>
      </c>
      <c r="AT15">
        <f ca="1">IF(AND(ISNUMBER($AT$169),$B$156=1),$AT$169,HLOOKUP(INDIRECT(ADDRESS(2,COLUMN())),OFFSET($BN$2,0,0,ROW()-1,60),ROW()-1,FALSE))</f>
        <v>19213</v>
      </c>
      <c r="AU15">
        <f ca="1">IF(AND(ISNUMBER($AU$169),$B$156=1),$AU$169,HLOOKUP(INDIRECT(ADDRESS(2,COLUMN())),OFFSET($BN$2,0,0,ROW()-1,60),ROW()-1,FALSE))</f>
        <v>20018</v>
      </c>
      <c r="AV15">
        <f ca="1">IF(AND(ISNUMBER($AV$169),$B$156=1),$AV$169,HLOOKUP(INDIRECT(ADDRESS(2,COLUMN())),OFFSET($BN$2,0,0,ROW()-1,60),ROW()-1,FALSE))</f>
        <v>21954</v>
      </c>
      <c r="AW15">
        <f ca="1">IF(AND(ISNUMBER($AW$169),$B$156=1),$AW$169,HLOOKUP(INDIRECT(ADDRESS(2,COLUMN())),OFFSET($BN$2,0,0,ROW()-1,60),ROW()-1,FALSE))</f>
        <v>44404</v>
      </c>
      <c r="AX15">
        <f ca="1">IF(AND(ISNUMBER($AX$169),$B$156=1),$AX$169,HLOOKUP(INDIRECT(ADDRESS(2,COLUMN())),OFFSET($BN$2,0,0,ROW()-1,60),ROW()-1,FALSE))</f>
        <v>41487</v>
      </c>
      <c r="AY15">
        <f ca="1">IF(AND(ISNUMBER($AY$169),$B$156=1),$AY$169,HLOOKUP(INDIRECT(ADDRESS(2,COLUMN())),OFFSET($BN$2,0,0,ROW()-1,60),ROW()-1,FALSE))</f>
        <v>35119</v>
      </c>
      <c r="AZ15">
        <f ca="1">IF(AND(ISNUMBER($AZ$169),$B$156=1),$AZ$169,HLOOKUP(INDIRECT(ADDRESS(2,COLUMN())),OFFSET($BN$2,0,0,ROW()-1,60),ROW()-1,FALSE))</f>
        <v>43640</v>
      </c>
      <c r="BA15">
        <f ca="1">IF(AND(ISNUMBER($BA$169),$B$156=1),$BA$169,HLOOKUP(INDIRECT(ADDRESS(2,COLUMN())),OFFSET($BN$2,0,0,ROW()-1,60),ROW()-1,FALSE))</f>
        <v>47973</v>
      </c>
      <c r="BB15">
        <f ca="1">IF(AND(ISNUMBER($BB$169),$B$156=1),$BB$169,HLOOKUP(INDIRECT(ADDRESS(2,COLUMN())),OFFSET($BN$2,0,0,ROW()-1,60),ROW()-1,FALSE))</f>
        <v>41526</v>
      </c>
      <c r="BC15">
        <f ca="1">IF(AND(ISNUMBER($BC$169),$B$156=1),$BC$169,HLOOKUP(INDIRECT(ADDRESS(2,COLUMN())),OFFSET($BN$2,0,0,ROW()-1,60),ROW()-1,FALSE))</f>
        <v>35725</v>
      </c>
      <c r="BD15">
        <f ca="1">IF(AND(ISNUMBER($BD$169),$B$156=1),$BD$169,HLOOKUP(INDIRECT(ADDRESS(2,COLUMN())),OFFSET($BN$2,0,0,ROW()-1,60),ROW()-1,FALSE))</f>
        <v>40044</v>
      </c>
      <c r="BE15" t="str">
        <f ca="1">IF(AND(ISNUMBER($BE$169),$B$156=1),$BE$169,HLOOKUP(INDIRECT(ADDRESS(2,COLUMN())),OFFSET($BN$2,0,0,ROW()-1,60),ROW()-1,FALSE))</f>
        <v/>
      </c>
      <c r="BF15" t="str">
        <f ca="1">IF(AND(ISNUMBER($BF$169),$B$156=1),$BF$169,HLOOKUP(INDIRECT(ADDRESS(2,COLUMN())),OFFSET($BN$2,0,0,ROW()-1,60),ROW()-1,FALSE))</f>
        <v/>
      </c>
      <c r="BG15" t="str">
        <f ca="1">IF(AND(ISNUMBER($BG$169),$B$156=1),$BG$169,HLOOKUP(INDIRECT(ADDRESS(2,COLUMN())),OFFSET($BN$2,0,0,ROW()-1,60),ROW()-1,FALSE))</f>
        <v/>
      </c>
      <c r="BH15" t="str">
        <f ca="1">IF(AND(ISNUMBER($BH$169),$B$156=1),$BH$169,HLOOKUP(INDIRECT(ADDRESS(2,COLUMN())),OFFSET($BN$2,0,0,ROW()-1,60),ROW()-1,FALSE))</f>
        <v/>
      </c>
      <c r="BI15" t="str">
        <f ca="1">IF(AND(ISNUMBER($BI$169),$B$156=1),$BI$169,HLOOKUP(INDIRECT(ADDRESS(2,COLUMN())),OFFSET($BN$2,0,0,ROW()-1,60),ROW()-1,FALSE))</f>
        <v/>
      </c>
      <c r="BJ15" t="str">
        <f ca="1">IF(AND(ISNUMBER($BJ$169),$B$156=1),$BJ$169,HLOOKUP(INDIRECT(ADDRESS(2,COLUMN())),OFFSET($BN$2,0,0,ROW()-1,60),ROW()-1,FALSE))</f>
        <v/>
      </c>
      <c r="BK15" t="str">
        <f ca="1">IF(AND(ISNUMBER($BK$169),$B$156=1),$BK$169,HLOOKUP(INDIRECT(ADDRESS(2,COLUMN())),OFFSET($BN$2,0,0,ROW()-1,60),ROW()-1,FALSE))</f>
        <v/>
      </c>
      <c r="BL15" t="str">
        <f ca="1">IF(AND(ISNUMBER($BL$169),$B$156=1),$BL$169,HLOOKUP(INDIRECT(ADDRESS(2,COLUMN())),OFFSET($BN$2,0,0,ROW()-1,60),ROW()-1,FALSE))</f>
        <v/>
      </c>
      <c r="BM15" t="str">
        <f ca="1">IF(AND(ISNUMBER($BM$169),$B$156=1),$BM$169,HLOOKUP(INDIRECT(ADDRESS(2,COLUMN())),OFFSET($BN$2,0,0,ROW()-1,60),ROW()-1,FALSE))</f>
        <v/>
      </c>
      <c r="BN15" t="str">
        <f>""</f>
        <v/>
      </c>
      <c r="BO15">
        <f>52817</f>
        <v>52817</v>
      </c>
      <c r="BP15">
        <f>51221</f>
        <v>51221</v>
      </c>
      <c r="BQ15">
        <f>55415</f>
        <v>55415</v>
      </c>
      <c r="BR15">
        <f>57939</f>
        <v>57939</v>
      </c>
      <c r="BS15">
        <f>52792</f>
        <v>52792</v>
      </c>
      <c r="BT15">
        <f>50640</f>
        <v>50640</v>
      </c>
      <c r="BU15">
        <f>46211</f>
        <v>46211</v>
      </c>
      <c r="BV15">
        <f>53669</f>
        <v>53669</v>
      </c>
      <c r="BW15">
        <f>44496</f>
        <v>44496</v>
      </c>
      <c r="BX15">
        <f>41405</f>
        <v>41405</v>
      </c>
      <c r="BY15">
        <f>43939</f>
        <v>43939</v>
      </c>
      <c r="BZ15">
        <f>47382</f>
        <v>47382</v>
      </c>
      <c r="CA15">
        <f>45452</f>
        <v>45452</v>
      </c>
      <c r="CB15">
        <f>44372</f>
        <v>44372</v>
      </c>
      <c r="CC15">
        <f>45790</f>
        <v>45790</v>
      </c>
      <c r="CD15">
        <f>46617</f>
        <v>46617</v>
      </c>
      <c r="CE15">
        <f>31097</f>
        <v>31097</v>
      </c>
      <c r="CF15">
        <f>27630</f>
        <v>27630</v>
      </c>
      <c r="CG15">
        <f>31707</f>
        <v>31707</v>
      </c>
      <c r="CH15">
        <f>33516</f>
        <v>33516</v>
      </c>
      <c r="CI15">
        <f>24340</f>
        <v>24340</v>
      </c>
      <c r="CJ15">
        <f>28539</f>
        <v>28539</v>
      </c>
      <c r="CK15">
        <f>33747</f>
        <v>33747</v>
      </c>
      <c r="CL15">
        <f>34496</f>
        <v>34496</v>
      </c>
      <c r="CM15">
        <f>23781</f>
        <v>23781</v>
      </c>
      <c r="CN15">
        <f>26806</f>
        <v>26806</v>
      </c>
      <c r="CO15">
        <f>44604</f>
        <v>44604</v>
      </c>
      <c r="CP15">
        <f>40835</f>
        <v>40835</v>
      </c>
      <c r="CQ15">
        <f>33821</f>
        <v>33821</v>
      </c>
      <c r="CR15">
        <f>38065</f>
        <v>38065</v>
      </c>
      <c r="CS15">
        <f>30140</f>
        <v>30140</v>
      </c>
      <c r="CT15">
        <f>38158</f>
        <v>38158</v>
      </c>
      <c r="CU15">
        <f>29616</f>
        <v>29616</v>
      </c>
      <c r="CV15">
        <f>30030</f>
        <v>30030</v>
      </c>
      <c r="CW15">
        <f>37474</f>
        <v>37474</v>
      </c>
      <c r="CX15">
        <f>32918</f>
        <v>32918</v>
      </c>
      <c r="CY15">
        <f>26753</f>
        <v>26753</v>
      </c>
      <c r="CZ15">
        <f>26812</f>
        <v>26812</v>
      </c>
      <c r="DA15">
        <f>21659</f>
        <v>21659</v>
      </c>
      <c r="DB15">
        <f>19213</f>
        <v>19213</v>
      </c>
      <c r="DC15">
        <f>20018</f>
        <v>20018</v>
      </c>
      <c r="DD15">
        <f>21954</f>
        <v>21954</v>
      </c>
      <c r="DE15">
        <f>44404</f>
        <v>44404</v>
      </c>
      <c r="DF15">
        <f>41487</f>
        <v>41487</v>
      </c>
      <c r="DG15">
        <f>35119</f>
        <v>35119</v>
      </c>
      <c r="DH15">
        <f>43640</f>
        <v>43640</v>
      </c>
      <c r="DI15">
        <f>47973</f>
        <v>47973</v>
      </c>
      <c r="DJ15">
        <f>41526</f>
        <v>41526</v>
      </c>
      <c r="DK15">
        <f>35725</f>
        <v>35725</v>
      </c>
      <c r="DL15">
        <f>40044</f>
        <v>40044</v>
      </c>
      <c r="DM15" t="str">
        <f>""</f>
        <v/>
      </c>
      <c r="DN15" t="str">
        <f>""</f>
        <v/>
      </c>
      <c r="DO15" t="str">
        <f>""</f>
        <v/>
      </c>
      <c r="DP15" t="str">
        <f>""</f>
        <v/>
      </c>
      <c r="DQ15" t="str">
        <f>""</f>
        <v/>
      </c>
      <c r="DR15" t="str">
        <f>""</f>
        <v/>
      </c>
      <c r="DS15" t="str">
        <f>""</f>
        <v/>
      </c>
      <c r="DT15" t="str">
        <f>""</f>
        <v/>
      </c>
      <c r="DU15" t="str">
        <f>""</f>
        <v/>
      </c>
    </row>
    <row r="16" spans="1:125" x14ac:dyDescent="0.25">
      <c r="A16" t="str">
        <f>"        Philippines"</f>
        <v xml:space="preserve">        Philippines</v>
      </c>
      <c r="B16" t="str">
        <f>"PHCSTOTL Index"</f>
        <v>PHCSTOTL Index</v>
      </c>
      <c r="C16" t="str">
        <f t="shared" si="0"/>
        <v>PX385</v>
      </c>
      <c r="D16" t="str">
        <f t="shared" si="1"/>
        <v>INTERVAL_SUM</v>
      </c>
      <c r="E16" t="str">
        <f t="shared" si="2"/>
        <v>Dynamic</v>
      </c>
      <c r="F16" t="str">
        <f ca="1">IF(AND(ISNUMBER($F$170),$B$156=1),$F$170,HLOOKUP(INDIRECT(ADDRESS(2,COLUMN())),OFFSET($BN$2,0,0,ROW()-1,60),ROW()-1,FALSE))</f>
        <v/>
      </c>
      <c r="G16" t="str">
        <f ca="1">IF(AND(ISNUMBER($G$170),$B$156=1),$G$170,HLOOKUP(INDIRECT(ADDRESS(2,COLUMN())),OFFSET($BN$2,0,0,ROW()-1,60),ROW()-1,FALSE))</f>
        <v/>
      </c>
      <c r="H16" t="str">
        <f ca="1">IF(AND(ISNUMBER($H$170),$B$156=1),$H$170,HLOOKUP(INDIRECT(ADDRESS(2,COLUMN())),OFFSET($BN$2,0,0,ROW()-1,60),ROW()-1,FALSE))</f>
        <v/>
      </c>
      <c r="I16" t="str">
        <f ca="1">IF(AND(ISNUMBER($I$170),$B$156=1),$I$170,HLOOKUP(INDIRECT(ADDRESS(2,COLUMN())),OFFSET($BN$2,0,0,ROW()-1,60),ROW()-1,FALSE))</f>
        <v/>
      </c>
      <c r="J16" t="str">
        <f ca="1">IF(AND(ISNUMBER($J$170),$B$156=1),$J$170,HLOOKUP(INDIRECT(ADDRESS(2,COLUMN())),OFFSET($BN$2,0,0,ROW()-1,60),ROW()-1,FALSE))</f>
        <v/>
      </c>
      <c r="K16" t="str">
        <f ca="1">IF(AND(ISNUMBER($K$170),$B$156=1),$K$170,HLOOKUP(INDIRECT(ADDRESS(2,COLUMN())),OFFSET($BN$2,0,0,ROW()-1,60),ROW()-1,FALSE))</f>
        <v/>
      </c>
      <c r="L16" t="str">
        <f ca="1">IF(AND(ISNUMBER($L$170),$B$156=1),$L$170,HLOOKUP(INDIRECT(ADDRESS(2,COLUMN())),OFFSET($BN$2,0,0,ROW()-1,60),ROW()-1,FALSE))</f>
        <v/>
      </c>
      <c r="M16">
        <f ca="1">IF(AND(ISNUMBER($M$170),$B$156=1),$M$170,HLOOKUP(INDIRECT(ADDRESS(2,COLUMN())),OFFSET($BN$2,0,0,ROW()-1,60),ROW()-1,FALSE))</f>
        <v>102138</v>
      </c>
      <c r="N16">
        <f ca="1">IF(AND(ISNUMBER($N$170),$B$156=1),$N$170,HLOOKUP(INDIRECT(ADDRESS(2,COLUMN())),OFFSET($BN$2,0,0,ROW()-1,60),ROW()-1,FALSE))</f>
        <v>94026</v>
      </c>
      <c r="O16">
        <f ca="1">IF(AND(ISNUMBER($O$170),$B$156=1),$O$170,HLOOKUP(INDIRECT(ADDRESS(2,COLUMN())),OFFSET($BN$2,0,0,ROW()-1,60),ROW()-1,FALSE))</f>
        <v>98202</v>
      </c>
      <c r="P16">
        <f ca="1">IF(AND(ISNUMBER($P$170),$B$156=1),$P$170,HLOOKUP(INDIRECT(ADDRESS(2,COLUMN())),OFFSET($BN$2,0,0,ROW()-1,60),ROW()-1,FALSE))</f>
        <v>93890</v>
      </c>
      <c r="Q16">
        <f ca="1">IF(AND(ISNUMBER($Q$170),$B$156=1),$Q$170,HLOOKUP(INDIRECT(ADDRESS(2,COLUMN())),OFFSET($BN$2,0,0,ROW()-1,60),ROW()-1,FALSE))</f>
        <v>91007</v>
      </c>
      <c r="R16">
        <f ca="1">IF(AND(ISNUMBER($R$170),$B$156=1),$R$170,HLOOKUP(INDIRECT(ADDRESS(2,COLUMN())),OFFSET($BN$2,0,0,ROW()-1,60),ROW()-1,FALSE))</f>
        <v>76479</v>
      </c>
      <c r="S16">
        <f ca="1">IF(AND(ISNUMBER($S$170),$B$156=1),$S$170,HLOOKUP(INDIRECT(ADDRESS(2,COLUMN())),OFFSET($BN$2,0,0,ROW()-1,60),ROW()-1,FALSE))</f>
        <v>82325</v>
      </c>
      <c r="T16">
        <f ca="1">IF(AND(ISNUMBER($T$170),$B$156=1),$T$170,HLOOKUP(INDIRECT(ADDRESS(2,COLUMN())),OFFSET($BN$2,0,0,ROW()-1,60),ROW()-1,FALSE))</f>
        <v>74819</v>
      </c>
      <c r="U16">
        <f ca="1">IF(AND(ISNUMBER($U$170),$B$156=1),$U$170,HLOOKUP(INDIRECT(ADDRESS(2,COLUMN())),OFFSET($BN$2,0,0,ROW()-1,60),ROW()-1,FALSE))</f>
        <v>68583</v>
      </c>
      <c r="V16">
        <f ca="1">IF(AND(ISNUMBER($V$170),$B$156=1),$V$170,HLOOKUP(INDIRECT(ADDRESS(2,COLUMN())),OFFSET($BN$2,0,0,ROW()-1,60),ROW()-1,FALSE))</f>
        <v>62882</v>
      </c>
      <c r="W16">
        <f ca="1">IF(AND(ISNUMBER($W$170),$B$156=1),$W$170,HLOOKUP(INDIRECT(ADDRESS(2,COLUMN())),OFFSET($BN$2,0,0,ROW()-1,60),ROW()-1,FALSE))</f>
        <v>65325</v>
      </c>
      <c r="X16">
        <f ca="1">IF(AND(ISNUMBER($X$170),$B$156=1),$X$170,HLOOKUP(INDIRECT(ADDRESS(2,COLUMN())),OFFSET($BN$2,0,0,ROW()-1,60),ROW()-1,FALSE))</f>
        <v>60770</v>
      </c>
      <c r="Y16">
        <f ca="1">IF(AND(ISNUMBER($Y$170),$B$156=1),$Y$170,HLOOKUP(INDIRECT(ADDRESS(2,COLUMN())),OFFSET($BN$2,0,0,ROW()-1,60),ROW()-1,FALSE))</f>
        <v>57235</v>
      </c>
      <c r="Z16">
        <f ca="1">IF(AND(ISNUMBER($Z$170),$B$156=1),$Z$170,HLOOKUP(INDIRECT(ADDRESS(2,COLUMN())),OFFSET($BN$2,0,0,ROW()-1,60),ROW()-1,FALSE))</f>
        <v>51722</v>
      </c>
      <c r="AA16">
        <f ca="1">IF(AND(ISNUMBER($AA$170),$B$156=1),$AA$170,HLOOKUP(INDIRECT(ADDRESS(2,COLUMN())),OFFSET($BN$2,0,0,ROW()-1,60),ROW()-1,FALSE))</f>
        <v>49902</v>
      </c>
      <c r="AB16">
        <f ca="1">IF(AND(ISNUMBER($AB$170),$B$156=1),$AB$170,HLOOKUP(INDIRECT(ADDRESS(2,COLUMN())),OFFSET($BN$2,0,0,ROW()-1,60),ROW()-1,FALSE))</f>
        <v>44153</v>
      </c>
      <c r="AC16">
        <f ca="1">IF(AND(ISNUMBER($AC$170),$B$156=1),$AC$170,HLOOKUP(INDIRECT(ADDRESS(2,COLUMN())),OFFSET($BN$2,0,0,ROW()-1,60),ROW()-1,FALSE))</f>
        <v>45194</v>
      </c>
      <c r="AD16">
        <f ca="1">IF(AND(ISNUMBER($AD$170),$B$156=1),$AD$170,HLOOKUP(INDIRECT(ADDRESS(2,COLUMN())),OFFSET($BN$2,0,0,ROW()-1,60),ROW()-1,FALSE))</f>
        <v>42034</v>
      </c>
      <c r="AE16">
        <f ca="1">IF(AND(ISNUMBER($AE$170),$B$156=1),$AE$170,HLOOKUP(INDIRECT(ADDRESS(2,COLUMN())),OFFSET($BN$2,0,0,ROW()-1,60),ROW()-1,FALSE))</f>
        <v>45067</v>
      </c>
      <c r="AF16">
        <f ca="1">IF(AND(ISNUMBER($AF$170),$B$156=1),$AF$170,HLOOKUP(INDIRECT(ADDRESS(2,COLUMN())),OFFSET($BN$2,0,0,ROW()-1,60),ROW()-1,FALSE))</f>
        <v>38711</v>
      </c>
      <c r="AG16">
        <f ca="1">IF(AND(ISNUMBER($AG$170),$B$156=1),$AG$170,HLOOKUP(INDIRECT(ADDRESS(2,COLUMN())),OFFSET($BN$2,0,0,ROW()-1,60),ROW()-1,FALSE))</f>
        <v>40263</v>
      </c>
      <c r="AH16">
        <f ca="1">IF(AND(ISNUMBER($AH$170),$B$156=1),$AH$170,HLOOKUP(INDIRECT(ADDRESS(2,COLUMN())),OFFSET($BN$2,0,0,ROW()-1,60),ROW()-1,FALSE))</f>
        <v>32608</v>
      </c>
      <c r="AI16">
        <f ca="1">IF(AND(ISNUMBER($AI$170),$B$156=1),$AI$170,HLOOKUP(INDIRECT(ADDRESS(2,COLUMN())),OFFSET($BN$2,0,0,ROW()-1,60),ROW()-1,FALSE))</f>
        <v>35953</v>
      </c>
      <c r="AJ16">
        <f ca="1">IF(AND(ISNUMBER($AJ$170),$B$156=1),$AJ$170,HLOOKUP(INDIRECT(ADDRESS(2,COLUMN())),OFFSET($BN$2,0,0,ROW()-1,60),ROW()-1,FALSE))</f>
        <v>35663</v>
      </c>
      <c r="AK16">
        <f ca="1">IF(AND(ISNUMBER($AK$170),$B$156=1),$AK$170,HLOOKUP(INDIRECT(ADDRESS(2,COLUMN())),OFFSET($BN$2,0,0,ROW()-1,60),ROW()-1,FALSE))</f>
        <v>33707</v>
      </c>
      <c r="AL16">
        <f ca="1">IF(AND(ISNUMBER($AL$170),$B$156=1),$AL$170,HLOOKUP(INDIRECT(ADDRESS(2,COLUMN())),OFFSET($BN$2,0,0,ROW()-1,60),ROW()-1,FALSE))</f>
        <v>36293</v>
      </c>
      <c r="AM16">
        <f ca="1">IF(AND(ISNUMBER($AM$170),$B$156=1),$AM$170,HLOOKUP(INDIRECT(ADDRESS(2,COLUMN())),OFFSET($BN$2,0,0,ROW()-1,60),ROW()-1,FALSE))</f>
        <v>41589</v>
      </c>
      <c r="AN16">
        <f ca="1">IF(AND(ISNUMBER($AN$170),$B$156=1),$AN$170,HLOOKUP(INDIRECT(ADDRESS(2,COLUMN())),OFFSET($BN$2,0,0,ROW()-1,60),ROW()-1,FALSE))</f>
        <v>44754</v>
      </c>
      <c r="AO16">
        <f ca="1">IF(AND(ISNUMBER($AO$170),$B$156=1),$AO$170,HLOOKUP(INDIRECT(ADDRESS(2,COLUMN())),OFFSET($BN$2,0,0,ROW()-1,60),ROW()-1,FALSE))</f>
        <v>43438</v>
      </c>
      <c r="AP16">
        <f ca="1">IF(AND(ISNUMBER($AP$170),$B$156=1),$AP$170,HLOOKUP(INDIRECT(ADDRESS(2,COLUMN())),OFFSET($BN$2,0,0,ROW()-1,60),ROW()-1,FALSE))</f>
        <v>38709</v>
      </c>
      <c r="AQ16">
        <f ca="1">IF(AND(ISNUMBER($AQ$170),$B$156=1),$AQ$170,HLOOKUP(INDIRECT(ADDRESS(2,COLUMN())),OFFSET($BN$2,0,0,ROW()-1,60),ROW()-1,FALSE))</f>
        <v>39059</v>
      </c>
      <c r="AR16">
        <f ca="1">IF(AND(ISNUMBER($AR$170),$B$156=1),$AR$170,HLOOKUP(INDIRECT(ADDRESS(2,COLUMN())),OFFSET($BN$2,0,0,ROW()-1,60),ROW()-1,FALSE))</f>
        <v>33476</v>
      </c>
      <c r="AS16">
        <f ca="1">IF(AND(ISNUMBER($AS$170),$B$156=1),$AS$170,HLOOKUP(INDIRECT(ADDRESS(2,COLUMN())),OFFSET($BN$2,0,0,ROW()-1,60),ROW()-1,FALSE))</f>
        <v>31346</v>
      </c>
      <c r="AT16">
        <f ca="1">IF(AND(ISNUMBER($AT$170),$B$156=1),$AT$170,HLOOKUP(INDIRECT(ADDRESS(2,COLUMN())),OFFSET($BN$2,0,0,ROW()-1,60),ROW()-1,FALSE))</f>
        <v>28563</v>
      </c>
      <c r="AU16">
        <f ca="1">IF(AND(ISNUMBER($AU$170),$B$156=1),$AU$170,HLOOKUP(INDIRECT(ADDRESS(2,COLUMN())),OFFSET($BN$2,0,0,ROW()-1,60),ROW()-1,FALSE))</f>
        <v>30316</v>
      </c>
      <c r="AV16">
        <f ca="1">IF(AND(ISNUMBER($AV$170),$B$156=1),$AV$170,HLOOKUP(INDIRECT(ADDRESS(2,COLUMN())),OFFSET($BN$2,0,0,ROW()-1,60),ROW()-1,FALSE))</f>
        <v>32478</v>
      </c>
      <c r="AW16">
        <f ca="1">IF(AND(ISNUMBER($AW$170),$B$156=1),$AW$170,HLOOKUP(INDIRECT(ADDRESS(2,COLUMN())),OFFSET($BN$2,0,0,ROW()-1,60),ROW()-1,FALSE))</f>
        <v>32748</v>
      </c>
      <c r="AX16">
        <f ca="1">IF(AND(ISNUMBER($AX$170),$B$156=1),$AX$170,HLOOKUP(INDIRECT(ADDRESS(2,COLUMN())),OFFSET($BN$2,0,0,ROW()-1,60),ROW()-1,FALSE))</f>
        <v>28907</v>
      </c>
      <c r="AY16">
        <f ca="1">IF(AND(ISNUMBER($AY$170),$B$156=1),$AY$170,HLOOKUP(INDIRECT(ADDRESS(2,COLUMN())),OFFSET($BN$2,0,0,ROW()-1,60),ROW()-1,FALSE))</f>
        <v>33855</v>
      </c>
      <c r="AZ16">
        <f ca="1">IF(AND(ISNUMBER($AZ$170),$B$156=1),$AZ$170,HLOOKUP(INDIRECT(ADDRESS(2,COLUMN())),OFFSET($BN$2,0,0,ROW()-1,60),ROW()-1,FALSE))</f>
        <v>29792</v>
      </c>
      <c r="BA16">
        <f ca="1">IF(AND(ISNUMBER($BA$170),$B$156=1),$BA$170,HLOOKUP(INDIRECT(ADDRESS(2,COLUMN())),OFFSET($BN$2,0,0,ROW()-1,60),ROW()-1,FALSE))</f>
        <v>28057</v>
      </c>
      <c r="BB16">
        <f ca="1">IF(AND(ISNUMBER($BB$170),$B$156=1),$BB$170,HLOOKUP(INDIRECT(ADDRESS(2,COLUMN())),OFFSET($BN$2,0,0,ROW()-1,60),ROW()-1,FALSE))</f>
        <v>26201</v>
      </c>
      <c r="BC16">
        <f ca="1">IF(AND(ISNUMBER($BC$170),$B$156=1),$BC$170,HLOOKUP(INDIRECT(ADDRESS(2,COLUMN())),OFFSET($BN$2,0,0,ROW()-1,60),ROW()-1,FALSE))</f>
        <v>27421</v>
      </c>
      <c r="BD16">
        <f ca="1">IF(AND(ISNUMBER($BD$170),$B$156=1),$BD$170,HLOOKUP(INDIRECT(ADDRESS(2,COLUMN())),OFFSET($BN$2,0,0,ROW()-1,60),ROW()-1,FALSE))</f>
        <v>25834</v>
      </c>
      <c r="BE16">
        <f ca="1">IF(AND(ISNUMBER($BE$170),$B$156=1),$BE$170,HLOOKUP(INDIRECT(ADDRESS(2,COLUMN())),OFFSET($BN$2,0,0,ROW()-1,60),ROW()-1,FALSE))</f>
        <v>24185</v>
      </c>
      <c r="BF16">
        <f ca="1">IF(AND(ISNUMBER($BF$170),$B$156=1),$BF$170,HLOOKUP(INDIRECT(ADDRESS(2,COLUMN())),OFFSET($BN$2,0,0,ROW()-1,60),ROW()-1,FALSE))</f>
        <v>22065</v>
      </c>
      <c r="BG16">
        <f ca="1">IF(AND(ISNUMBER($BG$170),$B$156=1),$BG$170,HLOOKUP(INDIRECT(ADDRESS(2,COLUMN())),OFFSET($BN$2,0,0,ROW()-1,60),ROW()-1,FALSE))</f>
        <v>25127</v>
      </c>
      <c r="BH16">
        <f ca="1">IF(AND(ISNUMBER($BH$170),$B$156=1),$BH$170,HLOOKUP(INDIRECT(ADDRESS(2,COLUMN())),OFFSET($BN$2,0,0,ROW()-1,60),ROW()-1,FALSE))</f>
        <v>24266</v>
      </c>
      <c r="BI16">
        <f ca="1">IF(AND(ISNUMBER($BI$170),$B$156=1),$BI$170,HLOOKUP(INDIRECT(ADDRESS(2,COLUMN())),OFFSET($BN$2,0,0,ROW()-1,60),ROW()-1,FALSE))</f>
        <v>25686</v>
      </c>
      <c r="BJ16">
        <f ca="1">IF(AND(ISNUMBER($BJ$170),$B$156=1),$BJ$170,HLOOKUP(INDIRECT(ADDRESS(2,COLUMN())),OFFSET($BN$2,0,0,ROW()-1,60),ROW()-1,FALSE))</f>
        <v>21984</v>
      </c>
      <c r="BK16">
        <f ca="1">IF(AND(ISNUMBER($BK$170),$B$156=1),$BK$170,HLOOKUP(INDIRECT(ADDRESS(2,COLUMN())),OFFSET($BN$2,0,0,ROW()-1,60),ROW()-1,FALSE))</f>
        <v>23504</v>
      </c>
      <c r="BL16">
        <f ca="1">IF(AND(ISNUMBER($BL$170),$B$156=1),$BL$170,HLOOKUP(INDIRECT(ADDRESS(2,COLUMN())),OFFSET($BN$2,0,0,ROW()-1,60),ROW()-1,FALSE))</f>
        <v>22532</v>
      </c>
      <c r="BM16">
        <f ca="1">IF(AND(ISNUMBER($BM$170),$B$156=1),$BM$170,HLOOKUP(INDIRECT(ADDRESS(2,COLUMN())),OFFSET($BN$2,0,0,ROW()-1,60),ROW()-1,FALSE))</f>
        <v>20611</v>
      </c>
      <c r="BN16" t="str">
        <f>""</f>
        <v/>
      </c>
      <c r="BO16" t="str">
        <f>""</f>
        <v/>
      </c>
      <c r="BP16" t="str">
        <f>""</f>
        <v/>
      </c>
      <c r="BQ16" t="str">
        <f>""</f>
        <v/>
      </c>
      <c r="BR16" t="str">
        <f>""</f>
        <v/>
      </c>
      <c r="BS16" t="str">
        <f>""</f>
        <v/>
      </c>
      <c r="BT16" t="str">
        <f>""</f>
        <v/>
      </c>
      <c r="BU16">
        <f>102138</f>
        <v>102138</v>
      </c>
      <c r="BV16">
        <f>94026</f>
        <v>94026</v>
      </c>
      <c r="BW16">
        <f>98202</f>
        <v>98202</v>
      </c>
      <c r="BX16">
        <f>93890</f>
        <v>93890</v>
      </c>
      <c r="BY16">
        <f>91007</f>
        <v>91007</v>
      </c>
      <c r="BZ16">
        <f>76479</f>
        <v>76479</v>
      </c>
      <c r="CA16">
        <f>82325</f>
        <v>82325</v>
      </c>
      <c r="CB16">
        <f>74819</f>
        <v>74819</v>
      </c>
      <c r="CC16">
        <f>68583</f>
        <v>68583</v>
      </c>
      <c r="CD16">
        <f>62882</f>
        <v>62882</v>
      </c>
      <c r="CE16">
        <f>65325</f>
        <v>65325</v>
      </c>
      <c r="CF16">
        <f>60770</f>
        <v>60770</v>
      </c>
      <c r="CG16">
        <f>57235</f>
        <v>57235</v>
      </c>
      <c r="CH16">
        <f>51722</f>
        <v>51722</v>
      </c>
      <c r="CI16">
        <f>49902</f>
        <v>49902</v>
      </c>
      <c r="CJ16">
        <f>44153</f>
        <v>44153</v>
      </c>
      <c r="CK16">
        <f>45194</f>
        <v>45194</v>
      </c>
      <c r="CL16">
        <f>42034</f>
        <v>42034</v>
      </c>
      <c r="CM16">
        <f>45067</f>
        <v>45067</v>
      </c>
      <c r="CN16">
        <f>38711</f>
        <v>38711</v>
      </c>
      <c r="CO16">
        <f>40263</f>
        <v>40263</v>
      </c>
      <c r="CP16">
        <f>32608</f>
        <v>32608</v>
      </c>
      <c r="CQ16">
        <f>35953</f>
        <v>35953</v>
      </c>
      <c r="CR16">
        <f>35663</f>
        <v>35663</v>
      </c>
      <c r="CS16">
        <f>33707</f>
        <v>33707</v>
      </c>
      <c r="CT16">
        <f>36293</f>
        <v>36293</v>
      </c>
      <c r="CU16">
        <f>41589</f>
        <v>41589</v>
      </c>
      <c r="CV16">
        <f>44754</f>
        <v>44754</v>
      </c>
      <c r="CW16">
        <f>43438</f>
        <v>43438</v>
      </c>
      <c r="CX16">
        <f>38709</f>
        <v>38709</v>
      </c>
      <c r="CY16">
        <f>39059</f>
        <v>39059</v>
      </c>
      <c r="CZ16">
        <f>33476</f>
        <v>33476</v>
      </c>
      <c r="DA16">
        <f>31346</f>
        <v>31346</v>
      </c>
      <c r="DB16">
        <f>28563</f>
        <v>28563</v>
      </c>
      <c r="DC16">
        <f>30316</f>
        <v>30316</v>
      </c>
      <c r="DD16">
        <f>32478</f>
        <v>32478</v>
      </c>
      <c r="DE16">
        <f>32748</f>
        <v>32748</v>
      </c>
      <c r="DF16">
        <f>28907</f>
        <v>28907</v>
      </c>
      <c r="DG16">
        <f>33855</f>
        <v>33855</v>
      </c>
      <c r="DH16">
        <f>29792</f>
        <v>29792</v>
      </c>
      <c r="DI16">
        <f>28057</f>
        <v>28057</v>
      </c>
      <c r="DJ16">
        <f>26201</f>
        <v>26201</v>
      </c>
      <c r="DK16">
        <f>27421</f>
        <v>27421</v>
      </c>
      <c r="DL16">
        <f>25834</f>
        <v>25834</v>
      </c>
      <c r="DM16">
        <f>24185</f>
        <v>24185</v>
      </c>
      <c r="DN16">
        <f>22065</f>
        <v>22065</v>
      </c>
      <c r="DO16">
        <f>25127</f>
        <v>25127</v>
      </c>
      <c r="DP16">
        <f>24266</f>
        <v>24266</v>
      </c>
      <c r="DQ16">
        <f>25686</f>
        <v>25686</v>
      </c>
      <c r="DR16">
        <f>21984</f>
        <v>21984</v>
      </c>
      <c r="DS16">
        <f>23504</f>
        <v>23504</v>
      </c>
      <c r="DT16">
        <f>22532</f>
        <v>22532</v>
      </c>
      <c r="DU16">
        <f>20611</f>
        <v>20611</v>
      </c>
    </row>
    <row r="17" spans="1:125" x14ac:dyDescent="0.25">
      <c r="A17" t="str">
        <f>"        South Korea"</f>
        <v xml:space="preserve">        South Korea</v>
      </c>
      <c r="B17" t="str">
        <f>"AUTMKRVS Index"</f>
        <v>AUTMKRVS Index</v>
      </c>
      <c r="C17" t="str">
        <f t="shared" si="0"/>
        <v>PX385</v>
      </c>
      <c r="D17" t="str">
        <f t="shared" si="1"/>
        <v>INTERVAL_SUM</v>
      </c>
      <c r="E17" t="str">
        <f t="shared" si="2"/>
        <v>Dynamic</v>
      </c>
      <c r="F17" t="str">
        <f ca="1">IF(AND(ISNUMBER($F$171),$B$156=1),$F$171,HLOOKUP(INDIRECT(ADDRESS(2,COLUMN())),OFFSET($BN$2,0,0,ROW()-1,60),ROW()-1,FALSE))</f>
        <v/>
      </c>
      <c r="G17">
        <f ca="1">IF(AND(ISNUMBER($G$171),$B$156=1),$G$171,HLOOKUP(INDIRECT(ADDRESS(2,COLUMN())),OFFSET($BN$2,0,0,ROW()-1,60),ROW()-1,FALSE))</f>
        <v>503572</v>
      </c>
      <c r="H17">
        <f ca="1">IF(AND(ISNUMBER($H$171),$B$156=1),$H$171,HLOOKUP(INDIRECT(ADDRESS(2,COLUMN())),OFFSET($BN$2,0,0,ROW()-1,60),ROW()-1,FALSE))</f>
        <v>446320</v>
      </c>
      <c r="I17">
        <f ca="1">IF(AND(ISNUMBER($I$171),$B$156=1),$I$171,HLOOKUP(INDIRECT(ADDRESS(2,COLUMN())),OFFSET($BN$2,0,0,ROW()-1,60),ROW()-1,FALSE))</f>
        <v>484997</v>
      </c>
      <c r="J17">
        <f ca="1">IF(AND(ISNUMBER($J$171),$B$156=1),$J$171,HLOOKUP(INDIRECT(ADDRESS(2,COLUMN())),OFFSET($BN$2,0,0,ROW()-1,60),ROW()-1,FALSE))</f>
        <v>441053</v>
      </c>
      <c r="K17">
        <f ca="1">IF(AND(ISNUMBER($K$171),$B$156=1),$K$171,HLOOKUP(INDIRECT(ADDRESS(2,COLUMN())),OFFSET($BN$2,0,0,ROW()-1,60),ROW()-1,FALSE))</f>
        <v>472701</v>
      </c>
      <c r="L17">
        <f ca="1">IF(AND(ISNUMBER($L$171),$B$156=1),$L$171,HLOOKUP(INDIRECT(ADDRESS(2,COLUMN())),OFFSET($BN$2,0,0,ROW()-1,60),ROW()-1,FALSE))</f>
        <v>459357</v>
      </c>
      <c r="M17">
        <f ca="1">IF(AND(ISNUMBER($M$171),$B$156=1),$M$171,HLOOKUP(INDIRECT(ADDRESS(2,COLUMN())),OFFSET($BN$2,0,0,ROW()-1,60),ROW()-1,FALSE))</f>
        <v>490663</v>
      </c>
      <c r="N17">
        <f ca="1">IF(AND(ISNUMBER($N$171),$B$156=1),$N$171,HLOOKUP(INDIRECT(ADDRESS(2,COLUMN())),OFFSET($BN$2,0,0,ROW()-1,60),ROW()-1,FALSE))</f>
        <v>434719</v>
      </c>
      <c r="O17">
        <f ca="1">IF(AND(ISNUMBER($O$171),$B$156=1),$O$171,HLOOKUP(INDIRECT(ADDRESS(2,COLUMN())),OFFSET($BN$2,0,0,ROW()-1,60),ROW()-1,FALSE))</f>
        <v>510321</v>
      </c>
      <c r="P17">
        <f ca="1">IF(AND(ISNUMBER($P$171),$B$156=1),$P$171,HLOOKUP(INDIRECT(ADDRESS(2,COLUMN())),OFFSET($BN$2,0,0,ROW()-1,60),ROW()-1,FALSE))</f>
        <v>406959</v>
      </c>
      <c r="Q17">
        <f ca="1">IF(AND(ISNUMBER($Q$171),$B$156=1),$Q$171,HLOOKUP(INDIRECT(ADDRESS(2,COLUMN())),OFFSET($BN$2,0,0,ROW()-1,60),ROW()-1,FALSE))</f>
        <v>546039</v>
      </c>
      <c r="R17">
        <f ca="1">IF(AND(ISNUMBER($R$171),$B$156=1),$R$171,HLOOKUP(INDIRECT(ADDRESS(2,COLUMN())),OFFSET($BN$2,0,0,ROW()-1,60),ROW()-1,FALSE))</f>
        <v>441213</v>
      </c>
      <c r="S17">
        <f ca="1">IF(AND(ISNUMBER($S$171),$B$156=1),$S$171,HLOOKUP(INDIRECT(ADDRESS(2,COLUMN())),OFFSET($BN$2,0,0,ROW()-1,60),ROW()-1,FALSE))</f>
        <v>555742</v>
      </c>
      <c r="T17">
        <f ca="1">IF(AND(ISNUMBER($T$171),$B$156=1),$T$171,HLOOKUP(INDIRECT(ADDRESS(2,COLUMN())),OFFSET($BN$2,0,0,ROW()-1,60),ROW()-1,FALSE))</f>
        <v>472032</v>
      </c>
      <c r="U17">
        <f ca="1">IF(AND(ISNUMBER($U$171),$B$156=1),$U$171,HLOOKUP(INDIRECT(ADDRESS(2,COLUMN())),OFFSET($BN$2,0,0,ROW()-1,60),ROW()-1,FALSE))</f>
        <v>475426</v>
      </c>
      <c r="V17">
        <f ca="1">IF(AND(ISNUMBER($V$171),$B$156=1),$V$171,HLOOKUP(INDIRECT(ADDRESS(2,COLUMN())),OFFSET($BN$2,0,0,ROW()-1,60),ROW()-1,FALSE))</f>
        <v>418051</v>
      </c>
      <c r="W17">
        <f ca="1">IF(AND(ISNUMBER($W$171),$B$156=1),$W$171,HLOOKUP(INDIRECT(ADDRESS(2,COLUMN())),OFFSET($BN$2,0,0,ROW()-1,60),ROW()-1,FALSE))</f>
        <v>485156</v>
      </c>
      <c r="X17">
        <f ca="1">IF(AND(ISNUMBER($X$171),$B$156=1),$X$171,HLOOKUP(INDIRECT(ADDRESS(2,COLUMN())),OFFSET($BN$2,0,0,ROW()-1,60),ROW()-1,FALSE))</f>
        <v>412887</v>
      </c>
      <c r="Y17">
        <f ca="1">IF(AND(ISNUMBER($Y$171),$B$156=1),$Y$171,HLOOKUP(INDIRECT(ADDRESS(2,COLUMN())),OFFSET($BN$2,0,0,ROW()-1,60),ROW()-1,FALSE))</f>
        <v>440285</v>
      </c>
      <c r="Z17">
        <f ca="1">IF(AND(ISNUMBER($Z$171),$B$156=1),$Z$171,HLOOKUP(INDIRECT(ADDRESS(2,COLUMN())),OFFSET($BN$2,0,0,ROW()-1,60),ROW()-1,FALSE))</f>
        <v>391996</v>
      </c>
      <c r="AA17">
        <f ca="1">IF(AND(ISNUMBER($AA$171),$B$156=1),$AA$171,HLOOKUP(INDIRECT(ADDRESS(2,COLUMN())),OFFSET($BN$2,0,0,ROW()-1,60),ROW()-1,FALSE))</f>
        <v>423424</v>
      </c>
      <c r="AB17">
        <f ca="1">IF(AND(ISNUMBER($AB$171),$B$156=1),$AB$171,HLOOKUP(INDIRECT(ADDRESS(2,COLUMN())),OFFSET($BN$2,0,0,ROW()-1,60),ROW()-1,FALSE))</f>
        <v>392068</v>
      </c>
      <c r="AC17">
        <f ca="1">IF(AND(ISNUMBER($AC$171),$B$156=1),$AC$171,HLOOKUP(INDIRECT(ADDRESS(2,COLUMN())),OFFSET($BN$2,0,0,ROW()-1,60),ROW()-1,FALSE))</f>
        <v>397114</v>
      </c>
      <c r="AD17">
        <f ca="1">IF(AND(ISNUMBER($AD$171),$B$156=1),$AD$171,HLOOKUP(INDIRECT(ADDRESS(2,COLUMN())),OFFSET($BN$2,0,0,ROW()-1,60),ROW()-1,FALSE))</f>
        <v>361820</v>
      </c>
      <c r="AE17">
        <f ca="1">IF(AND(ISNUMBER($AE$171),$B$156=1),$AE$171,HLOOKUP(INDIRECT(ADDRESS(2,COLUMN())),OFFSET($BN$2,0,0,ROW()-1,60),ROW()-1,FALSE))</f>
        <v>438829</v>
      </c>
      <c r="AF17">
        <f ca="1">IF(AND(ISNUMBER($AF$171),$B$156=1),$AF$171,HLOOKUP(INDIRECT(ADDRESS(2,COLUMN())),OFFSET($BN$2,0,0,ROW()-1,60),ROW()-1,FALSE))</f>
        <v>364936</v>
      </c>
      <c r="AG17">
        <f ca="1">IF(AND(ISNUMBER($AG$171),$B$156=1),$AG$171,HLOOKUP(INDIRECT(ADDRESS(2,COLUMN())),OFFSET($BN$2,0,0,ROW()-1,60),ROW()-1,FALSE))</f>
        <v>398671</v>
      </c>
      <c r="AH17">
        <f ca="1">IF(AND(ISNUMBER($AH$171),$B$156=1),$AH$171,HLOOKUP(INDIRECT(ADDRESS(2,COLUMN())),OFFSET($BN$2,0,0,ROW()-1,60),ROW()-1,FALSE))</f>
        <v>362828</v>
      </c>
      <c r="AI17">
        <f ca="1">IF(AND(ISNUMBER($AI$171),$B$156=1),$AI$171,HLOOKUP(INDIRECT(ADDRESS(2,COLUMN())),OFFSET($BN$2,0,0,ROW()-1,60),ROW()-1,FALSE))</f>
        <v>394949</v>
      </c>
      <c r="AJ17">
        <f ca="1">IF(AND(ISNUMBER($AJ$171),$B$156=1),$AJ$171,HLOOKUP(INDIRECT(ADDRESS(2,COLUMN())),OFFSET($BN$2,0,0,ROW()-1,60),ROW()-1,FALSE))</f>
        <v>399140</v>
      </c>
      <c r="AK17">
        <f ca="1">IF(AND(ISNUMBER($AK$171),$B$156=1),$AK$171,HLOOKUP(INDIRECT(ADDRESS(2,COLUMN())),OFFSET($BN$2,0,0,ROW()-1,60),ROW()-1,FALSE))</f>
        <v>401634</v>
      </c>
      <c r="AL17">
        <f ca="1">IF(AND(ISNUMBER($AL$171),$B$156=1),$AL$171,HLOOKUP(INDIRECT(ADDRESS(2,COLUMN())),OFFSET($BN$2,0,0,ROW()-1,60),ROW()-1,FALSE))</f>
        <v>396132</v>
      </c>
      <c r="AM17">
        <f ca="1">IF(AND(ISNUMBER($AM$171),$B$156=1),$AM$171,HLOOKUP(INDIRECT(ADDRESS(2,COLUMN())),OFFSET($BN$2,0,0,ROW()-1,60),ROW()-1,FALSE))</f>
        <v>429316</v>
      </c>
      <c r="AN17">
        <f ca="1">IF(AND(ISNUMBER($AN$171),$B$156=1),$AN$171,HLOOKUP(INDIRECT(ADDRESS(2,COLUMN())),OFFSET($BN$2,0,0,ROW()-1,60),ROW()-1,FALSE))</f>
        <v>380451</v>
      </c>
      <c r="AO17">
        <f ca="1">IF(AND(ISNUMBER($AO$171),$B$156=1),$AO$171,HLOOKUP(INDIRECT(ADDRESS(2,COLUMN())),OFFSET($BN$2,0,0,ROW()-1,60),ROW()-1,FALSE))</f>
        <v>387721</v>
      </c>
      <c r="AP17">
        <f ca="1">IF(AND(ISNUMBER($AP$171),$B$156=1),$AP$171,HLOOKUP(INDIRECT(ADDRESS(2,COLUMN())),OFFSET($BN$2,0,0,ROW()-1,60),ROW()-1,FALSE))</f>
        <v>372915</v>
      </c>
      <c r="AQ17">
        <f ca="1">IF(AND(ISNUMBER($AQ$171),$B$156=1),$AQ$171,HLOOKUP(INDIRECT(ADDRESS(2,COLUMN())),OFFSET($BN$2,0,0,ROW()-1,60),ROW()-1,FALSE))</f>
        <v>447189</v>
      </c>
      <c r="AR17">
        <f ca="1">IF(AND(ISNUMBER($AR$171),$B$156=1),$AR$171,HLOOKUP(INDIRECT(ADDRESS(2,COLUMN())),OFFSET($BN$2,0,0,ROW()-1,60),ROW()-1,FALSE))</f>
        <v>363499</v>
      </c>
      <c r="AS17">
        <f ca="1">IF(AND(ISNUMBER($AS$171),$B$156=1),$AS$171,HLOOKUP(INDIRECT(ADDRESS(2,COLUMN())),OFFSET($BN$2,0,0,ROW()-1,60),ROW()-1,FALSE))</f>
        <v>381591</v>
      </c>
      <c r="AT17">
        <f ca="1">IF(AND(ISNUMBER($AT$171),$B$156=1),$AT$171,HLOOKUP(INDIRECT(ADDRESS(2,COLUMN())),OFFSET($BN$2,0,0,ROW()-1,60),ROW()-1,FALSE))</f>
        <v>270723</v>
      </c>
      <c r="AU17">
        <f ca="1">IF(AND(ISNUMBER($AU$171),$B$156=1),$AU$171,HLOOKUP(INDIRECT(ADDRESS(2,COLUMN())),OFFSET($BN$2,0,0,ROW()-1,60),ROW()-1,FALSE))</f>
        <v>284314</v>
      </c>
      <c r="AV17">
        <f ca="1">IF(AND(ISNUMBER($AV$171),$B$156=1),$AV$171,HLOOKUP(INDIRECT(ADDRESS(2,COLUMN())),OFFSET($BN$2,0,0,ROW()-1,60),ROW()-1,FALSE))</f>
        <v>292284</v>
      </c>
      <c r="AW17">
        <f ca="1">IF(AND(ISNUMBER($AW$171),$B$156=1),$AW$171,HLOOKUP(INDIRECT(ADDRESS(2,COLUMN())),OFFSET($BN$2,0,0,ROW()-1,60),ROW()-1,FALSE))</f>
        <v>339643</v>
      </c>
      <c r="AX17">
        <f ca="1">IF(AND(ISNUMBER($AX$171),$B$156=1),$AX$171,HLOOKUP(INDIRECT(ADDRESS(2,COLUMN())),OFFSET($BN$2,0,0,ROW()-1,60),ROW()-1,FALSE))</f>
        <v>322758</v>
      </c>
      <c r="AY17">
        <f ca="1">IF(AND(ISNUMBER($AY$171),$B$156=1),$AY$171,HLOOKUP(INDIRECT(ADDRESS(2,COLUMN())),OFFSET($BN$2,0,0,ROW()-1,60),ROW()-1,FALSE))</f>
        <v>346488</v>
      </c>
      <c r="AZ17">
        <f ca="1">IF(AND(ISNUMBER($AZ$171),$B$156=1),$AZ$171,HLOOKUP(INDIRECT(ADDRESS(2,COLUMN())),OFFSET($BN$2,0,0,ROW()-1,60),ROW()-1,FALSE))</f>
        <v>311981</v>
      </c>
      <c r="BA17">
        <f ca="1">IF(AND(ISNUMBER($BA$171),$B$156=1),$BA$171,HLOOKUP(INDIRECT(ADDRESS(2,COLUMN())),OFFSET($BN$2,0,0,ROW()-1,60),ROW()-1,FALSE))</f>
        <v>329413</v>
      </c>
      <c r="BB17">
        <f ca="1">IF(AND(ISNUMBER($BB$171),$B$156=1),$BB$171,HLOOKUP(INDIRECT(ADDRESS(2,COLUMN())),OFFSET($BN$2,0,0,ROW()-1,60),ROW()-1,FALSE))</f>
        <v>305792</v>
      </c>
      <c r="BC17">
        <f ca="1">IF(AND(ISNUMBER($BC$171),$B$156=1),$BC$171,HLOOKUP(INDIRECT(ADDRESS(2,COLUMN())),OFFSET($BN$2,0,0,ROW()-1,60),ROW()-1,FALSE))</f>
        <v>341599</v>
      </c>
      <c r="BD17">
        <f ca="1">IF(AND(ISNUMBER($BD$171),$B$156=1),$BD$171,HLOOKUP(INDIRECT(ADDRESS(2,COLUMN())),OFFSET($BN$2,0,0,ROW()-1,60),ROW()-1,FALSE))</f>
        <v>294194</v>
      </c>
      <c r="BE17">
        <f ca="1">IF(AND(ISNUMBER($BE$171),$B$156=1),$BE$171,HLOOKUP(INDIRECT(ADDRESS(2,COLUMN())),OFFSET($BN$2,0,0,ROW()-1,60),ROW()-1,FALSE))</f>
        <v>298539</v>
      </c>
      <c r="BF17">
        <f ca="1">IF(AND(ISNUMBER($BF$171),$B$156=1),$BF$171,HLOOKUP(INDIRECT(ADDRESS(2,COLUMN())),OFFSET($BN$2,0,0,ROW()-1,60),ROW()-1,FALSE))</f>
        <v>286046</v>
      </c>
      <c r="BG17">
        <f ca="1">IF(AND(ISNUMBER($BG$171),$B$156=1),$BG$171,HLOOKUP(INDIRECT(ADDRESS(2,COLUMN())),OFFSET($BN$2,0,0,ROW()-1,60),ROW()-1,FALSE))</f>
        <v>351525</v>
      </c>
      <c r="BH17">
        <f ca="1">IF(AND(ISNUMBER($BH$171),$B$156=1),$BH$171,HLOOKUP(INDIRECT(ADDRESS(2,COLUMN())),OFFSET($BN$2,0,0,ROW()-1,60),ROW()-1,FALSE))</f>
        <v>286446</v>
      </c>
      <c r="BI17">
        <f ca="1">IF(AND(ISNUMBER($BI$171),$B$156=1),$BI$171,HLOOKUP(INDIRECT(ADDRESS(2,COLUMN())),OFFSET($BN$2,0,0,ROW()-1,60),ROW()-1,FALSE))</f>
        <v>296504</v>
      </c>
      <c r="BJ17">
        <f ca="1">IF(AND(ISNUMBER($BJ$171),$B$156=1),$BJ$171,HLOOKUP(INDIRECT(ADDRESS(2,COLUMN())),OFFSET($BN$2,0,0,ROW()-1,60),ROW()-1,FALSE))</f>
        <v>254306</v>
      </c>
      <c r="BK17">
        <f ca="1">IF(AND(ISNUMBER($BK$171),$B$156=1),$BK$171,HLOOKUP(INDIRECT(ADDRESS(2,COLUMN())),OFFSET($BN$2,0,0,ROW()-1,60),ROW()-1,FALSE))</f>
        <v>297194</v>
      </c>
      <c r="BL17">
        <f ca="1">IF(AND(ISNUMBER($BL$171),$B$156=1),$BL$171,HLOOKUP(INDIRECT(ADDRESS(2,COLUMN())),OFFSET($BN$2,0,0,ROW()-1,60),ROW()-1,FALSE))</f>
        <v>269026</v>
      </c>
      <c r="BM17">
        <f ca="1">IF(AND(ISNUMBER($BM$171),$B$156=1),$BM$171,HLOOKUP(INDIRECT(ADDRESS(2,COLUMN())),OFFSET($BN$2,0,0,ROW()-1,60),ROW()-1,FALSE))</f>
        <v>294459</v>
      </c>
      <c r="BN17" t="str">
        <f>""</f>
        <v/>
      </c>
      <c r="BO17">
        <f>503572</f>
        <v>503572</v>
      </c>
      <c r="BP17">
        <f>446320</f>
        <v>446320</v>
      </c>
      <c r="BQ17">
        <f>484997</f>
        <v>484997</v>
      </c>
      <c r="BR17">
        <f>441053</f>
        <v>441053</v>
      </c>
      <c r="BS17">
        <f>472701</f>
        <v>472701</v>
      </c>
      <c r="BT17">
        <f>459357</f>
        <v>459357</v>
      </c>
      <c r="BU17">
        <f>490663</f>
        <v>490663</v>
      </c>
      <c r="BV17">
        <f>434719</f>
        <v>434719</v>
      </c>
      <c r="BW17">
        <f>510321</f>
        <v>510321</v>
      </c>
      <c r="BX17">
        <f>406959</f>
        <v>406959</v>
      </c>
      <c r="BY17">
        <f>546039</f>
        <v>546039</v>
      </c>
      <c r="BZ17">
        <f>441213</f>
        <v>441213</v>
      </c>
      <c r="CA17">
        <f>555742</f>
        <v>555742</v>
      </c>
      <c r="CB17">
        <f>472032</f>
        <v>472032</v>
      </c>
      <c r="CC17">
        <f>475426</f>
        <v>475426</v>
      </c>
      <c r="CD17">
        <f>418051</f>
        <v>418051</v>
      </c>
      <c r="CE17">
        <f>485156</f>
        <v>485156</v>
      </c>
      <c r="CF17">
        <f>412887</f>
        <v>412887</v>
      </c>
      <c r="CG17">
        <f>440285</f>
        <v>440285</v>
      </c>
      <c r="CH17">
        <f>391996</f>
        <v>391996</v>
      </c>
      <c r="CI17">
        <f>423424</f>
        <v>423424</v>
      </c>
      <c r="CJ17">
        <f>392068</f>
        <v>392068</v>
      </c>
      <c r="CK17">
        <f>397114</f>
        <v>397114</v>
      </c>
      <c r="CL17">
        <f>361820</f>
        <v>361820</v>
      </c>
      <c r="CM17">
        <f>438829</f>
        <v>438829</v>
      </c>
      <c r="CN17">
        <f>364936</f>
        <v>364936</v>
      </c>
      <c r="CO17">
        <f>398671</f>
        <v>398671</v>
      </c>
      <c r="CP17">
        <f>362828</f>
        <v>362828</v>
      </c>
      <c r="CQ17">
        <f>394949</f>
        <v>394949</v>
      </c>
      <c r="CR17">
        <f>399140</f>
        <v>399140</v>
      </c>
      <c r="CS17">
        <f>401634</f>
        <v>401634</v>
      </c>
      <c r="CT17">
        <f>396132</f>
        <v>396132</v>
      </c>
      <c r="CU17">
        <f>429316</f>
        <v>429316</v>
      </c>
      <c r="CV17">
        <f>380451</f>
        <v>380451</v>
      </c>
      <c r="CW17">
        <f>387721</f>
        <v>387721</v>
      </c>
      <c r="CX17">
        <f>372915</f>
        <v>372915</v>
      </c>
      <c r="CY17">
        <f>447189</f>
        <v>447189</v>
      </c>
      <c r="CZ17">
        <f>363499</f>
        <v>363499</v>
      </c>
      <c r="DA17">
        <f>381591</f>
        <v>381591</v>
      </c>
      <c r="DB17">
        <f>270723</f>
        <v>270723</v>
      </c>
      <c r="DC17">
        <f>284314</f>
        <v>284314</v>
      </c>
      <c r="DD17">
        <f>292284</f>
        <v>292284</v>
      </c>
      <c r="DE17">
        <f>339643</f>
        <v>339643</v>
      </c>
      <c r="DF17">
        <f>322758</f>
        <v>322758</v>
      </c>
      <c r="DG17">
        <f>346488</f>
        <v>346488</v>
      </c>
      <c r="DH17">
        <f>311981</f>
        <v>311981</v>
      </c>
      <c r="DI17">
        <f>329413</f>
        <v>329413</v>
      </c>
      <c r="DJ17">
        <f>305792</f>
        <v>305792</v>
      </c>
      <c r="DK17">
        <f>341599</f>
        <v>341599</v>
      </c>
      <c r="DL17">
        <f>294194</f>
        <v>294194</v>
      </c>
      <c r="DM17">
        <f>298539</f>
        <v>298539</v>
      </c>
      <c r="DN17">
        <f>286046</f>
        <v>286046</v>
      </c>
      <c r="DO17">
        <f>351525</f>
        <v>351525</v>
      </c>
      <c r="DP17">
        <f>286446</f>
        <v>286446</v>
      </c>
      <c r="DQ17">
        <f>296504</f>
        <v>296504</v>
      </c>
      <c r="DR17">
        <f>254306</f>
        <v>254306</v>
      </c>
      <c r="DS17">
        <f>297194</f>
        <v>297194</v>
      </c>
      <c r="DT17">
        <f>269026</f>
        <v>269026</v>
      </c>
      <c r="DU17">
        <f>294459</f>
        <v>294459</v>
      </c>
    </row>
    <row r="18" spans="1:125" x14ac:dyDescent="0.25">
      <c r="A18" t="str">
        <f>"        Singapore"</f>
        <v xml:space="preserve">        Singapore</v>
      </c>
      <c r="B18" t="str">
        <f>"SINVHR Index"</f>
        <v>SINVHR Index</v>
      </c>
      <c r="C18" t="str">
        <f t="shared" si="0"/>
        <v>PX385</v>
      </c>
      <c r="D18" t="str">
        <f t="shared" si="1"/>
        <v>INTERVAL_SUM</v>
      </c>
      <c r="E18" t="str">
        <f t="shared" si="2"/>
        <v>Dynamic</v>
      </c>
      <c r="F18">
        <f ca="1">IF(AND(ISNUMBER($F$172),$B$156=1),$F$172,HLOOKUP(INDIRECT(ADDRESS(2,COLUMN())),OFFSET($BN$2,0,0,ROW()-1,60),ROW()-1,FALSE))</f>
        <v>11782</v>
      </c>
      <c r="G18">
        <f ca="1">IF(AND(ISNUMBER($G$172),$B$156=1),$G$172,HLOOKUP(INDIRECT(ADDRESS(2,COLUMN())),OFFSET($BN$2,0,0,ROW()-1,60),ROW()-1,FALSE))</f>
        <v>29721</v>
      </c>
      <c r="H18">
        <f ca="1">IF(AND(ISNUMBER($H$172),$B$156=1),$H$172,HLOOKUP(INDIRECT(ADDRESS(2,COLUMN())),OFFSET($BN$2,0,0,ROW()-1,60),ROW()-1,FALSE))</f>
        <v>25131</v>
      </c>
      <c r="I18">
        <f ca="1">IF(AND(ISNUMBER($I$172),$B$156=1),$I$172,HLOOKUP(INDIRECT(ADDRESS(2,COLUMN())),OFFSET($BN$2,0,0,ROW()-1,60),ROW()-1,FALSE))</f>
        <v>31073</v>
      </c>
      <c r="J18">
        <f ca="1">IF(AND(ISNUMBER($J$172),$B$156=1),$J$172,HLOOKUP(INDIRECT(ADDRESS(2,COLUMN())),OFFSET($BN$2,0,0,ROW()-1,60),ROW()-1,FALSE))</f>
        <v>21371</v>
      </c>
      <c r="K18">
        <f ca="1">IF(AND(ISNUMBER($K$172),$B$156=1),$K$172,HLOOKUP(INDIRECT(ADDRESS(2,COLUMN())),OFFSET($BN$2,0,0,ROW()-1,60),ROW()-1,FALSE))</f>
        <v>34578</v>
      </c>
      <c r="L18">
        <f ca="1">IF(AND(ISNUMBER($L$172),$B$156=1),$L$172,HLOOKUP(INDIRECT(ADDRESS(2,COLUMN())),OFFSET($BN$2,0,0,ROW()-1,60),ROW()-1,FALSE))</f>
        <v>30971</v>
      </c>
      <c r="M18">
        <f ca="1">IF(AND(ISNUMBER($M$172),$B$156=1),$M$172,HLOOKUP(INDIRECT(ADDRESS(2,COLUMN())),OFFSET($BN$2,0,0,ROW()-1,60),ROW()-1,FALSE))</f>
        <v>31047</v>
      </c>
      <c r="N18">
        <f ca="1">IF(AND(ISNUMBER($N$172),$B$156=1),$N$172,HLOOKUP(INDIRECT(ADDRESS(2,COLUMN())),OFFSET($BN$2,0,0,ROW()-1,60),ROW()-1,FALSE))</f>
        <v>29192</v>
      </c>
      <c r="O18">
        <f ca="1">IF(AND(ISNUMBER($O$172),$B$156=1),$O$172,HLOOKUP(INDIRECT(ADDRESS(2,COLUMN())),OFFSET($BN$2,0,0,ROW()-1,60),ROW()-1,FALSE))</f>
        <v>28706</v>
      </c>
      <c r="P18">
        <f ca="1">IF(AND(ISNUMBER($P$172),$B$156=1),$P$172,HLOOKUP(INDIRECT(ADDRESS(2,COLUMN())),OFFSET($BN$2,0,0,ROW()-1,60),ROW()-1,FALSE))</f>
        <v>30198</v>
      </c>
      <c r="Q18">
        <f ca="1">IF(AND(ISNUMBER($Q$172),$B$156=1),$Q$172,HLOOKUP(INDIRECT(ADDRESS(2,COLUMN())),OFFSET($BN$2,0,0,ROW()-1,60),ROW()-1,FALSE))</f>
        <v>32225</v>
      </c>
      <c r="R18">
        <f ca="1">IF(AND(ISNUMBER($R$172),$B$156=1),$R$172,HLOOKUP(INDIRECT(ADDRESS(2,COLUMN())),OFFSET($BN$2,0,0,ROW()-1,60),ROW()-1,FALSE))</f>
        <v>27662</v>
      </c>
      <c r="S18">
        <f ca="1">IF(AND(ISNUMBER($S$172),$B$156=1),$S$172,HLOOKUP(INDIRECT(ADDRESS(2,COLUMN())),OFFSET($BN$2,0,0,ROW()-1,60),ROW()-1,FALSE))</f>
        <v>27359</v>
      </c>
      <c r="T18">
        <f ca="1">IF(AND(ISNUMBER($T$172),$B$156=1),$T$172,HLOOKUP(INDIRECT(ADDRESS(2,COLUMN())),OFFSET($BN$2,0,0,ROW()-1,60),ROW()-1,FALSE))</f>
        <v>20992</v>
      </c>
      <c r="U18">
        <f ca="1">IF(AND(ISNUMBER($U$172),$B$156=1),$U$172,HLOOKUP(INDIRECT(ADDRESS(2,COLUMN())),OFFSET($BN$2,0,0,ROW()-1,60),ROW()-1,FALSE))</f>
        <v>21676</v>
      </c>
      <c r="V18">
        <f ca="1">IF(AND(ISNUMBER($V$172),$B$156=1),$V$172,HLOOKUP(INDIRECT(ADDRESS(2,COLUMN())),OFFSET($BN$2,0,0,ROW()-1,60),ROW()-1,FALSE))</f>
        <v>16041</v>
      </c>
      <c r="W18">
        <f ca="1">IF(AND(ISNUMBER($W$172),$B$156=1),$W$172,HLOOKUP(INDIRECT(ADDRESS(2,COLUMN())),OFFSET($BN$2,0,0,ROW()-1,60),ROW()-1,FALSE))</f>
        <v>15667</v>
      </c>
      <c r="X18">
        <f ca="1">IF(AND(ISNUMBER($X$172),$B$156=1),$X$172,HLOOKUP(INDIRECT(ADDRESS(2,COLUMN())),OFFSET($BN$2,0,0,ROW()-1,60),ROW()-1,FALSE))</f>
        <v>16001</v>
      </c>
      <c r="Y18">
        <f ca="1">IF(AND(ISNUMBER($Y$172),$B$156=1),$Y$172,HLOOKUP(INDIRECT(ADDRESS(2,COLUMN())),OFFSET($BN$2,0,0,ROW()-1,60),ROW()-1,FALSE))</f>
        <v>12211</v>
      </c>
      <c r="Z18">
        <f ca="1">IF(AND(ISNUMBER($Z$172),$B$156=1),$Z$172,HLOOKUP(INDIRECT(ADDRESS(2,COLUMN())),OFFSET($BN$2,0,0,ROW()-1,60),ROW()-1,FALSE))</f>
        <v>11709</v>
      </c>
      <c r="AA18">
        <f ca="1">IF(AND(ISNUMBER($AA$172),$B$156=1),$AA$172,HLOOKUP(INDIRECT(ADDRESS(2,COLUMN())),OFFSET($BN$2,0,0,ROW()-1,60),ROW()-1,FALSE))</f>
        <v>12084</v>
      </c>
      <c r="AB18">
        <f ca="1">IF(AND(ISNUMBER($AB$172),$B$156=1),$AB$172,HLOOKUP(INDIRECT(ADDRESS(2,COLUMN())),OFFSET($BN$2,0,0,ROW()-1,60),ROW()-1,FALSE))</f>
        <v>11332</v>
      </c>
      <c r="AC18">
        <f ca="1">IF(AND(ISNUMBER($AC$172),$B$156=1),$AC$172,HLOOKUP(INDIRECT(ADDRESS(2,COLUMN())),OFFSET($BN$2,0,0,ROW()-1,60),ROW()-1,FALSE))</f>
        <v>11941</v>
      </c>
      <c r="AD18">
        <f ca="1">IF(AND(ISNUMBER($AD$172),$B$156=1),$AD$172,HLOOKUP(INDIRECT(ADDRESS(2,COLUMN())),OFFSET($BN$2,0,0,ROW()-1,60),ROW()-1,FALSE))</f>
        <v>10404</v>
      </c>
      <c r="AE18">
        <f ca="1">IF(AND(ISNUMBER($AE$172),$B$156=1),$AE$172,HLOOKUP(INDIRECT(ADDRESS(2,COLUMN())),OFFSET($BN$2,0,0,ROW()-1,60),ROW()-1,FALSE))</f>
        <v>11202</v>
      </c>
      <c r="AF18">
        <f ca="1">IF(AND(ISNUMBER($AF$172),$B$156=1),$AF$172,HLOOKUP(INDIRECT(ADDRESS(2,COLUMN())),OFFSET($BN$2,0,0,ROW()-1,60),ROW()-1,FALSE))</f>
        <v>11885</v>
      </c>
      <c r="AG18">
        <f ca="1">IF(AND(ISNUMBER($AG$172),$B$156=1),$AG$172,HLOOKUP(INDIRECT(ADDRESS(2,COLUMN())),OFFSET($BN$2,0,0,ROW()-1,60),ROW()-1,FALSE))</f>
        <v>12273</v>
      </c>
      <c r="AH18">
        <f ca="1">IF(AND(ISNUMBER($AH$172),$B$156=1),$AH$172,HLOOKUP(INDIRECT(ADDRESS(2,COLUMN())),OFFSET($BN$2,0,0,ROW()-1,60),ROW()-1,FALSE))</f>
        <v>12195</v>
      </c>
      <c r="AI18">
        <f ca="1">IF(AND(ISNUMBER($AI$172),$B$156=1),$AI$172,HLOOKUP(INDIRECT(ADDRESS(2,COLUMN())),OFFSET($BN$2,0,0,ROW()-1,60),ROW()-1,FALSE))</f>
        <v>11315</v>
      </c>
      <c r="AJ18">
        <f ca="1">IF(AND(ISNUMBER($AJ$172),$B$156=1),$AJ$172,HLOOKUP(INDIRECT(ADDRESS(2,COLUMN())),OFFSET($BN$2,0,0,ROW()-1,60),ROW()-1,FALSE))</f>
        <v>11586</v>
      </c>
      <c r="AK18">
        <f ca="1">IF(AND(ISNUMBER($AK$172),$B$156=1),$AK$172,HLOOKUP(INDIRECT(ADDRESS(2,COLUMN())),OFFSET($BN$2,0,0,ROW()-1,60),ROW()-1,FALSE))</f>
        <v>13205</v>
      </c>
      <c r="AL18">
        <f ca="1">IF(AND(ISNUMBER($AL$172),$B$156=1),$AL$172,HLOOKUP(INDIRECT(ADDRESS(2,COLUMN())),OFFSET($BN$2,0,0,ROW()-1,60),ROW()-1,FALSE))</f>
        <v>11749</v>
      </c>
      <c r="AM18">
        <f ca="1">IF(AND(ISNUMBER($AM$172),$B$156=1),$AM$172,HLOOKUP(INDIRECT(ADDRESS(2,COLUMN())),OFFSET($BN$2,0,0,ROW()-1,60),ROW()-1,FALSE))</f>
        <v>12966</v>
      </c>
      <c r="AN18">
        <f ca="1">IF(AND(ISNUMBER($AN$172),$B$156=1),$AN$172,HLOOKUP(INDIRECT(ADDRESS(2,COLUMN())),OFFSET($BN$2,0,0,ROW()-1,60),ROW()-1,FALSE))</f>
        <v>13718</v>
      </c>
      <c r="AO18">
        <f ca="1">IF(AND(ISNUMBER($AO$172),$B$156=1),$AO$172,HLOOKUP(INDIRECT(ADDRESS(2,COLUMN())),OFFSET($BN$2,0,0,ROW()-1,60),ROW()-1,FALSE))</f>
        <v>14601</v>
      </c>
      <c r="AP18">
        <f ca="1">IF(AND(ISNUMBER($AP$172),$B$156=1),$AP$172,HLOOKUP(INDIRECT(ADDRESS(2,COLUMN())),OFFSET($BN$2,0,0,ROW()-1,60),ROW()-1,FALSE))</f>
        <v>19733</v>
      </c>
      <c r="AQ18">
        <f ca="1">IF(AND(ISNUMBER($AQ$172),$B$156=1),$AQ$172,HLOOKUP(INDIRECT(ADDRESS(2,COLUMN())),OFFSET($BN$2,0,0,ROW()-1,60),ROW()-1,FALSE))</f>
        <v>19217</v>
      </c>
      <c r="AR18">
        <f ca="1">IF(AND(ISNUMBER($AR$172),$B$156=1),$AR$172,HLOOKUP(INDIRECT(ADDRESS(2,COLUMN())),OFFSET($BN$2,0,0,ROW()-1,60),ROW()-1,FALSE))</f>
        <v>20102</v>
      </c>
      <c r="AS18">
        <f ca="1">IF(AND(ISNUMBER($AS$172),$B$156=1),$AS$172,HLOOKUP(INDIRECT(ADDRESS(2,COLUMN())),OFFSET($BN$2,0,0,ROW()-1,60),ROW()-1,FALSE))</f>
        <v>23255</v>
      </c>
      <c r="AT18">
        <f ca="1">IF(AND(ISNUMBER($AT$172),$B$156=1),$AT$172,HLOOKUP(INDIRECT(ADDRESS(2,COLUMN())),OFFSET($BN$2,0,0,ROW()-1,60),ROW()-1,FALSE))</f>
        <v>26364</v>
      </c>
      <c r="AU18">
        <f ca="1">IF(AND(ISNUMBER($AU$172),$B$156=1),$AU$172,HLOOKUP(INDIRECT(ADDRESS(2,COLUMN())),OFFSET($BN$2,0,0,ROW()-1,60),ROW()-1,FALSE))</f>
        <v>27677</v>
      </c>
      <c r="AV18">
        <f ca="1">IF(AND(ISNUMBER($AV$172),$B$156=1),$AV$172,HLOOKUP(INDIRECT(ADDRESS(2,COLUMN())),OFFSET($BN$2,0,0,ROW()-1,60),ROW()-1,FALSE))</f>
        <v>31019</v>
      </c>
      <c r="AW18">
        <f ca="1">IF(AND(ISNUMBER($AW$172),$B$156=1),$AW$172,HLOOKUP(INDIRECT(ADDRESS(2,COLUMN())),OFFSET($BN$2,0,0,ROW()-1,60),ROW()-1,FALSE))</f>
        <v>32485</v>
      </c>
      <c r="AX18">
        <f ca="1">IF(AND(ISNUMBER($AX$172),$B$156=1),$AX$172,HLOOKUP(INDIRECT(ADDRESS(2,COLUMN())),OFFSET($BN$2,0,0,ROW()-1,60),ROW()-1,FALSE))</f>
        <v>30085</v>
      </c>
      <c r="AY18">
        <f ca="1">IF(AND(ISNUMBER($AY$172),$B$156=1),$AY$172,HLOOKUP(INDIRECT(ADDRESS(2,COLUMN())),OFFSET($BN$2,0,0,ROW()-1,60),ROW()-1,FALSE))</f>
        <v>30896</v>
      </c>
      <c r="AZ18">
        <f ca="1">IF(AND(ISNUMBER($AZ$172),$B$156=1),$AZ$172,HLOOKUP(INDIRECT(ADDRESS(2,COLUMN())),OFFSET($BN$2,0,0,ROW()-1,60),ROW()-1,FALSE))</f>
        <v>31761</v>
      </c>
      <c r="BA18">
        <f ca="1">IF(AND(ISNUMBER($BA$172),$B$156=1),$BA$172,HLOOKUP(INDIRECT(ADDRESS(2,COLUMN())),OFFSET($BN$2,0,0,ROW()-1,60),ROW()-1,FALSE))</f>
        <v>35129</v>
      </c>
      <c r="BB18">
        <f ca="1">IF(AND(ISNUMBER($BB$172),$B$156=1),$BB$172,HLOOKUP(INDIRECT(ADDRESS(2,COLUMN())),OFFSET($BN$2,0,0,ROW()-1,60),ROW()-1,FALSE))</f>
        <v>35745</v>
      </c>
      <c r="BC18">
        <f ca="1">IF(AND(ISNUMBER($BC$172),$B$156=1),$BC$172,HLOOKUP(INDIRECT(ADDRESS(2,COLUMN())),OFFSET($BN$2,0,0,ROW()-1,60),ROW()-1,FALSE))</f>
        <v>33740</v>
      </c>
      <c r="BD18">
        <f ca="1">IF(AND(ISNUMBER($BD$172),$B$156=1),$BD$172,HLOOKUP(INDIRECT(ADDRESS(2,COLUMN())),OFFSET($BN$2,0,0,ROW()-1,60),ROW()-1,FALSE))</f>
        <v>38123</v>
      </c>
      <c r="BE18">
        <f ca="1">IF(AND(ISNUMBER($BE$172),$B$156=1),$BE$172,HLOOKUP(INDIRECT(ADDRESS(2,COLUMN())),OFFSET($BN$2,0,0,ROW()-1,60),ROW()-1,FALSE))</f>
        <v>37518</v>
      </c>
      <c r="BF18">
        <f ca="1">IF(AND(ISNUMBER($BF$172),$B$156=1),$BF$172,HLOOKUP(INDIRECT(ADDRESS(2,COLUMN())),OFFSET($BN$2,0,0,ROW()-1,60),ROW()-1,FALSE))</f>
        <v>39702</v>
      </c>
      <c r="BG18">
        <f ca="1">IF(AND(ISNUMBER($BG$172),$B$156=1),$BG$172,HLOOKUP(INDIRECT(ADDRESS(2,COLUMN())),OFFSET($BN$2,0,0,ROW()-1,60),ROW()-1,FALSE))</f>
        <v>35669</v>
      </c>
      <c r="BH18">
        <f ca="1">IF(AND(ISNUMBER($BH$172),$B$156=1),$BH$172,HLOOKUP(INDIRECT(ADDRESS(2,COLUMN())),OFFSET($BN$2,0,0,ROW()-1,60),ROW()-1,FALSE))</f>
        <v>34667</v>
      </c>
      <c r="BI18">
        <f ca="1">IF(AND(ISNUMBER($BI$172),$B$156=1),$BI$172,HLOOKUP(INDIRECT(ADDRESS(2,COLUMN())),OFFSET($BN$2,0,0,ROW()-1,60),ROW()-1,FALSE))</f>
        <v>36610</v>
      </c>
      <c r="BJ18">
        <f ca="1">IF(AND(ISNUMBER($BJ$172),$B$156=1),$BJ$172,HLOOKUP(INDIRECT(ADDRESS(2,COLUMN())),OFFSET($BN$2,0,0,ROW()-1,60),ROW()-1,FALSE))</f>
        <v>38112</v>
      </c>
      <c r="BK18">
        <f ca="1">IF(AND(ISNUMBER($BK$172),$B$156=1),$BK$172,HLOOKUP(INDIRECT(ADDRESS(2,COLUMN())),OFFSET($BN$2,0,0,ROW()-1,60),ROW()-1,FALSE))</f>
        <v>34384</v>
      </c>
      <c r="BL18">
        <f ca="1">IF(AND(ISNUMBER($BL$172),$B$156=1),$BL$172,HLOOKUP(INDIRECT(ADDRESS(2,COLUMN())),OFFSET($BN$2,0,0,ROW()-1,60),ROW()-1,FALSE))</f>
        <v>32629</v>
      </c>
      <c r="BM18">
        <f ca="1">IF(AND(ISNUMBER($BM$172),$B$156=1),$BM$172,HLOOKUP(INDIRECT(ADDRESS(2,COLUMN())),OFFSET($BN$2,0,0,ROW()-1,60),ROW()-1,FALSE))</f>
        <v>29845</v>
      </c>
      <c r="BN18">
        <f>11782</f>
        <v>11782</v>
      </c>
      <c r="BO18">
        <f>29721</f>
        <v>29721</v>
      </c>
      <c r="BP18">
        <f>25131</f>
        <v>25131</v>
      </c>
      <c r="BQ18">
        <f>31073</f>
        <v>31073</v>
      </c>
      <c r="BR18">
        <f>21371</f>
        <v>21371</v>
      </c>
      <c r="BS18">
        <f>34578</f>
        <v>34578</v>
      </c>
      <c r="BT18">
        <f>30971</f>
        <v>30971</v>
      </c>
      <c r="BU18">
        <f>31047</f>
        <v>31047</v>
      </c>
      <c r="BV18">
        <f>29192</f>
        <v>29192</v>
      </c>
      <c r="BW18">
        <f>28706</f>
        <v>28706</v>
      </c>
      <c r="BX18">
        <f>30198</f>
        <v>30198</v>
      </c>
      <c r="BY18">
        <f>32225</f>
        <v>32225</v>
      </c>
      <c r="BZ18">
        <f>27662</f>
        <v>27662</v>
      </c>
      <c r="CA18">
        <f>27359</f>
        <v>27359</v>
      </c>
      <c r="CB18">
        <f>20992</f>
        <v>20992</v>
      </c>
      <c r="CC18">
        <f>21676</f>
        <v>21676</v>
      </c>
      <c r="CD18">
        <f>16041</f>
        <v>16041</v>
      </c>
      <c r="CE18">
        <f>15667</f>
        <v>15667</v>
      </c>
      <c r="CF18">
        <f>16001</f>
        <v>16001</v>
      </c>
      <c r="CG18">
        <f>12211</f>
        <v>12211</v>
      </c>
      <c r="CH18">
        <f>11709</f>
        <v>11709</v>
      </c>
      <c r="CI18">
        <f>12084</f>
        <v>12084</v>
      </c>
      <c r="CJ18">
        <f>11332</f>
        <v>11332</v>
      </c>
      <c r="CK18">
        <f>11941</f>
        <v>11941</v>
      </c>
      <c r="CL18">
        <f>10404</f>
        <v>10404</v>
      </c>
      <c r="CM18">
        <f>11202</f>
        <v>11202</v>
      </c>
      <c r="CN18">
        <f>11885</f>
        <v>11885</v>
      </c>
      <c r="CO18">
        <f>12273</f>
        <v>12273</v>
      </c>
      <c r="CP18">
        <f>12195</f>
        <v>12195</v>
      </c>
      <c r="CQ18">
        <f>11315</f>
        <v>11315</v>
      </c>
      <c r="CR18">
        <f>11586</f>
        <v>11586</v>
      </c>
      <c r="CS18">
        <f>13205</f>
        <v>13205</v>
      </c>
      <c r="CT18">
        <f>11749</f>
        <v>11749</v>
      </c>
      <c r="CU18">
        <f>12966</f>
        <v>12966</v>
      </c>
      <c r="CV18">
        <f>13718</f>
        <v>13718</v>
      </c>
      <c r="CW18">
        <f>14601</f>
        <v>14601</v>
      </c>
      <c r="CX18">
        <f>19733</f>
        <v>19733</v>
      </c>
      <c r="CY18">
        <f>19217</f>
        <v>19217</v>
      </c>
      <c r="CZ18">
        <f>20102</f>
        <v>20102</v>
      </c>
      <c r="DA18">
        <f>23255</f>
        <v>23255</v>
      </c>
      <c r="DB18">
        <f>26364</f>
        <v>26364</v>
      </c>
      <c r="DC18">
        <f>27677</f>
        <v>27677</v>
      </c>
      <c r="DD18">
        <f>31019</f>
        <v>31019</v>
      </c>
      <c r="DE18">
        <f>32485</f>
        <v>32485</v>
      </c>
      <c r="DF18">
        <f>30085</f>
        <v>30085</v>
      </c>
      <c r="DG18">
        <f>30896</f>
        <v>30896</v>
      </c>
      <c r="DH18">
        <f>31761</f>
        <v>31761</v>
      </c>
      <c r="DI18">
        <f>35129</f>
        <v>35129</v>
      </c>
      <c r="DJ18">
        <f>35745</f>
        <v>35745</v>
      </c>
      <c r="DK18">
        <f>33740</f>
        <v>33740</v>
      </c>
      <c r="DL18">
        <f>38123</f>
        <v>38123</v>
      </c>
      <c r="DM18">
        <f>37518</f>
        <v>37518</v>
      </c>
      <c r="DN18">
        <f>39702</f>
        <v>39702</v>
      </c>
      <c r="DO18">
        <f>35669</f>
        <v>35669</v>
      </c>
      <c r="DP18">
        <f>34667</f>
        <v>34667</v>
      </c>
      <c r="DQ18">
        <f>36610</f>
        <v>36610</v>
      </c>
      <c r="DR18">
        <f>38112</f>
        <v>38112</v>
      </c>
      <c r="DS18">
        <f>34384</f>
        <v>34384</v>
      </c>
      <c r="DT18">
        <f>32629</f>
        <v>32629</v>
      </c>
      <c r="DU18">
        <f>29845</f>
        <v>29845</v>
      </c>
    </row>
    <row r="19" spans="1:125" x14ac:dyDescent="0.25">
      <c r="A19" t="str">
        <f>"        Taiwan"</f>
        <v xml:space="preserve">        Taiwan</v>
      </c>
      <c r="B19" t="str">
        <f>"TWVSDOM Index"</f>
        <v>TWVSDOM Index</v>
      </c>
      <c r="C19" t="str">
        <f t="shared" si="0"/>
        <v>PX385</v>
      </c>
      <c r="D19" t="str">
        <f t="shared" si="1"/>
        <v>INTERVAL_SUM</v>
      </c>
      <c r="E19" t="str">
        <f t="shared" si="2"/>
        <v>Dynamic</v>
      </c>
      <c r="F19">
        <f ca="1">IF(AND(ISNUMBER($F$173),$B$156=1),$F$173,HLOOKUP(INDIRECT(ADDRESS(2,COLUMN())),OFFSET($BN$2,0,0,ROW()-1,60),ROW()-1,FALSE))</f>
        <v>25792</v>
      </c>
      <c r="G19">
        <f ca="1">IF(AND(ISNUMBER($G$173),$B$156=1),$G$173,HLOOKUP(INDIRECT(ADDRESS(2,COLUMN())),OFFSET($BN$2,0,0,ROW()-1,60),ROW()-1,FALSE))</f>
        <v>50555</v>
      </c>
      <c r="H19">
        <f ca="1">IF(AND(ISNUMBER($H$173),$B$156=1),$H$173,HLOOKUP(INDIRECT(ADDRESS(2,COLUMN())),OFFSET($BN$2,0,0,ROW()-1,60),ROW()-1,FALSE))</f>
        <v>50382</v>
      </c>
      <c r="I19">
        <f ca="1">IF(AND(ISNUMBER($I$173),$B$156=1),$I$173,HLOOKUP(INDIRECT(ADDRESS(2,COLUMN())),OFFSET($BN$2,0,0,ROW()-1,60),ROW()-1,FALSE))</f>
        <v>61565</v>
      </c>
      <c r="J19">
        <f ca="1">IF(AND(ISNUMBER($J$173),$B$156=1),$J$173,HLOOKUP(INDIRECT(ADDRESS(2,COLUMN())),OFFSET($BN$2,0,0,ROW()-1,60),ROW()-1,FALSE))</f>
        <v>72087</v>
      </c>
      <c r="K19">
        <f ca="1">IF(AND(ISNUMBER($K$173),$B$156=1),$K$173,HLOOKUP(INDIRECT(ADDRESS(2,COLUMN())),OFFSET($BN$2,0,0,ROW()-1,60),ROW()-1,FALSE))</f>
        <v>58595</v>
      </c>
      <c r="L19">
        <f ca="1">IF(AND(ISNUMBER($L$173),$B$156=1),$L$173,HLOOKUP(INDIRECT(ADDRESS(2,COLUMN())),OFFSET($BN$2,0,0,ROW()-1,60),ROW()-1,FALSE))</f>
        <v>56140</v>
      </c>
      <c r="M19">
        <f ca="1">IF(AND(ISNUMBER($M$173),$B$156=1),$M$173,HLOOKUP(INDIRECT(ADDRESS(2,COLUMN())),OFFSET($BN$2,0,0,ROW()-1,60),ROW()-1,FALSE))</f>
        <v>63297</v>
      </c>
      <c r="N19">
        <f ca="1">IF(AND(ISNUMBER($N$173),$B$156=1),$N$173,HLOOKUP(INDIRECT(ADDRESS(2,COLUMN())),OFFSET($BN$2,0,0,ROW()-1,60),ROW()-1,FALSE))</f>
        <v>77736</v>
      </c>
      <c r="O19">
        <f ca="1">IF(AND(ISNUMBER($O$173),$B$156=1),$O$173,HLOOKUP(INDIRECT(ADDRESS(2,COLUMN())),OFFSET($BN$2,0,0,ROW()-1,60),ROW()-1,FALSE))</f>
        <v>57968</v>
      </c>
      <c r="P19">
        <f ca="1">IF(AND(ISNUMBER($P$173),$B$156=1),$P$173,HLOOKUP(INDIRECT(ADDRESS(2,COLUMN())),OFFSET($BN$2,0,0,ROW()-1,60),ROW()-1,FALSE))</f>
        <v>55281</v>
      </c>
      <c r="Q19">
        <f ca="1">IF(AND(ISNUMBER($Q$173),$B$156=1),$Q$173,HLOOKUP(INDIRECT(ADDRESS(2,COLUMN())),OFFSET($BN$2,0,0,ROW()-1,60),ROW()-1,FALSE))</f>
        <v>77986</v>
      </c>
      <c r="R19">
        <f ca="1">IF(AND(ISNUMBER($R$173),$B$156=1),$R$173,HLOOKUP(INDIRECT(ADDRESS(2,COLUMN())),OFFSET($BN$2,0,0,ROW()-1,60),ROW()-1,FALSE))</f>
        <v>71102</v>
      </c>
      <c r="S19">
        <f ca="1">IF(AND(ISNUMBER($S$173),$B$156=1),$S$173,HLOOKUP(INDIRECT(ADDRESS(2,COLUMN())),OFFSET($BN$2,0,0,ROW()-1,60),ROW()-1,FALSE))</f>
        <v>54955</v>
      </c>
      <c r="T19">
        <f ca="1">IF(AND(ISNUMBER($T$173),$B$156=1),$T$173,HLOOKUP(INDIRECT(ADDRESS(2,COLUMN())),OFFSET($BN$2,0,0,ROW()-1,60),ROW()-1,FALSE))</f>
        <v>56754</v>
      </c>
      <c r="U19">
        <f ca="1">IF(AND(ISNUMBER($U$173),$B$156=1),$U$173,HLOOKUP(INDIRECT(ADDRESS(2,COLUMN())),OFFSET($BN$2,0,0,ROW()-1,60),ROW()-1,FALSE))</f>
        <v>69021</v>
      </c>
      <c r="V19">
        <f ca="1">IF(AND(ISNUMBER($V$173),$B$156=1),$V$173,HLOOKUP(INDIRECT(ADDRESS(2,COLUMN())),OFFSET($BN$2,0,0,ROW()-1,60),ROW()-1,FALSE))</f>
        <v>81863</v>
      </c>
      <c r="W19">
        <f ca="1">IF(AND(ISNUMBER($W$173),$B$156=1),$W$173,HLOOKUP(INDIRECT(ADDRESS(2,COLUMN())),OFFSET($BN$2,0,0,ROW()-1,60),ROW()-1,FALSE))</f>
        <v>65731</v>
      </c>
      <c r="X19">
        <f ca="1">IF(AND(ISNUMBER($X$173),$B$156=1),$X$173,HLOOKUP(INDIRECT(ADDRESS(2,COLUMN())),OFFSET($BN$2,0,0,ROW()-1,60),ROW()-1,FALSE))</f>
        <v>67667</v>
      </c>
      <c r="Y19">
        <f ca="1">IF(AND(ISNUMBER($Y$173),$B$156=1),$Y$173,HLOOKUP(INDIRECT(ADDRESS(2,COLUMN())),OFFSET($BN$2,0,0,ROW()-1,60),ROW()-1,FALSE))</f>
        <v>74918</v>
      </c>
      <c r="Z19">
        <f ca="1">IF(AND(ISNUMBER($Z$173),$B$156=1),$Z$173,HLOOKUP(INDIRECT(ADDRESS(2,COLUMN())),OFFSET($BN$2,0,0,ROW()-1,60),ROW()-1,FALSE))</f>
        <v>73814</v>
      </c>
      <c r="AA19">
        <f ca="1">IF(AND(ISNUMBER($AA$173),$B$156=1),$AA$173,HLOOKUP(INDIRECT(ADDRESS(2,COLUMN())),OFFSET($BN$2,0,0,ROW()-1,60),ROW()-1,FALSE))</f>
        <v>60828</v>
      </c>
      <c r="AB19">
        <f ca="1">IF(AND(ISNUMBER($AB$173),$B$156=1),$AB$173,HLOOKUP(INDIRECT(ADDRESS(2,COLUMN())),OFFSET($BN$2,0,0,ROW()-1,60),ROW()-1,FALSE))</f>
        <v>63278</v>
      </c>
      <c r="AC19">
        <f ca="1">IF(AND(ISNUMBER($AC$173),$B$156=1),$AC$173,HLOOKUP(INDIRECT(ADDRESS(2,COLUMN())),OFFSET($BN$2,0,0,ROW()-1,60),ROW()-1,FALSE))</f>
        <v>62496</v>
      </c>
      <c r="AD19">
        <f ca="1">IF(AND(ISNUMBER($AD$173),$B$156=1),$AD$173,HLOOKUP(INDIRECT(ADDRESS(2,COLUMN())),OFFSET($BN$2,0,0,ROW()-1,60),ROW()-1,FALSE))</f>
        <v>72151</v>
      </c>
      <c r="AE19">
        <f ca="1">IF(AND(ISNUMBER($AE$173),$B$156=1),$AE$173,HLOOKUP(INDIRECT(ADDRESS(2,COLUMN())),OFFSET($BN$2,0,0,ROW()-1,60),ROW()-1,FALSE))</f>
        <v>57821</v>
      </c>
      <c r="AF19">
        <f ca="1">IF(AND(ISNUMBER($AF$173),$B$156=1),$AF$173,HLOOKUP(INDIRECT(ADDRESS(2,COLUMN())),OFFSET($BN$2,0,0,ROW()-1,60),ROW()-1,FALSE))</f>
        <v>63130</v>
      </c>
      <c r="AG19">
        <f ca="1">IF(AND(ISNUMBER($AG$173),$B$156=1),$AG$173,HLOOKUP(INDIRECT(ADDRESS(2,COLUMN())),OFFSET($BN$2,0,0,ROW()-1,60),ROW()-1,FALSE))</f>
        <v>67640</v>
      </c>
      <c r="AH19">
        <f ca="1">IF(AND(ISNUMBER($AH$173),$B$156=1),$AH$173,HLOOKUP(INDIRECT(ADDRESS(2,COLUMN())),OFFSET($BN$2,0,0,ROW()-1,60),ROW()-1,FALSE))</f>
        <v>81487</v>
      </c>
      <c r="AI19">
        <f ca="1">IF(AND(ISNUMBER($AI$173),$B$156=1),$AI$173,HLOOKUP(INDIRECT(ADDRESS(2,COLUMN())),OFFSET($BN$2,0,0,ROW()-1,60),ROW()-1,FALSE))</f>
        <v>66020</v>
      </c>
      <c r="AJ19">
        <f ca="1">IF(AND(ISNUMBER($AJ$173),$B$156=1),$AJ$173,HLOOKUP(INDIRECT(ADDRESS(2,COLUMN())),OFFSET($BN$2,0,0,ROW()-1,60),ROW()-1,FALSE))</f>
        <v>72314</v>
      </c>
      <c r="AK19">
        <f ca="1">IF(AND(ISNUMBER($AK$173),$B$156=1),$AK$173,HLOOKUP(INDIRECT(ADDRESS(2,COLUMN())),OFFSET($BN$2,0,0,ROW()-1,60),ROW()-1,FALSE))</f>
        <v>60436</v>
      </c>
      <c r="AL19">
        <f ca="1">IF(AND(ISNUMBER($AL$173),$B$156=1),$AL$173,HLOOKUP(INDIRECT(ADDRESS(2,COLUMN())),OFFSET($BN$2,0,0,ROW()-1,60),ROW()-1,FALSE))</f>
        <v>87020</v>
      </c>
      <c r="AM19">
        <f ca="1">IF(AND(ISNUMBER($AM$173),$B$156=1),$AM$173,HLOOKUP(INDIRECT(ADDRESS(2,COLUMN())),OFFSET($BN$2,0,0,ROW()-1,60),ROW()-1,FALSE))</f>
        <v>66355</v>
      </c>
      <c r="AN19">
        <f ca="1">IF(AND(ISNUMBER($AN$173),$B$156=1),$AN$173,HLOOKUP(INDIRECT(ADDRESS(2,COLUMN())),OFFSET($BN$2,0,0,ROW()-1,60),ROW()-1,FALSE))</f>
        <v>59190</v>
      </c>
      <c r="AO19">
        <f ca="1">IF(AND(ISNUMBER($AO$173),$B$156=1),$AO$173,HLOOKUP(INDIRECT(ADDRESS(2,COLUMN())),OFFSET($BN$2,0,0,ROW()-1,60),ROW()-1,FALSE))</f>
        <v>63045</v>
      </c>
      <c r="AP19">
        <f ca="1">IF(AND(ISNUMBER($AP$173),$B$156=1),$AP$173,HLOOKUP(INDIRECT(ADDRESS(2,COLUMN())),OFFSET($BN$2,0,0,ROW()-1,60),ROW()-1,FALSE))</f>
        <v>63940</v>
      </c>
      <c r="AQ19">
        <f ca="1">IF(AND(ISNUMBER($AQ$173),$B$156=1),$AQ$173,HLOOKUP(INDIRECT(ADDRESS(2,COLUMN())),OFFSET($BN$2,0,0,ROW()-1,60),ROW()-1,FALSE))</f>
        <v>77633</v>
      </c>
      <c r="AR19">
        <f ca="1">IF(AND(ISNUMBER($AR$173),$B$156=1),$AR$173,HLOOKUP(INDIRECT(ADDRESS(2,COLUMN())),OFFSET($BN$2,0,0,ROW()-1,60),ROW()-1,FALSE))</f>
        <v>54934</v>
      </c>
      <c r="AS19">
        <f ca="1">IF(AND(ISNUMBER($AS$173),$B$156=1),$AS$173,HLOOKUP(INDIRECT(ADDRESS(2,COLUMN())),OFFSET($BN$2,0,0,ROW()-1,60),ROW()-1,FALSE))</f>
        <v>52595</v>
      </c>
      <c r="AT19">
        <f ca="1">IF(AND(ISNUMBER($AT$173),$B$156=1),$AT$173,HLOOKUP(INDIRECT(ADDRESS(2,COLUMN())),OFFSET($BN$2,0,0,ROW()-1,60),ROW()-1,FALSE))</f>
        <v>44288</v>
      </c>
      <c r="AU19">
        <f ca="1">IF(AND(ISNUMBER($AU$173),$B$156=1),$AU$173,HLOOKUP(INDIRECT(ADDRESS(2,COLUMN())),OFFSET($BN$2,0,0,ROW()-1,60),ROW()-1,FALSE))</f>
        <v>30011</v>
      </c>
      <c r="AV19">
        <f ca="1">IF(AND(ISNUMBER($AV$173),$B$156=1),$AV$173,HLOOKUP(INDIRECT(ADDRESS(2,COLUMN())),OFFSET($BN$2,0,0,ROW()-1,60),ROW()-1,FALSE))</f>
        <v>31354</v>
      </c>
      <c r="AW19">
        <f ca="1">IF(AND(ISNUMBER($AW$173),$B$156=1),$AW$173,HLOOKUP(INDIRECT(ADDRESS(2,COLUMN())),OFFSET($BN$2,0,0,ROW()-1,60),ROW()-1,FALSE))</f>
        <v>50272</v>
      </c>
      <c r="AX19">
        <f ca="1">IF(AND(ISNUMBER($AX$173),$B$156=1),$AX$173,HLOOKUP(INDIRECT(ADDRESS(2,COLUMN())),OFFSET($BN$2,0,0,ROW()-1,60),ROW()-1,FALSE))</f>
        <v>67172</v>
      </c>
      <c r="AY19">
        <f ca="1">IF(AND(ISNUMBER($AY$173),$B$156=1),$AY$173,HLOOKUP(INDIRECT(ADDRESS(2,COLUMN())),OFFSET($BN$2,0,0,ROW()-1,60),ROW()-1,FALSE))</f>
        <v>63594</v>
      </c>
      <c r="AZ19">
        <f ca="1">IF(AND(ISNUMBER($AZ$173),$B$156=1),$AZ$173,HLOOKUP(INDIRECT(ADDRESS(2,COLUMN())),OFFSET($BN$2,0,0,ROW()-1,60),ROW()-1,FALSE))</f>
        <v>64679</v>
      </c>
      <c r="BA19">
        <f ca="1">IF(AND(ISNUMBER($BA$173),$B$156=1),$BA$173,HLOOKUP(INDIRECT(ADDRESS(2,COLUMN())),OFFSET($BN$2,0,0,ROW()-1,60),ROW()-1,FALSE))</f>
        <v>70733</v>
      </c>
      <c r="BB19">
        <f ca="1">IF(AND(ISNUMBER($BB$173),$B$156=1),$BB$173,HLOOKUP(INDIRECT(ADDRESS(2,COLUMN())),OFFSET($BN$2,0,0,ROW()-1,60),ROW()-1,FALSE))</f>
        <v>72113</v>
      </c>
      <c r="BC19">
        <f ca="1">IF(AND(ISNUMBER($BC$173),$B$156=1),$BC$173,HLOOKUP(INDIRECT(ADDRESS(2,COLUMN())),OFFSET($BN$2,0,0,ROW()-1,60),ROW()-1,FALSE))</f>
        <v>56326</v>
      </c>
      <c r="BD19">
        <f ca="1">IF(AND(ISNUMBER($BD$173),$B$156=1),$BD$173,HLOOKUP(INDIRECT(ADDRESS(2,COLUMN())),OFFSET($BN$2,0,0,ROW()-1,60),ROW()-1,FALSE))</f>
        <v>54656</v>
      </c>
      <c r="BE19">
        <f ca="1">IF(AND(ISNUMBER($BE$173),$B$156=1),$BE$173,HLOOKUP(INDIRECT(ADDRESS(2,COLUMN())),OFFSET($BN$2,0,0,ROW()-1,60),ROW()-1,FALSE))</f>
        <v>80614</v>
      </c>
      <c r="BF19">
        <f ca="1">IF(AND(ISNUMBER($BF$173),$B$156=1),$BF$173,HLOOKUP(INDIRECT(ADDRESS(2,COLUMN())),OFFSET($BN$2,0,0,ROW()-1,60),ROW()-1,FALSE))</f>
        <v>114862</v>
      </c>
      <c r="BG19">
        <f ca="1">IF(AND(ISNUMBER($BG$173),$B$156=1),$BG$173,HLOOKUP(INDIRECT(ADDRESS(2,COLUMN())),OFFSET($BN$2,0,0,ROW()-1,60),ROW()-1,FALSE))</f>
        <v>85528</v>
      </c>
      <c r="BH19">
        <f ca="1">IF(AND(ISNUMBER($BH$173),$B$156=1),$BH$173,HLOOKUP(INDIRECT(ADDRESS(2,COLUMN())),OFFSET($BN$2,0,0,ROW()-1,60),ROW()-1,FALSE))</f>
        <v>104757</v>
      </c>
      <c r="BI19">
        <f ca="1">IF(AND(ISNUMBER($BI$173),$B$156=1),$BI$173,HLOOKUP(INDIRECT(ADDRESS(2,COLUMN())),OFFSET($BN$2,0,0,ROW()-1,60),ROW()-1,FALSE))</f>
        <v>117173</v>
      </c>
      <c r="BJ19">
        <f ca="1">IF(AND(ISNUMBER($BJ$173),$B$156=1),$BJ$173,HLOOKUP(INDIRECT(ADDRESS(2,COLUMN())),OFFSET($BN$2,0,0,ROW()-1,60),ROW()-1,FALSE))</f>
        <v>139019</v>
      </c>
      <c r="BK19">
        <f ca="1">IF(AND(ISNUMBER($BK$173),$B$156=1),$BK$173,HLOOKUP(INDIRECT(ADDRESS(2,COLUMN())),OFFSET($BN$2,0,0,ROW()-1,60),ROW()-1,FALSE))</f>
        <v>89414</v>
      </c>
      <c r="BL19">
        <f ca="1">IF(AND(ISNUMBER($BL$173),$B$156=1),$BL$173,HLOOKUP(INDIRECT(ADDRESS(2,COLUMN())),OFFSET($BN$2,0,0,ROW()-1,60),ROW()-1,FALSE))</f>
        <v>95969</v>
      </c>
      <c r="BM19">
        <f ca="1">IF(AND(ISNUMBER($BM$173),$B$156=1),$BM$173,HLOOKUP(INDIRECT(ADDRESS(2,COLUMN())),OFFSET($BN$2,0,0,ROW()-1,60),ROW()-1,FALSE))</f>
        <v>115680</v>
      </c>
      <c r="BN19">
        <f>25792</f>
        <v>25792</v>
      </c>
      <c r="BO19">
        <f>50555</f>
        <v>50555</v>
      </c>
      <c r="BP19">
        <f>50382</f>
        <v>50382</v>
      </c>
      <c r="BQ19">
        <f>61565</f>
        <v>61565</v>
      </c>
      <c r="BR19">
        <f>72087</f>
        <v>72087</v>
      </c>
      <c r="BS19">
        <f>58595</f>
        <v>58595</v>
      </c>
      <c r="BT19">
        <f>56140</f>
        <v>56140</v>
      </c>
      <c r="BU19">
        <f>63297</f>
        <v>63297</v>
      </c>
      <c r="BV19">
        <f>77736</f>
        <v>77736</v>
      </c>
      <c r="BW19">
        <f>57968</f>
        <v>57968</v>
      </c>
      <c r="BX19">
        <f>55281</f>
        <v>55281</v>
      </c>
      <c r="BY19">
        <f>77986</f>
        <v>77986</v>
      </c>
      <c r="BZ19">
        <f>71102</f>
        <v>71102</v>
      </c>
      <c r="CA19">
        <f>54955</f>
        <v>54955</v>
      </c>
      <c r="CB19">
        <f>56754</f>
        <v>56754</v>
      </c>
      <c r="CC19">
        <f>69021</f>
        <v>69021</v>
      </c>
      <c r="CD19">
        <f>81863</f>
        <v>81863</v>
      </c>
      <c r="CE19">
        <f>65731</f>
        <v>65731</v>
      </c>
      <c r="CF19">
        <f>67667</f>
        <v>67667</v>
      </c>
      <c r="CG19">
        <f>74918</f>
        <v>74918</v>
      </c>
      <c r="CH19">
        <f>73814</f>
        <v>73814</v>
      </c>
      <c r="CI19">
        <f>60828</f>
        <v>60828</v>
      </c>
      <c r="CJ19">
        <f>63278</f>
        <v>63278</v>
      </c>
      <c r="CK19">
        <f>62496</f>
        <v>62496</v>
      </c>
      <c r="CL19">
        <f>72151</f>
        <v>72151</v>
      </c>
      <c r="CM19">
        <f>57821</f>
        <v>57821</v>
      </c>
      <c r="CN19">
        <f>63130</f>
        <v>63130</v>
      </c>
      <c r="CO19">
        <f>67640</f>
        <v>67640</v>
      </c>
      <c r="CP19">
        <f>81487</f>
        <v>81487</v>
      </c>
      <c r="CQ19">
        <f>66020</f>
        <v>66020</v>
      </c>
      <c r="CR19">
        <f>72314</f>
        <v>72314</v>
      </c>
      <c r="CS19">
        <f>60436</f>
        <v>60436</v>
      </c>
      <c r="CT19">
        <f>87020</f>
        <v>87020</v>
      </c>
      <c r="CU19">
        <f>66355</f>
        <v>66355</v>
      </c>
      <c r="CV19">
        <f>59190</f>
        <v>59190</v>
      </c>
      <c r="CW19">
        <f>63045</f>
        <v>63045</v>
      </c>
      <c r="CX19">
        <f>63940</f>
        <v>63940</v>
      </c>
      <c r="CY19">
        <f>77633</f>
        <v>77633</v>
      </c>
      <c r="CZ19">
        <f>54934</f>
        <v>54934</v>
      </c>
      <c r="DA19">
        <f>52595</f>
        <v>52595</v>
      </c>
      <c r="DB19">
        <f>44288</f>
        <v>44288</v>
      </c>
      <c r="DC19">
        <f>30011</f>
        <v>30011</v>
      </c>
      <c r="DD19">
        <f>31354</f>
        <v>31354</v>
      </c>
      <c r="DE19">
        <f>50272</f>
        <v>50272</v>
      </c>
      <c r="DF19">
        <f>67172</f>
        <v>67172</v>
      </c>
      <c r="DG19">
        <f>63594</f>
        <v>63594</v>
      </c>
      <c r="DH19">
        <f>64679</f>
        <v>64679</v>
      </c>
      <c r="DI19">
        <f>70733</f>
        <v>70733</v>
      </c>
      <c r="DJ19">
        <f>72113</f>
        <v>72113</v>
      </c>
      <c r="DK19">
        <f>56326</f>
        <v>56326</v>
      </c>
      <c r="DL19">
        <f>54656</f>
        <v>54656</v>
      </c>
      <c r="DM19">
        <f>80614</f>
        <v>80614</v>
      </c>
      <c r="DN19">
        <f>114862</f>
        <v>114862</v>
      </c>
      <c r="DO19">
        <f>85528</f>
        <v>85528</v>
      </c>
      <c r="DP19">
        <f>104757</f>
        <v>104757</v>
      </c>
      <c r="DQ19">
        <f>117173</f>
        <v>117173</v>
      </c>
      <c r="DR19">
        <f>139019</f>
        <v>139019</v>
      </c>
      <c r="DS19">
        <f>89414</f>
        <v>89414</v>
      </c>
      <c r="DT19">
        <f>95969</f>
        <v>95969</v>
      </c>
      <c r="DU19">
        <f>115680</f>
        <v>115680</v>
      </c>
    </row>
    <row r="20" spans="1:125" x14ac:dyDescent="0.25">
      <c r="A20" t="str">
        <f>"        Thailand"</f>
        <v xml:space="preserve">        Thailand</v>
      </c>
      <c r="B20" t="str">
        <f>"THVHSCAR Index"</f>
        <v>THVHSCAR Index</v>
      </c>
      <c r="C20" t="str">
        <f t="shared" si="0"/>
        <v>PX385</v>
      </c>
      <c r="D20" t="str">
        <f t="shared" si="1"/>
        <v>INTERVAL_SUM</v>
      </c>
      <c r="E20" t="str">
        <f t="shared" si="2"/>
        <v>Dynamic</v>
      </c>
      <c r="F20">
        <f ca="1">IF(AND(ISNUMBER($F$174),$B$156=1),$F$174,HLOOKUP(INDIRECT(ADDRESS(2,COLUMN())),OFFSET($BN$2,0,0,ROW()-1,60),ROW()-1,FALSE))</f>
        <v>78061</v>
      </c>
      <c r="G20">
        <f ca="1">IF(AND(ISNUMBER($G$174),$B$156=1),$G$174,HLOOKUP(INDIRECT(ADDRESS(2,COLUMN())),OFFSET($BN$2,0,0,ROW()-1,60),ROW()-1,FALSE))</f>
        <v>295155</v>
      </c>
      <c r="H20">
        <f ca="1">IF(AND(ISNUMBER($H$174),$B$156=1),$H$174,HLOOKUP(INDIRECT(ADDRESS(2,COLUMN())),OFFSET($BN$2,0,0,ROW()-1,60),ROW()-1,FALSE))</f>
        <v>257466</v>
      </c>
      <c r="I20">
        <f ca="1">IF(AND(ISNUMBER($I$174),$B$156=1),$I$174,HLOOKUP(INDIRECT(ADDRESS(2,COLUMN())),OFFSET($BN$2,0,0,ROW()-1,60),ROW()-1,FALSE))</f>
        <v>252025</v>
      </c>
      <c r="J20">
        <f ca="1">IF(AND(ISNUMBER($J$174),$B$156=1),$J$174,HLOOKUP(INDIRECT(ADDRESS(2,COLUMN())),OFFSET($BN$2,0,0,ROW()-1,60),ROW()-1,FALSE))</f>
        <v>237093</v>
      </c>
      <c r="K20">
        <f ca="1">IF(AND(ISNUMBER($K$174),$B$156=1),$K$174,HLOOKUP(INDIRECT(ADDRESS(2,COLUMN())),OFFSET($BN$2,0,0,ROW()-1,60),ROW()-1,FALSE))</f>
        <v>250935</v>
      </c>
      <c r="L20">
        <f ca="1">IF(AND(ISNUMBER($L$174),$B$156=1),$L$174,HLOOKUP(INDIRECT(ADDRESS(2,COLUMN())),OFFSET($BN$2,0,0,ROW()-1,60),ROW()-1,FALSE))</f>
        <v>210732</v>
      </c>
      <c r="M20">
        <f ca="1">IF(AND(ISNUMBER($M$174),$B$156=1),$M$174,HLOOKUP(INDIRECT(ADDRESS(2,COLUMN())),OFFSET($BN$2,0,0,ROW()-1,60),ROW()-1,FALSE))</f>
        <v>199487</v>
      </c>
      <c r="N20">
        <f ca="1">IF(AND(ISNUMBER($N$174),$B$156=1),$N$174,HLOOKUP(INDIRECT(ADDRESS(2,COLUMN())),OFFSET($BN$2,0,0,ROW()-1,60),ROW()-1,FALSE))</f>
        <v>210490</v>
      </c>
      <c r="O20">
        <f ca="1">IF(AND(ISNUMBER($O$174),$B$156=1),$O$174,HLOOKUP(INDIRECT(ADDRESS(2,COLUMN())),OFFSET($BN$2,0,0,ROW()-1,60),ROW()-1,FALSE))</f>
        <v>212263</v>
      </c>
      <c r="P20">
        <f ca="1">IF(AND(ISNUMBER($P$174),$B$156=1),$P$174,HLOOKUP(INDIRECT(ADDRESS(2,COLUMN())),OFFSET($BN$2,0,0,ROW()-1,60),ROW()-1,FALSE))</f>
        <v>187895</v>
      </c>
      <c r="Q20">
        <f ca="1">IF(AND(ISNUMBER($Q$174),$B$156=1),$Q$174,HLOOKUP(INDIRECT(ADDRESS(2,COLUMN())),OFFSET($BN$2,0,0,ROW()-1,60),ROW()-1,FALSE))</f>
        <v>187070</v>
      </c>
      <c r="R20">
        <f ca="1">IF(AND(ISNUMBER($R$174),$B$156=1),$R$174,HLOOKUP(INDIRECT(ADDRESS(2,COLUMN())),OFFSET($BN$2,0,0,ROW()-1,60),ROW()-1,FALSE))</f>
        <v>181560</v>
      </c>
      <c r="S20">
        <f ca="1">IF(AND(ISNUMBER($S$174),$B$156=1),$S$174,HLOOKUP(INDIRECT(ADDRESS(2,COLUMN())),OFFSET($BN$2,0,0,ROW()-1,60),ROW()-1,FALSE))</f>
        <v>245762</v>
      </c>
      <c r="T20">
        <f ca="1">IF(AND(ISNUMBER($T$174),$B$156=1),$T$174,HLOOKUP(INDIRECT(ADDRESS(2,COLUMN())),OFFSET($BN$2,0,0,ROW()-1,60),ROW()-1,FALSE))</f>
        <v>184723</v>
      </c>
      <c r="U20">
        <f ca="1">IF(AND(ISNUMBER($U$174),$B$156=1),$U$174,HLOOKUP(INDIRECT(ADDRESS(2,COLUMN())),OFFSET($BN$2,0,0,ROW()-1,60),ROW()-1,FALSE))</f>
        <v>171322</v>
      </c>
      <c r="V20">
        <f ca="1">IF(AND(ISNUMBER($V$174),$B$156=1),$V$174,HLOOKUP(INDIRECT(ADDRESS(2,COLUMN())),OFFSET($BN$2,0,0,ROW()-1,60),ROW()-1,FALSE))</f>
        <v>197787</v>
      </c>
      <c r="W20">
        <f ca="1">IF(AND(ISNUMBER($W$174),$B$156=1),$W$174,HLOOKUP(INDIRECT(ADDRESS(2,COLUMN())),OFFSET($BN$2,0,0,ROW()-1,60),ROW()-1,FALSE))</f>
        <v>233422</v>
      </c>
      <c r="X20">
        <f ca="1">IF(AND(ISNUMBER($X$174),$B$156=1),$X$174,HLOOKUP(INDIRECT(ADDRESS(2,COLUMN())),OFFSET($BN$2,0,0,ROW()-1,60),ROW()-1,FALSE))</f>
        <v>207499</v>
      </c>
      <c r="Y20">
        <f ca="1">IF(AND(ISNUMBER($Y$174),$B$156=1),$Y$174,HLOOKUP(INDIRECT(ADDRESS(2,COLUMN())),OFFSET($BN$2,0,0,ROW()-1,60),ROW()-1,FALSE))</f>
        <v>216740</v>
      </c>
      <c r="Z20">
        <f ca="1">IF(AND(ISNUMBER($Z$174),$B$156=1),$Z$174,HLOOKUP(INDIRECT(ADDRESS(2,COLUMN())),OFFSET($BN$2,0,0,ROW()-1,60),ROW()-1,FALSE))</f>
        <v>224171</v>
      </c>
      <c r="AA20">
        <f ca="1">IF(AND(ISNUMBER($AA$174),$B$156=1),$AA$174,HLOOKUP(INDIRECT(ADDRESS(2,COLUMN())),OFFSET($BN$2,0,0,ROW()-1,60),ROW()-1,FALSE))</f>
        <v>296389</v>
      </c>
      <c r="AB20">
        <f ca="1">IF(AND(ISNUMBER($AB$174),$B$156=1),$AB$174,HLOOKUP(INDIRECT(ADDRESS(2,COLUMN())),OFFSET($BN$2,0,0,ROW()-1,60),ROW()-1,FALSE))</f>
        <v>293485</v>
      </c>
      <c r="AC20">
        <f ca="1">IF(AND(ISNUMBER($AC$174),$B$156=1),$AC$174,HLOOKUP(INDIRECT(ADDRESS(2,COLUMN())),OFFSET($BN$2,0,0,ROW()-1,60),ROW()-1,FALSE))</f>
        <v>327539</v>
      </c>
      <c r="AD20">
        <f ca="1">IF(AND(ISNUMBER($AD$174),$B$156=1),$AD$174,HLOOKUP(INDIRECT(ADDRESS(2,COLUMN())),OFFSET($BN$2,0,0,ROW()-1,60),ROW()-1,FALSE))</f>
        <v>413254</v>
      </c>
      <c r="AE20">
        <f ca="1">IF(AND(ISNUMBER($AE$174),$B$156=1),$AE$174,HLOOKUP(INDIRECT(ADDRESS(2,COLUMN())),OFFSET($BN$2,0,0,ROW()-1,60),ROW()-1,FALSE))</f>
        <v>435758</v>
      </c>
      <c r="AF20">
        <f ca="1">IF(AND(ISNUMBER($AF$174),$B$156=1),$AF$174,HLOOKUP(INDIRECT(ADDRESS(2,COLUMN())),OFFSET($BN$2,0,0,ROW()-1,60),ROW()-1,FALSE))</f>
        <v>394029</v>
      </c>
      <c r="AG20">
        <f ca="1">IF(AND(ISNUMBER($AG$174),$B$156=1),$AG$174,HLOOKUP(INDIRECT(ADDRESS(2,COLUMN())),OFFSET($BN$2,0,0,ROW()-1,60),ROW()-1,FALSE))</f>
        <v>327202</v>
      </c>
      <c r="AH20">
        <f ca="1">IF(AND(ISNUMBER($AH$174),$B$156=1),$AH$174,HLOOKUP(INDIRECT(ADDRESS(2,COLUMN())),OFFSET($BN$2,0,0,ROW()-1,60),ROW()-1,FALSE))</f>
        <v>277635</v>
      </c>
      <c r="AI20">
        <f ca="1">IF(AND(ISNUMBER($AI$174),$B$156=1),$AI$174,HLOOKUP(INDIRECT(ADDRESS(2,COLUMN())),OFFSET($BN$2,0,0,ROW()-1,60),ROW()-1,FALSE))</f>
        <v>123112</v>
      </c>
      <c r="AJ20">
        <f ca="1">IF(AND(ISNUMBER($AJ$174),$B$156=1),$AJ$174,HLOOKUP(INDIRECT(ADDRESS(2,COLUMN())),OFFSET($BN$2,0,0,ROW()-1,60),ROW()-1,FALSE))</f>
        <v>238957</v>
      </c>
      <c r="AK20">
        <f ca="1">IF(AND(ISNUMBER($AK$174),$B$156=1),$AK$174,HLOOKUP(INDIRECT(ADDRESS(2,COLUMN())),OFFSET($BN$2,0,0,ROW()-1,60),ROW()-1,FALSE))</f>
        <v>193393</v>
      </c>
      <c r="AL20">
        <f ca="1">IF(AND(ISNUMBER($AL$174),$B$156=1),$AL$174,HLOOKUP(INDIRECT(ADDRESS(2,COLUMN())),OFFSET($BN$2,0,0,ROW()-1,60),ROW()-1,FALSE))</f>
        <v>238619</v>
      </c>
      <c r="AM20">
        <f ca="1">IF(AND(ISNUMBER($AM$174),$B$156=1),$AM$174,HLOOKUP(INDIRECT(ADDRESS(2,COLUMN())),OFFSET($BN$2,0,0,ROW()-1,60),ROW()-1,FALSE))</f>
        <v>244008</v>
      </c>
      <c r="AN20">
        <f ca="1">IF(AND(ISNUMBER($AN$174),$B$156=1),$AN$174,HLOOKUP(INDIRECT(ADDRESS(2,COLUMN())),OFFSET($BN$2,0,0,ROW()-1,60),ROW()-1,FALSE))</f>
        <v>199657</v>
      </c>
      <c r="AO20">
        <f ca="1">IF(AND(ISNUMBER($AO$174),$B$156=1),$AO$174,HLOOKUP(INDIRECT(ADDRESS(2,COLUMN())),OFFSET($BN$2,0,0,ROW()-1,60),ROW()-1,FALSE))</f>
        <v>189890</v>
      </c>
      <c r="AP20">
        <f ca="1">IF(AND(ISNUMBER($AP$174),$B$156=1),$AP$174,HLOOKUP(INDIRECT(ADDRESS(2,COLUMN())),OFFSET($BN$2,0,0,ROW()-1,60),ROW()-1,FALSE))</f>
        <v>166802</v>
      </c>
      <c r="AQ20">
        <f ca="1">IF(AND(ISNUMBER($AQ$174),$B$156=1),$AQ$174,HLOOKUP(INDIRECT(ADDRESS(2,COLUMN())),OFFSET($BN$2,0,0,ROW()-1,60),ROW()-1,FALSE))</f>
        <v>182387</v>
      </c>
      <c r="AR20">
        <f ca="1">IF(AND(ISNUMBER($AR$174),$B$156=1),$AR$174,HLOOKUP(INDIRECT(ADDRESS(2,COLUMN())),OFFSET($BN$2,0,0,ROW()-1,60),ROW()-1,FALSE))</f>
        <v>135056</v>
      </c>
      <c r="AS20">
        <f ca="1">IF(AND(ISNUMBER($AS$174),$B$156=1),$AS$174,HLOOKUP(INDIRECT(ADDRESS(2,COLUMN())),OFFSET($BN$2,0,0,ROW()-1,60),ROW()-1,FALSE))</f>
        <v>123654</v>
      </c>
      <c r="AT20">
        <f ca="1">IF(AND(ISNUMBER($AT$174),$B$156=1),$AT$174,HLOOKUP(INDIRECT(ADDRESS(2,COLUMN())),OFFSET($BN$2,0,0,ROW()-1,60),ROW()-1,FALSE))</f>
        <v>107774</v>
      </c>
      <c r="AU20">
        <f ca="1">IF(AND(ISNUMBER($AU$174),$B$156=1),$AU$174,HLOOKUP(INDIRECT(ADDRESS(2,COLUMN())),OFFSET($BN$2,0,0,ROW()-1,60),ROW()-1,FALSE))</f>
        <v>154012</v>
      </c>
      <c r="AV20">
        <f ca="1">IF(AND(ISNUMBER($AV$174),$B$156=1),$AV$174,HLOOKUP(INDIRECT(ADDRESS(2,COLUMN())),OFFSET($BN$2,0,0,ROW()-1,60),ROW()-1,FALSE))</f>
        <v>139783</v>
      </c>
      <c r="AW20">
        <f ca="1">IF(AND(ISNUMBER($AW$174),$B$156=1),$AW$174,HLOOKUP(INDIRECT(ADDRESS(2,COLUMN())),OFFSET($BN$2,0,0,ROW()-1,60),ROW()-1,FALSE))</f>
        <v>159497</v>
      </c>
      <c r="AX20">
        <f ca="1">IF(AND(ISNUMBER($AX$174),$B$156=1),$AX$174,HLOOKUP(INDIRECT(ADDRESS(2,COLUMN())),OFFSET($BN$2,0,0,ROW()-1,60),ROW()-1,FALSE))</f>
        <v>160794</v>
      </c>
      <c r="AY20">
        <f ca="1">IF(AND(ISNUMBER($AY$174),$B$156=1),$AY$174,HLOOKUP(INDIRECT(ADDRESS(2,COLUMN())),OFFSET($BN$2,0,0,ROW()-1,60),ROW()-1,FALSE))</f>
        <v>179925</v>
      </c>
      <c r="AZ20">
        <f ca="1">IF(AND(ISNUMBER($AZ$174),$B$156=1),$AZ$174,HLOOKUP(INDIRECT(ADDRESS(2,COLUMN())),OFFSET($BN$2,0,0,ROW()-1,60),ROW()-1,FALSE))</f>
        <v>158812</v>
      </c>
      <c r="BA20">
        <f ca="1">IF(AND(ISNUMBER($BA$174),$B$156=1),$BA$174,HLOOKUP(INDIRECT(ADDRESS(2,COLUMN())),OFFSET($BN$2,0,0,ROW()-1,60),ROW()-1,FALSE))</f>
        <v>154244</v>
      </c>
      <c r="BB20">
        <f ca="1">IF(AND(ISNUMBER($BB$174),$B$156=1),$BB$174,HLOOKUP(INDIRECT(ADDRESS(2,COLUMN())),OFFSET($BN$2,0,0,ROW()-1,60),ROW()-1,FALSE))</f>
        <v>138270</v>
      </c>
      <c r="BC20">
        <f ca="1">IF(AND(ISNUMBER($BC$174),$B$156=1),$BC$174,HLOOKUP(INDIRECT(ADDRESS(2,COLUMN())),OFFSET($BN$2,0,0,ROW()-1,60),ROW()-1,FALSE))</f>
        <v>193711</v>
      </c>
      <c r="BD20">
        <f ca="1">IF(AND(ISNUMBER($BD$174),$B$156=1),$BD$174,HLOOKUP(INDIRECT(ADDRESS(2,COLUMN())),OFFSET($BN$2,0,0,ROW()-1,60),ROW()-1,FALSE))</f>
        <v>153674</v>
      </c>
      <c r="BE20">
        <f ca="1">IF(AND(ISNUMBER($BE$174),$B$156=1),$BE$174,HLOOKUP(INDIRECT(ADDRESS(2,COLUMN())),OFFSET($BN$2,0,0,ROW()-1,60),ROW()-1,FALSE))</f>
        <v>164792</v>
      </c>
      <c r="BF20">
        <f ca="1">IF(AND(ISNUMBER($BF$174),$B$156=1),$BF$174,HLOOKUP(INDIRECT(ADDRESS(2,COLUMN())),OFFSET($BN$2,0,0,ROW()-1,60),ROW()-1,FALSE))</f>
        <v>169984</v>
      </c>
      <c r="BG20">
        <f ca="1">IF(AND(ISNUMBER($BG$174),$B$156=1),$BG$174,HLOOKUP(INDIRECT(ADDRESS(2,COLUMN())),OFFSET($BN$2,0,0,ROW()-1,60),ROW()-1,FALSE))</f>
        <v>198697</v>
      </c>
      <c r="BH20">
        <f ca="1">IF(AND(ISNUMBER($BH$174),$B$156=1),$BH$174,HLOOKUP(INDIRECT(ADDRESS(2,COLUMN())),OFFSET($BN$2,0,0,ROW()-1,60),ROW()-1,FALSE))</f>
        <v>158838</v>
      </c>
      <c r="BI20">
        <f ca="1">IF(AND(ISNUMBER($BI$174),$B$156=1),$BI$174,HLOOKUP(INDIRECT(ADDRESS(2,COLUMN())),OFFSET($BN$2,0,0,ROW()-1,60),ROW()-1,FALSE))</f>
        <v>196742</v>
      </c>
      <c r="BJ20">
        <f ca="1">IF(AND(ISNUMBER($BJ$174),$B$156=1),$BJ$174,HLOOKUP(INDIRECT(ADDRESS(2,COLUMN())),OFFSET($BN$2,0,0,ROW()-1,60),ROW()-1,FALSE))</f>
        <v>166486</v>
      </c>
      <c r="BK20">
        <f ca="1">IF(AND(ISNUMBER($BK$174),$B$156=1),$BK$174,HLOOKUP(INDIRECT(ADDRESS(2,COLUMN())),OFFSET($BN$2,0,0,ROW()-1,60),ROW()-1,FALSE))</f>
        <v>187170</v>
      </c>
      <c r="BL20">
        <f ca="1">IF(AND(ISNUMBER($BL$174),$B$156=1),$BL$174,HLOOKUP(INDIRECT(ADDRESS(2,COLUMN())),OFFSET($BN$2,0,0,ROW()-1,60),ROW()-1,FALSE))</f>
        <v>140152</v>
      </c>
      <c r="BM20">
        <f ca="1">IF(AND(ISNUMBER($BM$174),$B$156=1),$BM$174,HLOOKUP(INDIRECT(ADDRESS(2,COLUMN())),OFFSET($BN$2,0,0,ROW()-1,60),ROW()-1,FALSE))</f>
        <v>151081</v>
      </c>
      <c r="BN20">
        <f>78061</f>
        <v>78061</v>
      </c>
      <c r="BO20">
        <f>295155</f>
        <v>295155</v>
      </c>
      <c r="BP20">
        <f>257466</f>
        <v>257466</v>
      </c>
      <c r="BQ20">
        <f>252025</f>
        <v>252025</v>
      </c>
      <c r="BR20">
        <f>237093</f>
        <v>237093</v>
      </c>
      <c r="BS20">
        <f>250935</f>
        <v>250935</v>
      </c>
      <c r="BT20">
        <f>210732</f>
        <v>210732</v>
      </c>
      <c r="BU20">
        <f>199487</f>
        <v>199487</v>
      </c>
      <c r="BV20">
        <f>210490</f>
        <v>210490</v>
      </c>
      <c r="BW20">
        <f>212263</f>
        <v>212263</v>
      </c>
      <c r="BX20">
        <f>187895</f>
        <v>187895</v>
      </c>
      <c r="BY20">
        <f>187070</f>
        <v>187070</v>
      </c>
      <c r="BZ20">
        <f>181560</f>
        <v>181560</v>
      </c>
      <c r="CA20">
        <f>245762</f>
        <v>245762</v>
      </c>
      <c r="CB20">
        <f>184723</f>
        <v>184723</v>
      </c>
      <c r="CC20">
        <f>171322</f>
        <v>171322</v>
      </c>
      <c r="CD20">
        <f>197787</f>
        <v>197787</v>
      </c>
      <c r="CE20">
        <f>233422</f>
        <v>233422</v>
      </c>
      <c r="CF20">
        <f>207499</f>
        <v>207499</v>
      </c>
      <c r="CG20">
        <f>216740</f>
        <v>216740</v>
      </c>
      <c r="CH20">
        <f>224171</f>
        <v>224171</v>
      </c>
      <c r="CI20">
        <f>296389</f>
        <v>296389</v>
      </c>
      <c r="CJ20">
        <f>293485</f>
        <v>293485</v>
      </c>
      <c r="CK20">
        <f>327539</f>
        <v>327539</v>
      </c>
      <c r="CL20">
        <f>413254</f>
        <v>413254</v>
      </c>
      <c r="CM20">
        <f>435758</f>
        <v>435758</v>
      </c>
      <c r="CN20">
        <f>394029</f>
        <v>394029</v>
      </c>
      <c r="CO20">
        <f>327202</f>
        <v>327202</v>
      </c>
      <c r="CP20">
        <f>277635</f>
        <v>277635</v>
      </c>
      <c r="CQ20">
        <f>123112</f>
        <v>123112</v>
      </c>
      <c r="CR20">
        <f>238957</f>
        <v>238957</v>
      </c>
      <c r="CS20">
        <f>193393</f>
        <v>193393</v>
      </c>
      <c r="CT20">
        <f>238619</f>
        <v>238619</v>
      </c>
      <c r="CU20">
        <f>244008</f>
        <v>244008</v>
      </c>
      <c r="CV20">
        <f>199657</f>
        <v>199657</v>
      </c>
      <c r="CW20">
        <f>189890</f>
        <v>189890</v>
      </c>
      <c r="CX20">
        <f>166802</f>
        <v>166802</v>
      </c>
      <c r="CY20">
        <f>182387</f>
        <v>182387</v>
      </c>
      <c r="CZ20">
        <f>135056</f>
        <v>135056</v>
      </c>
      <c r="DA20">
        <f>123654</f>
        <v>123654</v>
      </c>
      <c r="DB20">
        <f>107774</f>
        <v>107774</v>
      </c>
      <c r="DC20">
        <f>154012</f>
        <v>154012</v>
      </c>
      <c r="DD20">
        <f>139783</f>
        <v>139783</v>
      </c>
      <c r="DE20">
        <f>159497</f>
        <v>159497</v>
      </c>
      <c r="DF20">
        <f>160794</f>
        <v>160794</v>
      </c>
      <c r="DG20">
        <f>179925</f>
        <v>179925</v>
      </c>
      <c r="DH20">
        <f>158812</f>
        <v>158812</v>
      </c>
      <c r="DI20">
        <f>154244</f>
        <v>154244</v>
      </c>
      <c r="DJ20">
        <f>138270</f>
        <v>138270</v>
      </c>
      <c r="DK20">
        <f>193711</f>
        <v>193711</v>
      </c>
      <c r="DL20">
        <f>153674</f>
        <v>153674</v>
      </c>
      <c r="DM20">
        <f>164792</f>
        <v>164792</v>
      </c>
      <c r="DN20">
        <f>169984</f>
        <v>169984</v>
      </c>
      <c r="DO20">
        <f>198697</f>
        <v>198697</v>
      </c>
      <c r="DP20">
        <f>158838</f>
        <v>158838</v>
      </c>
      <c r="DQ20">
        <f>196742</f>
        <v>196742</v>
      </c>
      <c r="DR20">
        <f>166486</f>
        <v>166486</v>
      </c>
      <c r="DS20">
        <f>187170</f>
        <v>187170</v>
      </c>
      <c r="DT20">
        <f>140152</f>
        <v>140152</v>
      </c>
      <c r="DU20">
        <f>151081</f>
        <v>151081</v>
      </c>
    </row>
    <row r="21" spans="1:125" x14ac:dyDescent="0.25">
      <c r="A21" t="str">
        <f>"        Vietnam"</f>
        <v xml:space="preserve">        Vietnam</v>
      </c>
      <c r="B21" t="str">
        <f>"AUTMVTVS Index"</f>
        <v>AUTMVTVS Index</v>
      </c>
      <c r="C21" t="str">
        <f t="shared" si="0"/>
        <v>PX385</v>
      </c>
      <c r="D21" t="str">
        <f t="shared" si="1"/>
        <v>INTERVAL_SUM</v>
      </c>
      <c r="E21" t="str">
        <f t="shared" si="2"/>
        <v>Dynamic</v>
      </c>
      <c r="F21" t="str">
        <f ca="1">IF(AND(ISNUMBER($F$175),$B$156=1),$F$175,HLOOKUP(INDIRECT(ADDRESS(2,COLUMN())),OFFSET($BN$2,0,0,ROW()-1,60),ROW()-1,FALSE))</f>
        <v/>
      </c>
      <c r="G21" t="str">
        <f ca="1">IF(AND(ISNUMBER($G$175),$B$156=1),$G$175,HLOOKUP(INDIRECT(ADDRESS(2,COLUMN())),OFFSET($BN$2,0,0,ROW()-1,60),ROW()-1,FALSE))</f>
        <v/>
      </c>
      <c r="H21" t="str">
        <f ca="1">IF(AND(ISNUMBER($H$175),$B$156=1),$H$175,HLOOKUP(INDIRECT(ADDRESS(2,COLUMN())),OFFSET($BN$2,0,0,ROW()-1,60),ROW()-1,FALSE))</f>
        <v/>
      </c>
      <c r="I21" t="str">
        <f ca="1">IF(AND(ISNUMBER($I$175),$B$156=1),$I$175,HLOOKUP(INDIRECT(ADDRESS(2,COLUMN())),OFFSET($BN$2,0,0,ROW()-1,60),ROW()-1,FALSE))</f>
        <v/>
      </c>
      <c r="J21" t="str">
        <f ca="1">IF(AND(ISNUMBER($J$175),$B$156=1),$J$175,HLOOKUP(INDIRECT(ADDRESS(2,COLUMN())),OFFSET($BN$2,0,0,ROW()-1,60),ROW()-1,FALSE))</f>
        <v/>
      </c>
      <c r="K21" t="str">
        <f ca="1">IF(AND(ISNUMBER($K$175),$B$156=1),$K$175,HLOOKUP(INDIRECT(ADDRESS(2,COLUMN())),OFFSET($BN$2,0,0,ROW()-1,60),ROW()-1,FALSE))</f>
        <v/>
      </c>
      <c r="L21" t="str">
        <f ca="1">IF(AND(ISNUMBER($L$175),$B$156=1),$L$175,HLOOKUP(INDIRECT(ADDRESS(2,COLUMN())),OFFSET($BN$2,0,0,ROW()-1,60),ROW()-1,FALSE))</f>
        <v/>
      </c>
      <c r="M21" t="str">
        <f ca="1">IF(AND(ISNUMBER($M$175),$B$156=1),$M$175,HLOOKUP(INDIRECT(ADDRESS(2,COLUMN())),OFFSET($BN$2,0,0,ROW()-1,60),ROW()-1,FALSE))</f>
        <v/>
      </c>
      <c r="N21" t="str">
        <f ca="1">IF(AND(ISNUMBER($N$175),$B$156=1),$N$175,HLOOKUP(INDIRECT(ADDRESS(2,COLUMN())),OFFSET($BN$2,0,0,ROW()-1,60),ROW()-1,FALSE))</f>
        <v/>
      </c>
      <c r="O21" t="str">
        <f ca="1">IF(AND(ISNUMBER($O$175),$B$156=1),$O$175,HLOOKUP(INDIRECT(ADDRESS(2,COLUMN())),OFFSET($BN$2,0,0,ROW()-1,60),ROW()-1,FALSE))</f>
        <v/>
      </c>
      <c r="P21" t="str">
        <f ca="1">IF(AND(ISNUMBER($P$175),$B$156=1),$P$175,HLOOKUP(INDIRECT(ADDRESS(2,COLUMN())),OFFSET($BN$2,0,0,ROW()-1,60),ROW()-1,FALSE))</f>
        <v/>
      </c>
      <c r="Q21" t="str">
        <f ca="1">IF(AND(ISNUMBER($Q$175),$B$156=1),$Q$175,HLOOKUP(INDIRECT(ADDRESS(2,COLUMN())),OFFSET($BN$2,0,0,ROW()-1,60),ROW()-1,FALSE))</f>
        <v/>
      </c>
      <c r="R21" t="str">
        <f ca="1">IF(AND(ISNUMBER($R$175),$B$156=1),$R$175,HLOOKUP(INDIRECT(ADDRESS(2,COLUMN())),OFFSET($BN$2,0,0,ROW()-1,60),ROW()-1,FALSE))</f>
        <v/>
      </c>
      <c r="S21">
        <f ca="1">IF(AND(ISNUMBER($S$175),$B$156=1),$S$175,HLOOKUP(INDIRECT(ADDRESS(2,COLUMN())),OFFSET($BN$2,0,0,ROW()-1,60),ROW()-1,FALSE))</f>
        <v>38658</v>
      </c>
      <c r="T21">
        <f ca="1">IF(AND(ISNUMBER($T$175),$B$156=1),$T$175,HLOOKUP(INDIRECT(ADDRESS(2,COLUMN())),OFFSET($BN$2,0,0,ROW()-1,60),ROW()-1,FALSE))</f>
        <v>31881</v>
      </c>
      <c r="U21">
        <f ca="1">IF(AND(ISNUMBER($U$175),$B$156=1),$U$175,HLOOKUP(INDIRECT(ADDRESS(2,COLUMN())),OFFSET($BN$2,0,0,ROW()-1,60),ROW()-1,FALSE))</f>
        <v>31445</v>
      </c>
      <c r="V21">
        <f ca="1">IF(AND(ISNUMBER($V$175),$B$156=1),$V$175,HLOOKUP(INDIRECT(ADDRESS(2,COLUMN())),OFFSET($BN$2,0,0,ROW()-1,60),ROW()-1,FALSE))</f>
        <v>24164</v>
      </c>
      <c r="W21">
        <f ca="1">IF(AND(ISNUMBER($W$175),$B$156=1),$W$175,HLOOKUP(INDIRECT(ADDRESS(2,COLUMN())),OFFSET($BN$2,0,0,ROW()-1,60),ROW()-1,FALSE))</f>
        <v>24605</v>
      </c>
      <c r="X21">
        <f ca="1">IF(AND(ISNUMBER($X$175),$B$156=1),$X$175,HLOOKUP(INDIRECT(ADDRESS(2,COLUMN())),OFFSET($BN$2,0,0,ROW()-1,60),ROW()-1,FALSE))</f>
        <v>20375</v>
      </c>
      <c r="Y21">
        <f ca="1">IF(AND(ISNUMBER($Y$175),$B$156=1),$Y$175,HLOOKUP(INDIRECT(ADDRESS(2,COLUMN())),OFFSET($BN$2,0,0,ROW()-1,60),ROW()-1,FALSE))</f>
        <v>17252</v>
      </c>
      <c r="Z21">
        <f ca="1">IF(AND(ISNUMBER($Z$175),$B$156=1),$Z$175,HLOOKUP(INDIRECT(ADDRESS(2,COLUMN())),OFFSET($BN$2,0,0,ROW()-1,60),ROW()-1,FALSE))</f>
        <v>14757</v>
      </c>
      <c r="AA21">
        <f ca="1">IF(AND(ISNUMBER($AA$175),$B$156=1),$AA$175,HLOOKUP(INDIRECT(ADDRESS(2,COLUMN())),OFFSET($BN$2,0,0,ROW()-1,60),ROW()-1,FALSE))</f>
        <v>18379</v>
      </c>
      <c r="AB21">
        <f ca="1">IF(AND(ISNUMBER($AB$175),$B$156=1),$AB$175,HLOOKUP(INDIRECT(ADDRESS(2,COLUMN())),OFFSET($BN$2,0,0,ROW()-1,60),ROW()-1,FALSE))</f>
        <v>15245</v>
      </c>
      <c r="AC21">
        <f ca="1">IF(AND(ISNUMBER($AC$175),$B$156=1),$AC$175,HLOOKUP(INDIRECT(ADDRESS(2,COLUMN())),OFFSET($BN$2,0,0,ROW()-1,60),ROW()-1,FALSE))</f>
        <v>13699</v>
      </c>
      <c r="AD21">
        <f ca="1">IF(AND(ISNUMBER($AD$175),$B$156=1),$AD$175,HLOOKUP(INDIRECT(ADDRESS(2,COLUMN())),OFFSET($BN$2,0,0,ROW()-1,60),ROW()-1,FALSE))</f>
        <v>10817</v>
      </c>
      <c r="AE21">
        <f ca="1">IF(AND(ISNUMBER($AE$175),$B$156=1),$AE$175,HLOOKUP(INDIRECT(ADDRESS(2,COLUMN())),OFFSET($BN$2,0,0,ROW()-1,60),ROW()-1,FALSE))</f>
        <v>15122</v>
      </c>
      <c r="AF21">
        <f ca="1">IF(AND(ISNUMBER($AF$175),$B$156=1),$AF$175,HLOOKUP(INDIRECT(ADDRESS(2,COLUMN())),OFFSET($BN$2,0,0,ROW()-1,60),ROW()-1,FALSE))</f>
        <v>10902</v>
      </c>
      <c r="AG21">
        <f ca="1">IF(AND(ISNUMBER($AG$175),$B$156=1),$AG$175,HLOOKUP(INDIRECT(ADDRESS(2,COLUMN())),OFFSET($BN$2,0,0,ROW()-1,60),ROW()-1,FALSE))</f>
        <v>8427</v>
      </c>
      <c r="AH21">
        <f ca="1">IF(AND(ISNUMBER($AH$175),$B$156=1),$AH$175,HLOOKUP(INDIRECT(ADDRESS(2,COLUMN())),OFFSET($BN$2,0,0,ROW()-1,60),ROW()-1,FALSE))</f>
        <v>9085</v>
      </c>
      <c r="AI21">
        <f ca="1">IF(AND(ISNUMBER($AI$175),$B$156=1),$AI$175,HLOOKUP(INDIRECT(ADDRESS(2,COLUMN())),OFFSET($BN$2,0,0,ROW()-1,60),ROW()-1,FALSE))</f>
        <v>17443</v>
      </c>
      <c r="AJ21">
        <f ca="1">IF(AND(ISNUMBER($AJ$175),$B$156=1),$AJ$175,HLOOKUP(INDIRECT(ADDRESS(2,COLUMN())),OFFSET($BN$2,0,0,ROW()-1,60),ROW()-1,FALSE))</f>
        <v>17433</v>
      </c>
      <c r="AK21">
        <f ca="1">IF(AND(ISNUMBER($AK$175),$B$156=1),$AK$175,HLOOKUP(INDIRECT(ADDRESS(2,COLUMN())),OFFSET($BN$2,0,0,ROW()-1,60),ROW()-1,FALSE))</f>
        <v>12805</v>
      </c>
      <c r="AL21">
        <f ca="1">IF(AND(ISNUMBER($AL$175),$B$156=1),$AL$175,HLOOKUP(INDIRECT(ADDRESS(2,COLUMN())),OFFSET($BN$2,0,0,ROW()-1,60),ROW()-1,FALSE))</f>
        <v>16074</v>
      </c>
      <c r="AM21">
        <f ca="1">IF(AND(ISNUMBER($AM$175),$B$156=1),$AM$175,HLOOKUP(INDIRECT(ADDRESS(2,COLUMN())),OFFSET($BN$2,0,0,ROW()-1,60),ROW()-1,FALSE))</f>
        <v>19099</v>
      </c>
      <c r="AN21">
        <f ca="1">IF(AND(ISNUMBER($AN$175),$B$156=1),$AN$175,HLOOKUP(INDIRECT(ADDRESS(2,COLUMN())),OFFSET($BN$2,0,0,ROW()-1,60),ROW()-1,FALSE))</f>
        <v>13867</v>
      </c>
      <c r="AO21">
        <f ca="1">IF(AND(ISNUMBER($AO$175),$B$156=1),$AO$175,HLOOKUP(INDIRECT(ADDRESS(2,COLUMN())),OFFSET($BN$2,0,0,ROW()-1,60),ROW()-1,FALSE))</f>
        <v>13422</v>
      </c>
      <c r="AP21">
        <f ca="1">IF(AND(ISNUMBER($AP$175),$B$156=1),$AP$175,HLOOKUP(INDIRECT(ADDRESS(2,COLUMN())),OFFSET($BN$2,0,0,ROW()-1,60),ROW()-1,FALSE))</f>
        <v>11389</v>
      </c>
      <c r="AQ21">
        <f ca="1">IF(AND(ISNUMBER($AQ$175),$B$156=1),$AQ$175,HLOOKUP(INDIRECT(ADDRESS(2,COLUMN())),OFFSET($BN$2,0,0,ROW()-1,60),ROW()-1,FALSE))</f>
        <v>22615</v>
      </c>
      <c r="AR21">
        <f ca="1">IF(AND(ISNUMBER($AR$175),$B$156=1),$AR$175,HLOOKUP(INDIRECT(ADDRESS(2,COLUMN())),OFFSET($BN$2,0,0,ROW()-1,60),ROW()-1,FALSE))</f>
        <v>17257</v>
      </c>
      <c r="AS21">
        <f ca="1">IF(AND(ISNUMBER($AS$175),$B$156=1),$AS$175,HLOOKUP(INDIRECT(ADDRESS(2,COLUMN())),OFFSET($BN$2,0,0,ROW()-1,60),ROW()-1,FALSE))</f>
        <v>11354</v>
      </c>
      <c r="AT21">
        <f ca="1">IF(AND(ISNUMBER($AT$175),$B$156=1),$AT$175,HLOOKUP(INDIRECT(ADDRESS(2,COLUMN())),OFFSET($BN$2,0,0,ROW()-1,60),ROW()-1,FALSE))</f>
        <v>11873</v>
      </c>
      <c r="AU21">
        <f ca="1">IF(AND(ISNUMBER($AU$175),$B$156=1),$AU$175,HLOOKUP(INDIRECT(ADDRESS(2,COLUMN())),OFFSET($BN$2,0,0,ROW()-1,60),ROW()-1,FALSE))</f>
        <v>10752</v>
      </c>
      <c r="AV21">
        <f ca="1">IF(AND(ISNUMBER($AV$175),$B$156=1),$AV$175,HLOOKUP(INDIRECT(ADDRESS(2,COLUMN())),OFFSET($BN$2,0,0,ROW()-1,60),ROW()-1,FALSE))</f>
        <v>11329</v>
      </c>
      <c r="AW21">
        <f ca="1">IF(AND(ISNUMBER($AW$175),$B$156=1),$AW$175,HLOOKUP(INDIRECT(ADDRESS(2,COLUMN())),OFFSET($BN$2,0,0,ROW()-1,60),ROW()-1,FALSE))</f>
        <v>14756</v>
      </c>
      <c r="AX21">
        <f ca="1">IF(AND(ISNUMBER($AX$175),$B$156=1),$AX$175,HLOOKUP(INDIRECT(ADDRESS(2,COLUMN())),OFFSET($BN$2,0,0,ROW()-1,60),ROW()-1,FALSE))</f>
        <v>12535</v>
      </c>
      <c r="AY21">
        <f ca="1">IF(AND(ISNUMBER($AY$175),$B$156=1),$AY$175,HLOOKUP(INDIRECT(ADDRESS(2,COLUMN())),OFFSET($BN$2,0,0,ROW()-1,60),ROW()-1,FALSE))</f>
        <v>13872</v>
      </c>
      <c r="AZ21">
        <f ca="1">IF(AND(ISNUMBER($AZ$175),$B$156=1),$AZ$175,HLOOKUP(INDIRECT(ADDRESS(2,COLUMN())),OFFSET($BN$2,0,0,ROW()-1,60),ROW()-1,FALSE))</f>
        <v>10472</v>
      </c>
      <c r="BA21">
        <f ca="1">IF(AND(ISNUMBER($BA$175),$B$156=1),$BA$175,HLOOKUP(INDIRECT(ADDRESS(2,COLUMN())),OFFSET($BN$2,0,0,ROW()-1,60),ROW()-1,FALSE))</f>
        <v>8481</v>
      </c>
      <c r="BB21">
        <f ca="1">IF(AND(ISNUMBER($BB$175),$B$156=1),$BB$175,HLOOKUP(INDIRECT(ADDRESS(2,COLUMN())),OFFSET($BN$2,0,0,ROW()-1,60),ROW()-1,FALSE))</f>
        <v>7319</v>
      </c>
      <c r="BC21">
        <f ca="1">IF(AND(ISNUMBER($BC$175),$B$156=1),$BC$175,HLOOKUP(INDIRECT(ADDRESS(2,COLUMN())),OFFSET($BN$2,0,0,ROW()-1,60),ROW()-1,FALSE))</f>
        <v>8763</v>
      </c>
      <c r="BD21">
        <f ca="1">IF(AND(ISNUMBER($BD$175),$B$156=1),$BD$175,HLOOKUP(INDIRECT(ADDRESS(2,COLUMN())),OFFSET($BN$2,0,0,ROW()-1,60),ROW()-1,FALSE))</f>
        <v>6064</v>
      </c>
      <c r="BE21">
        <f ca="1">IF(AND(ISNUMBER($BE$175),$B$156=1),$BE$175,HLOOKUP(INDIRECT(ADDRESS(2,COLUMN())),OFFSET($BN$2,0,0,ROW()-1,60),ROW()-1,FALSE))</f>
        <v>5310</v>
      </c>
      <c r="BF21">
        <f ca="1">IF(AND(ISNUMBER($BF$175),$B$156=1),$BF$175,HLOOKUP(INDIRECT(ADDRESS(2,COLUMN())),OFFSET($BN$2,0,0,ROW()-1,60),ROW()-1,FALSE))</f>
        <v>3198</v>
      </c>
      <c r="BG21" t="str">
        <f ca="1">IF(AND(ISNUMBER($BG$175),$B$156=1),$BG$175,HLOOKUP(INDIRECT(ADDRESS(2,COLUMN())),OFFSET($BN$2,0,0,ROW()-1,60),ROW()-1,FALSE))</f>
        <v/>
      </c>
      <c r="BH21" t="str">
        <f ca="1">IF(AND(ISNUMBER($BH$175),$B$156=1),$BH$175,HLOOKUP(INDIRECT(ADDRESS(2,COLUMN())),OFFSET($BN$2,0,0,ROW()-1,60),ROW()-1,FALSE))</f>
        <v/>
      </c>
      <c r="BI21" t="str">
        <f ca="1">IF(AND(ISNUMBER($BI$175),$B$156=1),$BI$175,HLOOKUP(INDIRECT(ADDRESS(2,COLUMN())),OFFSET($BN$2,0,0,ROW()-1,60),ROW()-1,FALSE))</f>
        <v/>
      </c>
      <c r="BJ21" t="str">
        <f ca="1">IF(AND(ISNUMBER($BJ$175),$B$156=1),$BJ$175,HLOOKUP(INDIRECT(ADDRESS(2,COLUMN())),OFFSET($BN$2,0,0,ROW()-1,60),ROW()-1,FALSE))</f>
        <v/>
      </c>
      <c r="BK21" t="str">
        <f ca="1">IF(AND(ISNUMBER($BK$175),$B$156=1),$BK$175,HLOOKUP(INDIRECT(ADDRESS(2,COLUMN())),OFFSET($BN$2,0,0,ROW()-1,60),ROW()-1,FALSE))</f>
        <v/>
      </c>
      <c r="BL21" t="str">
        <f ca="1">IF(AND(ISNUMBER($BL$175),$B$156=1),$BL$175,HLOOKUP(INDIRECT(ADDRESS(2,COLUMN())),OFFSET($BN$2,0,0,ROW()-1,60),ROW()-1,FALSE))</f>
        <v/>
      </c>
      <c r="BM21" t="str">
        <f ca="1">IF(AND(ISNUMBER($BM$175),$B$156=1),$BM$175,HLOOKUP(INDIRECT(ADDRESS(2,COLUMN())),OFFSET($BN$2,0,0,ROW()-1,60),ROW()-1,FALSE))</f>
        <v/>
      </c>
      <c r="BN21" t="str">
        <f>""</f>
        <v/>
      </c>
      <c r="BO21" t="str">
        <f>""</f>
        <v/>
      </c>
      <c r="BP21" t="str">
        <f>""</f>
        <v/>
      </c>
      <c r="BQ21" t="str">
        <f>""</f>
        <v/>
      </c>
      <c r="BR21" t="str">
        <f>""</f>
        <v/>
      </c>
      <c r="BS21" t="str">
        <f>""</f>
        <v/>
      </c>
      <c r="BT21" t="str">
        <f>""</f>
        <v/>
      </c>
      <c r="BU21" t="str">
        <f>""</f>
        <v/>
      </c>
      <c r="BV21" t="str">
        <f>""</f>
        <v/>
      </c>
      <c r="BW21" t="str">
        <f>""</f>
        <v/>
      </c>
      <c r="BX21" t="str">
        <f>""</f>
        <v/>
      </c>
      <c r="BY21" t="str">
        <f>""</f>
        <v/>
      </c>
      <c r="BZ21" t="str">
        <f>""</f>
        <v/>
      </c>
      <c r="CA21">
        <f>38658</f>
        <v>38658</v>
      </c>
      <c r="CB21">
        <f>31881</f>
        <v>31881</v>
      </c>
      <c r="CC21">
        <f>31445</f>
        <v>31445</v>
      </c>
      <c r="CD21">
        <f>24164</f>
        <v>24164</v>
      </c>
      <c r="CE21">
        <f>24605</f>
        <v>24605</v>
      </c>
      <c r="CF21">
        <f>20375</f>
        <v>20375</v>
      </c>
      <c r="CG21">
        <f>17252</f>
        <v>17252</v>
      </c>
      <c r="CH21">
        <f>14757</f>
        <v>14757</v>
      </c>
      <c r="CI21">
        <f>18379</f>
        <v>18379</v>
      </c>
      <c r="CJ21">
        <f>15245</f>
        <v>15245</v>
      </c>
      <c r="CK21">
        <f>13699</f>
        <v>13699</v>
      </c>
      <c r="CL21">
        <f>10817</f>
        <v>10817</v>
      </c>
      <c r="CM21">
        <f>15122</f>
        <v>15122</v>
      </c>
      <c r="CN21">
        <f>10902</f>
        <v>10902</v>
      </c>
      <c r="CO21">
        <f>8427</f>
        <v>8427</v>
      </c>
      <c r="CP21">
        <f>9085</f>
        <v>9085</v>
      </c>
      <c r="CQ21">
        <f>17443</f>
        <v>17443</v>
      </c>
      <c r="CR21">
        <f>17433</f>
        <v>17433</v>
      </c>
      <c r="CS21">
        <f>12805</f>
        <v>12805</v>
      </c>
      <c r="CT21">
        <f>16074</f>
        <v>16074</v>
      </c>
      <c r="CU21">
        <f>19099</f>
        <v>19099</v>
      </c>
      <c r="CV21">
        <f>13867</f>
        <v>13867</v>
      </c>
      <c r="CW21">
        <f>13422</f>
        <v>13422</v>
      </c>
      <c r="CX21">
        <f>11389</f>
        <v>11389</v>
      </c>
      <c r="CY21">
        <f>22615</f>
        <v>22615</v>
      </c>
      <c r="CZ21">
        <f>17257</f>
        <v>17257</v>
      </c>
      <c r="DA21">
        <f>11354</f>
        <v>11354</v>
      </c>
      <c r="DB21">
        <f>11873</f>
        <v>11873</v>
      </c>
      <c r="DC21">
        <f>10752</f>
        <v>10752</v>
      </c>
      <c r="DD21">
        <f>11329</f>
        <v>11329</v>
      </c>
      <c r="DE21">
        <f>14756</f>
        <v>14756</v>
      </c>
      <c r="DF21">
        <f>12535</f>
        <v>12535</v>
      </c>
      <c r="DG21">
        <f>13872</f>
        <v>13872</v>
      </c>
      <c r="DH21">
        <f>10472</f>
        <v>10472</v>
      </c>
      <c r="DI21">
        <f>8481</f>
        <v>8481</v>
      </c>
      <c r="DJ21">
        <f>7319</f>
        <v>7319</v>
      </c>
      <c r="DK21">
        <f>8763</f>
        <v>8763</v>
      </c>
      <c r="DL21">
        <f>6064</f>
        <v>6064</v>
      </c>
      <c r="DM21">
        <f>5310</f>
        <v>5310</v>
      </c>
      <c r="DN21">
        <f>3198</f>
        <v>3198</v>
      </c>
      <c r="DO21" t="str">
        <f>""</f>
        <v/>
      </c>
      <c r="DP21" t="str">
        <f>""</f>
        <v/>
      </c>
      <c r="DQ21" t="str">
        <f>""</f>
        <v/>
      </c>
      <c r="DR21" t="str">
        <f>""</f>
        <v/>
      </c>
      <c r="DS21" t="str">
        <f>""</f>
        <v/>
      </c>
      <c r="DT21" t="str">
        <f>""</f>
        <v/>
      </c>
      <c r="DU21" t="str">
        <f>""</f>
        <v/>
      </c>
    </row>
    <row r="22" spans="1:125" x14ac:dyDescent="0.25">
      <c r="A22" t="str">
        <f>"    Europe"</f>
        <v xml:space="preserve">    Europe</v>
      </c>
      <c r="B22" t="str">
        <f>"AUTMEUVS Index"</f>
        <v>AUTMEUVS Index</v>
      </c>
      <c r="E22" t="str">
        <f>"Sum"</f>
        <v>Sum</v>
      </c>
      <c r="F22">
        <f ca="1">IF(ISERROR(IF(SUM($F$23,$F$44) = 0, "", SUM($F$23,$F$44))), "", (IF(SUM($F$23,$F$44) = 0, "", SUM($F$23,$F$44))))</f>
        <v>1340721</v>
      </c>
      <c r="G22">
        <f ca="1">IF(ISERROR(IF(SUM($G$23,$G$44) = 0, "", SUM($G$23,$G$44))), "", (IF(SUM($G$23,$G$44) = 0, "", SUM($G$23,$G$44))))</f>
        <v>3971342</v>
      </c>
      <c r="H22">
        <f ca="1">IF(ISERROR(IF(SUM($H$23,$H$44) = 0, "", SUM($H$23,$H$44))), "", (IF(SUM($H$23,$H$44) = 0, "", SUM($H$23,$H$44))))</f>
        <v>4158598</v>
      </c>
      <c r="I22">
        <f ca="1">IF(ISERROR(IF(SUM($I$23,$I$44) = 0, "", SUM($I$23,$I$44))), "", (IF(SUM($I$23,$I$44) = 0, "", SUM($I$23,$I$44))))</f>
        <v>4995736</v>
      </c>
      <c r="J22">
        <f ca="1">IF(ISERROR(IF(SUM($J$23,$J$44) = 0, "", SUM($J$23,$J$44))), "", (IF(SUM($J$23,$J$44) = 0, "", SUM($J$23,$J$44))))</f>
        <v>4770705</v>
      </c>
      <c r="K22">
        <f ca="1">IF(ISERROR(IF(SUM($K$23,$K$44) = 0, "", SUM($K$23,$K$44))), "", (IF(SUM($K$23,$K$44) = 0, "", SUM($K$23,$K$44))))</f>
        <v>4402886</v>
      </c>
      <c r="L22">
        <f ca="1">IF(ISERROR(IF(SUM($L$23,$L$44) = 0, "", SUM($L$23,$L$44))), "", (IF(SUM($L$23,$L$44) = 0, "", SUM($L$23,$L$44))))</f>
        <v>4197792</v>
      </c>
      <c r="M22">
        <f ca="1">IF(ISERROR(IF(SUM($M$23,$M$44) = 0, "", SUM($M$23,$M$44))), "", (IF(SUM($M$23,$M$44) = 0, "", SUM($M$23,$M$44))))</f>
        <v>4769746</v>
      </c>
      <c r="N22">
        <f ca="1">IF(ISERROR(IF(SUM($N$23,$N$44) = 0, "", SUM($N$23,$N$44))), "", (IF(SUM($N$23,$N$44) = 0, "", SUM($N$23,$N$44))))</f>
        <v>4684669</v>
      </c>
      <c r="O22">
        <f ca="1">IF(ISERROR(IF(SUM($O$23,$O$44) = 0, "", SUM($O$23,$O$44))), "", (IF(SUM($O$23,$O$44) = 0, "", SUM($O$23,$O$44))))</f>
        <v>4187123</v>
      </c>
      <c r="P22">
        <f ca="1">IF(ISERROR(IF(SUM($P$23,$P$44) = 0, "", SUM($P$23,$P$44))), "", (IF(SUM($P$23,$P$44) = 0, "", SUM($P$23,$P$44))))</f>
        <v>4007422</v>
      </c>
      <c r="Q22">
        <f ca="1">IF(ISERROR(IF(SUM($Q$23,$Q$44) = 0, "", SUM($Q$23,$Q$44))), "", (IF(SUM($Q$23,$Q$44) = 0, "", SUM($Q$23,$Q$44))))</f>
        <v>4705774</v>
      </c>
      <c r="R22">
        <f ca="1">IF(ISERROR(IF(SUM($R$23,$R$44) = 0, "", SUM($R$23,$R$44))), "", (IF(SUM($R$23,$R$44) = 0, "", SUM($R$23,$R$44))))</f>
        <v>4369576</v>
      </c>
      <c r="S22">
        <f ca="1">IF(ISERROR(IF(SUM($S$23,$S$44) = 0, "", SUM($S$23,$S$44))), "", (IF(SUM($S$23,$S$44) = 0, "", SUM($S$23,$S$44))))</f>
        <v>4052644</v>
      </c>
      <c r="T22">
        <f ca="1">IF(ISERROR(IF(SUM($T$23,$T$44) = 0, "", SUM($T$23,$T$44))), "", (IF(SUM($T$23,$T$44) = 0, "", SUM($T$23,$T$44))))</f>
        <v>3936716</v>
      </c>
      <c r="U22">
        <f ca="1">IF(ISERROR(IF(SUM($U$23,$U$44) = 0, "", SUM($U$23,$U$44))), "", (IF(SUM($U$23,$U$44) = 0, "", SUM($U$23,$U$44))))</f>
        <v>4361549</v>
      </c>
      <c r="V22">
        <f ca="1">IF(ISERROR(IF(SUM($V$23,$V$44) = 0, "", SUM($V$23,$V$44))), "", (IF(SUM($V$23,$V$44) = 0, "", SUM($V$23,$V$44))))</f>
        <v>4139920</v>
      </c>
      <c r="W22">
        <f ca="1">IF(ISERROR(IF(SUM($W$23,$W$44) = 0, "", SUM($W$23,$W$44))), "", (IF(SUM($W$23,$W$44) = 0, "", SUM($W$23,$W$44))))</f>
        <v>4027584</v>
      </c>
      <c r="X22">
        <f ca="1">IF(ISERROR(IF(SUM($X$23,$X$44) = 0, "", SUM($X$23,$X$44))), "", (IF(SUM($X$23,$X$44) = 0, "", SUM($X$23,$X$44))))</f>
        <v>3737206</v>
      </c>
      <c r="Y22">
        <f ca="1">IF(ISERROR(IF(SUM($Y$23,$Y$44) = 0, "", SUM($Y$23,$Y$44))), "", (IF(SUM($Y$23,$Y$44) = 0, "", SUM($Y$23,$Y$44))))</f>
        <v>4249845</v>
      </c>
      <c r="Z22">
        <f ca="1">IF(ISERROR(IF(SUM($Z$23,$Z$44) = 0, "", SUM($Z$23,$Z$44))), "", (IF(SUM($Z$23,$Z$44) = 0, "", SUM($Z$23,$Z$44))))</f>
        <v>4038230</v>
      </c>
      <c r="AA22">
        <f ca="1">IF(ISERROR(IF(SUM($AA$23,$AA$44) = 0, "", SUM($AA$23,$AA$44))), "", (IF(SUM($AA$23,$AA$44) = 0, "", SUM($AA$23,$AA$44))))</f>
        <v>3911313</v>
      </c>
      <c r="AB22">
        <f ca="1">IF(ISERROR(IF(SUM($AB$23,$AB$44) = 0, "", SUM($AB$23,$AB$44))), "", (IF(SUM($AB$23,$AB$44) = 0, "", SUM($AB$23,$AB$44))))</f>
        <v>3766514</v>
      </c>
      <c r="AC22">
        <f ca="1">IF(ISERROR(IF(SUM($AC$23,$AC$44) = 0, "", SUM($AC$23,$AC$44))), "", (IF(SUM($AC$23,$AC$44) = 0, "", SUM($AC$23,$AC$44))))</f>
        <v>4234122</v>
      </c>
      <c r="AD22">
        <f ca="1">IF(ISERROR(IF(SUM($AD$23,$AD$44) = 0, "", SUM($AD$23,$AD$44))), "", (IF(SUM($AD$23,$AD$44) = 0, "", SUM($AD$23,$AD$44))))</f>
        <v>3825735</v>
      </c>
      <c r="AE22">
        <f ca="1">IF(ISERROR(IF(SUM($AE$23,$AE$44) = 0, "", SUM($AE$23,$AE$44))), "", (IF(SUM($AE$23,$AE$44) = 0, "", SUM($AE$23,$AE$44))))</f>
        <v>3747826</v>
      </c>
      <c r="AF22">
        <f ca="1">IF(ISERROR(IF(SUM($AF$23,$AF$44) = 0, "", SUM($AF$23,$AF$44))), "", (IF(SUM($AF$23,$AF$44) = 0, "", SUM($AF$23,$AF$44))))</f>
        <v>3736537</v>
      </c>
      <c r="AG22">
        <f ca="1">IF(ISERROR(IF(SUM($AG$23,$AG$44) = 0, "", SUM($AG$23,$AG$44))), "", (IF(SUM($AG$23,$AG$44) = 0, "", SUM($AG$23,$AG$44))))</f>
        <v>4413637</v>
      </c>
      <c r="AH22">
        <f ca="1">IF(ISERROR(IF(SUM($AH$23,$AH$44) = 0, "", SUM($AH$23,$AH$44))), "", (IF(SUM($AH$23,$AH$44) = 0, "", SUM($AH$23,$AH$44))))</f>
        <v>4139827</v>
      </c>
      <c r="AI22">
        <f ca="1">IF(ISERROR(IF(SUM($AI$23,$AI$44) = 0, "", SUM($AI$23,$AI$44))), "", (IF(SUM($AI$23,$AI$44) = 0, "", SUM($AI$23,$AI$44))))</f>
        <v>4028737.25</v>
      </c>
      <c r="AJ22">
        <f ca="1">IF(ISERROR(IF(SUM($AJ$23,$AJ$44) = 0, "", SUM($AJ$23,$AJ$44))), "", (IF(SUM($AJ$23,$AJ$44) = 0, "", SUM($AJ$23,$AJ$44))))</f>
        <v>3918711</v>
      </c>
      <c r="AK22">
        <f ca="1">IF(ISERROR(IF(SUM($AK$23,$AK$44) = 0, "", SUM($AK$23,$AK$44))), "", (IF(SUM($AK$23,$AK$44) = 0, "", SUM($AK$23,$AK$44))))</f>
        <v>4542075</v>
      </c>
      <c r="AL22">
        <f ca="1">IF(ISERROR(IF(SUM($AL$23,$AL$44) = 0, "", SUM($AL$23,$AL$44))), "", (IF(SUM($AL$23,$AL$44) = 0, "", SUM($AL$23,$AL$44))))</f>
        <v>4332618</v>
      </c>
      <c r="AM22">
        <f ca="1">IF(ISERROR(IF(SUM($AM$23,$AM$44) = 0, "", SUM($AM$23,$AM$44))), "", (IF(SUM($AM$23,$AM$44) = 0, "", SUM($AM$23,$AM$44))))</f>
        <v>3997501.75</v>
      </c>
      <c r="AN22">
        <f ca="1">IF(ISERROR(IF(SUM($AN$23,$AN$44) = 0, "", SUM($AN$23,$AN$44))), "", (IF(SUM($AN$23,$AN$44) = 0, "", SUM($AN$23,$AN$44))))</f>
        <v>3711717</v>
      </c>
      <c r="AO22">
        <f ca="1">IF(ISERROR(IF(SUM($AO$23,$AO$44) = 0, "", SUM($AO$23,$AO$44))), "", (IF(SUM($AO$23,$AO$44) = 0, "", SUM($AO$23,$AO$44))))</f>
        <v>4331230.25</v>
      </c>
      <c r="AP22">
        <f ca="1">IF(ISERROR(IF(SUM($AP$23,$AP$44) = 0, "", SUM($AP$23,$AP$44))), "", (IF(SUM($AP$23,$AP$44) = 0, "", SUM($AP$23,$AP$44))))</f>
        <v>4121115.1666667</v>
      </c>
      <c r="AQ22">
        <f ca="1">IF(ISERROR(IF(SUM($AQ$23,$AQ$44) = 0, "", SUM($AQ$23,$AQ$44))), "", (IF(SUM($AQ$23,$AQ$44) = 0, "", SUM($AQ$23,$AQ$44))))</f>
        <v>3964326</v>
      </c>
      <c r="AR22">
        <f ca="1">IF(ISERROR(IF(SUM($AR$23,$AR$44) = 0, "", SUM($AR$23,$AR$44))), "", (IF(SUM($AR$23,$AR$44) = 0, "", SUM($AR$23,$AR$44))))</f>
        <v>3960407</v>
      </c>
      <c r="AS22">
        <f ca="1">IF(ISERROR(IF(SUM($AS$23,$AS$44) = 0, "", SUM($AS$23,$AS$44))), "", (IF(SUM($AS$23,$AS$44) = 0, "", SUM($AS$23,$AS$44))))</f>
        <v>4505196</v>
      </c>
      <c r="AT22">
        <f ca="1">IF(ISERROR(IF(SUM($AT$23,$AT$44) = 0, "", SUM($AT$23,$AT$44))), "", (IF(SUM($AT$23,$AT$44) = 0, "", SUM($AT$23,$AT$44))))</f>
        <v>3896284</v>
      </c>
      <c r="AU22">
        <f ca="1">IF(ISERROR(IF(SUM($AU$23,$AU$44) = 0, "", SUM($AU$23,$AU$44))), "", (IF(SUM($AU$23,$AU$44) = 0, "", SUM($AU$23,$AU$44))))</f>
        <v>3386323</v>
      </c>
      <c r="AV22">
        <f ca="1">IF(ISERROR(IF(SUM($AV$23,$AV$44) = 0, "", SUM($AV$23,$AV$44))), "", (IF(SUM($AV$23,$AV$44) = 0, "", SUM($AV$23,$AV$44))))</f>
        <v>4012942</v>
      </c>
      <c r="AW22">
        <f ca="1">IF(ISERROR(IF(SUM($AW$23,$AW$44) = 0, "", SUM($AW$23,$AW$44))), "", (IF(SUM($AW$23,$AW$44) = 0, "", SUM($AW$23,$AW$44))))</f>
        <v>4898687</v>
      </c>
      <c r="AX22">
        <f ca="1">IF(ISERROR(IF(SUM($AX$23,$AX$44) = 0, "", SUM($AX$23,$AX$44))), "", (IF(SUM($AX$23,$AX$44) = 0, "", SUM($AX$23,$AX$44))))</f>
        <v>4532604</v>
      </c>
      <c r="AY22">
        <f ca="1">IF(ISERROR(IF(SUM($AY$23,$AY$44) = 0, "", SUM($AY$23,$AY$44))), "", (IF(SUM($AY$23,$AY$44) = 0, "", SUM($AY$23,$AY$44))))</f>
        <v>4353234</v>
      </c>
      <c r="AZ22">
        <f ca="1">IF(ISERROR(IF(SUM($AZ$23,$AZ$44) = 0, "", SUM($AZ$23,$AZ$44))), "", (IF(SUM($AZ$23,$AZ$44) = 0, "", SUM($AZ$23,$AZ$44))))</f>
        <v>4254188</v>
      </c>
      <c r="BA22">
        <f ca="1">IF(ISERROR(IF(SUM($BA$23,$BA$44) = 0, "", SUM($BA$23,$BA$44))), "", (IF(SUM($BA$23,$BA$44) = 0, "", SUM($BA$23,$BA$44))))</f>
        <v>4806632</v>
      </c>
      <c r="BB22">
        <f ca="1">IF(ISERROR(IF(SUM($BB$23,$BB$44) = 0, "", SUM($BB$23,$BB$44))), "", (IF(SUM($BB$23,$BB$44) = 0, "", SUM($BB$23,$BB$44))))</f>
        <v>4491117</v>
      </c>
      <c r="BC22">
        <f ca="1">IF(ISERROR(IF(SUM($BC$23,$BC$44) = 0, "", SUM($BC$23,$BC$44))), "", (IF(SUM($BC$23,$BC$44) = 0, "", SUM($BC$23,$BC$44))))</f>
        <v>3853176</v>
      </c>
      <c r="BD22">
        <f ca="1">IF(ISERROR(IF(SUM($BD$23,$BD$44) = 0, "", SUM($BD$23,$BD$44))), "", (IF(SUM($BD$23,$BD$44) = 0, "", SUM($BD$23,$BD$44))))</f>
        <v>3892104</v>
      </c>
      <c r="BE22">
        <f ca="1">IF(ISERROR(IF(SUM($BE$23,$BE$44) = 0, "", SUM($BE$23,$BE$44))), "", (IF(SUM($BE$23,$BE$44) = 0, "", SUM($BE$23,$BE$44))))</f>
        <v>4511890</v>
      </c>
      <c r="BF22">
        <f ca="1">IF(ISERROR(IF(SUM($BF$23,$BF$44) = 0, "", SUM($BF$23,$BF$44))), "", (IF(SUM($BF$23,$BF$44) = 0, "", SUM($BF$23,$BF$44))))</f>
        <v>4311560</v>
      </c>
      <c r="BG22">
        <f ca="1">IF(ISERROR(IF(SUM($BG$23,$BG$44) = 0, "", SUM($BG$23,$BG$44))), "", (IF(SUM($BG$23,$BG$44) = 0, "", SUM($BG$23,$BG$44))))</f>
        <v>3556297</v>
      </c>
      <c r="BH22">
        <f ca="1">IF(ISERROR(IF(SUM($BH$23,$BH$44) = 0, "", SUM($BH$23,$BH$44))), "", (IF(SUM($BH$23,$BH$44) = 0, "", SUM($BH$23,$BH$44))))</f>
        <v>3736341</v>
      </c>
      <c r="BI22">
        <f ca="1">IF(ISERROR(IF(SUM($BI$23,$BI$44) = 0, "", SUM($BI$23,$BI$44))), "", (IF(SUM($BI$23,$BI$44) = 0, "", SUM($BI$23,$BI$44))))</f>
        <v>4328402</v>
      </c>
      <c r="BJ22">
        <f ca="1">IF(ISERROR(IF(SUM($BJ$23,$BJ$44) = 0, "", SUM($BJ$23,$BJ$44))), "", (IF(SUM($BJ$23,$BJ$44) = 0, "", SUM($BJ$23,$BJ$44))))</f>
        <v>4071653</v>
      </c>
      <c r="BK22">
        <f ca="1">IF(ISERROR(IF(SUM($BK$23,$BK$44) = 0, "", SUM($BK$23,$BK$44))), "", (IF(SUM($BK$23,$BK$44) = 0, "", SUM($BK$23,$BK$44))))</f>
        <v>3518216</v>
      </c>
      <c r="BL22">
        <f ca="1">IF(ISERROR(IF(SUM($BL$23,$BL$44) = 0, "", SUM($BL$23,$BL$44))), "", (IF(SUM($BL$23,$BL$44) = 0, "", SUM($BL$23,$BL$44))))</f>
        <v>3543199</v>
      </c>
      <c r="BM22">
        <f ca="1">IF(ISERROR(IF(SUM($BM$23,$BM$44) = 0, "", SUM($BM$23,$BM$44))), "", (IF(SUM($BM$23,$BM$44) = 0, "", SUM($BM$23,$BM$44))))</f>
        <v>4163006</v>
      </c>
      <c r="BN22">
        <f>1340721</f>
        <v>1340721</v>
      </c>
      <c r="BO22">
        <f>3971342</f>
        <v>3971342</v>
      </c>
      <c r="BP22">
        <f>4158598</f>
        <v>4158598</v>
      </c>
      <c r="BQ22">
        <f>4995736</f>
        <v>4995736</v>
      </c>
      <c r="BR22">
        <f>4770705</f>
        <v>4770705</v>
      </c>
      <c r="BS22">
        <f>4402886</f>
        <v>4402886</v>
      </c>
      <c r="BT22">
        <f>4197792</f>
        <v>4197792</v>
      </c>
      <c r="BU22">
        <f>4769746</f>
        <v>4769746</v>
      </c>
      <c r="BV22">
        <f>4684669</f>
        <v>4684669</v>
      </c>
      <c r="BW22">
        <f>4187123</f>
        <v>4187123</v>
      </c>
      <c r="BX22">
        <f>4007422</f>
        <v>4007422</v>
      </c>
      <c r="BY22">
        <f>4705774</f>
        <v>4705774</v>
      </c>
      <c r="BZ22">
        <f>4369576</f>
        <v>4369576</v>
      </c>
      <c r="CA22">
        <f>4052644</f>
        <v>4052644</v>
      </c>
      <c r="CB22">
        <f>3936716</f>
        <v>3936716</v>
      </c>
      <c r="CC22">
        <f>4361549</f>
        <v>4361549</v>
      </c>
      <c r="CD22">
        <f>4139920</f>
        <v>4139920</v>
      </c>
      <c r="CE22">
        <f>4027584</f>
        <v>4027584</v>
      </c>
      <c r="CF22">
        <f>3737206</f>
        <v>3737206</v>
      </c>
      <c r="CG22">
        <f>4249845</f>
        <v>4249845</v>
      </c>
      <c r="CH22">
        <f>4038230</f>
        <v>4038230</v>
      </c>
      <c r="CI22">
        <f>3911313</f>
        <v>3911313</v>
      </c>
      <c r="CJ22">
        <f>3766514</f>
        <v>3766514</v>
      </c>
      <c r="CK22">
        <f>4234122</f>
        <v>4234122</v>
      </c>
      <c r="CL22">
        <f>3825735</f>
        <v>3825735</v>
      </c>
      <c r="CM22">
        <f>3747826</f>
        <v>3747826</v>
      </c>
      <c r="CN22">
        <f>3736537</f>
        <v>3736537</v>
      </c>
      <c r="CO22">
        <f>4413637</f>
        <v>4413637</v>
      </c>
      <c r="CP22">
        <f>4139827</f>
        <v>4139827</v>
      </c>
      <c r="CQ22">
        <f>4028737.25</f>
        <v>4028737.25</v>
      </c>
      <c r="CR22">
        <f>3918711</f>
        <v>3918711</v>
      </c>
      <c r="CS22">
        <f>4542075</f>
        <v>4542075</v>
      </c>
      <c r="CT22">
        <f>4332618</f>
        <v>4332618</v>
      </c>
      <c r="CU22">
        <f>3997501.75</f>
        <v>3997501.75</v>
      </c>
      <c r="CV22">
        <f>3711717</f>
        <v>3711717</v>
      </c>
      <c r="CW22">
        <f>4331230.25</f>
        <v>4331230.25</v>
      </c>
      <c r="CX22">
        <f>4121115.167</f>
        <v>4121115.1669999999</v>
      </c>
      <c r="CY22">
        <f>3964326</f>
        <v>3964326</v>
      </c>
      <c r="CZ22">
        <f>3960407</f>
        <v>3960407</v>
      </c>
      <c r="DA22">
        <f>4505196</f>
        <v>4505196</v>
      </c>
      <c r="DB22">
        <f>3896284</f>
        <v>3896284</v>
      </c>
      <c r="DC22">
        <f>3386323</f>
        <v>3386323</v>
      </c>
      <c r="DD22">
        <f>4012942</f>
        <v>4012942</v>
      </c>
      <c r="DE22">
        <f>4898687</f>
        <v>4898687</v>
      </c>
      <c r="DF22">
        <f>4532604</f>
        <v>4532604</v>
      </c>
      <c r="DG22">
        <f>4353234</f>
        <v>4353234</v>
      </c>
      <c r="DH22">
        <f>4254188</f>
        <v>4254188</v>
      </c>
      <c r="DI22">
        <f>4806632</f>
        <v>4806632</v>
      </c>
      <c r="DJ22">
        <f>4491117</f>
        <v>4491117</v>
      </c>
      <c r="DK22">
        <f>3853176</f>
        <v>3853176</v>
      </c>
      <c r="DL22">
        <f>3892104</f>
        <v>3892104</v>
      </c>
      <c r="DM22">
        <f>4511890</f>
        <v>4511890</v>
      </c>
      <c r="DN22">
        <f>4311560</f>
        <v>4311560</v>
      </c>
      <c r="DO22">
        <f>3556297</f>
        <v>3556297</v>
      </c>
      <c r="DP22">
        <f>3736341</f>
        <v>3736341</v>
      </c>
      <c r="DQ22">
        <f>4328402</f>
        <v>4328402</v>
      </c>
      <c r="DR22">
        <f>4071653</f>
        <v>4071653</v>
      </c>
      <c r="DS22">
        <f>3518216</f>
        <v>3518216</v>
      </c>
      <c r="DT22">
        <f>3543199</f>
        <v>3543199</v>
      </c>
      <c r="DU22">
        <f>4163006</f>
        <v>4163006</v>
      </c>
    </row>
    <row r="23" spans="1:125" x14ac:dyDescent="0.25">
      <c r="A23" t="str">
        <f>"        Western Europe"</f>
        <v xml:space="preserve">        Western Europe</v>
      </c>
      <c r="B23" t="str">
        <f>""</f>
        <v/>
      </c>
      <c r="E23" t="str">
        <f>"Sum"</f>
        <v>Sum</v>
      </c>
      <c r="F23">
        <f ca="1">IF(ISERROR(IF(SUM($F$24:$F$43) = 0, "", SUM($F$24:$F$43))), "", (IF(SUM($F$24:$F$43) = 0, "", SUM($F$24:$F$43))))</f>
        <v>1125778</v>
      </c>
      <c r="G23">
        <f ca="1">IF(ISERROR(IF(SUM($G$24:$G$43) = 0, "", SUM($G$24:$G$43))), "", (IF(SUM($G$24:$G$43) = 0, "", SUM($G$24:$G$43))))</f>
        <v>3168363</v>
      </c>
      <c r="H23">
        <f ca="1">IF(ISERROR(IF(SUM($H$24:$H$43) = 0, "", SUM($H$24:$H$43))), "", (IF(SUM($H$24:$H$43) = 0, "", SUM($H$24:$H$43))))</f>
        <v>3370953</v>
      </c>
      <c r="I23">
        <f ca="1">IF(ISERROR(IF(SUM($I$24:$I$43) = 0, "", SUM($I$24:$I$43))), "", (IF(SUM($I$24:$I$43) = 0, "", SUM($I$24:$I$43))))</f>
        <v>4179332</v>
      </c>
      <c r="J23">
        <f ca="1">IF(ISERROR(IF(SUM($J$24:$J$43) = 0, "", SUM($J$24:$J$43))), "", (IF(SUM($J$24:$J$43) = 0, "", SUM($J$24:$J$43))))</f>
        <v>4038843</v>
      </c>
      <c r="K23">
        <f ca="1">IF(ISERROR(IF(SUM($K$24:$K$43) = 0, "", SUM($K$24:$K$43))), "", (IF(SUM($K$24:$K$43) = 0, "", SUM($K$24:$K$43))))</f>
        <v>3611322</v>
      </c>
      <c r="L23">
        <f ca="1">IF(ISERROR(IF(SUM($L$24:$L$43) = 0, "", SUM($L$24:$L$43))), "", (IF(SUM($L$24:$L$43) = 0, "", SUM($L$24:$L$43))))</f>
        <v>3494890</v>
      </c>
      <c r="M23">
        <f ca="1">IF(ISERROR(IF(SUM($M$24:$M$43) = 0, "", SUM($M$24:$M$43))), "", (IF(SUM($M$24:$M$43) = 0, "", SUM($M$24:$M$43))))</f>
        <v>4049557</v>
      </c>
      <c r="N23">
        <f ca="1">IF(ISERROR(IF(SUM($N$24:$N$43) = 0, "", SUM($N$24:$N$43))), "", (IF(SUM($N$24:$N$43) = 0, "", SUM($N$24:$N$43))))</f>
        <v>4057733</v>
      </c>
      <c r="O23">
        <f ca="1">IF(ISERROR(IF(SUM($O$24:$O$43) = 0, "", SUM($O$24:$O$43))), "", (IF(SUM($O$24:$O$43) = 0, "", SUM($O$24:$O$43))))</f>
        <v>3489139</v>
      </c>
      <c r="P23">
        <f ca="1">IF(ISERROR(IF(SUM($P$24:$P$43) = 0, "", SUM($P$24:$P$43))), "", (IF(SUM($P$24:$P$43) = 0, "", SUM($P$24:$P$43))))</f>
        <v>3394447</v>
      </c>
      <c r="Q23">
        <f ca="1">IF(ISERROR(IF(SUM($Q$24:$Q$43) = 0, "", SUM($Q$24:$Q$43))), "", (IF(SUM($Q$24:$Q$43) = 0, "", SUM($Q$24:$Q$43))))</f>
        <v>4063048</v>
      </c>
      <c r="R23">
        <f ca="1">IF(ISERROR(IF(SUM($R$24:$R$43) = 0, "", SUM($R$24:$R$43))), "", (IF(SUM($R$24:$R$43) = 0, "", SUM($R$24:$R$43))))</f>
        <v>3792873</v>
      </c>
      <c r="S23">
        <f ca="1">IF(ISERROR(IF(SUM($S$24:$S$43) = 0, "", SUM($S$24:$S$43))), "", (IF(SUM($S$24:$S$43) = 0, "", SUM($S$24:$S$43))))</f>
        <v>3385790</v>
      </c>
      <c r="T23">
        <f ca="1">IF(ISERROR(IF(SUM($T$24:$T$43) = 0, "", SUM($T$24:$T$43))), "", (IF(SUM($T$24:$T$43) = 0, "", SUM($T$24:$T$43))))</f>
        <v>3295124</v>
      </c>
      <c r="U23">
        <f ca="1">IF(ISERROR(IF(SUM($U$24:$U$43) = 0, "", SUM($U$24:$U$43))), "", (IF(SUM($U$24:$U$43) = 0, "", SUM($U$24:$U$43))))</f>
        <v>3719516</v>
      </c>
      <c r="V23">
        <f ca="1">IF(ISERROR(IF(SUM($V$24:$V$43) = 0, "", SUM($V$24:$V$43))), "", (IF(SUM($V$24:$V$43) = 0, "", SUM($V$24:$V$43))))</f>
        <v>3530934</v>
      </c>
      <c r="W23">
        <f ca="1">IF(ISERROR(IF(SUM($W$24:$W$43) = 0, "", SUM($W$24:$W$43))), "", (IF(SUM($W$24:$W$43) = 0, "", SUM($W$24:$W$43))))</f>
        <v>3096779</v>
      </c>
      <c r="X23">
        <f ca="1">IF(ISERROR(IF(SUM($X$24:$X$43) = 0, "", SUM($X$24:$X$43))), "", (IF(SUM($X$24:$X$43) = 0, "", SUM($X$24:$X$43))))</f>
        <v>2987430</v>
      </c>
      <c r="Y23">
        <f ca="1">IF(ISERROR(IF(SUM($Y$24:$Y$43) = 0, "", SUM($Y$24:$Y$43))), "", (IF(SUM($Y$24:$Y$43) = 0, "", SUM($Y$24:$Y$43))))</f>
        <v>3405215</v>
      </c>
      <c r="Z23">
        <f ca="1">IF(ISERROR(IF(SUM($Z$24:$Z$43) = 0, "", SUM($Z$24:$Z$43))), "", (IF(SUM($Z$24:$Z$43) = 0, "", SUM($Z$24:$Z$43))))</f>
        <v>3220023</v>
      </c>
      <c r="AA23">
        <f ca="1">IF(ISERROR(IF(SUM($AA$24:$AA$43) = 0, "", SUM($AA$24:$AA$43))), "", (IF(SUM($AA$24:$AA$43) = 0, "", SUM($AA$24:$AA$43))))</f>
        <v>2981421</v>
      </c>
      <c r="AB23">
        <f ca="1">IF(ISERROR(IF(SUM($AB$24:$AB$43) = 0, "", SUM($AB$24:$AB$43))), "", (IF(SUM($AB$24:$AB$43) = 0, "", SUM($AB$24:$AB$43))))</f>
        <v>2875915</v>
      </c>
      <c r="AC23">
        <f ca="1">IF(ISERROR(IF(SUM($AC$24:$AC$43) = 0, "", SUM($AC$24:$AC$43))), "", (IF(SUM($AC$24:$AC$43) = 0, "", SUM($AC$24:$AC$43))))</f>
        <v>3323381</v>
      </c>
      <c r="AD23">
        <f ca="1">IF(ISERROR(IF(SUM($AD$24:$AD$43) = 0, "", SUM($AD$24:$AD$43))), "", (IF(SUM($AD$24:$AD$43) = 0, "", SUM($AD$24:$AD$43))))</f>
        <v>3032158</v>
      </c>
      <c r="AE23">
        <f ca="1">IF(ISERROR(IF(SUM($AE$24:$AE$43) = 0, "", SUM($AE$24:$AE$43))), "", (IF(SUM($AE$24:$AE$43) = 0, "", SUM($AE$24:$AE$43))))</f>
        <v>2820167</v>
      </c>
      <c r="AF23">
        <f ca="1">IF(ISERROR(IF(SUM($AF$24:$AF$43) = 0, "", SUM($AF$24:$AF$43))), "", (IF(SUM($AF$24:$AF$43) = 0, "", SUM($AF$24:$AF$43))))</f>
        <v>2796493</v>
      </c>
      <c r="AG23">
        <f ca="1">IF(ISERROR(IF(SUM($AG$24:$AG$43) = 0, "", SUM($AG$24:$AG$43))), "", (IF(SUM($AG$24:$AG$43) = 0, "", SUM($AG$24:$AG$43))))</f>
        <v>3410341</v>
      </c>
      <c r="AH23">
        <f ca="1">IF(ISERROR(IF(SUM($AH$24:$AH$43) = 0, "", SUM($AH$24:$AH$43))), "", (IF(SUM($AH$24:$AH$43) = 0, "", SUM($AH$24:$AH$43))))</f>
        <v>3332204</v>
      </c>
      <c r="AI23">
        <f ca="1">IF(ISERROR(IF(SUM($AI$24:$AI$43) = 0, "", SUM($AI$24:$AI$43))), "", (IF(SUM($AI$24:$AI$43) = 0, "", SUM($AI$24:$AI$43))))</f>
        <v>3093589.75</v>
      </c>
      <c r="AJ23">
        <f ca="1">IF(ISERROR(IF(SUM($AJ$24:$AJ$43) = 0, "", SUM($AJ$24:$AJ$43))), "", (IF(SUM($AJ$24:$AJ$43) = 0, "", SUM($AJ$24:$AJ$43))))</f>
        <v>3051945</v>
      </c>
      <c r="AK23">
        <f ca="1">IF(ISERROR(IF(SUM($AK$24:$AK$43) = 0, "", SUM($AK$24:$AK$43))), "", (IF(SUM($AK$24:$AK$43) = 0, "", SUM($AK$24:$AK$43))))</f>
        <v>3625158</v>
      </c>
      <c r="AL23">
        <f ca="1">IF(ISERROR(IF(SUM($AL$24:$AL$43) = 0, "", SUM($AL$24:$AL$43))), "", (IF(SUM($AL$24:$AL$43) = 0, "", SUM($AL$24:$AL$43))))</f>
        <v>3639359</v>
      </c>
      <c r="AM23">
        <f ca="1">IF(ISERROR(IF(SUM($AM$24:$AM$43) = 0, "", SUM($AM$24:$AM$43))), "", (IF(SUM($AM$24:$AM$43) = 0, "", SUM($AM$24:$AM$43))))</f>
        <v>3182831</v>
      </c>
      <c r="AN23">
        <f ca="1">IF(ISERROR(IF(SUM($AN$24:$AN$43) = 0, "", SUM($AN$24:$AN$43))), "", (IF(SUM($AN$24:$AN$43) = 0, "", SUM($AN$24:$AN$43))))</f>
        <v>3002157</v>
      </c>
      <c r="AO23">
        <f ca="1">IF(ISERROR(IF(SUM($AO$24:$AO$43) = 0, "", SUM($AO$24:$AO$43))), "", (IF(SUM($AO$24:$AO$43) = 0, "", SUM($AO$24:$AO$43))))</f>
        <v>3630303</v>
      </c>
      <c r="AP23">
        <f ca="1">IF(ISERROR(IF(SUM($AP$24:$AP$43) = 0, "", SUM($AP$24:$AP$43))), "", (IF(SUM($AP$24:$AP$43) = 0, "", SUM($AP$24:$AP$43))))</f>
        <v>3662370.6666667</v>
      </c>
      <c r="AQ23">
        <f ca="1">IF(ISERROR(IF(SUM($AQ$24:$AQ$43) = 0, "", SUM($AQ$24:$AQ$43))), "", (IF(SUM($AQ$24:$AQ$43) = 0, "", SUM($AQ$24:$AQ$43))))</f>
        <v>3417860</v>
      </c>
      <c r="AR23">
        <f ca="1">IF(ISERROR(IF(SUM($AR$24:$AR$43) = 0, "", SUM($AR$24:$AR$43))), "", (IF(SUM($AR$24:$AR$43) = 0, "", SUM($AR$24:$AR$43))))</f>
        <v>3425766</v>
      </c>
      <c r="AS23">
        <f ca="1">IF(ISERROR(IF(SUM($AS$24:$AS$43) = 0, "", SUM($AS$24:$AS$43))), "", (IF(SUM($AS$24:$AS$43) = 0, "", SUM($AS$24:$AS$43))))</f>
        <v>3896018</v>
      </c>
      <c r="AT23">
        <f ca="1">IF(ISERROR(IF(SUM($AT$24:$AT$43) = 0, "", SUM($AT$24:$AT$43))), "", (IF(SUM($AT$24:$AT$43) = 0, "", SUM($AT$24:$AT$43))))</f>
        <v>3298986</v>
      </c>
      <c r="AU23">
        <f ca="1">IF(ISERROR(IF(SUM($AU$24:$AU$43) = 0, "", SUM($AU$24:$AU$43))), "", (IF(SUM($AU$24:$AU$43) = 0, "", SUM($AU$24:$AU$43))))</f>
        <v>2796241</v>
      </c>
      <c r="AV23">
        <f ca="1">IF(ISERROR(IF(SUM($AV$24:$AV$43) = 0, "", SUM($AV$24:$AV$43))), "", (IF(SUM($AV$24:$AV$43) = 0, "", SUM($AV$24:$AV$43))))</f>
        <v>3170255</v>
      </c>
      <c r="AW23">
        <f ca="1">IF(ISERROR(IF(SUM($AW$24:$AW$43) = 0, "", SUM($AW$24:$AW$43))), "", (IF(SUM($AW$24:$AW$43) = 0, "", SUM($AW$24:$AW$43))))</f>
        <v>3970642</v>
      </c>
      <c r="AX23">
        <f ca="1">IF(ISERROR(IF(SUM($AX$24:$AX$43) = 0, "", SUM($AX$24:$AX$43))), "", (IF(SUM($AX$24:$AX$43) = 0, "", SUM($AX$24:$AX$43))))</f>
        <v>3929992</v>
      </c>
      <c r="AY23">
        <f ca="1">IF(ISERROR(IF(SUM($AY$24:$AY$43) = 0, "", SUM($AY$24:$AY$43))), "", (IF(SUM($AY$24:$AY$43) = 0, "", SUM($AY$24:$AY$43))))</f>
        <v>3541977</v>
      </c>
      <c r="AZ23">
        <f ca="1">IF(ISERROR(IF(SUM($AZ$24:$AZ$43) = 0, "", SUM($AZ$24:$AZ$43))), "", (IF(SUM($AZ$24:$AZ$43) = 0, "", SUM($AZ$24:$AZ$43))))</f>
        <v>3526882</v>
      </c>
      <c r="BA23">
        <f ca="1">IF(ISERROR(IF(SUM($BA$24:$BA$43) = 0, "", SUM($BA$24:$BA$43))), "", (IF(SUM($BA$24:$BA$43) = 0, "", SUM($BA$24:$BA$43))))</f>
        <v>4065532</v>
      </c>
      <c r="BB23">
        <f ca="1">IF(ISERROR(IF(SUM($BB$24:$BB$43) = 0, "", SUM($BB$24:$BB$43))), "", (IF(SUM($BB$24:$BB$43) = 0, "", SUM($BB$24:$BB$43))))</f>
        <v>4016717</v>
      </c>
      <c r="BC23">
        <f ca="1">IF(ISERROR(IF(SUM($BC$24:$BC$43) = 0, "", SUM($BC$24:$BC$43))), "", (IF(SUM($BC$24:$BC$43) = 0, "", SUM($BC$24:$BC$43))))</f>
        <v>3457524</v>
      </c>
      <c r="BD23">
        <f ca="1">IF(ISERROR(IF(SUM($BD$24:$BD$43) = 0, "", SUM($BD$24:$BD$43))), "", (IF(SUM($BD$24:$BD$43) = 0, "", SUM($BD$24:$BD$43))))</f>
        <v>3456239</v>
      </c>
      <c r="BE23">
        <f ca="1">IF(ISERROR(IF(SUM($BE$24:$BE$43) = 0, "", SUM($BE$24:$BE$43))), "", (IF(SUM($BE$24:$BE$43) = 0, "", SUM($BE$24:$BE$43))))</f>
        <v>4147385</v>
      </c>
      <c r="BF23">
        <f ca="1">IF(ISERROR(IF(SUM($BF$24:$BF$43) = 0, "", SUM($BF$24:$BF$43))), "", (IF(SUM($BF$24:$BF$43) = 0, "", SUM($BF$24:$BF$43))))</f>
        <v>4075084</v>
      </c>
      <c r="BG23">
        <f ca="1">IF(ISERROR(IF(SUM($BG$24:$BG$43) = 0, "", SUM($BG$24:$BG$43))), "", (IF(SUM($BG$24:$BG$43) = 0, "", SUM($BG$24:$BG$43))))</f>
        <v>3371679</v>
      </c>
      <c r="BH23">
        <f ca="1">IF(ISERROR(IF(SUM($BH$24:$BH$43) = 0, "", SUM($BH$24:$BH$43))), "", (IF(SUM($BH$24:$BH$43) = 0, "", SUM($BH$24:$BH$43))))</f>
        <v>3557813</v>
      </c>
      <c r="BI23">
        <f ca="1">IF(ISERROR(IF(SUM($BI$24:$BI$43) = 0, "", SUM($BI$24:$BI$43))), "", (IF(SUM($BI$24:$BI$43) = 0, "", SUM($BI$24:$BI$43))))</f>
        <v>4119302</v>
      </c>
      <c r="BJ23">
        <f ca="1">IF(ISERROR(IF(SUM($BJ$24:$BJ$43) = 0, "", SUM($BJ$24:$BJ$43))), "", (IF(SUM($BJ$24:$BJ$43) = 0, "", SUM($BJ$24:$BJ$43))))</f>
        <v>3894538</v>
      </c>
      <c r="BK23">
        <f ca="1">IF(ISERROR(IF(SUM($BK$24:$BK$43) = 0, "", SUM($BK$24:$BK$43))), "", (IF(SUM($BK$24:$BK$43) = 0, "", SUM($BK$24:$BK$43))))</f>
        <v>3325712</v>
      </c>
      <c r="BL23">
        <f ca="1">IF(ISERROR(IF(SUM($BL$24:$BL$43) = 0, "", SUM($BL$24:$BL$43))), "", (IF(SUM($BL$24:$BL$43) = 0, "", SUM($BL$24:$BL$43))))</f>
        <v>3362153</v>
      </c>
      <c r="BM23">
        <f ca="1">IF(ISERROR(IF(SUM($BM$24:$BM$43) = 0, "", SUM($BM$24:$BM$43))), "", (IF(SUM($BM$24:$BM$43) = 0, "", SUM($BM$24:$BM$43))))</f>
        <v>3925099</v>
      </c>
      <c r="BN23">
        <f>1125778</f>
        <v>1125778</v>
      </c>
      <c r="BO23">
        <f>3168363</f>
        <v>3168363</v>
      </c>
      <c r="BP23">
        <f>3370953</f>
        <v>3370953</v>
      </c>
      <c r="BQ23">
        <f>4179332</f>
        <v>4179332</v>
      </c>
      <c r="BR23">
        <f>4038843</f>
        <v>4038843</v>
      </c>
      <c r="BS23">
        <f>3611322</f>
        <v>3611322</v>
      </c>
      <c r="BT23">
        <f>3494890</f>
        <v>3494890</v>
      </c>
      <c r="BU23">
        <f>4049557</f>
        <v>4049557</v>
      </c>
      <c r="BV23">
        <f>4057733</f>
        <v>4057733</v>
      </c>
      <c r="BW23">
        <f>3489139</f>
        <v>3489139</v>
      </c>
      <c r="BX23">
        <f>3394447</f>
        <v>3394447</v>
      </c>
      <c r="BY23">
        <f>4063048</f>
        <v>4063048</v>
      </c>
      <c r="BZ23">
        <f>3792873</f>
        <v>3792873</v>
      </c>
      <c r="CA23">
        <f>3385790</f>
        <v>3385790</v>
      </c>
      <c r="CB23">
        <f>3295124</f>
        <v>3295124</v>
      </c>
      <c r="CC23">
        <f>3719516</f>
        <v>3719516</v>
      </c>
      <c r="CD23">
        <f>3530934</f>
        <v>3530934</v>
      </c>
      <c r="CE23">
        <f>3096779</f>
        <v>3096779</v>
      </c>
      <c r="CF23">
        <f>2987430</f>
        <v>2987430</v>
      </c>
      <c r="CG23">
        <f>3405215</f>
        <v>3405215</v>
      </c>
      <c r="CH23">
        <f>3220023</f>
        <v>3220023</v>
      </c>
      <c r="CI23">
        <f>2981421</f>
        <v>2981421</v>
      </c>
      <c r="CJ23">
        <f>2875915</f>
        <v>2875915</v>
      </c>
      <c r="CK23">
        <f>3323381</f>
        <v>3323381</v>
      </c>
      <c r="CL23">
        <f>3032158</f>
        <v>3032158</v>
      </c>
      <c r="CM23">
        <f>2820167</f>
        <v>2820167</v>
      </c>
      <c r="CN23">
        <f>2796493</f>
        <v>2796493</v>
      </c>
      <c r="CO23">
        <f>3410341</f>
        <v>3410341</v>
      </c>
      <c r="CP23">
        <f>3332204</f>
        <v>3332204</v>
      </c>
      <c r="CQ23">
        <f>3093589.75</f>
        <v>3093589.75</v>
      </c>
      <c r="CR23">
        <f>3051945</f>
        <v>3051945</v>
      </c>
      <c r="CS23">
        <f>3625158</f>
        <v>3625158</v>
      </c>
      <c r="CT23">
        <f>3639359</f>
        <v>3639359</v>
      </c>
      <c r="CU23">
        <f>3182831</f>
        <v>3182831</v>
      </c>
      <c r="CV23">
        <f>3002157</f>
        <v>3002157</v>
      </c>
      <c r="CW23">
        <f>3630303</f>
        <v>3630303</v>
      </c>
      <c r="CX23">
        <f>3662370.667</f>
        <v>3662370.6669999999</v>
      </c>
      <c r="CY23">
        <f>3417860</f>
        <v>3417860</v>
      </c>
      <c r="CZ23">
        <f>3425766</f>
        <v>3425766</v>
      </c>
      <c r="DA23">
        <f>3896018</f>
        <v>3896018</v>
      </c>
      <c r="DB23">
        <f>3298986</f>
        <v>3298986</v>
      </c>
      <c r="DC23">
        <f>2796241</f>
        <v>2796241</v>
      </c>
      <c r="DD23">
        <f>3170255</f>
        <v>3170255</v>
      </c>
      <c r="DE23">
        <f>3970642</f>
        <v>3970642</v>
      </c>
      <c r="DF23">
        <f>3929992</f>
        <v>3929992</v>
      </c>
      <c r="DG23">
        <f>3541977</f>
        <v>3541977</v>
      </c>
      <c r="DH23">
        <f>3526882</f>
        <v>3526882</v>
      </c>
      <c r="DI23">
        <f>4065532</f>
        <v>4065532</v>
      </c>
      <c r="DJ23">
        <f>4016717</f>
        <v>4016717</v>
      </c>
      <c r="DK23">
        <f>3457524</f>
        <v>3457524</v>
      </c>
      <c r="DL23">
        <f>3456239</f>
        <v>3456239</v>
      </c>
      <c r="DM23">
        <f>4147385</f>
        <v>4147385</v>
      </c>
      <c r="DN23">
        <f>4075084</f>
        <v>4075084</v>
      </c>
      <c r="DO23">
        <f>3371679</f>
        <v>3371679</v>
      </c>
      <c r="DP23">
        <f>3557813</f>
        <v>3557813</v>
      </c>
      <c r="DQ23">
        <f>4119302</f>
        <v>4119302</v>
      </c>
      <c r="DR23">
        <f>3894538</f>
        <v>3894538</v>
      </c>
      <c r="DS23">
        <f>3325712</f>
        <v>3325712</v>
      </c>
      <c r="DT23">
        <f>3362153</f>
        <v>3362153</v>
      </c>
      <c r="DU23">
        <f>3925099</f>
        <v>3925099</v>
      </c>
    </row>
    <row r="24" spans="1:125" x14ac:dyDescent="0.25">
      <c r="A24" t="str">
        <f>"            Austria"</f>
        <v xml:space="preserve">            Austria</v>
      </c>
      <c r="B24" t="str">
        <f>"WCARATI Index"</f>
        <v>WCARATI Index</v>
      </c>
      <c r="C24" t="str">
        <f t="shared" ref="C24:C43" si="3">"PX385"</f>
        <v>PX385</v>
      </c>
      <c r="D24" t="str">
        <f t="shared" ref="D24:D43" si="4">"INTERVAL_SUM"</f>
        <v>INTERVAL_SUM</v>
      </c>
      <c r="E24" t="str">
        <f t="shared" ref="E24:E43" si="5">"Dynamic"</f>
        <v>Dynamic</v>
      </c>
      <c r="F24">
        <f ca="1">IF(AND(ISNUMBER($F$176),$B$156=1),$F$176,HLOOKUP(INDIRECT(ADDRESS(2,COLUMN())),OFFSET($BN$2,0,0,ROW()-1,60),ROW()-1,FALSE))</f>
        <v>25257</v>
      </c>
      <c r="G24">
        <f ca="1">IF(AND(ISNUMBER($G$176),$B$156=1),$G$176,HLOOKUP(INDIRECT(ADDRESS(2,COLUMN())),OFFSET($BN$2,0,0,ROW()-1,60),ROW()-1,FALSE))</f>
        <v>65310</v>
      </c>
      <c r="H24">
        <f ca="1">IF(AND(ISNUMBER($H$176),$B$156=1),$H$176,HLOOKUP(INDIRECT(ADDRESS(2,COLUMN())),OFFSET($BN$2,0,0,ROW()-1,60),ROW()-1,FALSE))</f>
        <v>82897</v>
      </c>
      <c r="I24">
        <f ca="1">IF(AND(ISNUMBER($I$176),$B$156=1),$I$176,HLOOKUP(INDIRECT(ADDRESS(2,COLUMN())),OFFSET($BN$2,0,0,ROW()-1,60),ROW()-1,FALSE))</f>
        <v>102387</v>
      </c>
      <c r="J24">
        <f ca="1">IF(AND(ISNUMBER($J$176),$B$156=1),$J$176,HLOOKUP(INDIRECT(ADDRESS(2,COLUMN())),OFFSET($BN$2,0,0,ROW()-1,60),ROW()-1,FALSE))</f>
        <v>90474</v>
      </c>
      <c r="K24">
        <f ca="1">IF(AND(ISNUMBER($K$176),$B$156=1),$K$176,HLOOKUP(INDIRECT(ADDRESS(2,COLUMN())),OFFSET($BN$2,0,0,ROW()-1,60),ROW()-1,FALSE))</f>
        <v>83442</v>
      </c>
      <c r="L24">
        <f ca="1">IF(AND(ISNUMBER($L$176),$B$156=1),$L$176,HLOOKUP(INDIRECT(ADDRESS(2,COLUMN())),OFFSET($BN$2,0,0,ROW()-1,60),ROW()-1,FALSE))</f>
        <v>83317</v>
      </c>
      <c r="M24">
        <f ca="1">IF(AND(ISNUMBER($M$176),$B$156=1),$M$176,HLOOKUP(INDIRECT(ADDRESS(2,COLUMN())),OFFSET($BN$2,0,0,ROW()-1,60),ROW()-1,FALSE))</f>
        <v>98068</v>
      </c>
      <c r="N24">
        <f ca="1">IF(AND(ISNUMBER($N$176),$B$156=1),$N$176,HLOOKUP(INDIRECT(ADDRESS(2,COLUMN())),OFFSET($BN$2,0,0,ROW()-1,60),ROW()-1,FALSE))</f>
        <v>88493</v>
      </c>
      <c r="O24">
        <f ca="1">IF(AND(ISNUMBER($O$176),$B$156=1),$O$176,HLOOKUP(INDIRECT(ADDRESS(2,COLUMN())),OFFSET($BN$2,0,0,ROW()-1,60),ROW()-1,FALSE))</f>
        <v>77426</v>
      </c>
      <c r="P24">
        <f ca="1">IF(AND(ISNUMBER($P$176),$B$156=1),$P$176,HLOOKUP(INDIRECT(ADDRESS(2,COLUMN())),OFFSET($BN$2,0,0,ROW()-1,60),ROW()-1,FALSE))</f>
        <v>80408</v>
      </c>
      <c r="Q24">
        <f ca="1">IF(AND(ISNUMBER($Q$176),$B$156=1),$Q$176,HLOOKUP(INDIRECT(ADDRESS(2,COLUMN())),OFFSET($BN$2,0,0,ROW()-1,60),ROW()-1,FALSE))</f>
        <v>93315</v>
      </c>
      <c r="R24">
        <f ca="1">IF(AND(ISNUMBER($R$176),$B$156=1),$R$176,HLOOKUP(INDIRECT(ADDRESS(2,COLUMN())),OFFSET($BN$2,0,0,ROW()-1,60),ROW()-1,FALSE))</f>
        <v>78455</v>
      </c>
      <c r="S24">
        <f ca="1">IF(AND(ISNUMBER($S$176),$B$156=1),$S$176,HLOOKUP(INDIRECT(ADDRESS(2,COLUMN())),OFFSET($BN$2,0,0,ROW()-1,60),ROW()-1,FALSE))</f>
        <v>71362</v>
      </c>
      <c r="T24">
        <f ca="1">IF(AND(ISNUMBER($T$176),$B$156=1),$T$176,HLOOKUP(INDIRECT(ADDRESS(2,COLUMN())),OFFSET($BN$2,0,0,ROW()-1,60),ROW()-1,FALSE))</f>
        <v>75560</v>
      </c>
      <c r="U24">
        <f ca="1">IF(AND(ISNUMBER($U$176),$B$156=1),$U$176,HLOOKUP(INDIRECT(ADDRESS(2,COLUMN())),OFFSET($BN$2,0,0,ROW()-1,60),ROW()-1,FALSE))</f>
        <v>86479</v>
      </c>
      <c r="V24">
        <f ca="1">IF(AND(ISNUMBER($V$176),$B$156=1),$V$176,HLOOKUP(INDIRECT(ADDRESS(2,COLUMN())),OFFSET($BN$2,0,0,ROW()-1,60),ROW()-1,FALSE))</f>
        <v>75154</v>
      </c>
      <c r="W24">
        <f ca="1">IF(AND(ISNUMBER($W$176),$B$156=1),$W$176,HLOOKUP(INDIRECT(ADDRESS(2,COLUMN())),OFFSET($BN$2,0,0,ROW()-1,60),ROW()-1,FALSE))</f>
        <v>65955</v>
      </c>
      <c r="X24">
        <f ca="1">IF(AND(ISNUMBER($X$176),$B$156=1),$X$176,HLOOKUP(INDIRECT(ADDRESS(2,COLUMN())),OFFSET($BN$2,0,0,ROW()-1,60),ROW()-1,FALSE))</f>
        <v>70756</v>
      </c>
      <c r="Y24">
        <f ca="1">IF(AND(ISNUMBER($Y$176),$B$156=1),$Y$176,HLOOKUP(INDIRECT(ADDRESS(2,COLUMN())),OFFSET($BN$2,0,0,ROW()-1,60),ROW()-1,FALSE))</f>
        <v>85326</v>
      </c>
      <c r="Z24">
        <f ca="1">IF(AND(ISNUMBER($Z$176),$B$156=1),$Z$176,HLOOKUP(INDIRECT(ADDRESS(2,COLUMN())),OFFSET($BN$2,0,0,ROW()-1,60),ROW()-1,FALSE))</f>
        <v>81281</v>
      </c>
      <c r="AA24">
        <f ca="1">IF(AND(ISNUMBER($AA$176),$B$156=1),$AA$176,HLOOKUP(INDIRECT(ADDRESS(2,COLUMN())),OFFSET($BN$2,0,0,ROW()-1,60),ROW()-1,FALSE))</f>
        <v>70924</v>
      </c>
      <c r="AB24">
        <f ca="1">IF(AND(ISNUMBER($AB$176),$B$156=1),$AB$176,HLOOKUP(INDIRECT(ADDRESS(2,COLUMN())),OFFSET($BN$2,0,0,ROW()-1,60),ROW()-1,FALSE))</f>
        <v>76907</v>
      </c>
      <c r="AC24">
        <f ca="1">IF(AND(ISNUMBER($AC$176),$B$156=1),$AC$176,HLOOKUP(INDIRECT(ADDRESS(2,COLUMN())),OFFSET($BN$2,0,0,ROW()-1,60),ROW()-1,FALSE))</f>
        <v>91180</v>
      </c>
      <c r="AD24">
        <f ca="1">IF(AND(ISNUMBER($AD$176),$B$156=1),$AD$176,HLOOKUP(INDIRECT(ADDRESS(2,COLUMN())),OFFSET($BN$2,0,0,ROW()-1,60),ROW()-1,FALSE))</f>
        <v>80024</v>
      </c>
      <c r="AE24">
        <f ca="1">IF(AND(ISNUMBER($AE$176),$B$156=1),$AE$176,HLOOKUP(INDIRECT(ADDRESS(2,COLUMN())),OFFSET($BN$2,0,0,ROW()-1,60),ROW()-1,FALSE))</f>
        <v>69120</v>
      </c>
      <c r="AF24">
        <f ca="1">IF(AND(ISNUMBER($AF$176),$B$156=1),$AF$176,HLOOKUP(INDIRECT(ADDRESS(2,COLUMN())),OFFSET($BN$2,0,0,ROW()-1,60),ROW()-1,FALSE))</f>
        <v>79932</v>
      </c>
      <c r="AG24">
        <f ca="1">IF(AND(ISNUMBER($AG$176),$B$156=1),$AG$176,HLOOKUP(INDIRECT(ADDRESS(2,COLUMN())),OFFSET($BN$2,0,0,ROW()-1,60),ROW()-1,FALSE))</f>
        <v>98194</v>
      </c>
      <c r="AH24">
        <f ca="1">IF(AND(ISNUMBER($AH$176),$B$156=1),$AH$176,HLOOKUP(INDIRECT(ADDRESS(2,COLUMN())),OFFSET($BN$2,0,0,ROW()-1,60),ROW()-1,FALSE))</f>
        <v>88764</v>
      </c>
      <c r="AI24">
        <f ca="1">IF(AND(ISNUMBER($AI$176),$B$156=1),$AI$176,HLOOKUP(INDIRECT(ADDRESS(2,COLUMN())),OFFSET($BN$2,0,0,ROW()-1,60),ROW()-1,FALSE))</f>
        <v>82606</v>
      </c>
      <c r="AJ24">
        <f ca="1">IF(AND(ISNUMBER($AJ$176),$B$156=1),$AJ$176,HLOOKUP(INDIRECT(ADDRESS(2,COLUMN())),OFFSET($BN$2,0,0,ROW()-1,60),ROW()-1,FALSE))</f>
        <v>85946</v>
      </c>
      <c r="AK24">
        <f ca="1">IF(AND(ISNUMBER($AK$176),$B$156=1),$AK$176,HLOOKUP(INDIRECT(ADDRESS(2,COLUMN())),OFFSET($BN$2,0,0,ROW()-1,60),ROW()-1,FALSE))</f>
        <v>99728</v>
      </c>
      <c r="AL24">
        <f ca="1">IF(AND(ISNUMBER($AL$176),$B$156=1),$AL$176,HLOOKUP(INDIRECT(ADDRESS(2,COLUMN())),OFFSET($BN$2,0,0,ROW()-1,60),ROW()-1,FALSE))</f>
        <v>87865</v>
      </c>
      <c r="AM24">
        <f ca="1">IF(AND(ISNUMBER($AM$176),$B$156=1),$AM$176,HLOOKUP(INDIRECT(ADDRESS(2,COLUMN())),OFFSET($BN$2,0,0,ROW()-1,60),ROW()-1,FALSE))</f>
        <v>77103</v>
      </c>
      <c r="AN24">
        <f ca="1">IF(AND(ISNUMBER($AN$176),$B$156=1),$AN$176,HLOOKUP(INDIRECT(ADDRESS(2,COLUMN())),OFFSET($BN$2,0,0,ROW()-1,60),ROW()-1,FALSE))</f>
        <v>81785</v>
      </c>
      <c r="AO24">
        <f ca="1">IF(AND(ISNUMBER($AO$176),$B$156=1),$AO$176,HLOOKUP(INDIRECT(ADDRESS(2,COLUMN())),OFFSET($BN$2,0,0,ROW()-1,60),ROW()-1,FALSE))</f>
        <v>93737</v>
      </c>
      <c r="AP24">
        <f ca="1">IF(AND(ISNUMBER($AP$176),$B$156=1),$AP$176,HLOOKUP(INDIRECT(ADDRESS(2,COLUMN())),OFFSET($BN$2,0,0,ROW()-1,60),ROW()-1,FALSE))</f>
        <v>75938</v>
      </c>
      <c r="AQ24">
        <f ca="1">IF(AND(ISNUMBER($AQ$176),$B$156=1),$AQ$176,HLOOKUP(INDIRECT(ADDRESS(2,COLUMN())),OFFSET($BN$2,0,0,ROW()-1,60),ROW()-1,FALSE))</f>
        <v>71728</v>
      </c>
      <c r="AR24">
        <f ca="1">IF(AND(ISNUMBER($AR$176),$B$156=1),$AR$176,HLOOKUP(INDIRECT(ADDRESS(2,COLUMN())),OFFSET($BN$2,0,0,ROW()-1,60),ROW()-1,FALSE))</f>
        <v>81659</v>
      </c>
      <c r="AS24">
        <f ca="1">IF(AND(ISNUMBER($AS$176),$B$156=1),$AS$176,HLOOKUP(INDIRECT(ADDRESS(2,COLUMN())),OFFSET($BN$2,0,0,ROW()-1,60),ROW()-1,FALSE))</f>
        <v>101720</v>
      </c>
      <c r="AT24">
        <f ca="1">IF(AND(ISNUMBER($AT$176),$B$156=1),$AT$176,HLOOKUP(INDIRECT(ADDRESS(2,COLUMN())),OFFSET($BN$2,0,0,ROW()-1,60),ROW()-1,FALSE))</f>
        <v>64296</v>
      </c>
      <c r="AU24">
        <f ca="1">IF(AND(ISNUMBER($AU$176),$B$156=1),$AU$176,HLOOKUP(INDIRECT(ADDRESS(2,COLUMN())),OFFSET($BN$2,0,0,ROW()-1,60),ROW()-1,FALSE))</f>
        <v>61540</v>
      </c>
      <c r="AV24">
        <f ca="1">IF(AND(ISNUMBER($AV$176),$B$156=1),$AV$176,HLOOKUP(INDIRECT(ADDRESS(2,COLUMN())),OFFSET($BN$2,0,0,ROW()-1,60),ROW()-1,FALSE))</f>
        <v>63489</v>
      </c>
      <c r="AW24">
        <f ca="1">IF(AND(ISNUMBER($AW$176),$B$156=1),$AW$176,HLOOKUP(INDIRECT(ADDRESS(2,COLUMN())),OFFSET($BN$2,0,0,ROW()-1,60),ROW()-1,FALSE))</f>
        <v>94890</v>
      </c>
      <c r="AX24">
        <f ca="1">IF(AND(ISNUMBER($AX$176),$B$156=1),$AX$176,HLOOKUP(INDIRECT(ADDRESS(2,COLUMN())),OFFSET($BN$2,0,0,ROW()-1,60),ROW()-1,FALSE))</f>
        <v>73778</v>
      </c>
      <c r="AY24">
        <f ca="1">IF(AND(ISNUMBER($AY$176),$B$156=1),$AY$176,HLOOKUP(INDIRECT(ADDRESS(2,COLUMN())),OFFSET($BN$2,0,0,ROW()-1,60),ROW()-1,FALSE))</f>
        <v>66641</v>
      </c>
      <c r="AZ24">
        <f ca="1">IF(AND(ISNUMBER($AZ$176),$B$156=1),$AZ$176,HLOOKUP(INDIRECT(ADDRESS(2,COLUMN())),OFFSET($BN$2,0,0,ROW()-1,60),ROW()-1,FALSE))</f>
        <v>66960</v>
      </c>
      <c r="BA24">
        <f ca="1">IF(AND(ISNUMBER($BA$176),$B$156=1),$BA$176,HLOOKUP(INDIRECT(ADDRESS(2,COLUMN())),OFFSET($BN$2,0,0,ROW()-1,60),ROW()-1,FALSE))</f>
        <v>89262</v>
      </c>
      <c r="BB24">
        <f ca="1">IF(AND(ISNUMBER($BB$176),$B$156=1),$BB$176,HLOOKUP(INDIRECT(ADDRESS(2,COLUMN())),OFFSET($BN$2,0,0,ROW()-1,60),ROW()-1,FALSE))</f>
        <v>75319</v>
      </c>
      <c r="BC24">
        <f ca="1">IF(AND(ISNUMBER($BC$176),$B$156=1),$BC$176,HLOOKUP(INDIRECT(ADDRESS(2,COLUMN())),OFFSET($BN$2,0,0,ROW()-1,60),ROW()-1,FALSE))</f>
        <v>66549</v>
      </c>
      <c r="BD24">
        <f ca="1">IF(AND(ISNUMBER($BD$176),$B$156=1),$BD$176,HLOOKUP(INDIRECT(ADDRESS(2,COLUMN())),OFFSET($BN$2,0,0,ROW()-1,60),ROW()-1,FALSE))</f>
        <v>72699</v>
      </c>
      <c r="BE24">
        <f ca="1">IF(AND(ISNUMBER($BE$176),$B$156=1),$BE$176,HLOOKUP(INDIRECT(ADDRESS(2,COLUMN())),OFFSET($BN$2,0,0,ROW()-1,60),ROW()-1,FALSE))</f>
        <v>91347</v>
      </c>
      <c r="BF24">
        <f ca="1">IF(AND(ISNUMBER($BF$176),$B$156=1),$BF$176,HLOOKUP(INDIRECT(ADDRESS(2,COLUMN())),OFFSET($BN$2,0,0,ROW()-1,60),ROW()-1,FALSE))</f>
        <v>77999</v>
      </c>
      <c r="BG24">
        <f ca="1">IF(AND(ISNUMBER($BG$176),$B$156=1),$BG$176,HLOOKUP(INDIRECT(ADDRESS(2,COLUMN())),OFFSET($BN$2,0,0,ROW()-1,60),ROW()-1,FALSE))</f>
        <v>63640</v>
      </c>
      <c r="BH24">
        <f ca="1">IF(AND(ISNUMBER($BH$176),$B$156=1),$BH$176,HLOOKUP(INDIRECT(ADDRESS(2,COLUMN())),OFFSET($BN$2,0,0,ROW()-1,60),ROW()-1,FALSE))</f>
        <v>73064</v>
      </c>
      <c r="BI24">
        <f ca="1">IF(AND(ISNUMBER($BI$176),$B$156=1),$BI$176,HLOOKUP(INDIRECT(ADDRESS(2,COLUMN())),OFFSET($BN$2,0,0,ROW()-1,60),ROW()-1,FALSE))</f>
        <v>96617</v>
      </c>
      <c r="BJ24">
        <f ca="1">IF(AND(ISNUMBER($BJ$176),$B$156=1),$BJ$176,HLOOKUP(INDIRECT(ADDRESS(2,COLUMN())),OFFSET($BN$2,0,0,ROW()-1,60),ROW()-1,FALSE))</f>
        <v>74594</v>
      </c>
      <c r="BK24">
        <f ca="1">IF(AND(ISNUMBER($BK$176),$B$156=1),$BK$176,HLOOKUP(INDIRECT(ADDRESS(2,COLUMN())),OFFSET($BN$2,0,0,ROW()-1,60),ROW()-1,FALSE))</f>
        <v>67363</v>
      </c>
      <c r="BL24">
        <f ca="1">IF(AND(ISNUMBER($BL$176),$B$156=1),$BL$176,HLOOKUP(INDIRECT(ADDRESS(2,COLUMN())),OFFSET($BN$2,0,0,ROW()-1,60),ROW()-1,FALSE))</f>
        <v>74016</v>
      </c>
      <c r="BM24">
        <f ca="1">IF(AND(ISNUMBER($BM$176),$B$156=1),$BM$176,HLOOKUP(INDIRECT(ADDRESS(2,COLUMN())),OFFSET($BN$2,0,0,ROW()-1,60),ROW()-1,FALSE))</f>
        <v>94297</v>
      </c>
      <c r="BN24">
        <f>25257</f>
        <v>25257</v>
      </c>
      <c r="BO24">
        <f>65310</f>
        <v>65310</v>
      </c>
      <c r="BP24">
        <f>82897</f>
        <v>82897</v>
      </c>
      <c r="BQ24">
        <f>102387</f>
        <v>102387</v>
      </c>
      <c r="BR24">
        <f>90474</f>
        <v>90474</v>
      </c>
      <c r="BS24">
        <f>83442</f>
        <v>83442</v>
      </c>
      <c r="BT24">
        <f>83317</f>
        <v>83317</v>
      </c>
      <c r="BU24">
        <f>98068</f>
        <v>98068</v>
      </c>
      <c r="BV24">
        <f>88493</f>
        <v>88493</v>
      </c>
      <c r="BW24">
        <f>77426</f>
        <v>77426</v>
      </c>
      <c r="BX24">
        <f>80408</f>
        <v>80408</v>
      </c>
      <c r="BY24">
        <f>93315</f>
        <v>93315</v>
      </c>
      <c r="BZ24">
        <f>78455</f>
        <v>78455</v>
      </c>
      <c r="CA24">
        <f>71362</f>
        <v>71362</v>
      </c>
      <c r="CB24">
        <f>75560</f>
        <v>75560</v>
      </c>
      <c r="CC24">
        <f>86479</f>
        <v>86479</v>
      </c>
      <c r="CD24">
        <f>75154</f>
        <v>75154</v>
      </c>
      <c r="CE24">
        <f>65955</f>
        <v>65955</v>
      </c>
      <c r="CF24">
        <f>70756</f>
        <v>70756</v>
      </c>
      <c r="CG24">
        <f>85326</f>
        <v>85326</v>
      </c>
      <c r="CH24">
        <f>81281</f>
        <v>81281</v>
      </c>
      <c r="CI24">
        <f>70924</f>
        <v>70924</v>
      </c>
      <c r="CJ24">
        <f>76907</f>
        <v>76907</v>
      </c>
      <c r="CK24">
        <f>91180</f>
        <v>91180</v>
      </c>
      <c r="CL24">
        <f>80024</f>
        <v>80024</v>
      </c>
      <c r="CM24">
        <f>69120</f>
        <v>69120</v>
      </c>
      <c r="CN24">
        <f>79932</f>
        <v>79932</v>
      </c>
      <c r="CO24">
        <f>98194</f>
        <v>98194</v>
      </c>
      <c r="CP24">
        <f>88764</f>
        <v>88764</v>
      </c>
      <c r="CQ24">
        <f>82606</f>
        <v>82606</v>
      </c>
      <c r="CR24">
        <f>85946</f>
        <v>85946</v>
      </c>
      <c r="CS24">
        <f>99728</f>
        <v>99728</v>
      </c>
      <c r="CT24">
        <f>87865</f>
        <v>87865</v>
      </c>
      <c r="CU24">
        <f>77103</f>
        <v>77103</v>
      </c>
      <c r="CV24">
        <f>81785</f>
        <v>81785</v>
      </c>
      <c r="CW24">
        <f>93737</f>
        <v>93737</v>
      </c>
      <c r="CX24">
        <f>75938</f>
        <v>75938</v>
      </c>
      <c r="CY24">
        <f>71728</f>
        <v>71728</v>
      </c>
      <c r="CZ24">
        <f>81659</f>
        <v>81659</v>
      </c>
      <c r="DA24">
        <f>101720</f>
        <v>101720</v>
      </c>
      <c r="DB24">
        <f>64296</f>
        <v>64296</v>
      </c>
      <c r="DC24">
        <f>61540</f>
        <v>61540</v>
      </c>
      <c r="DD24">
        <f>63489</f>
        <v>63489</v>
      </c>
      <c r="DE24">
        <f>94890</f>
        <v>94890</v>
      </c>
      <c r="DF24">
        <f>73778</f>
        <v>73778</v>
      </c>
      <c r="DG24">
        <f>66641</f>
        <v>66641</v>
      </c>
      <c r="DH24">
        <f>66960</f>
        <v>66960</v>
      </c>
      <c r="DI24">
        <f>89262</f>
        <v>89262</v>
      </c>
      <c r="DJ24">
        <f>75319</f>
        <v>75319</v>
      </c>
      <c r="DK24">
        <f>66549</f>
        <v>66549</v>
      </c>
      <c r="DL24">
        <f>72699</f>
        <v>72699</v>
      </c>
      <c r="DM24">
        <f>91347</f>
        <v>91347</v>
      </c>
      <c r="DN24">
        <f>77999</f>
        <v>77999</v>
      </c>
      <c r="DO24">
        <f>63640</f>
        <v>63640</v>
      </c>
      <c r="DP24">
        <f>73064</f>
        <v>73064</v>
      </c>
      <c r="DQ24">
        <f>96617</f>
        <v>96617</v>
      </c>
      <c r="DR24">
        <f>74594</f>
        <v>74594</v>
      </c>
      <c r="DS24">
        <f>67363</f>
        <v>67363</v>
      </c>
      <c r="DT24">
        <f>74016</f>
        <v>74016</v>
      </c>
      <c r="DU24">
        <f>94297</f>
        <v>94297</v>
      </c>
    </row>
    <row r="25" spans="1:125" x14ac:dyDescent="0.25">
      <c r="A25" t="str">
        <f>"            Belgium"</f>
        <v xml:space="preserve">            Belgium</v>
      </c>
      <c r="B25" t="str">
        <f>"WCARBEI Index"</f>
        <v>WCARBEI Index</v>
      </c>
      <c r="C25" t="str">
        <f t="shared" si="3"/>
        <v>PX385</v>
      </c>
      <c r="D25" t="str">
        <f t="shared" si="4"/>
        <v>INTERVAL_SUM</v>
      </c>
      <c r="E25" t="str">
        <f t="shared" si="5"/>
        <v>Dynamic</v>
      </c>
      <c r="F25">
        <f ca="1">IF(AND(ISNUMBER($F$177),$B$156=1),$F$177,HLOOKUP(INDIRECT(ADDRESS(2,COLUMN())),OFFSET($BN$2,0,0,ROW()-1,60),ROW()-1,FALSE))</f>
        <v>51074</v>
      </c>
      <c r="G25">
        <f ca="1">IF(AND(ISNUMBER($G$177),$B$156=1),$G$177,HLOOKUP(INDIRECT(ADDRESS(2,COLUMN())),OFFSET($BN$2,0,0,ROW()-1,60),ROW()-1,FALSE))</f>
        <v>93910</v>
      </c>
      <c r="H25">
        <f ca="1">IF(AND(ISNUMBER($H$177),$B$156=1),$H$177,HLOOKUP(INDIRECT(ADDRESS(2,COLUMN())),OFFSET($BN$2,0,0,ROW()-1,60),ROW()-1,FALSE))</f>
        <v>124353</v>
      </c>
      <c r="I25">
        <f ca="1">IF(AND(ISNUMBER($I$177),$B$156=1),$I$177,HLOOKUP(INDIRECT(ADDRESS(2,COLUMN())),OFFSET($BN$2,0,0,ROW()-1,60),ROW()-1,FALSE))</f>
        <v>165812</v>
      </c>
      <c r="J25">
        <f ca="1">IF(AND(ISNUMBER($J$177),$B$156=1),$J$177,HLOOKUP(INDIRECT(ADDRESS(2,COLUMN())),OFFSET($BN$2,0,0,ROW()-1,60),ROW()-1,FALSE))</f>
        <v>165557</v>
      </c>
      <c r="K25">
        <f ca="1">IF(AND(ISNUMBER($K$177),$B$156=1),$K$177,HLOOKUP(INDIRECT(ADDRESS(2,COLUMN())),OFFSET($BN$2,0,0,ROW()-1,60),ROW()-1,FALSE))</f>
        <v>111217</v>
      </c>
      <c r="L25">
        <f ca="1">IF(AND(ISNUMBER($L$177),$B$156=1),$L$177,HLOOKUP(INDIRECT(ADDRESS(2,COLUMN())),OFFSET($BN$2,0,0,ROW()-1,60),ROW()-1,FALSE))</f>
        <v>113039</v>
      </c>
      <c r="M25">
        <f ca="1">IF(AND(ISNUMBER($M$177),$B$156=1),$M$177,HLOOKUP(INDIRECT(ADDRESS(2,COLUMN())),OFFSET($BN$2,0,0,ROW()-1,60),ROW()-1,FALSE))</f>
        <v>157593</v>
      </c>
      <c r="N25">
        <f ca="1">IF(AND(ISNUMBER($N$177),$B$156=1),$N$177,HLOOKUP(INDIRECT(ADDRESS(2,COLUMN())),OFFSET($BN$2,0,0,ROW()-1,60),ROW()-1,FALSE))</f>
        <v>164709</v>
      </c>
      <c r="O25">
        <f ca="1">IF(AND(ISNUMBER($O$177),$B$156=1),$O$177,HLOOKUP(INDIRECT(ADDRESS(2,COLUMN())),OFFSET($BN$2,0,0,ROW()-1,60),ROW()-1,FALSE))</f>
        <v>115137</v>
      </c>
      <c r="P25">
        <f ca="1">IF(AND(ISNUMBER($P$177),$B$156=1),$P$177,HLOOKUP(INDIRECT(ADDRESS(2,COLUMN())),OFFSET($BN$2,0,0,ROW()-1,60),ROW()-1,FALSE))</f>
        <v>114776</v>
      </c>
      <c r="Q25">
        <f ca="1">IF(AND(ISNUMBER($Q$177),$B$156=1),$Q$177,HLOOKUP(INDIRECT(ADDRESS(2,COLUMN())),OFFSET($BN$2,0,0,ROW()-1,60),ROW()-1,FALSE))</f>
        <v>159150</v>
      </c>
      <c r="R25">
        <f ca="1">IF(AND(ISNUMBER($R$177),$B$156=1),$R$177,HLOOKUP(INDIRECT(ADDRESS(2,COLUMN())),OFFSET($BN$2,0,0,ROW()-1,60),ROW()-1,FALSE))</f>
        <v>150456</v>
      </c>
      <c r="S25">
        <f ca="1">IF(AND(ISNUMBER($S$177),$B$156=1),$S$177,HLOOKUP(INDIRECT(ADDRESS(2,COLUMN())),OFFSET($BN$2,0,0,ROW()-1,60),ROW()-1,FALSE))</f>
        <v>108544</v>
      </c>
      <c r="T25">
        <f ca="1">IF(AND(ISNUMBER($T$177),$B$156=1),$T$177,HLOOKUP(INDIRECT(ADDRESS(2,COLUMN())),OFFSET($BN$2,0,0,ROW()-1,60),ROW()-1,FALSE))</f>
        <v>104098</v>
      </c>
      <c r="U25">
        <f ca="1">IF(AND(ISNUMBER($U$177),$B$156=1),$U$177,HLOOKUP(INDIRECT(ADDRESS(2,COLUMN())),OFFSET($BN$2,0,0,ROW()-1,60),ROW()-1,FALSE))</f>
        <v>141351</v>
      </c>
      <c r="V25">
        <f ca="1">IF(AND(ISNUMBER($V$177),$B$156=1),$V$177,HLOOKUP(INDIRECT(ADDRESS(2,COLUMN())),OFFSET($BN$2,0,0,ROW()-1,60),ROW()-1,FALSE))</f>
        <v>147073</v>
      </c>
      <c r="W25">
        <f ca="1">IF(AND(ISNUMBER($W$177),$B$156=1),$W$177,HLOOKUP(INDIRECT(ADDRESS(2,COLUMN())),OFFSET($BN$2,0,0,ROW()-1,60),ROW()-1,FALSE))</f>
        <v>94844</v>
      </c>
      <c r="X25">
        <f ca="1">IF(AND(ISNUMBER($X$177),$B$156=1),$X$177,HLOOKUP(INDIRECT(ADDRESS(2,COLUMN())),OFFSET($BN$2,0,0,ROW()-1,60),ROW()-1,FALSE))</f>
        <v>100271</v>
      </c>
      <c r="Y25">
        <f ca="1">IF(AND(ISNUMBER($Y$177),$B$156=1),$Y$177,HLOOKUP(INDIRECT(ADDRESS(2,COLUMN())),OFFSET($BN$2,0,0,ROW()-1,60),ROW()-1,FALSE))</f>
        <v>139292</v>
      </c>
      <c r="Z25">
        <f ca="1">IF(AND(ISNUMBER($Z$177),$B$156=1),$Z$177,HLOOKUP(INDIRECT(ADDRESS(2,COLUMN())),OFFSET($BN$2,0,0,ROW()-1,60),ROW()-1,FALSE))</f>
        <v>148532</v>
      </c>
      <c r="AA25">
        <f ca="1">IF(AND(ISNUMBER($AA$177),$B$156=1),$AA$177,HLOOKUP(INDIRECT(ADDRESS(2,COLUMN())),OFFSET($BN$2,0,0,ROW()-1,60),ROW()-1,FALSE))</f>
        <v>96594</v>
      </c>
      <c r="AB25">
        <f ca="1">IF(AND(ISNUMBER($AB$177),$B$156=1),$AB$177,HLOOKUP(INDIRECT(ADDRESS(2,COLUMN())),OFFSET($BN$2,0,0,ROW()-1,60),ROW()-1,FALSE))</f>
        <v>99598</v>
      </c>
      <c r="AC25">
        <f ca="1">IF(AND(ISNUMBER($AC$177),$B$156=1),$AC$177,HLOOKUP(INDIRECT(ADDRESS(2,COLUMN())),OFFSET($BN$2,0,0,ROW()-1,60),ROW()-1,FALSE))</f>
        <v>140713</v>
      </c>
      <c r="AD25">
        <f ca="1">IF(AND(ISNUMBER($AD$177),$B$156=1),$AD$177,HLOOKUP(INDIRECT(ADDRESS(2,COLUMN())),OFFSET($BN$2,0,0,ROW()-1,60),ROW()-1,FALSE))</f>
        <v>149160</v>
      </c>
      <c r="AE25">
        <f ca="1">IF(AND(ISNUMBER($AE$177),$B$156=1),$AE$177,HLOOKUP(INDIRECT(ADDRESS(2,COLUMN())),OFFSET($BN$2,0,0,ROW()-1,60),ROW()-1,FALSE))</f>
        <v>100004</v>
      </c>
      <c r="AF25">
        <f ca="1">IF(AND(ISNUMBER($AF$177),$B$156=1),$AF$177,HLOOKUP(INDIRECT(ADDRESS(2,COLUMN())),OFFSET($BN$2,0,0,ROW()-1,60),ROW()-1,FALSE))</f>
        <v>101617</v>
      </c>
      <c r="AG25">
        <f ca="1">IF(AND(ISNUMBER($AG$177),$B$156=1),$AG$177,HLOOKUP(INDIRECT(ADDRESS(2,COLUMN())),OFFSET($BN$2,0,0,ROW()-1,60),ROW()-1,FALSE))</f>
        <v>136753</v>
      </c>
      <c r="AH25">
        <f ca="1">IF(AND(ISNUMBER($AH$177),$B$156=1),$AH$177,HLOOKUP(INDIRECT(ADDRESS(2,COLUMN())),OFFSET($BN$2,0,0,ROW()-1,60),ROW()-1,FALSE))</f>
        <v>148363</v>
      </c>
      <c r="AI25">
        <f ca="1">IF(AND(ISNUMBER($AI$177),$B$156=1),$AI$177,HLOOKUP(INDIRECT(ADDRESS(2,COLUMN())),OFFSET($BN$2,0,0,ROW()-1,60),ROW()-1,FALSE))</f>
        <v>131665</v>
      </c>
      <c r="AJ25">
        <f ca="1">IF(AND(ISNUMBER($AJ$177),$B$156=1),$AJ$177,HLOOKUP(INDIRECT(ADDRESS(2,COLUMN())),OFFSET($BN$2,0,0,ROW()-1,60),ROW()-1,FALSE))</f>
        <v>114101</v>
      </c>
      <c r="AK25">
        <f ca="1">IF(AND(ISNUMBER($AK$177),$B$156=1),$AK$177,HLOOKUP(INDIRECT(ADDRESS(2,COLUMN())),OFFSET($BN$2,0,0,ROW()-1,60),ROW()-1,FALSE))</f>
        <v>156541</v>
      </c>
      <c r="AL25">
        <f ca="1">IF(AND(ISNUMBER($AL$177),$B$156=1),$AL$177,HLOOKUP(INDIRECT(ADDRESS(2,COLUMN())),OFFSET($BN$2,0,0,ROW()-1,60),ROW()-1,FALSE))</f>
        <v>169904</v>
      </c>
      <c r="AM25">
        <f ca="1">IF(AND(ISNUMBER($AM$177),$B$156=1),$AM$177,HLOOKUP(INDIRECT(ADDRESS(2,COLUMN())),OFFSET($BN$2,0,0,ROW()-1,60),ROW()-1,FALSE))</f>
        <v>113350</v>
      </c>
      <c r="AN25">
        <f ca="1">IF(AND(ISNUMBER($AN$177),$B$156=1),$AN$177,HLOOKUP(INDIRECT(ADDRESS(2,COLUMN())),OFFSET($BN$2,0,0,ROW()-1,60),ROW()-1,FALSE))</f>
        <v>113794</v>
      </c>
      <c r="AO25">
        <f ca="1">IF(AND(ISNUMBER($AO$177),$B$156=1),$AO$177,HLOOKUP(INDIRECT(ADDRESS(2,COLUMN())),OFFSET($BN$2,0,0,ROW()-1,60),ROW()-1,FALSE))</f>
        <v>158906</v>
      </c>
      <c r="AP25">
        <f ca="1">IF(AND(ISNUMBER($AP$177),$B$156=1),$AP$177,HLOOKUP(INDIRECT(ADDRESS(2,COLUMN())),OFFSET($BN$2,0,0,ROW()-1,60),ROW()-1,FALSE))</f>
        <v>161290</v>
      </c>
      <c r="AQ25">
        <f ca="1">IF(AND(ISNUMBER($AQ$177),$B$156=1),$AQ$177,HLOOKUP(INDIRECT(ADDRESS(2,COLUMN())),OFFSET($BN$2,0,0,ROW()-1,60),ROW()-1,FALSE))</f>
        <v>101311</v>
      </c>
      <c r="AR25">
        <f ca="1">IF(AND(ISNUMBER($AR$177),$B$156=1),$AR$177,HLOOKUP(INDIRECT(ADDRESS(2,COLUMN())),OFFSET($BN$2,0,0,ROW()-1,60),ROW()-1,FALSE))</f>
        <v>101678</v>
      </c>
      <c r="AS25">
        <f ca="1">IF(AND(ISNUMBER($AS$177),$B$156=1),$AS$177,HLOOKUP(INDIRECT(ADDRESS(2,COLUMN())),OFFSET($BN$2,0,0,ROW()-1,60),ROW()-1,FALSE))</f>
        <v>129353</v>
      </c>
      <c r="AT25">
        <f ca="1">IF(AND(ISNUMBER($AT$177),$B$156=1),$AT$177,HLOOKUP(INDIRECT(ADDRESS(2,COLUMN())),OFFSET($BN$2,0,0,ROW()-1,60),ROW()-1,FALSE))</f>
        <v>143852</v>
      </c>
      <c r="AU25">
        <f ca="1">IF(AND(ISNUMBER($AU$177),$B$156=1),$AU$177,HLOOKUP(INDIRECT(ADDRESS(2,COLUMN())),OFFSET($BN$2,0,0,ROW()-1,60),ROW()-1,FALSE))</f>
        <v>95216</v>
      </c>
      <c r="AV25">
        <f ca="1">IF(AND(ISNUMBER($AV$177),$B$156=1),$AV$177,HLOOKUP(INDIRECT(ADDRESS(2,COLUMN())),OFFSET($BN$2,0,0,ROW()-1,60),ROW()-1,FALSE))</f>
        <v>110034</v>
      </c>
      <c r="AW25">
        <f ca="1">IF(AND(ISNUMBER($AW$177),$B$156=1),$AW$177,HLOOKUP(INDIRECT(ADDRESS(2,COLUMN())),OFFSET($BN$2,0,0,ROW()-1,60),ROW()-1,FALSE))</f>
        <v>160833</v>
      </c>
      <c r="AX25">
        <f ca="1">IF(AND(ISNUMBER($AX$177),$B$156=1),$AX$177,HLOOKUP(INDIRECT(ADDRESS(2,COLUMN())),OFFSET($BN$2,0,0,ROW()-1,60),ROW()-1,FALSE))</f>
        <v>169864</v>
      </c>
      <c r="AY25">
        <f ca="1">IF(AND(ISNUMBER($AY$177),$B$156=1),$AY$177,HLOOKUP(INDIRECT(ADDRESS(2,COLUMN())),OFFSET($BN$2,0,0,ROW()-1,60),ROW()-1,FALSE))</f>
        <v>106196</v>
      </c>
      <c r="AZ25">
        <f ca="1">IF(AND(ISNUMBER($AZ$177),$B$156=1),$AZ$177,HLOOKUP(INDIRECT(ADDRESS(2,COLUMN())),OFFSET($BN$2,0,0,ROW()-1,60),ROW()-1,FALSE))</f>
        <v>110090</v>
      </c>
      <c r="BA25">
        <f ca="1">IF(AND(ISNUMBER($BA$177),$B$156=1),$BA$177,HLOOKUP(INDIRECT(ADDRESS(2,COLUMN())),OFFSET($BN$2,0,0,ROW()-1,60),ROW()-1,FALSE))</f>
        <v>144651</v>
      </c>
      <c r="BB25">
        <f ca="1">IF(AND(ISNUMBER($BB$177),$B$156=1),$BB$177,HLOOKUP(INDIRECT(ADDRESS(2,COLUMN())),OFFSET($BN$2,0,0,ROW()-1,60),ROW()-1,FALSE))</f>
        <v>163858</v>
      </c>
      <c r="BC25">
        <f ca="1">IF(AND(ISNUMBER($BC$177),$B$156=1),$BC$177,HLOOKUP(INDIRECT(ADDRESS(2,COLUMN())),OFFSET($BN$2,0,0,ROW()-1,60),ROW()-1,FALSE))</f>
        <v>97164</v>
      </c>
      <c r="BD25">
        <f ca="1">IF(AND(ISNUMBER($BD$177),$B$156=1),$BD$177,HLOOKUP(INDIRECT(ADDRESS(2,COLUMN())),OFFSET($BN$2,0,0,ROW()-1,60),ROW()-1,FALSE))</f>
        <v>103366</v>
      </c>
      <c r="BE25">
        <f ca="1">IF(AND(ISNUMBER($BE$177),$B$156=1),$BE$177,HLOOKUP(INDIRECT(ADDRESS(2,COLUMN())),OFFSET($BN$2,0,0,ROW()-1,60),ROW()-1,FALSE))</f>
        <v>147966</v>
      </c>
      <c r="BF25">
        <f ca="1">IF(AND(ISNUMBER($BF$177),$B$156=1),$BF$177,HLOOKUP(INDIRECT(ADDRESS(2,COLUMN())),OFFSET($BN$2,0,0,ROW()-1,60),ROW()-1,FALSE))</f>
        <v>177645</v>
      </c>
      <c r="BG25">
        <f ca="1">IF(AND(ISNUMBER($BG$177),$B$156=1),$BG$177,HLOOKUP(INDIRECT(ADDRESS(2,COLUMN())),OFFSET($BN$2,0,0,ROW()-1,60),ROW()-1,FALSE))</f>
        <v>92853</v>
      </c>
      <c r="BH25">
        <f ca="1">IF(AND(ISNUMBER($BH$177),$B$156=1),$BH$177,HLOOKUP(INDIRECT(ADDRESS(2,COLUMN())),OFFSET($BN$2,0,0,ROW()-1,60),ROW()-1,FALSE))</f>
        <v>100838</v>
      </c>
      <c r="BI25">
        <f ca="1">IF(AND(ISNUMBER($BI$177),$B$156=1),$BI$177,HLOOKUP(INDIRECT(ADDRESS(2,COLUMN())),OFFSET($BN$2,0,0,ROW()-1,60),ROW()-1,FALSE))</f>
        <v>138399</v>
      </c>
      <c r="BJ25">
        <f ca="1">IF(AND(ISNUMBER($BJ$177),$B$156=1),$BJ$177,HLOOKUP(INDIRECT(ADDRESS(2,COLUMN())),OFFSET($BN$2,0,0,ROW()-1,60),ROW()-1,FALSE))</f>
        <v>147998</v>
      </c>
      <c r="BK25">
        <f ca="1">IF(AND(ISNUMBER($BK$177),$B$156=1),$BK$177,HLOOKUP(INDIRECT(ADDRESS(2,COLUMN())),OFFSET($BN$2,0,0,ROW()-1,60),ROW()-1,FALSE))</f>
        <v>97158</v>
      </c>
      <c r="BL25">
        <f ca="1">IF(AND(ISNUMBER($BL$177),$B$156=1),$BL$177,HLOOKUP(INDIRECT(ADDRESS(2,COLUMN())),OFFSET($BN$2,0,0,ROW()-1,60),ROW()-1,FALSE))</f>
        <v>94328</v>
      </c>
      <c r="BM25">
        <f ca="1">IF(AND(ISNUMBER($BM$177),$B$156=1),$BM$177,HLOOKUP(INDIRECT(ADDRESS(2,COLUMN())),OFFSET($BN$2,0,0,ROW()-1,60),ROW()-1,FALSE))</f>
        <v>135594</v>
      </c>
      <c r="BN25">
        <f>51074</f>
        <v>51074</v>
      </c>
      <c r="BO25">
        <f>93910</f>
        <v>93910</v>
      </c>
      <c r="BP25">
        <f>124353</f>
        <v>124353</v>
      </c>
      <c r="BQ25">
        <f>165812</f>
        <v>165812</v>
      </c>
      <c r="BR25">
        <f>165557</f>
        <v>165557</v>
      </c>
      <c r="BS25">
        <f>111217</f>
        <v>111217</v>
      </c>
      <c r="BT25">
        <f>113039</f>
        <v>113039</v>
      </c>
      <c r="BU25">
        <f>157593</f>
        <v>157593</v>
      </c>
      <c r="BV25">
        <f>164709</f>
        <v>164709</v>
      </c>
      <c r="BW25">
        <f>115137</f>
        <v>115137</v>
      </c>
      <c r="BX25">
        <f>114776</f>
        <v>114776</v>
      </c>
      <c r="BY25">
        <f>159150</f>
        <v>159150</v>
      </c>
      <c r="BZ25">
        <f>150456</f>
        <v>150456</v>
      </c>
      <c r="CA25">
        <f>108544</f>
        <v>108544</v>
      </c>
      <c r="CB25">
        <f>104098</f>
        <v>104098</v>
      </c>
      <c r="CC25">
        <f>141351</f>
        <v>141351</v>
      </c>
      <c r="CD25">
        <f>147073</f>
        <v>147073</v>
      </c>
      <c r="CE25">
        <f>94844</f>
        <v>94844</v>
      </c>
      <c r="CF25">
        <f>100271</f>
        <v>100271</v>
      </c>
      <c r="CG25">
        <f>139292</f>
        <v>139292</v>
      </c>
      <c r="CH25">
        <f>148532</f>
        <v>148532</v>
      </c>
      <c r="CI25">
        <f>96594</f>
        <v>96594</v>
      </c>
      <c r="CJ25">
        <f>99598</f>
        <v>99598</v>
      </c>
      <c r="CK25">
        <f>140713</f>
        <v>140713</v>
      </c>
      <c r="CL25">
        <f>149160</f>
        <v>149160</v>
      </c>
      <c r="CM25">
        <f>100004</f>
        <v>100004</v>
      </c>
      <c r="CN25">
        <f>101617</f>
        <v>101617</v>
      </c>
      <c r="CO25">
        <f>136753</f>
        <v>136753</v>
      </c>
      <c r="CP25">
        <f>148363</f>
        <v>148363</v>
      </c>
      <c r="CQ25">
        <f>131665</f>
        <v>131665</v>
      </c>
      <c r="CR25">
        <f>114101</f>
        <v>114101</v>
      </c>
      <c r="CS25">
        <f>156541</f>
        <v>156541</v>
      </c>
      <c r="CT25">
        <f>169904</f>
        <v>169904</v>
      </c>
      <c r="CU25">
        <f>113350</f>
        <v>113350</v>
      </c>
      <c r="CV25">
        <f>113794</f>
        <v>113794</v>
      </c>
      <c r="CW25">
        <f>158906</f>
        <v>158906</v>
      </c>
      <c r="CX25">
        <f>161290</f>
        <v>161290</v>
      </c>
      <c r="CY25">
        <f>101311</f>
        <v>101311</v>
      </c>
      <c r="CZ25">
        <f>101678</f>
        <v>101678</v>
      </c>
      <c r="DA25">
        <f>129353</f>
        <v>129353</v>
      </c>
      <c r="DB25">
        <f>143852</f>
        <v>143852</v>
      </c>
      <c r="DC25">
        <f>95216</f>
        <v>95216</v>
      </c>
      <c r="DD25">
        <f>110034</f>
        <v>110034</v>
      </c>
      <c r="DE25">
        <f>160833</f>
        <v>160833</v>
      </c>
      <c r="DF25">
        <f>169864</f>
        <v>169864</v>
      </c>
      <c r="DG25">
        <f>106196</f>
        <v>106196</v>
      </c>
      <c r="DH25">
        <f>110090</f>
        <v>110090</v>
      </c>
      <c r="DI25">
        <f>144651</f>
        <v>144651</v>
      </c>
      <c r="DJ25">
        <f>163858</f>
        <v>163858</v>
      </c>
      <c r="DK25">
        <f>97164</f>
        <v>97164</v>
      </c>
      <c r="DL25">
        <f>103366</f>
        <v>103366</v>
      </c>
      <c r="DM25">
        <f>147966</f>
        <v>147966</v>
      </c>
      <c r="DN25">
        <f>177645</f>
        <v>177645</v>
      </c>
      <c r="DO25">
        <f>92853</f>
        <v>92853</v>
      </c>
      <c r="DP25">
        <f>100838</f>
        <v>100838</v>
      </c>
      <c r="DQ25">
        <f>138399</f>
        <v>138399</v>
      </c>
      <c r="DR25">
        <f>147998</f>
        <v>147998</v>
      </c>
      <c r="DS25">
        <f>97158</f>
        <v>97158</v>
      </c>
      <c r="DT25">
        <f>94328</f>
        <v>94328</v>
      </c>
      <c r="DU25">
        <f>135594</f>
        <v>135594</v>
      </c>
    </row>
    <row r="26" spans="1:125" x14ac:dyDescent="0.25">
      <c r="A26" t="str">
        <f>"            Cyprus"</f>
        <v xml:space="preserve">            Cyprus</v>
      </c>
      <c r="B26" t="str">
        <f>"WCARCYI Index"</f>
        <v>WCARCYI Index</v>
      </c>
      <c r="C26" t="str">
        <f t="shared" si="3"/>
        <v>PX385</v>
      </c>
      <c r="D26" t="str">
        <f t="shared" si="4"/>
        <v>INTERVAL_SUM</v>
      </c>
      <c r="E26" t="str">
        <f t="shared" si="5"/>
        <v>Dynamic</v>
      </c>
      <c r="F26">
        <f ca="1">IF(AND(ISNUMBER($F$178),$B$156=1),$F$178,HLOOKUP(INDIRECT(ADDRESS(2,COLUMN())),OFFSET($BN$2,0,0,ROW()-1,60),ROW()-1,FALSE))</f>
        <v>1021</v>
      </c>
      <c r="G26">
        <f ca="1">IF(AND(ISNUMBER($G$178),$B$156=1),$G$178,HLOOKUP(INDIRECT(ADDRESS(2,COLUMN())),OFFSET($BN$2,0,0,ROW()-1,60),ROW()-1,FALSE))</f>
        <v>2560</v>
      </c>
      <c r="H26">
        <f ca="1">IF(AND(ISNUMBER($H$178),$B$156=1),$H$178,HLOOKUP(INDIRECT(ADDRESS(2,COLUMN())),OFFSET($BN$2,0,0,ROW()-1,60),ROW()-1,FALSE))</f>
        <v>2745</v>
      </c>
      <c r="I26">
        <f ca="1">IF(AND(ISNUMBER($I$178),$B$156=1),$I$178,HLOOKUP(INDIRECT(ADDRESS(2,COLUMN())),OFFSET($BN$2,0,0,ROW()-1,60),ROW()-1,FALSE))</f>
        <v>3462</v>
      </c>
      <c r="J26">
        <f ca="1">IF(AND(ISNUMBER($J$178),$B$156=1),$J$178,HLOOKUP(INDIRECT(ADDRESS(2,COLUMN())),OFFSET($BN$2,0,0,ROW()-1,60),ROW()-1,FALSE))</f>
        <v>4189</v>
      </c>
      <c r="K26">
        <f ca="1">IF(AND(ISNUMBER($K$178),$B$156=1),$K$178,HLOOKUP(INDIRECT(ADDRESS(2,COLUMN())),OFFSET($BN$2,0,0,ROW()-1,60),ROW()-1,FALSE))</f>
        <v>2747</v>
      </c>
      <c r="L26">
        <f ca="1">IF(AND(ISNUMBER($L$178),$B$156=1),$L$178,HLOOKUP(INDIRECT(ADDRESS(2,COLUMN())),OFFSET($BN$2,0,0,ROW()-1,60),ROW()-1,FALSE))</f>
        <v>2791</v>
      </c>
      <c r="M26">
        <f ca="1">IF(AND(ISNUMBER($M$178),$B$156=1),$M$178,HLOOKUP(INDIRECT(ADDRESS(2,COLUMN())),OFFSET($BN$2,0,0,ROW()-1,60),ROW()-1,FALSE))</f>
        <v>3902</v>
      </c>
      <c r="N26">
        <f ca="1">IF(AND(ISNUMBER($N$178),$B$156=1),$N$178,HLOOKUP(INDIRECT(ADDRESS(2,COLUMN())),OFFSET($BN$2,0,0,ROW()-1,60),ROW()-1,FALSE))</f>
        <v>3640</v>
      </c>
      <c r="O26">
        <f ca="1">IF(AND(ISNUMBER($O$178),$B$156=1),$O$178,HLOOKUP(INDIRECT(ADDRESS(2,COLUMN())),OFFSET($BN$2,0,0,ROW()-1,60),ROW()-1,FALSE))</f>
        <v>2906</v>
      </c>
      <c r="P26">
        <f ca="1">IF(AND(ISNUMBER($P$178),$B$156=1),$P$178,HLOOKUP(INDIRECT(ADDRESS(2,COLUMN())),OFFSET($BN$2,0,0,ROW()-1,60),ROW()-1,FALSE))</f>
        <v>2972</v>
      </c>
      <c r="Q26">
        <f ca="1">IF(AND(ISNUMBER($Q$178),$B$156=1),$Q$178,HLOOKUP(INDIRECT(ADDRESS(2,COLUMN())),OFFSET($BN$2,0,0,ROW()-1,60),ROW()-1,FALSE))</f>
        <v>3525</v>
      </c>
      <c r="R26">
        <f ca="1">IF(AND(ISNUMBER($R$178),$B$156=1),$R$178,HLOOKUP(INDIRECT(ADDRESS(2,COLUMN())),OFFSET($BN$2,0,0,ROW()-1,60),ROW()-1,FALSE))</f>
        <v>3268</v>
      </c>
      <c r="S26">
        <f ca="1">IF(AND(ISNUMBER($S$178),$B$156=1),$S$178,HLOOKUP(INDIRECT(ADDRESS(2,COLUMN())),OFFSET($BN$2,0,0,ROW()-1,60),ROW()-1,FALSE))</f>
        <v>2785</v>
      </c>
      <c r="T26">
        <f ca="1">IF(AND(ISNUMBER($T$178),$B$156=1),$T$178,HLOOKUP(INDIRECT(ADDRESS(2,COLUMN())),OFFSET($BN$2,0,0,ROW()-1,60),ROW()-1,FALSE))</f>
        <v>2717</v>
      </c>
      <c r="U26">
        <f ca="1">IF(AND(ISNUMBER($U$178),$B$156=1),$U$178,HLOOKUP(INDIRECT(ADDRESS(2,COLUMN())),OFFSET($BN$2,0,0,ROW()-1,60),ROW()-1,FALSE))</f>
        <v>2408</v>
      </c>
      <c r="V26">
        <f ca="1">IF(AND(ISNUMBER($V$178),$B$156=1),$V$178,HLOOKUP(INDIRECT(ADDRESS(2,COLUMN())),OFFSET($BN$2,0,0,ROW()-1,60),ROW()-1,FALSE))</f>
        <v>2434</v>
      </c>
      <c r="W26">
        <f ca="1">IF(AND(ISNUMBER($W$178),$B$156=1),$W$178,HLOOKUP(INDIRECT(ADDRESS(2,COLUMN())),OFFSET($BN$2,0,0,ROW()-1,60),ROW()-1,FALSE))</f>
        <v>1933</v>
      </c>
      <c r="X26">
        <f ca="1">IF(AND(ISNUMBER($X$178),$B$156=1),$X$178,HLOOKUP(INDIRECT(ADDRESS(2,COLUMN())),OFFSET($BN$2,0,0,ROW()-1,60),ROW()-1,FALSE))</f>
        <v>2045</v>
      </c>
      <c r="Y26">
        <f ca="1">IF(AND(ISNUMBER($Y$178),$B$156=1),$Y$178,HLOOKUP(INDIRECT(ADDRESS(2,COLUMN())),OFFSET($BN$2,0,0,ROW()-1,60),ROW()-1,FALSE))</f>
        <v>2206</v>
      </c>
      <c r="Z26">
        <f ca="1">IF(AND(ISNUMBER($Z$178),$B$156=1),$Z$178,HLOOKUP(INDIRECT(ADDRESS(2,COLUMN())),OFFSET($BN$2,0,0,ROW()-1,60),ROW()-1,FALSE))</f>
        <v>2092</v>
      </c>
      <c r="AA26">
        <f ca="1">IF(AND(ISNUMBER($AA$178),$B$156=1),$AA$178,HLOOKUP(INDIRECT(ADDRESS(2,COLUMN())),OFFSET($BN$2,0,0,ROW()-1,60),ROW()-1,FALSE))</f>
        <v>1665</v>
      </c>
      <c r="AB26">
        <f ca="1">IF(AND(ISNUMBER($AB$178),$B$156=1),$AB$178,HLOOKUP(INDIRECT(ADDRESS(2,COLUMN())),OFFSET($BN$2,0,0,ROW()-1,60),ROW()-1,FALSE))</f>
        <v>1758</v>
      </c>
      <c r="AC26">
        <f ca="1">IF(AND(ISNUMBER($AC$178),$B$156=1),$AC$178,HLOOKUP(INDIRECT(ADDRESS(2,COLUMN())),OFFSET($BN$2,0,0,ROW()-1,60),ROW()-1,FALSE))</f>
        <v>1810</v>
      </c>
      <c r="AD26">
        <f ca="1">IF(AND(ISNUMBER($AD$178),$B$156=1),$AD$178,HLOOKUP(INDIRECT(ADDRESS(2,COLUMN())),OFFSET($BN$2,0,0,ROW()-1,60),ROW()-1,FALSE))</f>
        <v>1869</v>
      </c>
      <c r="AE26">
        <f ca="1">IF(AND(ISNUMBER($AE$178),$B$156=1),$AE$178,HLOOKUP(INDIRECT(ADDRESS(2,COLUMN())),OFFSET($BN$2,0,0,ROW()-1,60),ROW()-1,FALSE))</f>
        <v>2075</v>
      </c>
      <c r="AF26">
        <f ca="1">IF(AND(ISNUMBER($AF$178),$B$156=1),$AF$178,HLOOKUP(INDIRECT(ADDRESS(2,COLUMN())),OFFSET($BN$2,0,0,ROW()-1,60),ROW()-1,FALSE))</f>
        <v>2466</v>
      </c>
      <c r="AG26">
        <f ca="1">IF(AND(ISNUMBER($AG$178),$B$156=1),$AG$178,HLOOKUP(INDIRECT(ADDRESS(2,COLUMN())),OFFSET($BN$2,0,0,ROW()-1,60),ROW()-1,FALSE))</f>
        <v>3224</v>
      </c>
      <c r="AH26">
        <f ca="1">IF(AND(ISNUMBER($AH$178),$B$156=1),$AH$178,HLOOKUP(INDIRECT(ADDRESS(2,COLUMN())),OFFSET($BN$2,0,0,ROW()-1,60),ROW()-1,FALSE))</f>
        <v>3202</v>
      </c>
      <c r="AI26">
        <f ca="1">IF(AND(ISNUMBER($AI$178),$B$156=1),$AI$178,HLOOKUP(INDIRECT(ADDRESS(2,COLUMN())),OFFSET($BN$2,0,0,ROW()-1,60),ROW()-1,FALSE))</f>
        <v>3380</v>
      </c>
      <c r="AJ26">
        <f ca="1">IF(AND(ISNUMBER($AJ$178),$B$156=1),$AJ$178,HLOOKUP(INDIRECT(ADDRESS(2,COLUMN())),OFFSET($BN$2,0,0,ROW()-1,60),ROW()-1,FALSE))</f>
        <v>2895</v>
      </c>
      <c r="AK26">
        <f ca="1">IF(AND(ISNUMBER($AK$178),$B$156=1),$AK$178,HLOOKUP(INDIRECT(ADDRESS(2,COLUMN())),OFFSET($BN$2,0,0,ROW()-1,60),ROW()-1,FALSE))</f>
        <v>4084</v>
      </c>
      <c r="AL26">
        <f ca="1">IF(AND(ISNUMBER($AL$178),$B$156=1),$AL$178,HLOOKUP(INDIRECT(ADDRESS(2,COLUMN())),OFFSET($BN$2,0,0,ROW()-1,60),ROW()-1,FALSE))</f>
        <v>4014</v>
      </c>
      <c r="AM26" t="str">
        <f ca="1">IF(AND(ISNUMBER($AM$178),$B$156=1),$AM$178,HLOOKUP(INDIRECT(ADDRESS(2,COLUMN())),OFFSET($BN$2,0,0,ROW()-1,60),ROW()-1,FALSE))</f>
        <v/>
      </c>
      <c r="AN26" t="str">
        <f ca="1">IF(AND(ISNUMBER($AN$178),$B$156=1),$AN$178,HLOOKUP(INDIRECT(ADDRESS(2,COLUMN())),OFFSET($BN$2,0,0,ROW()-1,60),ROW()-1,FALSE))</f>
        <v/>
      </c>
      <c r="AO26" t="str">
        <f ca="1">IF(AND(ISNUMBER($AO$178),$B$156=1),$AO$178,HLOOKUP(INDIRECT(ADDRESS(2,COLUMN())),OFFSET($BN$2,0,0,ROW()-1,60),ROW()-1,FALSE))</f>
        <v/>
      </c>
      <c r="AP26" t="str">
        <f ca="1">IF(AND(ISNUMBER($AP$178),$B$156=1),$AP$178,HLOOKUP(INDIRECT(ADDRESS(2,COLUMN())),OFFSET($BN$2,0,0,ROW()-1,60),ROW()-1,FALSE))</f>
        <v/>
      </c>
      <c r="AQ26" t="str">
        <f ca="1">IF(AND(ISNUMBER($AQ$178),$B$156=1),$AQ$178,HLOOKUP(INDIRECT(ADDRESS(2,COLUMN())),OFFSET($BN$2,0,0,ROW()-1,60),ROW()-1,FALSE))</f>
        <v/>
      </c>
      <c r="AR26" t="str">
        <f ca="1">IF(AND(ISNUMBER($AR$178),$B$156=1),$AR$178,HLOOKUP(INDIRECT(ADDRESS(2,COLUMN())),OFFSET($BN$2,0,0,ROW()-1,60),ROW()-1,FALSE))</f>
        <v/>
      </c>
      <c r="AS26" t="str">
        <f ca="1">IF(AND(ISNUMBER($AS$178),$B$156=1),$AS$178,HLOOKUP(INDIRECT(ADDRESS(2,COLUMN())),OFFSET($BN$2,0,0,ROW()-1,60),ROW()-1,FALSE))</f>
        <v/>
      </c>
      <c r="AT26" t="str">
        <f ca="1">IF(AND(ISNUMBER($AT$178),$B$156=1),$AT$178,HLOOKUP(INDIRECT(ADDRESS(2,COLUMN())),OFFSET($BN$2,0,0,ROW()-1,60),ROW()-1,FALSE))</f>
        <v/>
      </c>
      <c r="AU26" t="str">
        <f ca="1">IF(AND(ISNUMBER($AU$178),$B$156=1),$AU$178,HLOOKUP(INDIRECT(ADDRESS(2,COLUMN())),OFFSET($BN$2,0,0,ROW()-1,60),ROW()-1,FALSE))</f>
        <v/>
      </c>
      <c r="AV26" t="str">
        <f ca="1">IF(AND(ISNUMBER($AV$178),$B$156=1),$AV$178,HLOOKUP(INDIRECT(ADDRESS(2,COLUMN())),OFFSET($BN$2,0,0,ROW()-1,60),ROW()-1,FALSE))</f>
        <v/>
      </c>
      <c r="AW26" t="str">
        <f ca="1">IF(AND(ISNUMBER($AW$178),$B$156=1),$AW$178,HLOOKUP(INDIRECT(ADDRESS(2,COLUMN())),OFFSET($BN$2,0,0,ROW()-1,60),ROW()-1,FALSE))</f>
        <v/>
      </c>
      <c r="AX26" t="str">
        <f ca="1">IF(AND(ISNUMBER($AX$178),$B$156=1),$AX$178,HLOOKUP(INDIRECT(ADDRESS(2,COLUMN())),OFFSET($BN$2,0,0,ROW()-1,60),ROW()-1,FALSE))</f>
        <v/>
      </c>
      <c r="AY26" t="str">
        <f ca="1">IF(AND(ISNUMBER($AY$178),$B$156=1),$AY$178,HLOOKUP(INDIRECT(ADDRESS(2,COLUMN())),OFFSET($BN$2,0,0,ROW()-1,60),ROW()-1,FALSE))</f>
        <v/>
      </c>
      <c r="AZ26" t="str">
        <f ca="1">IF(AND(ISNUMBER($AZ$178),$B$156=1),$AZ$178,HLOOKUP(INDIRECT(ADDRESS(2,COLUMN())),OFFSET($BN$2,0,0,ROW()-1,60),ROW()-1,FALSE))</f>
        <v/>
      </c>
      <c r="BA26" t="str">
        <f ca="1">IF(AND(ISNUMBER($BA$178),$B$156=1),$BA$178,HLOOKUP(INDIRECT(ADDRESS(2,COLUMN())),OFFSET($BN$2,0,0,ROW()-1,60),ROW()-1,FALSE))</f>
        <v/>
      </c>
      <c r="BB26" t="str">
        <f ca="1">IF(AND(ISNUMBER($BB$178),$B$156=1),$BB$178,HLOOKUP(INDIRECT(ADDRESS(2,COLUMN())),OFFSET($BN$2,0,0,ROW()-1,60),ROW()-1,FALSE))</f>
        <v/>
      </c>
      <c r="BC26" t="str">
        <f ca="1">IF(AND(ISNUMBER($BC$178),$B$156=1),$BC$178,HLOOKUP(INDIRECT(ADDRESS(2,COLUMN())),OFFSET($BN$2,0,0,ROW()-1,60),ROW()-1,FALSE))</f>
        <v/>
      </c>
      <c r="BD26" t="str">
        <f ca="1">IF(AND(ISNUMBER($BD$178),$B$156=1),$BD$178,HLOOKUP(INDIRECT(ADDRESS(2,COLUMN())),OFFSET($BN$2,0,0,ROW()-1,60),ROW()-1,FALSE))</f>
        <v/>
      </c>
      <c r="BE26" t="str">
        <f ca="1">IF(AND(ISNUMBER($BE$178),$B$156=1),$BE$178,HLOOKUP(INDIRECT(ADDRESS(2,COLUMN())),OFFSET($BN$2,0,0,ROW()-1,60),ROW()-1,FALSE))</f>
        <v/>
      </c>
      <c r="BF26" t="str">
        <f ca="1">IF(AND(ISNUMBER($BF$178),$B$156=1),$BF$178,HLOOKUP(INDIRECT(ADDRESS(2,COLUMN())),OFFSET($BN$2,0,0,ROW()-1,60),ROW()-1,FALSE))</f>
        <v/>
      </c>
      <c r="BG26" t="str">
        <f ca="1">IF(AND(ISNUMBER($BG$178),$B$156=1),$BG$178,HLOOKUP(INDIRECT(ADDRESS(2,COLUMN())),OFFSET($BN$2,0,0,ROW()-1,60),ROW()-1,FALSE))</f>
        <v/>
      </c>
      <c r="BH26" t="str">
        <f ca="1">IF(AND(ISNUMBER($BH$178),$B$156=1),$BH$178,HLOOKUP(INDIRECT(ADDRESS(2,COLUMN())),OFFSET($BN$2,0,0,ROW()-1,60),ROW()-1,FALSE))</f>
        <v/>
      </c>
      <c r="BI26" t="str">
        <f ca="1">IF(AND(ISNUMBER($BI$178),$B$156=1),$BI$178,HLOOKUP(INDIRECT(ADDRESS(2,COLUMN())),OFFSET($BN$2,0,0,ROW()-1,60),ROW()-1,FALSE))</f>
        <v/>
      </c>
      <c r="BJ26" t="str">
        <f ca="1">IF(AND(ISNUMBER($BJ$178),$B$156=1),$BJ$178,HLOOKUP(INDIRECT(ADDRESS(2,COLUMN())),OFFSET($BN$2,0,0,ROW()-1,60),ROW()-1,FALSE))</f>
        <v/>
      </c>
      <c r="BK26" t="str">
        <f ca="1">IF(AND(ISNUMBER($BK$178),$B$156=1),$BK$178,HLOOKUP(INDIRECT(ADDRESS(2,COLUMN())),OFFSET($BN$2,0,0,ROW()-1,60),ROW()-1,FALSE))</f>
        <v/>
      </c>
      <c r="BL26" t="str">
        <f ca="1">IF(AND(ISNUMBER($BL$178),$B$156=1),$BL$178,HLOOKUP(INDIRECT(ADDRESS(2,COLUMN())),OFFSET($BN$2,0,0,ROW()-1,60),ROW()-1,FALSE))</f>
        <v/>
      </c>
      <c r="BM26" t="str">
        <f ca="1">IF(AND(ISNUMBER($BM$178),$B$156=1),$BM$178,HLOOKUP(INDIRECT(ADDRESS(2,COLUMN())),OFFSET($BN$2,0,0,ROW()-1,60),ROW()-1,FALSE))</f>
        <v/>
      </c>
      <c r="BN26">
        <f>1021</f>
        <v>1021</v>
      </c>
      <c r="BO26">
        <f>2560</f>
        <v>2560</v>
      </c>
      <c r="BP26">
        <f>2745</f>
        <v>2745</v>
      </c>
      <c r="BQ26">
        <f>3462</f>
        <v>3462</v>
      </c>
      <c r="BR26">
        <f>4189</f>
        <v>4189</v>
      </c>
      <c r="BS26">
        <f>2747</f>
        <v>2747</v>
      </c>
      <c r="BT26">
        <f>2791</f>
        <v>2791</v>
      </c>
      <c r="BU26">
        <f>3902</f>
        <v>3902</v>
      </c>
      <c r="BV26">
        <f>3640</f>
        <v>3640</v>
      </c>
      <c r="BW26">
        <f>2906</f>
        <v>2906</v>
      </c>
      <c r="BX26">
        <f>2972</f>
        <v>2972</v>
      </c>
      <c r="BY26">
        <f>3525</f>
        <v>3525</v>
      </c>
      <c r="BZ26">
        <f>3268</f>
        <v>3268</v>
      </c>
      <c r="CA26">
        <f>2785</f>
        <v>2785</v>
      </c>
      <c r="CB26">
        <f>2717</f>
        <v>2717</v>
      </c>
      <c r="CC26">
        <f>2408</f>
        <v>2408</v>
      </c>
      <c r="CD26">
        <f>2434</f>
        <v>2434</v>
      </c>
      <c r="CE26">
        <f>1933</f>
        <v>1933</v>
      </c>
      <c r="CF26">
        <f>2045</f>
        <v>2045</v>
      </c>
      <c r="CG26">
        <f>2206</f>
        <v>2206</v>
      </c>
      <c r="CH26">
        <f>2092</f>
        <v>2092</v>
      </c>
      <c r="CI26">
        <f>1665</f>
        <v>1665</v>
      </c>
      <c r="CJ26">
        <f>1758</f>
        <v>1758</v>
      </c>
      <c r="CK26">
        <f>1810</f>
        <v>1810</v>
      </c>
      <c r="CL26">
        <f>1869</f>
        <v>1869</v>
      </c>
      <c r="CM26">
        <f>2075</f>
        <v>2075</v>
      </c>
      <c r="CN26">
        <f>2466</f>
        <v>2466</v>
      </c>
      <c r="CO26">
        <f>3224</f>
        <v>3224</v>
      </c>
      <c r="CP26">
        <f>3202</f>
        <v>3202</v>
      </c>
      <c r="CQ26">
        <f>3380</f>
        <v>3380</v>
      </c>
      <c r="CR26">
        <f>2895</f>
        <v>2895</v>
      </c>
      <c r="CS26">
        <f>4084</f>
        <v>4084</v>
      </c>
      <c r="CT26">
        <f>4014</f>
        <v>4014</v>
      </c>
      <c r="CU26" t="str">
        <f>""</f>
        <v/>
      </c>
      <c r="CV26" t="str">
        <f>""</f>
        <v/>
      </c>
      <c r="CW26" t="str">
        <f>""</f>
        <v/>
      </c>
      <c r="CX26" t="str">
        <f>""</f>
        <v/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 x14ac:dyDescent="0.25">
      <c r="A27" t="str">
        <f>"            Denmark"</f>
        <v xml:space="preserve">            Denmark</v>
      </c>
      <c r="B27" t="str">
        <f>"WCARDKI Index"</f>
        <v>WCARDKI Index</v>
      </c>
      <c r="C27" t="str">
        <f t="shared" si="3"/>
        <v>PX385</v>
      </c>
      <c r="D27" t="str">
        <f t="shared" si="4"/>
        <v>INTERVAL_SUM</v>
      </c>
      <c r="E27" t="str">
        <f t="shared" si="5"/>
        <v>Dynamic</v>
      </c>
      <c r="F27">
        <f ca="1">IF(AND(ISNUMBER($F$179),$B$156=1),$F$179,HLOOKUP(INDIRECT(ADDRESS(2,COLUMN())),OFFSET($BN$2,0,0,ROW()-1,60),ROW()-1,FALSE))</f>
        <v>21313</v>
      </c>
      <c r="G27">
        <f ca="1">IF(AND(ISNUMBER($G$179),$B$156=1),$G$179,HLOOKUP(INDIRECT(ADDRESS(2,COLUMN())),OFFSET($BN$2,0,0,ROW()-1,60),ROW()-1,FALSE))</f>
        <v>48518</v>
      </c>
      <c r="H27">
        <f ca="1">IF(AND(ISNUMBER($H$179),$B$156=1),$H$179,HLOOKUP(INDIRECT(ADDRESS(2,COLUMN())),OFFSET($BN$2,0,0,ROW()-1,60),ROW()-1,FALSE))</f>
        <v>49261</v>
      </c>
      <c r="I27">
        <f ca="1">IF(AND(ISNUMBER($I$179),$B$156=1),$I$179,HLOOKUP(INDIRECT(ADDRESS(2,COLUMN())),OFFSET($BN$2,0,0,ROW()-1,60),ROW()-1,FALSE))</f>
        <v>63792</v>
      </c>
      <c r="J27">
        <f ca="1">IF(AND(ISNUMBER($J$179),$B$156=1),$J$179,HLOOKUP(INDIRECT(ADDRESS(2,COLUMN())),OFFSET($BN$2,0,0,ROW()-1,60),ROW()-1,FALSE))</f>
        <v>56956</v>
      </c>
      <c r="K27">
        <f ca="1">IF(AND(ISNUMBER($K$179),$B$156=1),$K$179,HLOOKUP(INDIRECT(ADDRESS(2,COLUMN())),OFFSET($BN$2,0,0,ROW()-1,60),ROW()-1,FALSE))</f>
        <v>53125</v>
      </c>
      <c r="L27">
        <f ca="1">IF(AND(ISNUMBER($L$179),$B$156=1),$L$179,HLOOKUP(INDIRECT(ADDRESS(2,COLUMN())),OFFSET($BN$2,0,0,ROW()-1,60),ROW()-1,FALSE))</f>
        <v>44892</v>
      </c>
      <c r="M27">
        <f ca="1">IF(AND(ISNUMBER($M$179),$B$156=1),$M$179,HLOOKUP(INDIRECT(ADDRESS(2,COLUMN())),OFFSET($BN$2,0,0,ROW()-1,60),ROW()-1,FALSE))</f>
        <v>63879</v>
      </c>
      <c r="N27">
        <f ca="1">IF(AND(ISNUMBER($N$179),$B$156=1),$N$179,HLOOKUP(INDIRECT(ADDRESS(2,COLUMN())),OFFSET($BN$2,0,0,ROW()-1,60),ROW()-1,FALSE))</f>
        <v>59923</v>
      </c>
      <c r="O27">
        <f ca="1">IF(AND(ISNUMBER($O$179),$B$156=1),$O$179,HLOOKUP(INDIRECT(ADDRESS(2,COLUMN())),OFFSET($BN$2,0,0,ROW()-1,60),ROW()-1,FALSE))</f>
        <v>54449</v>
      </c>
      <c r="P27">
        <f ca="1">IF(AND(ISNUMBER($P$179),$B$156=1),$P$179,HLOOKUP(INDIRECT(ADDRESS(2,COLUMN())),OFFSET($BN$2,0,0,ROW()-1,60),ROW()-1,FALSE))</f>
        <v>51619</v>
      </c>
      <c r="Q27">
        <f ca="1">IF(AND(ISNUMBER($Q$179),$B$156=1),$Q$179,HLOOKUP(INDIRECT(ADDRESS(2,COLUMN())),OFFSET($BN$2,0,0,ROW()-1,60),ROW()-1,FALSE))</f>
        <v>64638</v>
      </c>
      <c r="R27">
        <f ca="1">IF(AND(ISNUMBER($R$179),$B$156=1),$R$179,HLOOKUP(INDIRECT(ADDRESS(2,COLUMN())),OFFSET($BN$2,0,0,ROW()-1,60),ROW()-1,FALSE))</f>
        <v>50537</v>
      </c>
      <c r="S27">
        <f ca="1">IF(AND(ISNUMBER($S$179),$B$156=1),$S$179,HLOOKUP(INDIRECT(ADDRESS(2,COLUMN())),OFFSET($BN$2,0,0,ROW()-1,60),ROW()-1,FALSE))</f>
        <v>52431</v>
      </c>
      <c r="T27">
        <f ca="1">IF(AND(ISNUMBER($T$179),$B$156=1),$T$179,HLOOKUP(INDIRECT(ADDRESS(2,COLUMN())),OFFSET($BN$2,0,0,ROW()-1,60),ROW()-1,FALSE))</f>
        <v>50221</v>
      </c>
      <c r="U27">
        <f ca="1">IF(AND(ISNUMBER($U$179),$B$156=1),$U$179,HLOOKUP(INDIRECT(ADDRESS(2,COLUMN())),OFFSET($BN$2,0,0,ROW()-1,60),ROW()-1,FALSE))</f>
        <v>55319</v>
      </c>
      <c r="V27">
        <f ca="1">IF(AND(ISNUMBER($V$179),$B$156=1),$V$179,HLOOKUP(INDIRECT(ADDRESS(2,COLUMN())),OFFSET($BN$2,0,0,ROW()-1,60),ROW()-1,FALSE))</f>
        <v>49236</v>
      </c>
      <c r="W27">
        <f ca="1">IF(AND(ISNUMBER($W$179),$B$156=1),$W$179,HLOOKUP(INDIRECT(ADDRESS(2,COLUMN())),OFFSET($BN$2,0,0,ROW()-1,60),ROW()-1,FALSE))</f>
        <v>46931</v>
      </c>
      <c r="X27">
        <f ca="1">IF(AND(ISNUMBER($X$179),$B$156=1),$X$179,HLOOKUP(INDIRECT(ADDRESS(2,COLUMN())),OFFSET($BN$2,0,0,ROW()-1,60),ROW()-1,FALSE))</f>
        <v>43273</v>
      </c>
      <c r="Y27">
        <f ca="1">IF(AND(ISNUMBER($Y$179),$B$156=1),$Y$179,HLOOKUP(INDIRECT(ADDRESS(2,COLUMN())),OFFSET($BN$2,0,0,ROW()-1,60),ROW()-1,FALSE))</f>
        <v>50890</v>
      </c>
      <c r="Z27">
        <f ca="1">IF(AND(ISNUMBER($Z$179),$B$156=1),$Z$179,HLOOKUP(INDIRECT(ADDRESS(2,COLUMN())),OFFSET($BN$2,0,0,ROW()-1,60),ROW()-1,FALSE))</f>
        <v>47828</v>
      </c>
      <c r="AA27">
        <f ca="1">IF(AND(ISNUMBER($AA$179),$B$156=1),$AA$179,HLOOKUP(INDIRECT(ADDRESS(2,COLUMN())),OFFSET($BN$2,0,0,ROW()-1,60),ROW()-1,FALSE))</f>
        <v>47024</v>
      </c>
      <c r="AB27">
        <f ca="1">IF(AND(ISNUMBER($AB$179),$B$156=1),$AB$179,HLOOKUP(INDIRECT(ADDRESS(2,COLUMN())),OFFSET($BN$2,0,0,ROW()-1,60),ROW()-1,FALSE))</f>
        <v>43204</v>
      </c>
      <c r="AC27">
        <f ca="1">IF(AND(ISNUMBER($AC$179),$B$156=1),$AC$179,HLOOKUP(INDIRECT(ADDRESS(2,COLUMN())),OFFSET($BN$2,0,0,ROW()-1,60),ROW()-1,FALSE))</f>
        <v>50009</v>
      </c>
      <c r="AD27">
        <f ca="1">IF(AND(ISNUMBER($AD$179),$B$156=1),$AD$179,HLOOKUP(INDIRECT(ADDRESS(2,COLUMN())),OFFSET($BN$2,0,0,ROW()-1,60),ROW()-1,FALSE))</f>
        <v>41950</v>
      </c>
      <c r="AE27">
        <f ca="1">IF(AND(ISNUMBER($AE$179),$B$156=1),$AE$179,HLOOKUP(INDIRECT(ADDRESS(2,COLUMN())),OFFSET($BN$2,0,0,ROW()-1,60),ROW()-1,FALSE))</f>
        <v>42258</v>
      </c>
      <c r="AF27">
        <f ca="1">IF(AND(ISNUMBER($AF$179),$B$156=1),$AF$179,HLOOKUP(INDIRECT(ADDRESS(2,COLUMN())),OFFSET($BN$2,0,0,ROW()-1,60),ROW()-1,FALSE))</f>
        <v>44212</v>
      </c>
      <c r="AG27">
        <f ca="1">IF(AND(ISNUMBER($AG$179),$B$156=1),$AG$179,HLOOKUP(INDIRECT(ADDRESS(2,COLUMN())),OFFSET($BN$2,0,0,ROW()-1,60),ROW()-1,FALSE))</f>
        <v>43551</v>
      </c>
      <c r="AH27">
        <f ca="1">IF(AND(ISNUMBER($AH$179),$B$156=1),$AH$179,HLOOKUP(INDIRECT(ADDRESS(2,COLUMN())),OFFSET($BN$2,0,0,ROW()-1,60),ROW()-1,FALSE))</f>
        <v>40052</v>
      </c>
      <c r="AI27">
        <f ca="1">IF(AND(ISNUMBER($AI$179),$B$156=1),$AI$179,HLOOKUP(INDIRECT(ADDRESS(2,COLUMN())),OFFSET($BN$2,0,0,ROW()-1,60),ROW()-1,FALSE))</f>
        <v>40928</v>
      </c>
      <c r="AJ27">
        <f ca="1">IF(AND(ISNUMBER($AJ$179),$B$156=1),$AJ$179,HLOOKUP(INDIRECT(ADDRESS(2,COLUMN())),OFFSET($BN$2,0,0,ROW()-1,60),ROW()-1,FALSE))</f>
        <v>39406</v>
      </c>
      <c r="AK27">
        <f ca="1">IF(AND(ISNUMBER($AK$179),$B$156=1),$AK$179,HLOOKUP(INDIRECT(ADDRESS(2,COLUMN())),OFFSET($BN$2,0,0,ROW()-1,60),ROW()-1,FALSE))</f>
        <v>43970</v>
      </c>
      <c r="AL27">
        <f ca="1">IF(AND(ISNUMBER($AL$179),$B$156=1),$AL$179,HLOOKUP(INDIRECT(ADDRESS(2,COLUMN())),OFFSET($BN$2,0,0,ROW()-1,60),ROW()-1,FALSE))</f>
        <v>38698</v>
      </c>
      <c r="AM27">
        <f ca="1">IF(AND(ISNUMBER($AM$179),$B$156=1),$AM$179,HLOOKUP(INDIRECT(ADDRESS(2,COLUMN())),OFFSET($BN$2,0,0,ROW()-1,60),ROW()-1,FALSE))</f>
        <v>39697</v>
      </c>
      <c r="AN27">
        <f ca="1">IF(AND(ISNUMBER($AN$179),$B$156=1),$AN$179,HLOOKUP(INDIRECT(ADDRESS(2,COLUMN())),OFFSET($BN$2,0,0,ROW()-1,60),ROW()-1,FALSE))</f>
        <v>36782</v>
      </c>
      <c r="AO27">
        <f ca="1">IF(AND(ISNUMBER($AO$179),$B$156=1),$AO$179,HLOOKUP(INDIRECT(ADDRESS(2,COLUMN())),OFFSET($BN$2,0,0,ROW()-1,60),ROW()-1,FALSE))</f>
        <v>36574</v>
      </c>
      <c r="AP27">
        <f ca="1">IF(AND(ISNUMBER($AP$179),$B$156=1),$AP$179,HLOOKUP(INDIRECT(ADDRESS(2,COLUMN())),OFFSET($BN$2,0,0,ROW()-1,60),ROW()-1,FALSE))</f>
        <v>30545</v>
      </c>
      <c r="AQ27">
        <f ca="1">IF(AND(ISNUMBER($AQ$179),$B$156=1),$AQ$179,HLOOKUP(INDIRECT(ADDRESS(2,COLUMN())),OFFSET($BN$2,0,0,ROW()-1,60),ROW()-1,FALSE))</f>
        <v>30868</v>
      </c>
      <c r="AR27">
        <f ca="1">IF(AND(ISNUMBER($AR$179),$B$156=1),$AR$179,HLOOKUP(INDIRECT(ADDRESS(2,COLUMN())),OFFSET($BN$2,0,0,ROW()-1,60),ROW()-1,FALSE))</f>
        <v>26790</v>
      </c>
      <c r="AS27">
        <f ca="1">IF(AND(ISNUMBER($AS$179),$B$156=1),$AS$179,HLOOKUP(INDIRECT(ADDRESS(2,COLUMN())),OFFSET($BN$2,0,0,ROW()-1,60),ROW()-1,FALSE))</f>
        <v>29687</v>
      </c>
      <c r="AT27">
        <f ca="1">IF(AND(ISNUMBER($AT$179),$B$156=1),$AT$179,HLOOKUP(INDIRECT(ADDRESS(2,COLUMN())),OFFSET($BN$2,0,0,ROW()-1,60),ROW()-1,FALSE))</f>
        <v>25095</v>
      </c>
      <c r="AU27">
        <f ca="1">IF(AND(ISNUMBER($AU$179),$B$156=1),$AU$179,HLOOKUP(INDIRECT(ADDRESS(2,COLUMN())),OFFSET($BN$2,0,0,ROW()-1,60),ROW()-1,FALSE))</f>
        <v>28258</v>
      </c>
      <c r="AV27">
        <f ca="1">IF(AND(ISNUMBER($AV$179),$B$156=1),$AV$179,HLOOKUP(INDIRECT(ADDRESS(2,COLUMN())),OFFSET($BN$2,0,0,ROW()-1,60),ROW()-1,FALSE))</f>
        <v>36303</v>
      </c>
      <c r="AW27">
        <f ca="1">IF(AND(ISNUMBER($AW$179),$B$156=1),$AW$179,HLOOKUP(INDIRECT(ADDRESS(2,COLUMN())),OFFSET($BN$2,0,0,ROW()-1,60),ROW()-1,FALSE))</f>
        <v>45994</v>
      </c>
      <c r="AX27">
        <f ca="1">IF(AND(ISNUMBER($AX$179),$B$156=1),$AX$179,HLOOKUP(INDIRECT(ADDRESS(2,COLUMN())),OFFSET($BN$2,0,0,ROW()-1,60),ROW()-1,FALSE))</f>
        <v>39590</v>
      </c>
      <c r="AY27">
        <f ca="1">IF(AND(ISNUMBER($AY$179),$B$156=1),$AY$179,HLOOKUP(INDIRECT(ADDRESS(2,COLUMN())),OFFSET($BN$2,0,0,ROW()-1,60),ROW()-1,FALSE))</f>
        <v>42929</v>
      </c>
      <c r="AZ27">
        <f ca="1">IF(AND(ISNUMBER($AZ$179),$B$156=1),$AZ$179,HLOOKUP(INDIRECT(ADDRESS(2,COLUMN())),OFFSET($BN$2,0,0,ROW()-1,60),ROW()-1,FALSE))</f>
        <v>39516</v>
      </c>
      <c r="BA27">
        <f ca="1">IF(AND(ISNUMBER($BA$179),$B$156=1),$BA$179,HLOOKUP(INDIRECT(ADDRESS(2,COLUMN())),OFFSET($BN$2,0,0,ROW()-1,60),ROW()-1,FALSE))</f>
        <v>40742</v>
      </c>
      <c r="BB27">
        <f ca="1">IF(AND(ISNUMBER($BB$179),$B$156=1),$BB$179,HLOOKUP(INDIRECT(ADDRESS(2,COLUMN())),OFFSET($BN$2,0,0,ROW()-1,60),ROW()-1,FALSE))</f>
        <v>36160</v>
      </c>
      <c r="BC27">
        <f ca="1">IF(AND(ISNUMBER($BC$179),$B$156=1),$BC$179,HLOOKUP(INDIRECT(ADDRESS(2,COLUMN())),OFFSET($BN$2,0,0,ROW()-1,60),ROW()-1,FALSE))</f>
        <v>37423</v>
      </c>
      <c r="BD27">
        <f ca="1">IF(AND(ISNUMBER($BD$179),$B$156=1),$BD$179,HLOOKUP(INDIRECT(ADDRESS(2,COLUMN())),OFFSET($BN$2,0,0,ROW()-1,60),ROW()-1,FALSE))</f>
        <v>35399</v>
      </c>
      <c r="BE27">
        <f ca="1">IF(AND(ISNUMBER($BE$179),$B$156=1),$BE$179,HLOOKUP(INDIRECT(ADDRESS(2,COLUMN())),OFFSET($BN$2,0,0,ROW()-1,60),ROW()-1,FALSE))</f>
        <v>45651</v>
      </c>
      <c r="BF27">
        <f ca="1">IF(AND(ISNUMBER($BF$179),$B$156=1),$BF$179,HLOOKUP(INDIRECT(ADDRESS(2,COLUMN())),OFFSET($BN$2,0,0,ROW()-1,60),ROW()-1,FALSE))</f>
        <v>35912</v>
      </c>
      <c r="BG27">
        <f ca="1">IF(AND(ISNUMBER($BG$179),$B$156=1),$BG$179,HLOOKUP(INDIRECT(ADDRESS(2,COLUMN())),OFFSET($BN$2,0,0,ROW()-1,60),ROW()-1,FALSE))</f>
        <v>37125</v>
      </c>
      <c r="BH27">
        <f ca="1">IF(AND(ISNUMBER($BH$179),$B$156=1),$BH$179,HLOOKUP(INDIRECT(ADDRESS(2,COLUMN())),OFFSET($BN$2,0,0,ROW()-1,60),ROW()-1,FALSE))</f>
        <v>35991</v>
      </c>
      <c r="BI27">
        <f ca="1">IF(AND(ISNUMBER($BI$179),$B$156=1),$BI$179,HLOOKUP(INDIRECT(ADDRESS(2,COLUMN())),OFFSET($BN$2,0,0,ROW()-1,60),ROW()-1,FALSE))</f>
        <v>41817</v>
      </c>
      <c r="BJ27">
        <f ca="1">IF(AND(ISNUMBER($BJ$179),$B$156=1),$BJ$179,HLOOKUP(INDIRECT(ADDRESS(2,COLUMN())),OFFSET($BN$2,0,0,ROW()-1,60),ROW()-1,FALSE))</f>
        <v>31952</v>
      </c>
      <c r="BK27">
        <f ca="1">IF(AND(ISNUMBER($BK$179),$B$156=1),$BK$179,HLOOKUP(INDIRECT(ADDRESS(2,COLUMN())),OFFSET($BN$2,0,0,ROW()-1,60),ROW()-1,FALSE))</f>
        <v>34217</v>
      </c>
      <c r="BL27">
        <f ca="1">IF(AND(ISNUMBER($BL$179),$B$156=1),$BL$179,HLOOKUP(INDIRECT(ADDRESS(2,COLUMN())),OFFSET($BN$2,0,0,ROW()-1,60),ROW()-1,FALSE))</f>
        <v>28746</v>
      </c>
      <c r="BM27">
        <f ca="1">IF(AND(ISNUMBER($BM$179),$B$156=1),$BM$179,HLOOKUP(INDIRECT(ADDRESS(2,COLUMN())),OFFSET($BN$2,0,0,ROW()-1,60),ROW()-1,FALSE))</f>
        <v>32983</v>
      </c>
      <c r="BN27">
        <f>21313</f>
        <v>21313</v>
      </c>
      <c r="BO27">
        <f>48518</f>
        <v>48518</v>
      </c>
      <c r="BP27">
        <f>49261</f>
        <v>49261</v>
      </c>
      <c r="BQ27">
        <f>63792</f>
        <v>63792</v>
      </c>
      <c r="BR27">
        <f>56956</f>
        <v>56956</v>
      </c>
      <c r="BS27">
        <f>53125</f>
        <v>53125</v>
      </c>
      <c r="BT27">
        <f>44892</f>
        <v>44892</v>
      </c>
      <c r="BU27">
        <f>63879</f>
        <v>63879</v>
      </c>
      <c r="BV27">
        <f>59923</f>
        <v>59923</v>
      </c>
      <c r="BW27">
        <f>54449</f>
        <v>54449</v>
      </c>
      <c r="BX27">
        <f>51619</f>
        <v>51619</v>
      </c>
      <c r="BY27">
        <f>64638</f>
        <v>64638</v>
      </c>
      <c r="BZ27">
        <f>50537</f>
        <v>50537</v>
      </c>
      <c r="CA27">
        <f>52431</f>
        <v>52431</v>
      </c>
      <c r="CB27">
        <f>50221</f>
        <v>50221</v>
      </c>
      <c r="CC27">
        <f>55319</f>
        <v>55319</v>
      </c>
      <c r="CD27">
        <f>49236</f>
        <v>49236</v>
      </c>
      <c r="CE27">
        <f>46931</f>
        <v>46931</v>
      </c>
      <c r="CF27">
        <f>43273</f>
        <v>43273</v>
      </c>
      <c r="CG27">
        <f>50890</f>
        <v>50890</v>
      </c>
      <c r="CH27">
        <f>47828</f>
        <v>47828</v>
      </c>
      <c r="CI27">
        <f>47024</f>
        <v>47024</v>
      </c>
      <c r="CJ27">
        <f>43204</f>
        <v>43204</v>
      </c>
      <c r="CK27">
        <f>50009</f>
        <v>50009</v>
      </c>
      <c r="CL27">
        <f>41950</f>
        <v>41950</v>
      </c>
      <c r="CM27">
        <f>42258</f>
        <v>42258</v>
      </c>
      <c r="CN27">
        <f>44212</f>
        <v>44212</v>
      </c>
      <c r="CO27">
        <f>43551</f>
        <v>43551</v>
      </c>
      <c r="CP27">
        <f>40052</f>
        <v>40052</v>
      </c>
      <c r="CQ27">
        <f>40928</f>
        <v>40928</v>
      </c>
      <c r="CR27">
        <f>39406</f>
        <v>39406</v>
      </c>
      <c r="CS27">
        <f>43970</f>
        <v>43970</v>
      </c>
      <c r="CT27">
        <f>38698</f>
        <v>38698</v>
      </c>
      <c r="CU27">
        <f>39697</f>
        <v>39697</v>
      </c>
      <c r="CV27">
        <f>36782</f>
        <v>36782</v>
      </c>
      <c r="CW27">
        <f>36574</f>
        <v>36574</v>
      </c>
      <c r="CX27">
        <f>30545</f>
        <v>30545</v>
      </c>
      <c r="CY27">
        <f>30868</f>
        <v>30868</v>
      </c>
      <c r="CZ27">
        <f>26790</f>
        <v>26790</v>
      </c>
      <c r="DA27">
        <f>29687</f>
        <v>29687</v>
      </c>
      <c r="DB27">
        <f>25095</f>
        <v>25095</v>
      </c>
      <c r="DC27">
        <f>28258</f>
        <v>28258</v>
      </c>
      <c r="DD27">
        <f>36303</f>
        <v>36303</v>
      </c>
      <c r="DE27">
        <f>45994</f>
        <v>45994</v>
      </c>
      <c r="DF27">
        <f>39590</f>
        <v>39590</v>
      </c>
      <c r="DG27">
        <f>42929</f>
        <v>42929</v>
      </c>
      <c r="DH27">
        <f>39516</f>
        <v>39516</v>
      </c>
      <c r="DI27">
        <f>40742</f>
        <v>40742</v>
      </c>
      <c r="DJ27">
        <f>36160</f>
        <v>36160</v>
      </c>
      <c r="DK27">
        <f>37423</f>
        <v>37423</v>
      </c>
      <c r="DL27">
        <f>35399</f>
        <v>35399</v>
      </c>
      <c r="DM27">
        <f>45651</f>
        <v>45651</v>
      </c>
      <c r="DN27">
        <f>35912</f>
        <v>35912</v>
      </c>
      <c r="DO27">
        <f>37125</f>
        <v>37125</v>
      </c>
      <c r="DP27">
        <f>35991</f>
        <v>35991</v>
      </c>
      <c r="DQ27">
        <f>41817</f>
        <v>41817</v>
      </c>
      <c r="DR27">
        <f>31952</f>
        <v>31952</v>
      </c>
      <c r="DS27">
        <f>34217</f>
        <v>34217</v>
      </c>
      <c r="DT27">
        <f>28746</f>
        <v>28746</v>
      </c>
      <c r="DU27">
        <f>32983</f>
        <v>32983</v>
      </c>
    </row>
    <row r="28" spans="1:125" x14ac:dyDescent="0.25">
      <c r="A28" t="str">
        <f>"            Finland"</f>
        <v xml:space="preserve">            Finland</v>
      </c>
      <c r="B28" t="str">
        <f>"WCARFII Index"</f>
        <v>WCARFII Index</v>
      </c>
      <c r="C28" t="str">
        <f t="shared" si="3"/>
        <v>PX385</v>
      </c>
      <c r="D28" t="str">
        <f t="shared" si="4"/>
        <v>INTERVAL_SUM</v>
      </c>
      <c r="E28" t="str">
        <f t="shared" si="5"/>
        <v>Dynamic</v>
      </c>
      <c r="F28">
        <f ca="1">IF(AND(ISNUMBER($F$180),$B$156=1),$F$180,HLOOKUP(INDIRECT(ADDRESS(2,COLUMN())),OFFSET($BN$2,0,0,ROW()-1,60),ROW()-1,FALSE))</f>
        <v>11732</v>
      </c>
      <c r="G28">
        <f ca="1">IF(AND(ISNUMBER($G$180),$B$156=1),$G$180,HLOOKUP(INDIRECT(ADDRESS(2,COLUMN())),OFFSET($BN$2,0,0,ROW()-1,60),ROW()-1,FALSE))</f>
        <v>22756</v>
      </c>
      <c r="H28">
        <f ca="1">IF(AND(ISNUMBER($H$180),$B$156=1),$H$180,HLOOKUP(INDIRECT(ADDRESS(2,COLUMN())),OFFSET($BN$2,0,0,ROW()-1,60),ROW()-1,FALSE))</f>
        <v>28115</v>
      </c>
      <c r="I28">
        <f ca="1">IF(AND(ISNUMBER($I$180),$B$156=1),$I$180,HLOOKUP(INDIRECT(ADDRESS(2,COLUMN())),OFFSET($BN$2,0,0,ROW()-1,60),ROW()-1,FALSE))</f>
        <v>35178</v>
      </c>
      <c r="J28">
        <f ca="1">IF(AND(ISNUMBER($J$180),$B$156=1),$J$180,HLOOKUP(INDIRECT(ADDRESS(2,COLUMN())),OFFSET($BN$2,0,0,ROW()-1,60),ROW()-1,FALSE))</f>
        <v>34411</v>
      </c>
      <c r="K28">
        <f ca="1">IF(AND(ISNUMBER($K$180),$B$156=1),$K$180,HLOOKUP(INDIRECT(ADDRESS(2,COLUMN())),OFFSET($BN$2,0,0,ROW()-1,60),ROW()-1,FALSE))</f>
        <v>26491</v>
      </c>
      <c r="L28">
        <f ca="1">IF(AND(ISNUMBER($L$180),$B$156=1),$L$180,HLOOKUP(INDIRECT(ADDRESS(2,COLUMN())),OFFSET($BN$2,0,0,ROW()-1,60),ROW()-1,FALSE))</f>
        <v>27645</v>
      </c>
      <c r="M28">
        <f ca="1">IF(AND(ISNUMBER($M$180),$B$156=1),$M$180,HLOOKUP(INDIRECT(ADDRESS(2,COLUMN())),OFFSET($BN$2,0,0,ROW()-1,60),ROW()-1,FALSE))</f>
        <v>31325</v>
      </c>
      <c r="N28">
        <f ca="1">IF(AND(ISNUMBER($N$180),$B$156=1),$N$180,HLOOKUP(INDIRECT(ADDRESS(2,COLUMN())),OFFSET($BN$2,0,0,ROW()-1,60),ROW()-1,FALSE))</f>
        <v>33126</v>
      </c>
      <c r="O28">
        <f ca="1">IF(AND(ISNUMBER($O$180),$B$156=1),$O$180,HLOOKUP(INDIRECT(ADDRESS(2,COLUMN())),OFFSET($BN$2,0,0,ROW()-1,60),ROW()-1,FALSE))</f>
        <v>26325</v>
      </c>
      <c r="P28">
        <f ca="1">IF(AND(ISNUMBER($P$180),$B$156=1),$P$180,HLOOKUP(INDIRECT(ADDRESS(2,COLUMN())),OFFSET($BN$2,0,0,ROW()-1,60),ROW()-1,FALSE))</f>
        <v>27197</v>
      </c>
      <c r="Q28">
        <f ca="1">IF(AND(ISNUMBER($Q$180),$B$156=1),$Q$180,HLOOKUP(INDIRECT(ADDRESS(2,COLUMN())),OFFSET($BN$2,0,0,ROW()-1,60),ROW()-1,FALSE))</f>
        <v>32364</v>
      </c>
      <c r="R28">
        <f ca="1">IF(AND(ISNUMBER($R$180),$B$156=1),$R$180,HLOOKUP(INDIRECT(ADDRESS(2,COLUMN())),OFFSET($BN$2,0,0,ROW()-1,60),ROW()-1,FALSE))</f>
        <v>33114</v>
      </c>
      <c r="S28">
        <f ca="1">IF(AND(ISNUMBER($S$180),$B$156=1),$S$180,HLOOKUP(INDIRECT(ADDRESS(2,COLUMN())),OFFSET($BN$2,0,0,ROW()-1,60),ROW()-1,FALSE))</f>
        <v>26078</v>
      </c>
      <c r="T28">
        <f ca="1">IF(AND(ISNUMBER($T$180),$B$156=1),$T$180,HLOOKUP(INDIRECT(ADDRESS(2,COLUMN())),OFFSET($BN$2,0,0,ROW()-1,60),ROW()-1,FALSE))</f>
        <v>25636</v>
      </c>
      <c r="U28">
        <f ca="1">IF(AND(ISNUMBER($U$180),$B$156=1),$U$180,HLOOKUP(INDIRECT(ADDRESS(2,COLUMN())),OFFSET($BN$2,0,0,ROW()-1,60),ROW()-1,FALSE))</f>
        <v>27723</v>
      </c>
      <c r="V28">
        <f ca="1">IF(AND(ISNUMBER($V$180),$B$156=1),$V$180,HLOOKUP(INDIRECT(ADDRESS(2,COLUMN())),OFFSET($BN$2,0,0,ROW()-1,60),ROW()-1,FALSE))</f>
        <v>29353</v>
      </c>
      <c r="W28">
        <f ca="1">IF(AND(ISNUMBER($W$180),$B$156=1),$W$180,HLOOKUP(INDIRECT(ADDRESS(2,COLUMN())),OFFSET($BN$2,0,0,ROW()-1,60),ROW()-1,FALSE))</f>
        <v>23150</v>
      </c>
      <c r="X28">
        <f ca="1">IF(AND(ISNUMBER($X$180),$B$156=1),$X$180,HLOOKUP(INDIRECT(ADDRESS(2,COLUMN())),OFFSET($BN$2,0,0,ROW()-1,60),ROW()-1,FALSE))</f>
        <v>23944</v>
      </c>
      <c r="Y28">
        <f ca="1">IF(AND(ISNUMBER($Y$180),$B$156=1),$Y$180,HLOOKUP(INDIRECT(ADDRESS(2,COLUMN())),OFFSET($BN$2,0,0,ROW()-1,60),ROW()-1,FALSE))</f>
        <v>28640</v>
      </c>
      <c r="Z28">
        <f ca="1">IF(AND(ISNUMBER($Z$180),$B$156=1),$Z$180,HLOOKUP(INDIRECT(ADDRESS(2,COLUMN())),OFFSET($BN$2,0,0,ROW()-1,60),ROW()-1,FALSE))</f>
        <v>30503</v>
      </c>
      <c r="AA28">
        <f ca="1">IF(AND(ISNUMBER($AA$180),$B$156=1),$AA$180,HLOOKUP(INDIRECT(ADDRESS(2,COLUMN())),OFFSET($BN$2,0,0,ROW()-1,60),ROW()-1,FALSE))</f>
        <v>22479</v>
      </c>
      <c r="AB28">
        <f ca="1">IF(AND(ISNUMBER($AB$180),$B$156=1),$AB$180,HLOOKUP(INDIRECT(ADDRESS(2,COLUMN())),OFFSET($BN$2,0,0,ROW()-1,60),ROW()-1,FALSE))</f>
        <v>24391</v>
      </c>
      <c r="AC28">
        <f ca="1">IF(AND(ISNUMBER($AC$180),$B$156=1),$AC$180,HLOOKUP(INDIRECT(ADDRESS(2,COLUMN())),OFFSET($BN$2,0,0,ROW()-1,60),ROW()-1,FALSE))</f>
        <v>28887</v>
      </c>
      <c r="AD28">
        <f ca="1">IF(AND(ISNUMBER($AD$180),$B$156=1),$AD$180,HLOOKUP(INDIRECT(ADDRESS(2,COLUMN())),OFFSET($BN$2,0,0,ROW()-1,60),ROW()-1,FALSE))</f>
        <v>27628</v>
      </c>
      <c r="AE28">
        <f ca="1">IF(AND(ISNUMBER($AE$180),$B$156=1),$AE$180,HLOOKUP(INDIRECT(ADDRESS(2,COLUMN())),OFFSET($BN$2,0,0,ROW()-1,60),ROW()-1,FALSE))</f>
        <v>22320</v>
      </c>
      <c r="AF28">
        <f ca="1">IF(AND(ISNUMBER($AF$180),$B$156=1),$AF$180,HLOOKUP(INDIRECT(ADDRESS(2,COLUMN())),OFFSET($BN$2,0,0,ROW()-1,60),ROW()-1,FALSE))</f>
        <v>22004</v>
      </c>
      <c r="AG28">
        <f ca="1">IF(AND(ISNUMBER($AG$180),$B$156=1),$AG$180,HLOOKUP(INDIRECT(ADDRESS(2,COLUMN())),OFFSET($BN$2,0,0,ROW()-1,60),ROW()-1,FALSE))</f>
        <v>19100</v>
      </c>
      <c r="AH28">
        <f ca="1">IF(AND(ISNUMBER($AH$180),$B$156=1),$AH$180,HLOOKUP(INDIRECT(ADDRESS(2,COLUMN())),OFFSET($BN$2,0,0,ROW()-1,60),ROW()-1,FALSE))</f>
        <v>47834</v>
      </c>
      <c r="AI28">
        <f ca="1">IF(AND(ISNUMBER($AI$180),$B$156=1),$AI$180,HLOOKUP(INDIRECT(ADDRESS(2,COLUMN())),OFFSET($BN$2,0,0,ROW()-1,60),ROW()-1,FALSE))</f>
        <v>26002</v>
      </c>
      <c r="AJ28">
        <f ca="1">IF(AND(ISNUMBER($AJ$180),$B$156=1),$AJ$180,HLOOKUP(INDIRECT(ADDRESS(2,COLUMN())),OFFSET($BN$2,0,0,ROW()-1,60),ROW()-1,FALSE))</f>
        <v>28725</v>
      </c>
      <c r="AK28">
        <f ca="1">IF(AND(ISNUMBER($AK$180),$B$156=1),$AK$180,HLOOKUP(INDIRECT(ADDRESS(2,COLUMN())),OFFSET($BN$2,0,0,ROW()-1,60),ROW()-1,FALSE))</f>
        <v>35628</v>
      </c>
      <c r="AL28">
        <f ca="1">IF(AND(ISNUMBER($AL$180),$B$156=1),$AL$180,HLOOKUP(INDIRECT(ADDRESS(2,COLUMN())),OFFSET($BN$2,0,0,ROW()-1,60),ROW()-1,FALSE))</f>
        <v>35660</v>
      </c>
      <c r="AM28">
        <f ca="1">IF(AND(ISNUMBER($AM$180),$B$156=1),$AM$180,HLOOKUP(INDIRECT(ADDRESS(2,COLUMN())),OFFSET($BN$2,0,0,ROW()-1,60),ROW()-1,FALSE))</f>
        <v>23900</v>
      </c>
      <c r="AN28">
        <f ca="1">IF(AND(ISNUMBER($AN$180),$B$156=1),$AN$180,HLOOKUP(INDIRECT(ADDRESS(2,COLUMN())),OFFSET($BN$2,0,0,ROW()-1,60),ROW()-1,FALSE))</f>
        <v>25598</v>
      </c>
      <c r="AO28">
        <f ca="1">IF(AND(ISNUMBER($AO$180),$B$156=1),$AO$180,HLOOKUP(INDIRECT(ADDRESS(2,COLUMN())),OFFSET($BN$2,0,0,ROW()-1,60),ROW()-1,FALSE))</f>
        <v>33337</v>
      </c>
      <c r="AP28">
        <f ca="1">IF(AND(ISNUMBER($AP$180),$B$156=1),$AP$180,HLOOKUP(INDIRECT(ADDRESS(2,COLUMN())),OFFSET($BN$2,0,0,ROW()-1,60),ROW()-1,FALSE))</f>
        <v>29043</v>
      </c>
      <c r="AQ28">
        <f ca="1">IF(AND(ISNUMBER($AQ$180),$B$156=1),$AQ$180,HLOOKUP(INDIRECT(ADDRESS(2,COLUMN())),OFFSET($BN$2,0,0,ROW()-1,60),ROW()-1,FALSE))</f>
        <v>17965</v>
      </c>
      <c r="AR28">
        <f ca="1">IF(AND(ISNUMBER($AR$180),$B$156=1),$AR$180,HLOOKUP(INDIRECT(ADDRESS(2,COLUMN())),OFFSET($BN$2,0,0,ROW()-1,60),ROW()-1,FALSE))</f>
        <v>20320</v>
      </c>
      <c r="AS28">
        <f ca="1">IF(AND(ISNUMBER($AS$180),$B$156=1),$AS$180,HLOOKUP(INDIRECT(ADDRESS(2,COLUMN())),OFFSET($BN$2,0,0,ROW()-1,60),ROW()-1,FALSE))</f>
        <v>22595</v>
      </c>
      <c r="AT28">
        <f ca="1">IF(AND(ISNUMBER($AT$180),$B$156=1),$AT$180,HLOOKUP(INDIRECT(ADDRESS(2,COLUMN())),OFFSET($BN$2,0,0,ROW()-1,60),ROW()-1,FALSE))</f>
        <v>29493</v>
      </c>
      <c r="AU28">
        <f ca="1">IF(AND(ISNUMBER($AU$180),$B$156=1),$AU$180,HLOOKUP(INDIRECT(ADDRESS(2,COLUMN())),OFFSET($BN$2,0,0,ROW()-1,60),ROW()-1,FALSE))</f>
        <v>21062</v>
      </c>
      <c r="AV28">
        <f ca="1">IF(AND(ISNUMBER($AV$180),$B$156=1),$AV$180,HLOOKUP(INDIRECT(ADDRESS(2,COLUMN())),OFFSET($BN$2,0,0,ROW()-1,60),ROW()-1,FALSE))</f>
        <v>30465</v>
      </c>
      <c r="AW28">
        <f ca="1">IF(AND(ISNUMBER($AW$180),$B$156=1),$AW$180,HLOOKUP(INDIRECT(ADDRESS(2,COLUMN())),OFFSET($BN$2,0,0,ROW()-1,60),ROW()-1,FALSE))</f>
        <v>41854</v>
      </c>
      <c r="AX28">
        <f ca="1">IF(AND(ISNUMBER($AX$180),$B$156=1),$AX$180,HLOOKUP(INDIRECT(ADDRESS(2,COLUMN())),OFFSET($BN$2,0,0,ROW()-1,60),ROW()-1,FALSE))</f>
        <v>46230</v>
      </c>
      <c r="AY28">
        <f ca="1">IF(AND(ISNUMBER($AY$180),$B$156=1),$AY$180,HLOOKUP(INDIRECT(ADDRESS(2,COLUMN())),OFFSET($BN$2,0,0,ROW()-1,60),ROW()-1,FALSE))</f>
        <v>16574</v>
      </c>
      <c r="AZ28">
        <f ca="1">IF(AND(ISNUMBER($AZ$180),$B$156=1),$AZ$180,HLOOKUP(INDIRECT(ADDRESS(2,COLUMN())),OFFSET($BN$2,0,0,ROW()-1,60),ROW()-1,FALSE))</f>
        <v>31295</v>
      </c>
      <c r="BA28">
        <f ca="1">IF(AND(ISNUMBER($BA$180),$B$156=1),$BA$180,HLOOKUP(INDIRECT(ADDRESS(2,COLUMN())),OFFSET($BN$2,0,0,ROW()-1,60),ROW()-1,FALSE))</f>
        <v>37228</v>
      </c>
      <c r="BB28">
        <f ca="1">IF(AND(ISNUMBER($BB$180),$B$156=1),$BB$180,HLOOKUP(INDIRECT(ADDRESS(2,COLUMN())),OFFSET($BN$2,0,0,ROW()-1,60),ROW()-1,FALSE))</f>
        <v>40188</v>
      </c>
      <c r="BC28">
        <f ca="1">IF(AND(ISNUMBER($BC$180),$B$156=1),$BC$180,HLOOKUP(INDIRECT(ADDRESS(2,COLUMN())),OFFSET($BN$2,0,0,ROW()-1,60),ROW()-1,FALSE))</f>
        <v>25944</v>
      </c>
      <c r="BD28">
        <f ca="1">IF(AND(ISNUMBER($BD$180),$B$156=1),$BD$180,HLOOKUP(INDIRECT(ADDRESS(2,COLUMN())),OFFSET($BN$2,0,0,ROW()-1,60),ROW()-1,FALSE))</f>
        <v>33445</v>
      </c>
      <c r="BE28">
        <f ca="1">IF(AND(ISNUMBER($BE$180),$B$156=1),$BE$180,HLOOKUP(INDIRECT(ADDRESS(2,COLUMN())),OFFSET($BN$2,0,0,ROW()-1,60),ROW()-1,FALSE))</f>
        <v>42504</v>
      </c>
      <c r="BF28">
        <f ca="1">IF(AND(ISNUMBER($BF$180),$B$156=1),$BF$180,HLOOKUP(INDIRECT(ADDRESS(2,COLUMN())),OFFSET($BN$2,0,0,ROW()-1,60),ROW()-1,FALSE))</f>
        <v>43796</v>
      </c>
      <c r="BG28">
        <f ca="1">IF(AND(ISNUMBER($BG$180),$B$156=1),$BG$180,HLOOKUP(INDIRECT(ADDRESS(2,COLUMN())),OFFSET($BN$2,0,0,ROW()-1,60),ROW()-1,FALSE))</f>
        <v>26940</v>
      </c>
      <c r="BH28">
        <f ca="1">IF(AND(ISNUMBER($BH$180),$B$156=1),$BH$180,HLOOKUP(INDIRECT(ADDRESS(2,COLUMN())),OFFSET($BN$2,0,0,ROW()-1,60),ROW()-1,FALSE))</f>
        <v>34822</v>
      </c>
      <c r="BI28">
        <f ca="1">IF(AND(ISNUMBER($BI$180),$B$156=1),$BI$180,HLOOKUP(INDIRECT(ADDRESS(2,COLUMN())),OFFSET($BN$2,0,0,ROW()-1,60),ROW()-1,FALSE))</f>
        <v>43949</v>
      </c>
      <c r="BJ28">
        <f ca="1">IF(AND(ISNUMBER($BJ$180),$B$156=1),$BJ$180,HLOOKUP(INDIRECT(ADDRESS(2,COLUMN())),OFFSET($BN$2,0,0,ROW()-1,60),ROW()-1,FALSE))</f>
        <v>42238</v>
      </c>
      <c r="BK28">
        <f ca="1">IF(AND(ISNUMBER($BK$180),$B$156=1),$BK$180,HLOOKUP(INDIRECT(ADDRESS(2,COLUMN())),OFFSET($BN$2,0,0,ROW()-1,60),ROW()-1,FALSE))</f>
        <v>27127</v>
      </c>
      <c r="BL28">
        <f ca="1">IF(AND(ISNUMBER($BL$180),$B$156=1),$BL$180,HLOOKUP(INDIRECT(ADDRESS(2,COLUMN())),OFFSET($BN$2,0,0,ROW()-1,60),ROW()-1,FALSE))</f>
        <v>31794</v>
      </c>
      <c r="BM28">
        <f ca="1">IF(AND(ISNUMBER($BM$180),$B$156=1),$BM$180,HLOOKUP(INDIRECT(ADDRESS(2,COLUMN())),OFFSET($BN$2,0,0,ROW()-1,60),ROW()-1,FALSE))</f>
        <v>40528</v>
      </c>
      <c r="BN28">
        <f>11732</f>
        <v>11732</v>
      </c>
      <c r="BO28">
        <f>22756</f>
        <v>22756</v>
      </c>
      <c r="BP28">
        <f>28115</f>
        <v>28115</v>
      </c>
      <c r="BQ28">
        <f>35178</f>
        <v>35178</v>
      </c>
      <c r="BR28">
        <f>34411</f>
        <v>34411</v>
      </c>
      <c r="BS28">
        <f>26491</f>
        <v>26491</v>
      </c>
      <c r="BT28">
        <f>27645</f>
        <v>27645</v>
      </c>
      <c r="BU28">
        <f>31325</f>
        <v>31325</v>
      </c>
      <c r="BV28">
        <f>33126</f>
        <v>33126</v>
      </c>
      <c r="BW28">
        <f>26325</f>
        <v>26325</v>
      </c>
      <c r="BX28">
        <f>27197</f>
        <v>27197</v>
      </c>
      <c r="BY28">
        <f>32364</f>
        <v>32364</v>
      </c>
      <c r="BZ28">
        <f>33114</f>
        <v>33114</v>
      </c>
      <c r="CA28">
        <f>26078</f>
        <v>26078</v>
      </c>
      <c r="CB28">
        <f>25636</f>
        <v>25636</v>
      </c>
      <c r="CC28">
        <f>27723</f>
        <v>27723</v>
      </c>
      <c r="CD28">
        <f>29353</f>
        <v>29353</v>
      </c>
      <c r="CE28">
        <f>23150</f>
        <v>23150</v>
      </c>
      <c r="CF28">
        <f>23944</f>
        <v>23944</v>
      </c>
      <c r="CG28">
        <f>28640</f>
        <v>28640</v>
      </c>
      <c r="CH28">
        <f>30503</f>
        <v>30503</v>
      </c>
      <c r="CI28">
        <f>22479</f>
        <v>22479</v>
      </c>
      <c r="CJ28">
        <f>24391</f>
        <v>24391</v>
      </c>
      <c r="CK28">
        <f>28887</f>
        <v>28887</v>
      </c>
      <c r="CL28">
        <f>27628</f>
        <v>27628</v>
      </c>
      <c r="CM28">
        <f>22320</f>
        <v>22320</v>
      </c>
      <c r="CN28">
        <f>22004</f>
        <v>22004</v>
      </c>
      <c r="CO28">
        <f>19100</f>
        <v>19100</v>
      </c>
      <c r="CP28">
        <f>47834</f>
        <v>47834</v>
      </c>
      <c r="CQ28">
        <f>26002</f>
        <v>26002</v>
      </c>
      <c r="CR28">
        <f>28725</f>
        <v>28725</v>
      </c>
      <c r="CS28">
        <f>35628</f>
        <v>35628</v>
      </c>
      <c r="CT28">
        <f>35660</f>
        <v>35660</v>
      </c>
      <c r="CU28">
        <f>23900</f>
        <v>23900</v>
      </c>
      <c r="CV28">
        <f>25598</f>
        <v>25598</v>
      </c>
      <c r="CW28">
        <f>33337</f>
        <v>33337</v>
      </c>
      <c r="CX28">
        <f>29043</f>
        <v>29043</v>
      </c>
      <c r="CY28">
        <f>17965</f>
        <v>17965</v>
      </c>
      <c r="CZ28">
        <f>20320</f>
        <v>20320</v>
      </c>
      <c r="DA28">
        <f>22595</f>
        <v>22595</v>
      </c>
      <c r="DB28">
        <f>29493</f>
        <v>29493</v>
      </c>
      <c r="DC28">
        <f>21062</f>
        <v>21062</v>
      </c>
      <c r="DD28">
        <f>30465</f>
        <v>30465</v>
      </c>
      <c r="DE28">
        <f>41854</f>
        <v>41854</v>
      </c>
      <c r="DF28">
        <f>46230</f>
        <v>46230</v>
      </c>
      <c r="DG28">
        <f>16574</f>
        <v>16574</v>
      </c>
      <c r="DH28">
        <f>31295</f>
        <v>31295</v>
      </c>
      <c r="DI28">
        <f>37228</f>
        <v>37228</v>
      </c>
      <c r="DJ28">
        <f>40188</f>
        <v>40188</v>
      </c>
      <c r="DK28">
        <f>25944</f>
        <v>25944</v>
      </c>
      <c r="DL28">
        <f>33445</f>
        <v>33445</v>
      </c>
      <c r="DM28">
        <f>42504</f>
        <v>42504</v>
      </c>
      <c r="DN28">
        <f>43796</f>
        <v>43796</v>
      </c>
      <c r="DO28">
        <f>26940</f>
        <v>26940</v>
      </c>
      <c r="DP28">
        <f>34822</f>
        <v>34822</v>
      </c>
      <c r="DQ28">
        <f>43949</f>
        <v>43949</v>
      </c>
      <c r="DR28">
        <f>42238</f>
        <v>42238</v>
      </c>
      <c r="DS28">
        <f>27127</f>
        <v>27127</v>
      </c>
      <c r="DT28">
        <f>31794</f>
        <v>31794</v>
      </c>
      <c r="DU28">
        <f>40528</f>
        <v>40528</v>
      </c>
    </row>
    <row r="29" spans="1:125" x14ac:dyDescent="0.25">
      <c r="A29" t="str">
        <f>"            France"</f>
        <v xml:space="preserve">            France</v>
      </c>
      <c r="B29" t="str">
        <f>"WCARFRI Index"</f>
        <v>WCARFRI Index</v>
      </c>
      <c r="C29" t="str">
        <f t="shared" si="3"/>
        <v>PX385</v>
      </c>
      <c r="D29" t="str">
        <f t="shared" si="4"/>
        <v>INTERVAL_SUM</v>
      </c>
      <c r="E29" t="str">
        <f t="shared" si="5"/>
        <v>Dynamic</v>
      </c>
      <c r="F29">
        <f ca="1">IF(AND(ISNUMBER($F$181),$B$156=1),$F$181,HLOOKUP(INDIRECT(ADDRESS(2,COLUMN())),OFFSET($BN$2,0,0,ROW()-1,60),ROW()-1,FALSE))</f>
        <v>155079</v>
      </c>
      <c r="G29">
        <f ca="1">IF(AND(ISNUMBER($G$181),$B$156=1),$G$181,HLOOKUP(INDIRECT(ADDRESS(2,COLUMN())),OFFSET($BN$2,0,0,ROW()-1,60),ROW()-1,FALSE))</f>
        <v>510799</v>
      </c>
      <c r="H29">
        <f ca="1">IF(AND(ISNUMBER($H$181),$B$156=1),$H$181,HLOOKUP(INDIRECT(ADDRESS(2,COLUMN())),OFFSET($BN$2,0,0,ROW()-1,60),ROW()-1,FALSE))</f>
        <v>474532</v>
      </c>
      <c r="I29">
        <f ca="1">IF(AND(ISNUMBER($I$181),$B$156=1),$I$181,HLOOKUP(INDIRECT(ADDRESS(2,COLUMN())),OFFSET($BN$2,0,0,ROW()-1,60),ROW()-1,FALSE))</f>
        <v>631308</v>
      </c>
      <c r="J29">
        <f ca="1">IF(AND(ISNUMBER($J$181),$B$156=1),$J$181,HLOOKUP(INDIRECT(ADDRESS(2,COLUMN())),OFFSET($BN$2,0,0,ROW()-1,60),ROW()-1,FALSE))</f>
        <v>556842</v>
      </c>
      <c r="K29">
        <f ca="1">IF(AND(ISNUMBER($K$181),$B$156=1),$K$181,HLOOKUP(INDIRECT(ADDRESS(2,COLUMN())),OFFSET($BN$2,0,0,ROW()-1,60),ROW()-1,FALSE))</f>
        <v>549869</v>
      </c>
      <c r="L29">
        <f ca="1">IF(AND(ISNUMBER($L$181),$B$156=1),$L$181,HLOOKUP(INDIRECT(ADDRESS(2,COLUMN())),OFFSET($BN$2,0,0,ROW()-1,60),ROW()-1,FALSE))</f>
        <v>425612</v>
      </c>
      <c r="M29">
        <f ca="1">IF(AND(ISNUMBER($M$181),$B$156=1),$M$181,HLOOKUP(INDIRECT(ADDRESS(2,COLUMN())),OFFSET($BN$2,0,0,ROW()-1,60),ROW()-1,FALSE))</f>
        <v>594213</v>
      </c>
      <c r="N29">
        <f ca="1">IF(AND(ISNUMBER($N$181),$B$156=1),$N$181,HLOOKUP(INDIRECT(ADDRESS(2,COLUMN())),OFFSET($BN$2,0,0,ROW()-1,60),ROW()-1,FALSE))</f>
        <v>541054</v>
      </c>
      <c r="O29">
        <f ca="1">IF(AND(ISNUMBER($O$181),$B$156=1),$O$181,HLOOKUP(INDIRECT(ADDRESS(2,COLUMN())),OFFSET($BN$2,0,0,ROW()-1,60),ROW()-1,FALSE))</f>
        <v>512727</v>
      </c>
      <c r="P29">
        <f ca="1">IF(AND(ISNUMBER($P$181),$B$156=1),$P$181,HLOOKUP(INDIRECT(ADDRESS(2,COLUMN())),OFFSET($BN$2,0,0,ROW()-1,60),ROW()-1,FALSE))</f>
        <v>400021</v>
      </c>
      <c r="Q29">
        <f ca="1">IF(AND(ISNUMBER($Q$181),$B$156=1),$Q$181,HLOOKUP(INDIRECT(ADDRESS(2,COLUMN())),OFFSET($BN$2,0,0,ROW()-1,60),ROW()-1,FALSE))</f>
        <v>586047</v>
      </c>
      <c r="R29">
        <f ca="1">IF(AND(ISNUMBER($R$181),$B$156=1),$R$181,HLOOKUP(INDIRECT(ADDRESS(2,COLUMN())),OFFSET($BN$2,0,0,ROW()-1,60),ROW()-1,FALSE))</f>
        <v>516382</v>
      </c>
      <c r="S29">
        <f ca="1">IF(AND(ISNUMBER($S$181),$B$156=1),$S$181,HLOOKUP(INDIRECT(ADDRESS(2,COLUMN())),OFFSET($BN$2,0,0,ROW()-1,60),ROW()-1,FALSE))</f>
        <v>495791</v>
      </c>
      <c r="T29">
        <f ca="1">IF(AND(ISNUMBER($T$181),$B$156=1),$T$181,HLOOKUP(INDIRECT(ADDRESS(2,COLUMN())),OFFSET($BN$2,0,0,ROW()-1,60),ROW()-1,FALSE))</f>
        <v>403942</v>
      </c>
      <c r="U29">
        <f ca="1">IF(AND(ISNUMBER($U$181),$B$156=1),$U$181,HLOOKUP(INDIRECT(ADDRESS(2,COLUMN())),OFFSET($BN$2,0,0,ROW()-1,60),ROW()-1,FALSE))</f>
        <v>540174</v>
      </c>
      <c r="V29">
        <f ca="1">IF(AND(ISNUMBER($V$181),$B$156=1),$V$181,HLOOKUP(INDIRECT(ADDRESS(2,COLUMN())),OFFSET($BN$2,0,0,ROW()-1,60),ROW()-1,FALSE))</f>
        <v>477319</v>
      </c>
      <c r="W29">
        <f ca="1">IF(AND(ISNUMBER($W$181),$B$156=1),$W$181,HLOOKUP(INDIRECT(ADDRESS(2,COLUMN())),OFFSET($BN$2,0,0,ROW()-1,60),ROW()-1,FALSE))</f>
        <v>458570</v>
      </c>
      <c r="X29">
        <f ca="1">IF(AND(ISNUMBER($X$181),$B$156=1),$X$181,HLOOKUP(INDIRECT(ADDRESS(2,COLUMN())),OFFSET($BN$2,0,0,ROW()-1,60),ROW()-1,FALSE))</f>
        <v>378563</v>
      </c>
      <c r="Y29">
        <f ca="1">IF(AND(ISNUMBER($Y$181),$B$156=1),$Y$181,HLOOKUP(INDIRECT(ADDRESS(2,COLUMN())),OFFSET($BN$2,0,0,ROW()-1,60),ROW()-1,FALSE))</f>
        <v>512143</v>
      </c>
      <c r="Z29">
        <f ca="1">IF(AND(ISNUMBER($Z$181),$B$156=1),$Z$181,HLOOKUP(INDIRECT(ADDRESS(2,COLUMN())),OFFSET($BN$2,0,0,ROW()-1,60),ROW()-1,FALSE))</f>
        <v>446609</v>
      </c>
      <c r="AA29">
        <f ca="1">IF(AND(ISNUMBER($AA$181),$B$156=1),$AA$181,HLOOKUP(INDIRECT(ADDRESS(2,COLUMN())),OFFSET($BN$2,0,0,ROW()-1,60),ROW()-1,FALSE))</f>
        <v>480643</v>
      </c>
      <c r="AB29">
        <f ca="1">IF(AND(ISNUMBER($AB$181),$B$156=1),$AB$181,HLOOKUP(INDIRECT(ADDRESS(2,COLUMN())),OFFSET($BN$2,0,0,ROW()-1,60),ROW()-1,FALSE))</f>
        <v>378337</v>
      </c>
      <c r="AC29">
        <f ca="1">IF(AND(ISNUMBER($AC$181),$B$156=1),$AC$181,HLOOKUP(INDIRECT(ADDRESS(2,COLUMN())),OFFSET($BN$2,0,0,ROW()-1,60),ROW()-1,FALSE))</f>
        <v>497594</v>
      </c>
      <c r="AD29">
        <f ca="1">IF(AND(ISNUMBER($AD$181),$B$156=1),$AD$181,HLOOKUP(INDIRECT(ADDRESS(2,COLUMN())),OFFSET($BN$2,0,0,ROW()-1,60),ROW()-1,FALSE))</f>
        <v>433882</v>
      </c>
      <c r="AE29">
        <f ca="1">IF(AND(ISNUMBER($AE$181),$B$156=1),$AE$181,HLOOKUP(INDIRECT(ADDRESS(2,COLUMN())),OFFSET($BN$2,0,0,ROW()-1,60),ROW()-1,FALSE))</f>
        <v>467251</v>
      </c>
      <c r="AF29">
        <f ca="1">IF(AND(ISNUMBER($AF$181),$B$156=1),$AF$181,HLOOKUP(INDIRECT(ADDRESS(2,COLUMN())),OFFSET($BN$2,0,0,ROW()-1,60),ROW()-1,FALSE))</f>
        <v>382527</v>
      </c>
      <c r="AG29">
        <f ca="1">IF(AND(ISNUMBER($AG$181),$B$156=1),$AG$181,HLOOKUP(INDIRECT(ADDRESS(2,COLUMN())),OFFSET($BN$2,0,0,ROW()-1,60),ROW()-1,FALSE))</f>
        <v>541152</v>
      </c>
      <c r="AH29">
        <f ca="1">IF(AND(ISNUMBER($AH$181),$B$156=1),$AH$181,HLOOKUP(INDIRECT(ADDRESS(2,COLUMN())),OFFSET($BN$2,0,0,ROW()-1,60),ROW()-1,FALSE))</f>
        <v>507830</v>
      </c>
      <c r="AI29">
        <f ca="1">IF(AND(ISNUMBER($AI$181),$B$156=1),$AI$181,HLOOKUP(INDIRECT(ADDRESS(2,COLUMN())),OFFSET($BN$2,0,0,ROW()-1,60),ROW()-1,FALSE))</f>
        <v>542958</v>
      </c>
      <c r="AJ29">
        <f ca="1">IF(AND(ISNUMBER($AJ$181),$B$156=1),$AJ$181,HLOOKUP(INDIRECT(ADDRESS(2,COLUMN())),OFFSET($BN$2,0,0,ROW()-1,60),ROW()-1,FALSE))</f>
        <v>436187</v>
      </c>
      <c r="AK29">
        <f ca="1">IF(AND(ISNUMBER($AK$181),$B$156=1),$AK$181,HLOOKUP(INDIRECT(ADDRESS(2,COLUMN())),OFFSET($BN$2,0,0,ROW()-1,60),ROW()-1,FALSE))</f>
        <v>577630</v>
      </c>
      <c r="AL29">
        <f ca="1">IF(AND(ISNUMBER($AL$181),$B$156=1),$AL$181,HLOOKUP(INDIRECT(ADDRESS(2,COLUMN())),OFFSET($BN$2,0,0,ROW()-1,60),ROW()-1,FALSE))</f>
        <v>647454</v>
      </c>
      <c r="AM29">
        <f ca="1">IF(AND(ISNUMBER($AM$181),$B$156=1),$AM$181,HLOOKUP(INDIRECT(ADDRESS(2,COLUMN())),OFFSET($BN$2,0,0,ROW()-1,60),ROW()-1,FALSE))</f>
        <v>594179</v>
      </c>
      <c r="AN29">
        <f ca="1">IF(AND(ISNUMBER($AN$181),$B$156=1),$AN$181,HLOOKUP(INDIRECT(ADDRESS(2,COLUMN())),OFFSET($BN$2,0,0,ROW()-1,60),ROW()-1,FALSE))</f>
        <v>445054</v>
      </c>
      <c r="AO29">
        <f ca="1">IF(AND(ISNUMBER($AO$181),$B$156=1),$AO$181,HLOOKUP(INDIRECT(ADDRESS(2,COLUMN())),OFFSET($BN$2,0,0,ROW()-1,60),ROW()-1,FALSE))</f>
        <v>617716</v>
      </c>
      <c r="AP29">
        <f ca="1">IF(AND(ISNUMBER($AP$181),$B$156=1),$AP$181,HLOOKUP(INDIRECT(ADDRESS(2,COLUMN())),OFFSET($BN$2,0,0,ROW()-1,60),ROW()-1,FALSE))</f>
        <v>594720</v>
      </c>
      <c r="AQ29">
        <f ca="1">IF(AND(ISNUMBER($AQ$181),$B$156=1),$AQ$181,HLOOKUP(INDIRECT(ADDRESS(2,COLUMN())),OFFSET($BN$2,0,0,ROW()-1,60),ROW()-1,FALSE))</f>
        <v>658376</v>
      </c>
      <c r="AR29">
        <f ca="1">IF(AND(ISNUMBER($AR$181),$B$156=1),$AR$181,HLOOKUP(INDIRECT(ADDRESS(2,COLUMN())),OFFSET($BN$2,0,0,ROW()-1,60),ROW()-1,FALSE))</f>
        <v>494041</v>
      </c>
      <c r="AS29">
        <f ca="1">IF(AND(ISNUMBER($AS$181),$B$156=1),$AS$181,HLOOKUP(INDIRECT(ADDRESS(2,COLUMN())),OFFSET($BN$2,0,0,ROW()-1,60),ROW()-1,FALSE))</f>
        <v>641422</v>
      </c>
      <c r="AT29">
        <f ca="1">IF(AND(ISNUMBER($AT$181),$B$156=1),$AT$181,HLOOKUP(INDIRECT(ADDRESS(2,COLUMN())),OFFSET($BN$2,0,0,ROW()-1,60),ROW()-1,FALSE))</f>
        <v>508559</v>
      </c>
      <c r="AU29">
        <f ca="1">IF(AND(ISNUMBER($AU$181),$B$156=1),$AU$181,HLOOKUP(INDIRECT(ADDRESS(2,COLUMN())),OFFSET($BN$2,0,0,ROW()-1,60),ROW()-1,FALSE))</f>
        <v>474518</v>
      </c>
      <c r="AV29">
        <f ca="1">IF(AND(ISNUMBER($AV$181),$B$156=1),$AV$181,HLOOKUP(INDIRECT(ADDRESS(2,COLUMN())),OFFSET($BN$2,0,0,ROW()-1,60),ROW()-1,FALSE))</f>
        <v>446869</v>
      </c>
      <c r="AW29">
        <f ca="1">IF(AND(ISNUMBER($AW$181),$B$156=1),$AW$181,HLOOKUP(INDIRECT(ADDRESS(2,COLUMN())),OFFSET($BN$2,0,0,ROW()-1,60),ROW()-1,FALSE))</f>
        <v>602774</v>
      </c>
      <c r="AX29">
        <f ca="1">IF(AND(ISNUMBER($AX$181),$B$156=1),$AX$181,HLOOKUP(INDIRECT(ADDRESS(2,COLUMN())),OFFSET($BN$2,0,0,ROW()-1,60),ROW()-1,FALSE))</f>
        <v>526121</v>
      </c>
      <c r="AY29">
        <f ca="1">IF(AND(ISNUMBER($AY$181),$B$156=1),$AY$181,HLOOKUP(INDIRECT(ADDRESS(2,COLUMN())),OFFSET($BN$2,0,0,ROW()-1,60),ROW()-1,FALSE))</f>
        <v>541182</v>
      </c>
      <c r="AZ29">
        <f ca="1">IF(AND(ISNUMBER($AZ$181),$B$156=1),$AZ$181,HLOOKUP(INDIRECT(ADDRESS(2,COLUMN())),OFFSET($BN$2,0,0,ROW()-1,60),ROW()-1,FALSE))</f>
        <v>442753</v>
      </c>
      <c r="BA29">
        <f ca="1">IF(AND(ISNUMBER($BA$181),$B$156=1),$BA$181,HLOOKUP(INDIRECT(ADDRESS(2,COLUMN())),OFFSET($BN$2,0,0,ROW()-1,60),ROW()-1,FALSE))</f>
        <v>561417</v>
      </c>
      <c r="BB29">
        <f ca="1">IF(AND(ISNUMBER($BB$181),$B$156=1),$BB$181,HLOOKUP(INDIRECT(ADDRESS(2,COLUMN())),OFFSET($BN$2,0,0,ROW()-1,60),ROW()-1,FALSE))</f>
        <v>519191</v>
      </c>
      <c r="BC29">
        <f ca="1">IF(AND(ISNUMBER($BC$181),$B$156=1),$BC$181,HLOOKUP(INDIRECT(ADDRESS(2,COLUMN())),OFFSET($BN$2,0,0,ROW()-1,60),ROW()-1,FALSE))</f>
        <v>482182</v>
      </c>
      <c r="BD29">
        <f ca="1">IF(AND(ISNUMBER($BD$181),$B$156=1),$BD$181,HLOOKUP(INDIRECT(ADDRESS(2,COLUMN())),OFFSET($BN$2,0,0,ROW()-1,60),ROW()-1,FALSE))</f>
        <v>409138</v>
      </c>
      <c r="BE29">
        <f ca="1">IF(AND(ISNUMBER($BE$181),$B$156=1),$BE$181,HLOOKUP(INDIRECT(ADDRESS(2,COLUMN())),OFFSET($BN$2,0,0,ROW()-1,60),ROW()-1,FALSE))</f>
        <v>582727</v>
      </c>
      <c r="BF29">
        <f ca="1">IF(AND(ISNUMBER($BF$181),$B$156=1),$BF$181,HLOOKUP(INDIRECT(ADDRESS(2,COLUMN())),OFFSET($BN$2,0,0,ROW()-1,60),ROW()-1,FALSE))</f>
        <v>526502</v>
      </c>
      <c r="BG29">
        <f ca="1">IF(AND(ISNUMBER($BG$181),$B$156=1),$BG$181,HLOOKUP(INDIRECT(ADDRESS(2,COLUMN())),OFFSET($BN$2,0,0,ROW()-1,60),ROW()-1,FALSE))</f>
        <v>501040</v>
      </c>
      <c r="BH29">
        <f ca="1">IF(AND(ISNUMBER($BH$181),$B$156=1),$BH$181,HLOOKUP(INDIRECT(ADDRESS(2,COLUMN())),OFFSET($BN$2,0,0,ROW()-1,60),ROW()-1,FALSE))</f>
        <v>439006</v>
      </c>
      <c r="BI29">
        <f ca="1">IF(AND(ISNUMBER($BI$181),$B$156=1),$BI$181,HLOOKUP(INDIRECT(ADDRESS(2,COLUMN())),OFFSET($BN$2,0,0,ROW()-1,60),ROW()-1,FALSE))</f>
        <v>601510</v>
      </c>
      <c r="BJ29">
        <f ca="1">IF(AND(ISNUMBER($BJ$181),$B$156=1),$BJ$181,HLOOKUP(INDIRECT(ADDRESS(2,COLUMN())),OFFSET($BN$2,0,0,ROW()-1,60),ROW()-1,FALSE))</f>
        <v>526233</v>
      </c>
      <c r="BK29">
        <f ca="1">IF(AND(ISNUMBER($BK$181),$B$156=1),$BK$181,HLOOKUP(INDIRECT(ADDRESS(2,COLUMN())),OFFSET($BN$2,0,0,ROW()-1,60),ROW()-1,FALSE))</f>
        <v>517371</v>
      </c>
      <c r="BL29">
        <f ca="1">IF(AND(ISNUMBER($BL$181),$B$156=1),$BL$181,HLOOKUP(INDIRECT(ADDRESS(2,COLUMN())),OFFSET($BN$2,0,0,ROW()-1,60),ROW()-1,FALSE))</f>
        <v>428531</v>
      </c>
      <c r="BM29">
        <f ca="1">IF(AND(ISNUMBER($BM$181),$B$156=1),$BM$181,HLOOKUP(INDIRECT(ADDRESS(2,COLUMN())),OFFSET($BN$2,0,0,ROW()-1,60),ROW()-1,FALSE))</f>
        <v>560923</v>
      </c>
      <c r="BN29">
        <f>155079</f>
        <v>155079</v>
      </c>
      <c r="BO29">
        <f>510799</f>
        <v>510799</v>
      </c>
      <c r="BP29">
        <f>474532</f>
        <v>474532</v>
      </c>
      <c r="BQ29">
        <f>631308</f>
        <v>631308</v>
      </c>
      <c r="BR29">
        <f>556842</f>
        <v>556842</v>
      </c>
      <c r="BS29">
        <f>549869</f>
        <v>549869</v>
      </c>
      <c r="BT29">
        <f>425612</f>
        <v>425612</v>
      </c>
      <c r="BU29">
        <f>594213</f>
        <v>594213</v>
      </c>
      <c r="BV29">
        <f>541054</f>
        <v>541054</v>
      </c>
      <c r="BW29">
        <f>512727</f>
        <v>512727</v>
      </c>
      <c r="BX29">
        <f>400021</f>
        <v>400021</v>
      </c>
      <c r="BY29">
        <f>586047</f>
        <v>586047</v>
      </c>
      <c r="BZ29">
        <f>516382</f>
        <v>516382</v>
      </c>
      <c r="CA29">
        <f>495791</f>
        <v>495791</v>
      </c>
      <c r="CB29">
        <f>403942</f>
        <v>403942</v>
      </c>
      <c r="CC29">
        <f>540174</f>
        <v>540174</v>
      </c>
      <c r="CD29">
        <f>477319</f>
        <v>477319</v>
      </c>
      <c r="CE29">
        <f>458570</f>
        <v>458570</v>
      </c>
      <c r="CF29">
        <f>378563</f>
        <v>378563</v>
      </c>
      <c r="CG29">
        <f>512143</f>
        <v>512143</v>
      </c>
      <c r="CH29">
        <f>446609</f>
        <v>446609</v>
      </c>
      <c r="CI29">
        <f>480643</f>
        <v>480643</v>
      </c>
      <c r="CJ29">
        <f>378337</f>
        <v>378337</v>
      </c>
      <c r="CK29">
        <f>497594</f>
        <v>497594</v>
      </c>
      <c r="CL29">
        <f>433882</f>
        <v>433882</v>
      </c>
      <c r="CM29">
        <f>467251</f>
        <v>467251</v>
      </c>
      <c r="CN29">
        <f>382527</f>
        <v>382527</v>
      </c>
      <c r="CO29">
        <f>541152</f>
        <v>541152</v>
      </c>
      <c r="CP29">
        <f>507830</f>
        <v>507830</v>
      </c>
      <c r="CQ29">
        <f>542958</f>
        <v>542958</v>
      </c>
      <c r="CR29">
        <f>436187</f>
        <v>436187</v>
      </c>
      <c r="CS29">
        <f>577630</f>
        <v>577630</v>
      </c>
      <c r="CT29">
        <f>647454</f>
        <v>647454</v>
      </c>
      <c r="CU29">
        <f>594179</f>
        <v>594179</v>
      </c>
      <c r="CV29">
        <f>445054</f>
        <v>445054</v>
      </c>
      <c r="CW29">
        <f>617716</f>
        <v>617716</v>
      </c>
      <c r="CX29">
        <f>594720</f>
        <v>594720</v>
      </c>
      <c r="CY29">
        <f>658376</f>
        <v>658376</v>
      </c>
      <c r="CZ29">
        <f>494041</f>
        <v>494041</v>
      </c>
      <c r="DA29">
        <f>641422</f>
        <v>641422</v>
      </c>
      <c r="DB29">
        <f>508559</f>
        <v>508559</v>
      </c>
      <c r="DC29">
        <f>474518</f>
        <v>474518</v>
      </c>
      <c r="DD29">
        <f>446869</f>
        <v>446869</v>
      </c>
      <c r="DE29">
        <f>602774</f>
        <v>602774</v>
      </c>
      <c r="DF29">
        <f>526121</f>
        <v>526121</v>
      </c>
      <c r="DG29">
        <f>541182</f>
        <v>541182</v>
      </c>
      <c r="DH29">
        <f>442753</f>
        <v>442753</v>
      </c>
      <c r="DI29">
        <f>561417</f>
        <v>561417</v>
      </c>
      <c r="DJ29">
        <f>519191</f>
        <v>519191</v>
      </c>
      <c r="DK29">
        <f>482182</f>
        <v>482182</v>
      </c>
      <c r="DL29">
        <f>409138</f>
        <v>409138</v>
      </c>
      <c r="DM29">
        <f>582727</f>
        <v>582727</v>
      </c>
      <c r="DN29">
        <f>526502</f>
        <v>526502</v>
      </c>
      <c r="DO29">
        <f>501040</f>
        <v>501040</v>
      </c>
      <c r="DP29">
        <f>439006</f>
        <v>439006</v>
      </c>
      <c r="DQ29">
        <f>601510</f>
        <v>601510</v>
      </c>
      <c r="DR29">
        <f>526233</f>
        <v>526233</v>
      </c>
      <c r="DS29">
        <f>517371</f>
        <v>517371</v>
      </c>
      <c r="DT29">
        <f>428531</f>
        <v>428531</v>
      </c>
      <c r="DU29">
        <f>560923</f>
        <v>560923</v>
      </c>
    </row>
    <row r="30" spans="1:125" x14ac:dyDescent="0.25">
      <c r="A30" t="str">
        <f>"            Germany"</f>
        <v xml:space="preserve">            Germany</v>
      </c>
      <c r="B30" t="str">
        <f>"WCARDEI Index"</f>
        <v>WCARDEI Index</v>
      </c>
      <c r="C30" t="str">
        <f t="shared" si="3"/>
        <v>PX385</v>
      </c>
      <c r="D30" t="str">
        <f t="shared" si="4"/>
        <v>INTERVAL_SUM</v>
      </c>
      <c r="E30" t="str">
        <f t="shared" si="5"/>
        <v>Dynamic</v>
      </c>
      <c r="F30">
        <f ca="1">IF(AND(ISNUMBER($F$182),$B$156=1),$F$182,HLOOKUP(INDIRECT(ADDRESS(2,COLUMN())),OFFSET($BN$2,0,0,ROW()-1,60),ROW()-1,FALSE))</f>
        <v>265702</v>
      </c>
      <c r="G30">
        <f ca="1">IF(AND(ISNUMBER($G$182),$B$156=1),$G$182,HLOOKUP(INDIRECT(ADDRESS(2,COLUMN())),OFFSET($BN$2,0,0,ROW()-1,60),ROW()-1,FALSE))</f>
        <v>762360</v>
      </c>
      <c r="H30">
        <f ca="1">IF(AND(ISNUMBER($H$182),$B$156=1),$H$182,HLOOKUP(INDIRECT(ADDRESS(2,COLUMN())),OFFSET($BN$2,0,0,ROW()-1,60),ROW()-1,FALSE))</f>
        <v>834387</v>
      </c>
      <c r="I30">
        <f ca="1">IF(AND(ISNUMBER($I$182),$B$156=1),$I$182,HLOOKUP(INDIRECT(ADDRESS(2,COLUMN())),OFFSET($BN$2,0,0,ROW()-1,60),ROW()-1,FALSE))</f>
        <v>960420</v>
      </c>
      <c r="J30">
        <f ca="1">IF(AND(ISNUMBER($J$182),$B$156=1),$J$182,HLOOKUP(INDIRECT(ADDRESS(2,COLUMN())),OFFSET($BN$2,0,0,ROW()-1,60),ROW()-1,FALSE))</f>
        <v>878611</v>
      </c>
      <c r="K30">
        <f ca="1">IF(AND(ISNUMBER($K$182),$B$156=1),$K$182,HLOOKUP(INDIRECT(ADDRESS(2,COLUMN())),OFFSET($BN$2,0,0,ROW()-1,60),ROW()-1,FALSE))</f>
        <v>829441</v>
      </c>
      <c r="L30">
        <f ca="1">IF(AND(ISNUMBER($L$182),$B$156=1),$L$182,HLOOKUP(INDIRECT(ADDRESS(2,COLUMN())),OFFSET($BN$2,0,0,ROW()-1,60),ROW()-1,FALSE))</f>
        <v>824795</v>
      </c>
      <c r="M30">
        <f ca="1">IF(AND(ISNUMBER($M$182),$B$156=1),$M$182,HLOOKUP(INDIRECT(ADDRESS(2,COLUMN())),OFFSET($BN$2,0,0,ROW()-1,60),ROW()-1,FALSE))</f>
        <v>942342</v>
      </c>
      <c r="N30">
        <f ca="1">IF(AND(ISNUMBER($N$182),$B$156=1),$N$182,HLOOKUP(INDIRECT(ADDRESS(2,COLUMN())),OFFSET($BN$2,0,0,ROW()-1,60),ROW()-1,FALSE))</f>
        <v>844684</v>
      </c>
      <c r="O30">
        <f ca="1">IF(AND(ISNUMBER($O$182),$B$156=1),$O$182,HLOOKUP(INDIRECT(ADDRESS(2,COLUMN())),OFFSET($BN$2,0,0,ROW()-1,60),ROW()-1,FALSE))</f>
        <v>795824</v>
      </c>
      <c r="P30">
        <f ca="1">IF(AND(ISNUMBER($P$182),$B$156=1),$P$182,HLOOKUP(INDIRECT(ADDRESS(2,COLUMN())),OFFSET($BN$2,0,0,ROW()-1,60),ROW()-1,FALSE))</f>
        <v>821944</v>
      </c>
      <c r="Q30">
        <f ca="1">IF(AND(ISNUMBER($Q$182),$B$156=1),$Q$182,HLOOKUP(INDIRECT(ADDRESS(2,COLUMN())),OFFSET($BN$2,0,0,ROW()-1,60),ROW()-1,FALSE))</f>
        <v>942415</v>
      </c>
      <c r="R30">
        <f ca="1">IF(AND(ISNUMBER($R$182),$B$156=1),$R$182,HLOOKUP(INDIRECT(ADDRESS(2,COLUMN())),OFFSET($BN$2,0,0,ROW()-1,60),ROW()-1,FALSE))</f>
        <v>791424</v>
      </c>
      <c r="S30">
        <f ca="1">IF(AND(ISNUMBER($S$182),$B$156=1),$S$182,HLOOKUP(INDIRECT(ADDRESS(2,COLUMN())),OFFSET($BN$2,0,0,ROW()-1,60),ROW()-1,FALSE))</f>
        <v>798104</v>
      </c>
      <c r="T30">
        <f ca="1">IF(AND(ISNUMBER($T$182),$B$156=1),$T$182,HLOOKUP(INDIRECT(ADDRESS(2,COLUMN())),OFFSET($BN$2,0,0,ROW()-1,60),ROW()-1,FALSE))</f>
        <v>788989</v>
      </c>
      <c r="U30">
        <f ca="1">IF(AND(ISNUMBER($U$182),$B$156=1),$U$182,HLOOKUP(INDIRECT(ADDRESS(2,COLUMN())),OFFSET($BN$2,0,0,ROW()-1,60),ROW()-1,FALSE))</f>
        <v>861319</v>
      </c>
      <c r="V30">
        <f ca="1">IF(AND(ISNUMBER($V$182),$B$156=1),$V$182,HLOOKUP(INDIRECT(ADDRESS(2,COLUMN())),OFFSET($BN$2,0,0,ROW()-1,60),ROW()-1,FALSE))</f>
        <v>757630</v>
      </c>
      <c r="W30">
        <f ca="1">IF(AND(ISNUMBER($W$182),$B$156=1),$W$182,HLOOKUP(INDIRECT(ADDRESS(2,COLUMN())),OFFSET($BN$2,0,0,ROW()-1,60),ROW()-1,FALSE))</f>
        <v>755102</v>
      </c>
      <c r="X30">
        <f ca="1">IF(AND(ISNUMBER($X$182),$B$156=1),$X$182,HLOOKUP(INDIRECT(ADDRESS(2,COLUMN())),OFFSET($BN$2,0,0,ROW()-1,60),ROW()-1,FALSE))</f>
        <v>743403</v>
      </c>
      <c r="Y30">
        <f ca="1">IF(AND(ISNUMBER($Y$182),$B$156=1),$Y$182,HLOOKUP(INDIRECT(ADDRESS(2,COLUMN())),OFFSET($BN$2,0,0,ROW()-1,60),ROW()-1,FALSE))</f>
        <v>826515</v>
      </c>
      <c r="Z30">
        <f ca="1">IF(AND(ISNUMBER($Z$182),$B$156=1),$Z$182,HLOOKUP(INDIRECT(ADDRESS(2,COLUMN())),OFFSET($BN$2,0,0,ROW()-1,60),ROW()-1,FALSE))</f>
        <v>711753</v>
      </c>
      <c r="AA30">
        <f ca="1">IF(AND(ISNUMBER($AA$182),$B$156=1),$AA$182,HLOOKUP(INDIRECT(ADDRESS(2,COLUMN())),OFFSET($BN$2,0,0,ROW()-1,60),ROW()-1,FALSE))</f>
        <v>735412</v>
      </c>
      <c r="AB30">
        <f ca="1">IF(AND(ISNUMBER($AB$182),$B$156=1),$AB$182,HLOOKUP(INDIRECT(ADDRESS(2,COLUMN())),OFFSET($BN$2,0,0,ROW()-1,60),ROW()-1,FALSE))</f>
        <v>714389</v>
      </c>
      <c r="AC30">
        <f ca="1">IF(AND(ISNUMBER($AC$182),$B$156=1),$AC$182,HLOOKUP(INDIRECT(ADDRESS(2,COLUMN())),OFFSET($BN$2,0,0,ROW()-1,60),ROW()-1,FALSE))</f>
        <v>828673</v>
      </c>
      <c r="AD30">
        <f ca="1">IF(AND(ISNUMBER($AD$182),$B$156=1),$AD$182,HLOOKUP(INDIRECT(ADDRESS(2,COLUMN())),OFFSET($BN$2,0,0,ROW()-1,60),ROW()-1,FALSE))</f>
        <v>673957</v>
      </c>
      <c r="AE30">
        <f ca="1">IF(AND(ISNUMBER($AE$182),$B$156=1),$AE$182,HLOOKUP(INDIRECT(ADDRESS(2,COLUMN())),OFFSET($BN$2,0,0,ROW()-1,60),ROW()-1,FALSE))</f>
        <v>723706</v>
      </c>
      <c r="AF30">
        <f ca="1">IF(AND(ISNUMBER($AF$182),$B$156=1),$AF$182,HLOOKUP(INDIRECT(ADDRESS(2,COLUMN())),OFFSET($BN$2,0,0,ROW()-1,60),ROW()-1,FALSE))</f>
        <v>724397</v>
      </c>
      <c r="AG30">
        <f ca="1">IF(AND(ISNUMBER($AG$182),$B$156=1),$AG$182,HLOOKUP(INDIRECT(ADDRESS(2,COLUMN())),OFFSET($BN$2,0,0,ROW()-1,60),ROW()-1,FALSE))</f>
        <v>860765</v>
      </c>
      <c r="AH30">
        <f ca="1">IF(AND(ISNUMBER($AH$182),$B$156=1),$AH$182,HLOOKUP(INDIRECT(ADDRESS(2,COLUMN())),OFFSET($BN$2,0,0,ROW()-1,60),ROW()-1,FALSE))</f>
        <v>773636</v>
      </c>
      <c r="AI30">
        <f ca="1">IF(AND(ISNUMBER($AI$182),$B$156=1),$AI$182,HLOOKUP(INDIRECT(ADDRESS(2,COLUMN())),OFFSET($BN$2,0,0,ROW()-1,60),ROW()-1,FALSE))</f>
        <v>771898</v>
      </c>
      <c r="AJ30">
        <f ca="1">IF(AND(ISNUMBER($AJ$182),$B$156=1),$AJ$182,HLOOKUP(INDIRECT(ADDRESS(2,COLUMN())),OFFSET($BN$2,0,0,ROW()-1,60),ROW()-1,FALSE))</f>
        <v>779157</v>
      </c>
      <c r="AK30">
        <f ca="1">IF(AND(ISNUMBER($AK$182),$B$156=1),$AK$182,HLOOKUP(INDIRECT(ADDRESS(2,COLUMN())),OFFSET($BN$2,0,0,ROW()-1,60),ROW()-1,FALSE))</f>
        <v>859176</v>
      </c>
      <c r="AL30">
        <f ca="1">IF(AND(ISNUMBER($AL$182),$B$156=1),$AL$182,HLOOKUP(INDIRECT(ADDRESS(2,COLUMN())),OFFSET($BN$2,0,0,ROW()-1,60),ROW()-1,FALSE))</f>
        <v>763403</v>
      </c>
      <c r="AM30">
        <f ca="1">IF(AND(ISNUMBER($AM$182),$B$156=1),$AM$182,HLOOKUP(INDIRECT(ADDRESS(2,COLUMN())),OFFSET($BN$2,0,0,ROW()-1,60),ROW()-1,FALSE))</f>
        <v>749408</v>
      </c>
      <c r="AN30">
        <f ca="1">IF(AND(ISNUMBER($AN$182),$B$156=1),$AN$182,HLOOKUP(INDIRECT(ADDRESS(2,COLUMN())),OFFSET($BN$2,0,0,ROW()-1,60),ROW()-1,FALSE))</f>
        <v>698061</v>
      </c>
      <c r="AO30">
        <f ca="1">IF(AND(ISNUMBER($AO$182),$B$156=1),$AO$182,HLOOKUP(INDIRECT(ADDRESS(2,COLUMN())),OFFSET($BN$2,0,0,ROW()-1,60),ROW()-1,FALSE))</f>
        <v>798381</v>
      </c>
      <c r="AP30">
        <f ca="1">IF(AND(ISNUMBER($AP$182),$B$156=1),$AP$182,HLOOKUP(INDIRECT(ADDRESS(2,COLUMN())),OFFSET($BN$2,0,0,ROW()-1,60),ROW()-1,FALSE))</f>
        <v>670410</v>
      </c>
      <c r="AQ30">
        <f ca="1">IF(AND(ISNUMBER($AQ$182),$B$156=1),$AQ$182,HLOOKUP(INDIRECT(ADDRESS(2,COLUMN())),OFFSET($BN$2,0,0,ROW()-1,60),ROW()-1,FALSE))</f>
        <v>816409</v>
      </c>
      <c r="AR30">
        <f ca="1">IF(AND(ISNUMBER($AR$182),$B$156=1),$AR$182,HLOOKUP(INDIRECT(ADDRESS(2,COLUMN())),OFFSET($BN$2,0,0,ROW()-1,60),ROW()-1,FALSE))</f>
        <v>931361</v>
      </c>
      <c r="AS30">
        <f ca="1">IF(AND(ISNUMBER($AS$182),$B$156=1),$AS$182,HLOOKUP(INDIRECT(ADDRESS(2,COLUMN())),OFFSET($BN$2,0,0,ROW()-1,60),ROW()-1,FALSE))</f>
        <v>1191315</v>
      </c>
      <c r="AT30">
        <f ca="1">IF(AND(ISNUMBER($AT$182),$B$156=1),$AT$182,HLOOKUP(INDIRECT(ADDRESS(2,COLUMN())),OFFSET($BN$2,0,0,ROW()-1,60),ROW()-1,FALSE))</f>
        <v>868090</v>
      </c>
      <c r="AU30">
        <f ca="1">IF(AND(ISNUMBER($AU$182),$B$156=1),$AU$182,HLOOKUP(INDIRECT(ADDRESS(2,COLUMN())),OFFSET($BN$2,0,0,ROW()-1,60),ROW()-1,FALSE))</f>
        <v>718567</v>
      </c>
      <c r="AV30">
        <f ca="1">IF(AND(ISNUMBER($AV$182),$B$156=1),$AV$182,HLOOKUP(INDIRECT(ADDRESS(2,COLUMN())),OFFSET($BN$2,0,0,ROW()-1,60),ROW()-1,FALSE))</f>
        <v>738304</v>
      </c>
      <c r="AW30">
        <f ca="1">IF(AND(ISNUMBER($AW$182),$B$156=1),$AW$182,HLOOKUP(INDIRECT(ADDRESS(2,COLUMN())),OFFSET($BN$2,0,0,ROW()-1,60),ROW()-1,FALSE))</f>
        <v>897255</v>
      </c>
      <c r="AX30">
        <f ca="1">IF(AND(ISNUMBER($AX$182),$B$156=1),$AX$182,HLOOKUP(INDIRECT(ADDRESS(2,COLUMN())),OFFSET($BN$2,0,0,ROW()-1,60),ROW()-1,FALSE))</f>
        <v>735914</v>
      </c>
      <c r="AY30">
        <f ca="1">IF(AND(ISNUMBER($AY$182),$B$156=1),$AY$182,HLOOKUP(INDIRECT(ADDRESS(2,COLUMN())),OFFSET($BN$2,0,0,ROW()-1,60),ROW()-1,FALSE))</f>
        <v>807671</v>
      </c>
      <c r="AZ30">
        <f ca="1">IF(AND(ISNUMBER($AZ$182),$B$156=1),$AZ$182,HLOOKUP(INDIRECT(ADDRESS(2,COLUMN())),OFFSET($BN$2,0,0,ROW()-1,60),ROW()-1,FALSE))</f>
        <v>763493</v>
      </c>
      <c r="BA30">
        <f ca="1">IF(AND(ISNUMBER($BA$182),$B$156=1),$BA$182,HLOOKUP(INDIRECT(ADDRESS(2,COLUMN())),OFFSET($BN$2,0,0,ROW()-1,60),ROW()-1,FALSE))</f>
        <v>859463</v>
      </c>
      <c r="BB30">
        <f ca="1">IF(AND(ISNUMBER($BB$182),$B$156=1),$BB$182,HLOOKUP(INDIRECT(ADDRESS(2,COLUMN())),OFFSET($BN$2,0,0,ROW()-1,60),ROW()-1,FALSE))</f>
        <v>717536</v>
      </c>
      <c r="BC30">
        <f ca="1">IF(AND(ISNUMBER($BC$182),$B$156=1),$BC$182,HLOOKUP(INDIRECT(ADDRESS(2,COLUMN())),OFFSET($BN$2,0,0,ROW()-1,60),ROW()-1,FALSE))</f>
        <v>923286</v>
      </c>
      <c r="BD30">
        <f ca="1">IF(AND(ISNUMBER($BD$182),$B$156=1),$BD$182,HLOOKUP(INDIRECT(ADDRESS(2,COLUMN())),OFFSET($BN$2,0,0,ROW()-1,60),ROW()-1,FALSE))</f>
        <v>808781</v>
      </c>
      <c r="BE30">
        <f ca="1">IF(AND(ISNUMBER($BE$182),$B$156=1),$BE$182,HLOOKUP(INDIRECT(ADDRESS(2,COLUMN())),OFFSET($BN$2,0,0,ROW()-1,60),ROW()-1,FALSE))</f>
        <v>938751</v>
      </c>
      <c r="BF30">
        <f ca="1">IF(AND(ISNUMBER($BF$182),$B$156=1),$BF$182,HLOOKUP(INDIRECT(ADDRESS(2,COLUMN())),OFFSET($BN$2,0,0,ROW()-1,60),ROW()-1,FALSE))</f>
        <v>797143</v>
      </c>
      <c r="BG30">
        <f ca="1">IF(AND(ISNUMBER($BG$182),$B$156=1),$BG$182,HLOOKUP(INDIRECT(ADDRESS(2,COLUMN())),OFFSET($BN$2,0,0,ROW()-1,60),ROW()-1,FALSE))</f>
        <v>820688</v>
      </c>
      <c r="BH30">
        <f ca="1">IF(AND(ISNUMBER($BH$182),$B$156=1),$BH$182,HLOOKUP(INDIRECT(ADDRESS(2,COLUMN())),OFFSET($BN$2,0,0,ROW()-1,60),ROW()-1,FALSE))</f>
        <v>801774</v>
      </c>
      <c r="BI30">
        <f ca="1">IF(AND(ISNUMBER($BI$182),$B$156=1),$BI$182,HLOOKUP(INDIRECT(ADDRESS(2,COLUMN())),OFFSET($BN$2,0,0,ROW()-1,60),ROW()-1,FALSE))</f>
        <v>945999</v>
      </c>
      <c r="BJ30">
        <f ca="1">IF(AND(ISNUMBER($BJ$182),$B$156=1),$BJ$182,HLOOKUP(INDIRECT(ADDRESS(2,COLUMN())),OFFSET($BN$2,0,0,ROW()-1,60),ROW()-1,FALSE))</f>
        <v>750798</v>
      </c>
      <c r="BK30">
        <f ca="1">IF(AND(ISNUMBER($BK$182),$B$156=1),$BK$182,HLOOKUP(INDIRECT(ADDRESS(2,COLUMN())),OFFSET($BN$2,0,0,ROW()-1,60),ROW()-1,FALSE))</f>
        <v>847689</v>
      </c>
      <c r="BL30">
        <f ca="1">IF(AND(ISNUMBER($BL$182),$B$156=1),$BL$182,HLOOKUP(INDIRECT(ADDRESS(2,COLUMN())),OFFSET($BN$2,0,0,ROW()-1,60),ROW()-1,FALSE))</f>
        <v>763020</v>
      </c>
      <c r="BM30">
        <f ca="1">IF(AND(ISNUMBER($BM$182),$B$156=1),$BM$182,HLOOKUP(INDIRECT(ADDRESS(2,COLUMN())),OFFSET($BN$2,0,0,ROW()-1,60),ROW()-1,FALSE))</f>
        <v>890850</v>
      </c>
      <c r="BN30">
        <f>265702</f>
        <v>265702</v>
      </c>
      <c r="BO30">
        <f>762360</f>
        <v>762360</v>
      </c>
      <c r="BP30">
        <f>834387</f>
        <v>834387</v>
      </c>
      <c r="BQ30">
        <f>960420</f>
        <v>960420</v>
      </c>
      <c r="BR30">
        <f>878611</f>
        <v>878611</v>
      </c>
      <c r="BS30">
        <f>829441</f>
        <v>829441</v>
      </c>
      <c r="BT30">
        <f>824795</f>
        <v>824795</v>
      </c>
      <c r="BU30">
        <f>942342</f>
        <v>942342</v>
      </c>
      <c r="BV30">
        <f>844684</f>
        <v>844684</v>
      </c>
      <c r="BW30">
        <f>795824</f>
        <v>795824</v>
      </c>
      <c r="BX30">
        <f>821944</f>
        <v>821944</v>
      </c>
      <c r="BY30">
        <f>942415</f>
        <v>942415</v>
      </c>
      <c r="BZ30">
        <f>791424</f>
        <v>791424</v>
      </c>
      <c r="CA30">
        <f>798104</f>
        <v>798104</v>
      </c>
      <c r="CB30">
        <f>788989</f>
        <v>788989</v>
      </c>
      <c r="CC30">
        <f>861319</f>
        <v>861319</v>
      </c>
      <c r="CD30">
        <f>757630</f>
        <v>757630</v>
      </c>
      <c r="CE30">
        <f>755102</f>
        <v>755102</v>
      </c>
      <c r="CF30">
        <f>743403</f>
        <v>743403</v>
      </c>
      <c r="CG30">
        <f>826515</f>
        <v>826515</v>
      </c>
      <c r="CH30">
        <f>711753</f>
        <v>711753</v>
      </c>
      <c r="CI30">
        <f>735412</f>
        <v>735412</v>
      </c>
      <c r="CJ30">
        <f>714389</f>
        <v>714389</v>
      </c>
      <c r="CK30">
        <f>828673</f>
        <v>828673</v>
      </c>
      <c r="CL30">
        <f>673957</f>
        <v>673957</v>
      </c>
      <c r="CM30">
        <f>723706</f>
        <v>723706</v>
      </c>
      <c r="CN30">
        <f>724397</f>
        <v>724397</v>
      </c>
      <c r="CO30">
        <f>860765</f>
        <v>860765</v>
      </c>
      <c r="CP30">
        <f>773636</f>
        <v>773636</v>
      </c>
      <c r="CQ30">
        <f>771898</f>
        <v>771898</v>
      </c>
      <c r="CR30">
        <f>779157</f>
        <v>779157</v>
      </c>
      <c r="CS30">
        <f>859176</f>
        <v>859176</v>
      </c>
      <c r="CT30">
        <f>763403</f>
        <v>763403</v>
      </c>
      <c r="CU30">
        <f>749408</f>
        <v>749408</v>
      </c>
      <c r="CV30">
        <f>698061</f>
        <v>698061</v>
      </c>
      <c r="CW30">
        <f>798381</f>
        <v>798381</v>
      </c>
      <c r="CX30">
        <f>670410</f>
        <v>670410</v>
      </c>
      <c r="CY30">
        <f>816409</f>
        <v>816409</v>
      </c>
      <c r="CZ30">
        <f>931361</f>
        <v>931361</v>
      </c>
      <c r="DA30">
        <f>1191315</f>
        <v>1191315</v>
      </c>
      <c r="DB30">
        <f>868090</f>
        <v>868090</v>
      </c>
      <c r="DC30">
        <f>718567</f>
        <v>718567</v>
      </c>
      <c r="DD30">
        <f>738304</f>
        <v>738304</v>
      </c>
      <c r="DE30">
        <f>897255</f>
        <v>897255</v>
      </c>
      <c r="DF30">
        <f>735914</f>
        <v>735914</v>
      </c>
      <c r="DG30">
        <f>807671</f>
        <v>807671</v>
      </c>
      <c r="DH30">
        <f>763493</f>
        <v>763493</v>
      </c>
      <c r="DI30">
        <f>859463</f>
        <v>859463</v>
      </c>
      <c r="DJ30">
        <f>717536</f>
        <v>717536</v>
      </c>
      <c r="DK30">
        <f>923286</f>
        <v>923286</v>
      </c>
      <c r="DL30">
        <f>808781</f>
        <v>808781</v>
      </c>
      <c r="DM30">
        <f>938751</f>
        <v>938751</v>
      </c>
      <c r="DN30">
        <f>797143</f>
        <v>797143</v>
      </c>
      <c r="DO30">
        <f>820688</f>
        <v>820688</v>
      </c>
      <c r="DP30">
        <f>801774</f>
        <v>801774</v>
      </c>
      <c r="DQ30">
        <f>945999</f>
        <v>945999</v>
      </c>
      <c r="DR30">
        <f>750798</f>
        <v>750798</v>
      </c>
      <c r="DS30">
        <f>847689</f>
        <v>847689</v>
      </c>
      <c r="DT30">
        <f>763020</f>
        <v>763020</v>
      </c>
      <c r="DU30">
        <f>890850</f>
        <v>890850</v>
      </c>
    </row>
    <row r="31" spans="1:125" x14ac:dyDescent="0.25">
      <c r="A31" t="str">
        <f>"            Greece"</f>
        <v xml:space="preserve">            Greece</v>
      </c>
      <c r="B31" t="str">
        <f>"WCARGRI Index"</f>
        <v>WCARGRI Index</v>
      </c>
      <c r="C31" t="str">
        <f t="shared" si="3"/>
        <v>PX385</v>
      </c>
      <c r="D31" t="str">
        <f t="shared" si="4"/>
        <v>INTERVAL_SUM</v>
      </c>
      <c r="E31" t="str">
        <f t="shared" si="5"/>
        <v>Dynamic</v>
      </c>
      <c r="F31">
        <f ca="1">IF(AND(ISNUMBER($F$183),$B$156=1),$F$183,HLOOKUP(INDIRECT(ADDRESS(2,COLUMN())),OFFSET($BN$2,0,0,ROW()-1,60),ROW()-1,FALSE))</f>
        <v>9210</v>
      </c>
      <c r="G31">
        <f ca="1">IF(AND(ISNUMBER($G$183),$B$156=1),$G$183,HLOOKUP(INDIRECT(ADDRESS(2,COLUMN())),OFFSET($BN$2,0,0,ROW()-1,60),ROW()-1,FALSE))</f>
        <v>19355</v>
      </c>
      <c r="H31">
        <f ca="1">IF(AND(ISNUMBER($H$183),$B$156=1),$H$183,HLOOKUP(INDIRECT(ADDRESS(2,COLUMN())),OFFSET($BN$2,0,0,ROW()-1,60),ROW()-1,FALSE))</f>
        <v>21764</v>
      </c>
      <c r="I31">
        <f ca="1">IF(AND(ISNUMBER($I$183),$B$156=1),$I$183,HLOOKUP(INDIRECT(ADDRESS(2,COLUMN())),OFFSET($BN$2,0,0,ROW()-1,60),ROW()-1,FALSE))</f>
        <v>35536</v>
      </c>
      <c r="J31">
        <f ca="1">IF(AND(ISNUMBER($J$183),$B$156=1),$J$183,HLOOKUP(INDIRECT(ADDRESS(2,COLUMN())),OFFSET($BN$2,0,0,ROW()-1,60),ROW()-1,FALSE))</f>
        <v>26781</v>
      </c>
      <c r="K31">
        <f ca="1">IF(AND(ISNUMBER($K$183),$B$156=1),$K$183,HLOOKUP(INDIRECT(ADDRESS(2,COLUMN())),OFFSET($BN$2,0,0,ROW()-1,60),ROW()-1,FALSE))</f>
        <v>18225</v>
      </c>
      <c r="L31">
        <f ca="1">IF(AND(ISNUMBER($L$183),$B$156=1),$L$183,HLOOKUP(INDIRECT(ADDRESS(2,COLUMN())),OFFSET($BN$2,0,0,ROW()-1,60),ROW()-1,FALSE))</f>
        <v>19502</v>
      </c>
      <c r="M31">
        <f ca="1">IF(AND(ISNUMBER($M$183),$B$156=1),$M$183,HLOOKUP(INDIRECT(ADDRESS(2,COLUMN())),OFFSET($BN$2,0,0,ROW()-1,60),ROW()-1,FALSE))</f>
        <v>29259</v>
      </c>
      <c r="N31">
        <f ca="1">IF(AND(ISNUMBER($N$183),$B$156=1),$N$183,HLOOKUP(INDIRECT(ADDRESS(2,COLUMN())),OFFSET($BN$2,0,0,ROW()-1,60),ROW()-1,FALSE))</f>
        <v>21097</v>
      </c>
      <c r="O31">
        <f ca="1">IF(AND(ISNUMBER($O$183),$B$156=1),$O$183,HLOOKUP(INDIRECT(ADDRESS(2,COLUMN())),OFFSET($BN$2,0,0,ROW()-1,60),ROW()-1,FALSE))</f>
        <v>15657</v>
      </c>
      <c r="P31">
        <f ca="1">IF(AND(ISNUMBER($P$183),$B$156=1),$P$183,HLOOKUP(INDIRECT(ADDRESS(2,COLUMN())),OFFSET($BN$2,0,0,ROW()-1,60),ROW()-1,FALSE))</f>
        <v>15803</v>
      </c>
      <c r="Q31">
        <f ca="1">IF(AND(ISNUMBER($Q$183),$B$156=1),$Q$183,HLOOKUP(INDIRECT(ADDRESS(2,COLUMN())),OFFSET($BN$2,0,0,ROW()-1,60),ROW()-1,FALSE))</f>
        <v>32087</v>
      </c>
      <c r="R31">
        <f ca="1">IF(AND(ISNUMBER($R$183),$B$156=1),$R$183,HLOOKUP(INDIRECT(ADDRESS(2,COLUMN())),OFFSET($BN$2,0,0,ROW()-1,60),ROW()-1,FALSE))</f>
        <v>15326</v>
      </c>
      <c r="S31">
        <f ca="1">IF(AND(ISNUMBER($S$183),$B$156=1),$S$183,HLOOKUP(INDIRECT(ADDRESS(2,COLUMN())),OFFSET($BN$2,0,0,ROW()-1,60),ROW()-1,FALSE))</f>
        <v>17621</v>
      </c>
      <c r="T31">
        <f ca="1">IF(AND(ISNUMBER($T$183),$B$156=1),$T$183,HLOOKUP(INDIRECT(ADDRESS(2,COLUMN())),OFFSET($BN$2,0,0,ROW()-1,60),ROW()-1,FALSE))</f>
        <v>15042</v>
      </c>
      <c r="U31">
        <f ca="1">IF(AND(ISNUMBER($U$183),$B$156=1),$U$183,HLOOKUP(INDIRECT(ADDRESS(2,COLUMN())),OFFSET($BN$2,0,0,ROW()-1,60),ROW()-1,FALSE))</f>
        <v>25870</v>
      </c>
      <c r="V31">
        <f ca="1">IF(AND(ISNUMBER($V$183),$B$156=1),$V$183,HLOOKUP(INDIRECT(ADDRESS(2,COLUMN())),OFFSET($BN$2,0,0,ROW()-1,60),ROW()-1,FALSE))</f>
        <v>17271</v>
      </c>
      <c r="W31">
        <f ca="1">IF(AND(ISNUMBER($W$183),$B$156=1),$W$183,HLOOKUP(INDIRECT(ADDRESS(2,COLUMN())),OFFSET($BN$2,0,0,ROW()-1,60),ROW()-1,FALSE))</f>
        <v>17373</v>
      </c>
      <c r="X31">
        <f ca="1">IF(AND(ISNUMBER($X$183),$B$156=1),$X$183,HLOOKUP(INDIRECT(ADDRESS(2,COLUMN())),OFFSET($BN$2,0,0,ROW()-1,60),ROW()-1,FALSE))</f>
        <v>16376</v>
      </c>
      <c r="Y31">
        <f ca="1">IF(AND(ISNUMBER($Y$183),$B$156=1),$Y$183,HLOOKUP(INDIRECT(ADDRESS(2,COLUMN())),OFFSET($BN$2,0,0,ROW()-1,60),ROW()-1,FALSE))</f>
        <v>20867</v>
      </c>
      <c r="Z31">
        <f ca="1">IF(AND(ISNUMBER($Z$183),$B$156=1),$Z$183,HLOOKUP(INDIRECT(ADDRESS(2,COLUMN())),OFFSET($BN$2,0,0,ROW()-1,60),ROW()-1,FALSE))</f>
        <v>16602</v>
      </c>
      <c r="AA31">
        <f ca="1">IF(AND(ISNUMBER($AA$183),$B$156=1),$AA$183,HLOOKUP(INDIRECT(ADDRESS(2,COLUMN())),OFFSET($BN$2,0,0,ROW()-1,60),ROW()-1,FALSE))</f>
        <v>14683</v>
      </c>
      <c r="AB31">
        <f ca="1">IF(AND(ISNUMBER($AB$183),$B$156=1),$AB$183,HLOOKUP(INDIRECT(ADDRESS(2,COLUMN())),OFFSET($BN$2,0,0,ROW()-1,60),ROW()-1,FALSE))</f>
        <v>13649</v>
      </c>
      <c r="AC31">
        <f ca="1">IF(AND(ISNUMBER($AC$183),$B$156=1),$AC$183,HLOOKUP(INDIRECT(ADDRESS(2,COLUMN())),OFFSET($BN$2,0,0,ROW()-1,60),ROW()-1,FALSE))</f>
        <v>16222</v>
      </c>
      <c r="AD31">
        <f ca="1">IF(AND(ISNUMBER($AD$183),$B$156=1),$AD$183,HLOOKUP(INDIRECT(ADDRESS(2,COLUMN())),OFFSET($BN$2,0,0,ROW()-1,60),ROW()-1,FALSE))</f>
        <v>14142</v>
      </c>
      <c r="AE31">
        <f ca="1">IF(AND(ISNUMBER($AE$183),$B$156=1),$AE$183,HLOOKUP(INDIRECT(ADDRESS(2,COLUMN())),OFFSET($BN$2,0,0,ROW()-1,60),ROW()-1,FALSE))</f>
        <v>12944</v>
      </c>
      <c r="AF31">
        <f ca="1">IF(AND(ISNUMBER($AF$183),$B$156=1),$AF$183,HLOOKUP(INDIRECT(ADDRESS(2,COLUMN())),OFFSET($BN$2,0,0,ROW()-1,60),ROW()-1,FALSE))</f>
        <v>13107</v>
      </c>
      <c r="AG31">
        <f ca="1">IF(AND(ISNUMBER($AG$183),$B$156=1),$AG$183,HLOOKUP(INDIRECT(ADDRESS(2,COLUMN())),OFFSET($BN$2,0,0,ROW()-1,60),ROW()-1,FALSE))</f>
        <v>15251</v>
      </c>
      <c r="AH31">
        <f ca="1">IF(AND(ISNUMBER($AH$183),$B$156=1),$AH$183,HLOOKUP(INDIRECT(ADDRESS(2,COLUMN())),OFFSET($BN$2,0,0,ROW()-1,60),ROW()-1,FALSE))</f>
        <v>17180</v>
      </c>
      <c r="AI31">
        <f ca="1">IF(AND(ISNUMBER($AI$183),$B$156=1),$AI$183,HLOOKUP(INDIRECT(ADDRESS(2,COLUMN())),OFFSET($BN$2,0,0,ROW()-1,60),ROW()-1,FALSE))</f>
        <v>18451</v>
      </c>
      <c r="AJ31">
        <f ca="1">IF(AND(ISNUMBER($AJ$183),$B$156=1),$AJ$183,HLOOKUP(INDIRECT(ADDRESS(2,COLUMN())),OFFSET($BN$2,0,0,ROW()-1,60),ROW()-1,FALSE))</f>
        <v>23955</v>
      </c>
      <c r="AK31">
        <f ca="1">IF(AND(ISNUMBER($AK$183),$B$156=1),$AK$183,HLOOKUP(INDIRECT(ADDRESS(2,COLUMN())),OFFSET($BN$2,0,0,ROW()-1,60),ROW()-1,FALSE))</f>
        <v>30007</v>
      </c>
      <c r="AL31">
        <f ca="1">IF(AND(ISNUMBER($AL$183),$B$156=1),$AL$183,HLOOKUP(INDIRECT(ADDRESS(2,COLUMN())),OFFSET($BN$2,0,0,ROW()-1,60),ROW()-1,FALSE))</f>
        <v>25267</v>
      </c>
      <c r="AM31">
        <f ca="1">IF(AND(ISNUMBER($AM$183),$B$156=1),$AM$183,HLOOKUP(INDIRECT(ADDRESS(2,COLUMN())),OFFSET($BN$2,0,0,ROW()-1,60),ROW()-1,FALSE))</f>
        <v>18269</v>
      </c>
      <c r="AN31">
        <f ca="1">IF(AND(ISNUMBER($AN$183),$B$156=1),$AN$183,HLOOKUP(INDIRECT(ADDRESS(2,COLUMN())),OFFSET($BN$2,0,0,ROW()-1,60),ROW()-1,FALSE))</f>
        <v>24700</v>
      </c>
      <c r="AO31">
        <f ca="1">IF(AND(ISNUMBER($AO$183),$B$156=1),$AO$183,HLOOKUP(INDIRECT(ADDRESS(2,COLUMN())),OFFSET($BN$2,0,0,ROW()-1,60),ROW()-1,FALSE))</f>
        <v>39166</v>
      </c>
      <c r="AP31">
        <f ca="1">IF(AND(ISNUMBER($AP$183),$B$156=1),$AP$183,HLOOKUP(INDIRECT(ADDRESS(2,COLUMN())),OFFSET($BN$2,0,0,ROW()-1,60),ROW()-1,FALSE))</f>
        <v>59365</v>
      </c>
      <c r="AQ31">
        <f ca="1">IF(AND(ISNUMBER($AQ$183),$B$156=1),$AQ$183,HLOOKUP(INDIRECT(ADDRESS(2,COLUMN())),OFFSET($BN$2,0,0,ROW()-1,60),ROW()-1,FALSE))</f>
        <v>39504</v>
      </c>
      <c r="AR31">
        <f ca="1">IF(AND(ISNUMBER($AR$183),$B$156=1),$AR$183,HLOOKUP(INDIRECT(ADDRESS(2,COLUMN())),OFFSET($BN$2,0,0,ROW()-1,60),ROW()-1,FALSE))</f>
        <v>67094</v>
      </c>
      <c r="AS31">
        <f ca="1">IF(AND(ISNUMBER($AS$183),$B$156=1),$AS$183,HLOOKUP(INDIRECT(ADDRESS(2,COLUMN())),OFFSET($BN$2,0,0,ROW()-1,60),ROW()-1,FALSE))</f>
        <v>64739</v>
      </c>
      <c r="AT31">
        <f ca="1">IF(AND(ISNUMBER($AT$183),$B$156=1),$AT$183,HLOOKUP(INDIRECT(ADDRESS(2,COLUMN())),OFFSET($BN$2,0,0,ROW()-1,60),ROW()-1,FALSE))</f>
        <v>49211</v>
      </c>
      <c r="AU31">
        <f ca="1">IF(AND(ISNUMBER($AU$183),$B$156=1),$AU$183,HLOOKUP(INDIRECT(ADDRESS(2,COLUMN())),OFFSET($BN$2,0,0,ROW()-1,60),ROW()-1,FALSE))</f>
        <v>41006</v>
      </c>
      <c r="AV31">
        <f ca="1">IF(AND(ISNUMBER($AV$183),$B$156=1),$AV$183,HLOOKUP(INDIRECT(ADDRESS(2,COLUMN())),OFFSET($BN$2,0,0,ROW()-1,60),ROW()-1,FALSE))</f>
        <v>67690</v>
      </c>
      <c r="AW31">
        <f ca="1">IF(AND(ISNUMBER($AW$183),$B$156=1),$AW$183,HLOOKUP(INDIRECT(ADDRESS(2,COLUMN())),OFFSET($BN$2,0,0,ROW()-1,60),ROW()-1,FALSE))</f>
        <v>79328</v>
      </c>
      <c r="AX31">
        <f ca="1">IF(AND(ISNUMBER($AX$183),$B$156=1),$AX$183,HLOOKUP(INDIRECT(ADDRESS(2,COLUMN())),OFFSET($BN$2,0,0,ROW()-1,60),ROW()-1,FALSE))</f>
        <v>79271</v>
      </c>
      <c r="AY31">
        <f ca="1">IF(AND(ISNUMBER($AY$183),$B$156=1),$AY$183,HLOOKUP(INDIRECT(ADDRESS(2,COLUMN())),OFFSET($BN$2,0,0,ROW()-1,60),ROW()-1,FALSE))</f>
        <v>51478</v>
      </c>
      <c r="AZ31">
        <f ca="1">IF(AND(ISNUMBER($AZ$183),$B$156=1),$AZ$183,HLOOKUP(INDIRECT(ADDRESS(2,COLUMN())),OFFSET($BN$2,0,0,ROW()-1,60),ROW()-1,FALSE))</f>
        <v>68761</v>
      </c>
      <c r="BA31">
        <f ca="1">IF(AND(ISNUMBER($BA$183),$B$156=1),$BA$183,HLOOKUP(INDIRECT(ADDRESS(2,COLUMN())),OFFSET($BN$2,0,0,ROW()-1,60),ROW()-1,FALSE))</f>
        <v>80193</v>
      </c>
      <c r="BB31">
        <f ca="1">IF(AND(ISNUMBER($BB$183),$B$156=1),$BB$183,HLOOKUP(INDIRECT(ADDRESS(2,COLUMN())),OFFSET($BN$2,0,0,ROW()-1,60),ROW()-1,FALSE))</f>
        <v>79313</v>
      </c>
      <c r="BC31">
        <f ca="1">IF(AND(ISNUMBER($BC$183),$B$156=1),$BC$183,HLOOKUP(INDIRECT(ADDRESS(2,COLUMN())),OFFSET($BN$2,0,0,ROW()-1,60),ROW()-1,FALSE))</f>
        <v>50742</v>
      </c>
      <c r="BD31">
        <f ca="1">IF(AND(ISNUMBER($BD$183),$B$156=1),$BD$183,HLOOKUP(INDIRECT(ADDRESS(2,COLUMN())),OFFSET($BN$2,0,0,ROW()-1,60),ROW()-1,FALSE))</f>
        <v>64269</v>
      </c>
      <c r="BE31">
        <f ca="1">IF(AND(ISNUMBER($BE$183),$B$156=1),$BE$183,HLOOKUP(INDIRECT(ADDRESS(2,COLUMN())),OFFSET($BN$2,0,0,ROW()-1,60),ROW()-1,FALSE))</f>
        <v>76599</v>
      </c>
      <c r="BF31">
        <f ca="1">IF(AND(ISNUMBER($BF$183),$B$156=1),$BF$183,HLOOKUP(INDIRECT(ADDRESS(2,COLUMN())),OFFSET($BN$2,0,0,ROW()-1,60),ROW()-1,FALSE))</f>
        <v>76059</v>
      </c>
      <c r="BG31">
        <f ca="1">IF(AND(ISNUMBER($BG$183),$B$156=1),$BG$183,HLOOKUP(INDIRECT(ADDRESS(2,COLUMN())),OFFSET($BN$2,0,0,ROW()-1,60),ROW()-1,FALSE))</f>
        <v>49670</v>
      </c>
      <c r="BH31">
        <f ca="1">IF(AND(ISNUMBER($BH$183),$B$156=1),$BH$183,HLOOKUP(INDIRECT(ADDRESS(2,COLUMN())),OFFSET($BN$2,0,0,ROW()-1,60),ROW()-1,FALSE))</f>
        <v>66615</v>
      </c>
      <c r="BI31">
        <f ca="1">IF(AND(ISNUMBER($BI$183),$B$156=1),$BI$183,HLOOKUP(INDIRECT(ADDRESS(2,COLUMN())),OFFSET($BN$2,0,0,ROW()-1,60),ROW()-1,FALSE))</f>
        <v>75605</v>
      </c>
      <c r="BJ31">
        <f ca="1">IF(AND(ISNUMBER($BJ$183),$B$156=1),$BJ$183,HLOOKUP(INDIRECT(ADDRESS(2,COLUMN())),OFFSET($BN$2,0,0,ROW()-1,60),ROW()-1,FALSE))</f>
        <v>77838</v>
      </c>
      <c r="BK31">
        <f ca="1">IF(AND(ISNUMBER($BK$183),$B$156=1),$BK$183,HLOOKUP(INDIRECT(ADDRESS(2,COLUMN())),OFFSET($BN$2,0,0,ROW()-1,60),ROW()-1,FALSE))</f>
        <v>56078</v>
      </c>
      <c r="BL31">
        <f ca="1">IF(AND(ISNUMBER($BL$183),$B$156=1),$BL$183,HLOOKUP(INDIRECT(ADDRESS(2,COLUMN())),OFFSET($BN$2,0,0,ROW()-1,60),ROW()-1,FALSE))</f>
        <v>66868</v>
      </c>
      <c r="BM31">
        <f ca="1">IF(AND(ISNUMBER($BM$183),$B$156=1),$BM$183,HLOOKUP(INDIRECT(ADDRESS(2,COLUMN())),OFFSET($BN$2,0,0,ROW()-1,60),ROW()-1,FALSE))</f>
        <v>85368</v>
      </c>
      <c r="BN31">
        <f>9210</f>
        <v>9210</v>
      </c>
      <c r="BO31">
        <f>19355</f>
        <v>19355</v>
      </c>
      <c r="BP31">
        <f>21764</f>
        <v>21764</v>
      </c>
      <c r="BQ31">
        <f>35536</f>
        <v>35536</v>
      </c>
      <c r="BR31">
        <f>26781</f>
        <v>26781</v>
      </c>
      <c r="BS31">
        <f>18225</f>
        <v>18225</v>
      </c>
      <c r="BT31">
        <f>19502</f>
        <v>19502</v>
      </c>
      <c r="BU31">
        <f>29259</f>
        <v>29259</v>
      </c>
      <c r="BV31">
        <f>21097</f>
        <v>21097</v>
      </c>
      <c r="BW31">
        <f>15657</f>
        <v>15657</v>
      </c>
      <c r="BX31">
        <f>15803</f>
        <v>15803</v>
      </c>
      <c r="BY31">
        <f>32087</f>
        <v>32087</v>
      </c>
      <c r="BZ31">
        <f>15326</f>
        <v>15326</v>
      </c>
      <c r="CA31">
        <f>17621</f>
        <v>17621</v>
      </c>
      <c r="CB31">
        <f>15042</f>
        <v>15042</v>
      </c>
      <c r="CC31">
        <f>25870</f>
        <v>25870</v>
      </c>
      <c r="CD31">
        <f>17271</f>
        <v>17271</v>
      </c>
      <c r="CE31">
        <f>17373</f>
        <v>17373</v>
      </c>
      <c r="CF31">
        <f>16376</f>
        <v>16376</v>
      </c>
      <c r="CG31">
        <f>20867</f>
        <v>20867</v>
      </c>
      <c r="CH31">
        <f>16602</f>
        <v>16602</v>
      </c>
      <c r="CI31">
        <f>14683</f>
        <v>14683</v>
      </c>
      <c r="CJ31">
        <f>13649</f>
        <v>13649</v>
      </c>
      <c r="CK31">
        <f>16222</f>
        <v>16222</v>
      </c>
      <c r="CL31">
        <f>14142</f>
        <v>14142</v>
      </c>
      <c r="CM31">
        <f>12944</f>
        <v>12944</v>
      </c>
      <c r="CN31">
        <f>13107</f>
        <v>13107</v>
      </c>
      <c r="CO31">
        <f>15251</f>
        <v>15251</v>
      </c>
      <c r="CP31">
        <f>17180</f>
        <v>17180</v>
      </c>
      <c r="CQ31">
        <f>18451</f>
        <v>18451</v>
      </c>
      <c r="CR31">
        <f>23955</f>
        <v>23955</v>
      </c>
      <c r="CS31">
        <f>30007</f>
        <v>30007</v>
      </c>
      <c r="CT31">
        <f>25267</f>
        <v>25267</v>
      </c>
      <c r="CU31">
        <f>18269</f>
        <v>18269</v>
      </c>
      <c r="CV31">
        <f>24700</f>
        <v>24700</v>
      </c>
      <c r="CW31">
        <f>39166</f>
        <v>39166</v>
      </c>
      <c r="CX31">
        <f>59365</f>
        <v>59365</v>
      </c>
      <c r="CY31">
        <f>39504</f>
        <v>39504</v>
      </c>
      <c r="CZ31">
        <f>67094</f>
        <v>67094</v>
      </c>
      <c r="DA31">
        <f>64739</f>
        <v>64739</v>
      </c>
      <c r="DB31">
        <f>49211</f>
        <v>49211</v>
      </c>
      <c r="DC31">
        <f>41006</f>
        <v>41006</v>
      </c>
      <c r="DD31">
        <f>67690</f>
        <v>67690</v>
      </c>
      <c r="DE31">
        <f>79328</f>
        <v>79328</v>
      </c>
      <c r="DF31">
        <f>79271</f>
        <v>79271</v>
      </c>
      <c r="DG31">
        <f>51478</f>
        <v>51478</v>
      </c>
      <c r="DH31">
        <f>68761</f>
        <v>68761</v>
      </c>
      <c r="DI31">
        <f>80193</f>
        <v>80193</v>
      </c>
      <c r="DJ31">
        <f>79313</f>
        <v>79313</v>
      </c>
      <c r="DK31">
        <f>50742</f>
        <v>50742</v>
      </c>
      <c r="DL31">
        <f>64269</f>
        <v>64269</v>
      </c>
      <c r="DM31">
        <f>76599</f>
        <v>76599</v>
      </c>
      <c r="DN31">
        <f>76059</f>
        <v>76059</v>
      </c>
      <c r="DO31">
        <f>49670</f>
        <v>49670</v>
      </c>
      <c r="DP31">
        <f>66615</f>
        <v>66615</v>
      </c>
      <c r="DQ31">
        <f>75605</f>
        <v>75605</v>
      </c>
      <c r="DR31">
        <f>77838</f>
        <v>77838</v>
      </c>
      <c r="DS31">
        <f>56078</f>
        <v>56078</v>
      </c>
      <c r="DT31">
        <f>66868</f>
        <v>66868</v>
      </c>
      <c r="DU31">
        <f>85368</f>
        <v>85368</v>
      </c>
    </row>
    <row r="32" spans="1:125" x14ac:dyDescent="0.25">
      <c r="A32" t="str">
        <f>"            Iceland"</f>
        <v xml:space="preserve">            Iceland</v>
      </c>
      <c r="B32" t="str">
        <f>"WCARIC Index"</f>
        <v>WCARIC Index</v>
      </c>
      <c r="C32" t="str">
        <f t="shared" si="3"/>
        <v>PX385</v>
      </c>
      <c r="D32" t="str">
        <f t="shared" si="4"/>
        <v>INTERVAL_SUM</v>
      </c>
      <c r="E32" t="str">
        <f t="shared" si="5"/>
        <v>Dynamic</v>
      </c>
      <c r="F32">
        <f ca="1">IF(AND(ISNUMBER($F$184),$B$156=1),$F$184,HLOOKUP(INDIRECT(ADDRESS(2,COLUMN())),OFFSET($BN$2,0,0,ROW()-1,60),ROW()-1,FALSE))</f>
        <v>846</v>
      </c>
      <c r="G32">
        <f ca="1">IF(AND(ISNUMBER($G$184),$B$156=1),$G$184,HLOOKUP(INDIRECT(ADDRESS(2,COLUMN())),OFFSET($BN$2,0,0,ROW()-1,60),ROW()-1,FALSE))</f>
        <v>2007</v>
      </c>
      <c r="H32">
        <f ca="1">IF(AND(ISNUMBER($H$184),$B$156=1),$H$184,HLOOKUP(INDIRECT(ADDRESS(2,COLUMN())),OFFSET($BN$2,0,0,ROW()-1,60),ROW()-1,FALSE))</f>
        <v>4088</v>
      </c>
      <c r="I32">
        <f ca="1">IF(AND(ISNUMBER($I$184),$B$156=1),$I$184,HLOOKUP(INDIRECT(ADDRESS(2,COLUMN())),OFFSET($BN$2,0,0,ROW()-1,60),ROW()-1,FALSE))</f>
        <v>7267</v>
      </c>
      <c r="J32">
        <f ca="1">IF(AND(ISNUMBER($J$184),$B$156=1),$J$184,HLOOKUP(INDIRECT(ADDRESS(2,COLUMN())),OFFSET($BN$2,0,0,ROW()-1,60),ROW()-1,FALSE))</f>
        <v>4617</v>
      </c>
      <c r="K32">
        <f ca="1">IF(AND(ISNUMBER($K$184),$B$156=1),$K$184,HLOOKUP(INDIRECT(ADDRESS(2,COLUMN())),OFFSET($BN$2,0,0,ROW()-1,60),ROW()-1,FALSE))</f>
        <v>3027</v>
      </c>
      <c r="L32">
        <f ca="1">IF(AND(ISNUMBER($L$184),$B$156=1),$L$184,HLOOKUP(INDIRECT(ADDRESS(2,COLUMN())),OFFSET($BN$2,0,0,ROW()-1,60),ROW()-1,FALSE))</f>
        <v>4579</v>
      </c>
      <c r="M32">
        <f ca="1">IF(AND(ISNUMBER($M$184),$B$156=1),$M$184,HLOOKUP(INDIRECT(ADDRESS(2,COLUMN())),OFFSET($BN$2,0,0,ROW()-1,60),ROW()-1,FALSE))</f>
        <v>9048</v>
      </c>
      <c r="N32">
        <f ca="1">IF(AND(ISNUMBER($N$184),$B$156=1),$N$184,HLOOKUP(INDIRECT(ADDRESS(2,COLUMN())),OFFSET($BN$2,0,0,ROW()-1,60),ROW()-1,FALSE))</f>
        <v>4650</v>
      </c>
      <c r="O32">
        <f ca="1">IF(AND(ISNUMBER($O$184),$B$156=1),$O$184,HLOOKUP(INDIRECT(ADDRESS(2,COLUMN())),OFFSET($BN$2,0,0,ROW()-1,60),ROW()-1,FALSE))</f>
        <v>2557</v>
      </c>
      <c r="P32">
        <f ca="1">IF(AND(ISNUMBER($P$184),$B$156=1),$P$184,HLOOKUP(INDIRECT(ADDRESS(2,COLUMN())),OFFSET($BN$2,0,0,ROW()-1,60),ROW()-1,FALSE))</f>
        <v>3820</v>
      </c>
      <c r="Q32">
        <f ca="1">IF(AND(ISNUMBER($Q$184),$B$156=1),$Q$184,HLOOKUP(INDIRECT(ADDRESS(2,COLUMN())),OFFSET($BN$2,0,0,ROW()-1,60),ROW()-1,FALSE))</f>
        <v>8520</v>
      </c>
      <c r="R32">
        <f ca="1">IF(AND(ISNUMBER($R$184),$B$156=1),$R$184,HLOOKUP(INDIRECT(ADDRESS(2,COLUMN())),OFFSET($BN$2,0,0,ROW()-1,60),ROW()-1,FALSE))</f>
        <v>3595</v>
      </c>
      <c r="S32">
        <f ca="1">IF(AND(ISNUMBER($S$184),$B$156=1),$S$184,HLOOKUP(INDIRECT(ADDRESS(2,COLUMN())),OFFSET($BN$2,0,0,ROW()-1,60),ROW()-1,FALSE))</f>
        <v>2443</v>
      </c>
      <c r="T32">
        <f ca="1">IF(AND(ISNUMBER($T$184),$B$156=1),$T$184,HLOOKUP(INDIRECT(ADDRESS(2,COLUMN())),OFFSET($BN$2,0,0,ROW()-1,60),ROW()-1,FALSE))</f>
        <v>2802</v>
      </c>
      <c r="U32">
        <f ca="1">IF(AND(ISNUMBER($U$184),$B$156=1),$U$184,HLOOKUP(INDIRECT(ADDRESS(2,COLUMN())),OFFSET($BN$2,0,0,ROW()-1,60),ROW()-1,FALSE))</f>
        <v>6495</v>
      </c>
      <c r="V32">
        <f ca="1">IF(AND(ISNUMBER($V$184),$B$156=1),$V$184,HLOOKUP(INDIRECT(ADDRESS(2,COLUMN())),OFFSET($BN$2,0,0,ROW()-1,60),ROW()-1,FALSE))</f>
        <v>2289</v>
      </c>
      <c r="W32">
        <f ca="1">IF(AND(ISNUMBER($W$184),$B$156=1),$W$184,HLOOKUP(INDIRECT(ADDRESS(2,COLUMN())),OFFSET($BN$2,0,0,ROW()-1,60),ROW()-1,FALSE))</f>
        <v>1367</v>
      </c>
      <c r="X32">
        <f ca="1">IF(AND(ISNUMBER($X$184),$B$156=1),$X$184,HLOOKUP(INDIRECT(ADDRESS(2,COLUMN())),OFFSET($BN$2,0,0,ROW()-1,60),ROW()-1,FALSE))</f>
        <v>1792</v>
      </c>
      <c r="Y32">
        <f ca="1">IF(AND(ISNUMBER($Y$184),$B$156=1),$Y$184,HLOOKUP(INDIRECT(ADDRESS(2,COLUMN())),OFFSET($BN$2,0,0,ROW()-1,60),ROW()-1,FALSE))</f>
        <v>4804</v>
      </c>
      <c r="Z32">
        <f ca="1">IF(AND(ISNUMBER($Z$184),$B$156=1),$Z$184,HLOOKUP(INDIRECT(ADDRESS(2,COLUMN())),OFFSET($BN$2,0,0,ROW()-1,60),ROW()-1,FALSE))</f>
        <v>1574</v>
      </c>
      <c r="AA32">
        <f ca="1">IF(AND(ISNUMBER($AA$184),$B$156=1),$AA$184,HLOOKUP(INDIRECT(ADDRESS(2,COLUMN())),OFFSET($BN$2,0,0,ROW()-1,60),ROW()-1,FALSE))</f>
        <v>1056</v>
      </c>
      <c r="AB32">
        <f ca="1">IF(AND(ISNUMBER($AB$184),$B$156=1),$AB$184,HLOOKUP(INDIRECT(ADDRESS(2,COLUMN())),OFFSET($BN$2,0,0,ROW()-1,60),ROW()-1,FALSE))</f>
        <v>1414</v>
      </c>
      <c r="AC32">
        <f ca="1">IF(AND(ISNUMBER($AC$184),$B$156=1),$AC$184,HLOOKUP(INDIRECT(ADDRESS(2,COLUMN())),OFFSET($BN$2,0,0,ROW()-1,60),ROW()-1,FALSE))</f>
        <v>3471</v>
      </c>
      <c r="AD32">
        <f ca="1">IF(AND(ISNUMBER($AD$184),$B$156=1),$AD$184,HLOOKUP(INDIRECT(ADDRESS(2,COLUMN())),OFFSET($BN$2,0,0,ROW()-1,60),ROW()-1,FALSE))</f>
        <v>1333</v>
      </c>
      <c r="AE32">
        <f ca="1">IF(AND(ISNUMBER($AE$184),$B$156=1),$AE$184,HLOOKUP(INDIRECT(ADDRESS(2,COLUMN())),OFFSET($BN$2,0,0,ROW()-1,60),ROW()-1,FALSE))</f>
        <v>1559</v>
      </c>
      <c r="AF32">
        <f ca="1">IF(AND(ISNUMBER($AF$184),$B$156=1),$AF$184,HLOOKUP(INDIRECT(ADDRESS(2,COLUMN())),OFFSET($BN$2,0,0,ROW()-1,60),ROW()-1,FALSE))</f>
        <v>1517</v>
      </c>
      <c r="AG32">
        <f ca="1">IF(AND(ISNUMBER($AG$184),$B$156=1),$AG$184,HLOOKUP(INDIRECT(ADDRESS(2,COLUMN())),OFFSET($BN$2,0,0,ROW()-1,60),ROW()-1,FALSE))</f>
        <v>3778</v>
      </c>
      <c r="AH32">
        <f ca="1">IF(AND(ISNUMBER($AH$184),$B$156=1),$AH$184,HLOOKUP(INDIRECT(ADDRESS(2,COLUMN())),OFFSET($BN$2,0,0,ROW()-1,60),ROW()-1,FALSE))</f>
        <v>1076</v>
      </c>
      <c r="AI32">
        <f ca="1">IF(AND(ISNUMBER($AI$184),$B$156=1),$AI$184,HLOOKUP(INDIRECT(ADDRESS(2,COLUMN())),OFFSET($BN$2,0,0,ROW()-1,60),ROW()-1,FALSE))</f>
        <v>955.75</v>
      </c>
      <c r="AJ32">
        <f ca="1">IF(AND(ISNUMBER($AJ$184),$B$156=1),$AJ$184,HLOOKUP(INDIRECT(ADDRESS(2,COLUMN())),OFFSET($BN$2,0,0,ROW()-1,60),ROW()-1,FALSE))</f>
        <v>1026</v>
      </c>
      <c r="AK32">
        <f ca="1">IF(AND(ISNUMBER($AK$184),$B$156=1),$AK$184,HLOOKUP(INDIRECT(ADDRESS(2,COLUMN())),OFFSET($BN$2,0,0,ROW()-1,60),ROW()-1,FALSE))</f>
        <v>2521</v>
      </c>
      <c r="AL32">
        <f ca="1">IF(AND(ISNUMBER($AL$184),$B$156=1),$AL$184,HLOOKUP(INDIRECT(ADDRESS(2,COLUMN())),OFFSET($BN$2,0,0,ROW()-1,60),ROW()-1,FALSE))</f>
        <v>535</v>
      </c>
      <c r="AM32">
        <f ca="1">IF(AND(ISNUMBER($AM$184),$B$156=1),$AM$184,HLOOKUP(INDIRECT(ADDRESS(2,COLUMN())),OFFSET($BN$2,0,0,ROW()-1,60),ROW()-1,FALSE))</f>
        <v>534</v>
      </c>
      <c r="AN32">
        <f ca="1">IF(AND(ISNUMBER($AN$184),$B$156=1),$AN$184,HLOOKUP(INDIRECT(ADDRESS(2,COLUMN())),OFFSET($BN$2,0,0,ROW()-1,60),ROW()-1,FALSE))</f>
        <v>647</v>
      </c>
      <c r="AO32">
        <f ca="1">IF(AND(ISNUMBER($AO$184),$B$156=1),$AO$184,HLOOKUP(INDIRECT(ADDRESS(2,COLUMN())),OFFSET($BN$2,0,0,ROW()-1,60),ROW()-1,FALSE))</f>
        <v>1604</v>
      </c>
      <c r="AP32">
        <f ca="1">IF(AND(ISNUMBER($AP$184),$B$156=1),$AP$184,HLOOKUP(INDIRECT(ADDRESS(2,COLUMN())),OFFSET($BN$2,0,0,ROW()-1,60),ROW()-1,FALSE))</f>
        <v>317.66666670000001</v>
      </c>
      <c r="AQ32">
        <f ca="1">IF(AND(ISNUMBER($AQ$184),$B$156=1),$AQ$184,HLOOKUP(INDIRECT(ADDRESS(2,COLUMN())),OFFSET($BN$2,0,0,ROW()-1,60),ROW()-1,FALSE))</f>
        <v>241</v>
      </c>
      <c r="AR32">
        <f ca="1">IF(AND(ISNUMBER($AR$184),$B$156=1),$AR$184,HLOOKUP(INDIRECT(ADDRESS(2,COLUMN())),OFFSET($BN$2,0,0,ROW()-1,60),ROW()-1,FALSE))</f>
        <v>604</v>
      </c>
      <c r="AS32">
        <f ca="1">IF(AND(ISNUMBER($AS$184),$B$156=1),$AS$184,HLOOKUP(INDIRECT(ADDRESS(2,COLUMN())),OFFSET($BN$2,0,0,ROW()-1,60),ROW()-1,FALSE))</f>
        <v>938</v>
      </c>
      <c r="AT32">
        <f ca="1">IF(AND(ISNUMBER($AT$184),$B$156=1),$AT$184,HLOOKUP(INDIRECT(ADDRESS(2,COLUMN())),OFFSET($BN$2,0,0,ROW()-1,60),ROW()-1,FALSE))</f>
        <v>290</v>
      </c>
      <c r="AU32">
        <f ca="1">IF(AND(ISNUMBER($AU$184),$B$156=1),$AU$184,HLOOKUP(INDIRECT(ADDRESS(2,COLUMN())),OFFSET($BN$2,0,0,ROW()-1,60),ROW()-1,FALSE))</f>
        <v>301</v>
      </c>
      <c r="AV32">
        <f ca="1">IF(AND(ISNUMBER($AV$184),$B$156=1),$AV$184,HLOOKUP(INDIRECT(ADDRESS(2,COLUMN())),OFFSET($BN$2,0,0,ROW()-1,60),ROW()-1,FALSE))</f>
        <v>1591</v>
      </c>
      <c r="AW32">
        <f ca="1">IF(AND(ISNUMBER($AW$184),$B$156=1),$AW$184,HLOOKUP(INDIRECT(ADDRESS(2,COLUMN())),OFFSET($BN$2,0,0,ROW()-1,60),ROW()-1,FALSE))</f>
        <v>3819</v>
      </c>
      <c r="AX32">
        <f ca="1">IF(AND(ISNUMBER($AX$184),$B$156=1),$AX$184,HLOOKUP(INDIRECT(ADDRESS(2,COLUMN())),OFFSET($BN$2,0,0,ROW()-1,60),ROW()-1,FALSE))</f>
        <v>3322</v>
      </c>
      <c r="AY32">
        <f ca="1">IF(AND(ISNUMBER($AY$184),$B$156=1),$AY$184,HLOOKUP(INDIRECT(ADDRESS(2,COLUMN())),OFFSET($BN$2,0,0,ROW()-1,60),ROW()-1,FALSE))</f>
        <v>3494</v>
      </c>
      <c r="AZ32">
        <f ca="1">IF(AND(ISNUMBER($AZ$184),$B$156=1),$AZ$184,HLOOKUP(INDIRECT(ADDRESS(2,COLUMN())),OFFSET($BN$2,0,0,ROW()-1,60),ROW()-1,FALSE))</f>
        <v>3961</v>
      </c>
      <c r="BA32">
        <f ca="1">IF(AND(ISNUMBER($BA$184),$B$156=1),$BA$184,HLOOKUP(INDIRECT(ADDRESS(2,COLUMN())),OFFSET($BN$2,0,0,ROW()-1,60),ROW()-1,FALSE))</f>
        <v>5384</v>
      </c>
      <c r="BB32">
        <f ca="1">IF(AND(ISNUMBER($BB$184),$B$156=1),$BB$184,HLOOKUP(INDIRECT(ADDRESS(2,COLUMN())),OFFSET($BN$2,0,0,ROW()-1,60),ROW()-1,FALSE))</f>
        <v>3103</v>
      </c>
      <c r="BC32">
        <f ca="1">IF(AND(ISNUMBER($BC$184),$B$156=1),$BC$184,HLOOKUP(INDIRECT(ADDRESS(2,COLUMN())),OFFSET($BN$2,0,0,ROW()-1,60),ROW()-1,FALSE))</f>
        <v>2530</v>
      </c>
      <c r="BD32">
        <f ca="1">IF(AND(ISNUMBER($BD$184),$B$156=1),$BD$184,HLOOKUP(INDIRECT(ADDRESS(2,COLUMN())),OFFSET($BN$2,0,0,ROW()-1,60),ROW()-1,FALSE))</f>
        <v>3613</v>
      </c>
      <c r="BE32">
        <f ca="1">IF(AND(ISNUMBER($BE$184),$B$156=1),$BE$184,HLOOKUP(INDIRECT(ADDRESS(2,COLUMN())),OFFSET($BN$2,0,0,ROW()-1,60),ROW()-1,FALSE))</f>
        <v>5652</v>
      </c>
      <c r="BF32">
        <f ca="1">IF(AND(ISNUMBER($BF$184),$B$156=1),$BF$184,HLOOKUP(INDIRECT(ADDRESS(2,COLUMN())),OFFSET($BN$2,0,0,ROW()-1,60),ROW()-1,FALSE))</f>
        <v>5334</v>
      </c>
      <c r="BG32">
        <f ca="1">IF(AND(ISNUMBER($BG$184),$B$156=1),$BG$184,HLOOKUP(INDIRECT(ADDRESS(2,COLUMN())),OFFSET($BN$2,0,0,ROW()-1,60),ROW()-1,FALSE))</f>
        <v>3789</v>
      </c>
      <c r="BH32">
        <f ca="1">IF(AND(ISNUMBER($BH$184),$B$156=1),$BH$184,HLOOKUP(INDIRECT(ADDRESS(2,COLUMN())),OFFSET($BN$2,0,0,ROW()-1,60),ROW()-1,FALSE))</f>
        <v>4585</v>
      </c>
      <c r="BI32">
        <f ca="1">IF(AND(ISNUMBER($BI$184),$B$156=1),$BI$184,HLOOKUP(INDIRECT(ADDRESS(2,COLUMN())),OFFSET($BN$2,0,0,ROW()-1,60),ROW()-1,FALSE))</f>
        <v>6112</v>
      </c>
      <c r="BJ32">
        <f ca="1">IF(AND(ISNUMBER($BJ$184),$B$156=1),$BJ$184,HLOOKUP(INDIRECT(ADDRESS(2,COLUMN())),OFFSET($BN$2,0,0,ROW()-1,60),ROW()-1,FALSE))</f>
        <v>3574</v>
      </c>
      <c r="BK32">
        <f ca="1">IF(AND(ISNUMBER($BK$184),$B$156=1),$BK$184,HLOOKUP(INDIRECT(ADDRESS(2,COLUMN())),OFFSET($BN$2,0,0,ROW()-1,60),ROW()-1,FALSE))</f>
        <v>2613</v>
      </c>
      <c r="BL32">
        <f ca="1">IF(AND(ISNUMBER($BL$184),$B$156=1),$BL$184,HLOOKUP(INDIRECT(ADDRESS(2,COLUMN())),OFFSET($BN$2,0,0,ROW()-1,60),ROW()-1,FALSE))</f>
        <v>2946</v>
      </c>
      <c r="BM32">
        <f ca="1">IF(AND(ISNUMBER($BM$184),$B$156=1),$BM$184,HLOOKUP(INDIRECT(ADDRESS(2,COLUMN())),OFFSET($BN$2,0,0,ROW()-1,60),ROW()-1,FALSE))</f>
        <v>3983</v>
      </c>
      <c r="BN32">
        <f>846</f>
        <v>846</v>
      </c>
      <c r="BO32">
        <f>2007</f>
        <v>2007</v>
      </c>
      <c r="BP32">
        <f>4088</f>
        <v>4088</v>
      </c>
      <c r="BQ32">
        <f>7267</f>
        <v>7267</v>
      </c>
      <c r="BR32">
        <f>4617</f>
        <v>4617</v>
      </c>
      <c r="BS32">
        <f>3027</f>
        <v>3027</v>
      </c>
      <c r="BT32">
        <f>4579</f>
        <v>4579</v>
      </c>
      <c r="BU32">
        <f>9048</f>
        <v>9048</v>
      </c>
      <c r="BV32">
        <f>4650</f>
        <v>4650</v>
      </c>
      <c r="BW32">
        <f>2557</f>
        <v>2557</v>
      </c>
      <c r="BX32">
        <f>3820</f>
        <v>3820</v>
      </c>
      <c r="BY32">
        <f>8520</f>
        <v>8520</v>
      </c>
      <c r="BZ32">
        <f>3595</f>
        <v>3595</v>
      </c>
      <c r="CA32">
        <f>2443</f>
        <v>2443</v>
      </c>
      <c r="CB32">
        <f>2802</f>
        <v>2802</v>
      </c>
      <c r="CC32">
        <f>6495</f>
        <v>6495</v>
      </c>
      <c r="CD32">
        <f>2289</f>
        <v>2289</v>
      </c>
      <c r="CE32">
        <f>1367</f>
        <v>1367</v>
      </c>
      <c r="CF32">
        <f>1792</f>
        <v>1792</v>
      </c>
      <c r="CG32">
        <f>4804</f>
        <v>4804</v>
      </c>
      <c r="CH32">
        <f>1574</f>
        <v>1574</v>
      </c>
      <c r="CI32">
        <f>1056</f>
        <v>1056</v>
      </c>
      <c r="CJ32">
        <f>1414</f>
        <v>1414</v>
      </c>
      <c r="CK32">
        <f>3471</f>
        <v>3471</v>
      </c>
      <c r="CL32">
        <f>1333</f>
        <v>1333</v>
      </c>
      <c r="CM32">
        <f>1559</f>
        <v>1559</v>
      </c>
      <c r="CN32">
        <f>1517</f>
        <v>1517</v>
      </c>
      <c r="CO32">
        <f>3778</f>
        <v>3778</v>
      </c>
      <c r="CP32">
        <f>1076</f>
        <v>1076</v>
      </c>
      <c r="CQ32">
        <f>955.75</f>
        <v>955.75</v>
      </c>
      <c r="CR32">
        <f>1026</f>
        <v>1026</v>
      </c>
      <c r="CS32">
        <f>2521</f>
        <v>2521</v>
      </c>
      <c r="CT32">
        <f>535</f>
        <v>535</v>
      </c>
      <c r="CU32">
        <f>534</f>
        <v>534</v>
      </c>
      <c r="CV32">
        <f>647</f>
        <v>647</v>
      </c>
      <c r="CW32">
        <f>1604</f>
        <v>1604</v>
      </c>
      <c r="CX32">
        <f>317.6666667</f>
        <v>317.66666670000001</v>
      </c>
      <c r="CY32">
        <f>241</f>
        <v>241</v>
      </c>
      <c r="CZ32">
        <f>604</f>
        <v>604</v>
      </c>
      <c r="DA32">
        <f>938</f>
        <v>938</v>
      </c>
      <c r="DB32">
        <f>290</f>
        <v>290</v>
      </c>
      <c r="DC32">
        <f>301</f>
        <v>301</v>
      </c>
      <c r="DD32">
        <f>1591</f>
        <v>1591</v>
      </c>
      <c r="DE32">
        <f>3819</f>
        <v>3819</v>
      </c>
      <c r="DF32">
        <f>3322</f>
        <v>3322</v>
      </c>
      <c r="DG32">
        <f>3494</f>
        <v>3494</v>
      </c>
      <c r="DH32">
        <f>3961</f>
        <v>3961</v>
      </c>
      <c r="DI32">
        <f>5384</f>
        <v>5384</v>
      </c>
      <c r="DJ32">
        <f>3103</f>
        <v>3103</v>
      </c>
      <c r="DK32">
        <f>2530</f>
        <v>2530</v>
      </c>
      <c r="DL32">
        <f>3613</f>
        <v>3613</v>
      </c>
      <c r="DM32">
        <f>5652</f>
        <v>5652</v>
      </c>
      <c r="DN32">
        <f>5334</f>
        <v>5334</v>
      </c>
      <c r="DO32">
        <f>3789</f>
        <v>3789</v>
      </c>
      <c r="DP32">
        <f>4585</f>
        <v>4585</v>
      </c>
      <c r="DQ32">
        <f>6112</f>
        <v>6112</v>
      </c>
      <c r="DR32">
        <f>3574</f>
        <v>3574</v>
      </c>
      <c r="DS32">
        <f>2613</f>
        <v>2613</v>
      </c>
      <c r="DT32">
        <f>2946</f>
        <v>2946</v>
      </c>
      <c r="DU32">
        <f>3983</f>
        <v>3983</v>
      </c>
    </row>
    <row r="33" spans="1:125" x14ac:dyDescent="0.25">
      <c r="A33" t="str">
        <f>"            Ireland"</f>
        <v xml:space="preserve">            Ireland</v>
      </c>
      <c r="B33" t="str">
        <f>"WCARIEI Index"</f>
        <v>WCARIEI Index</v>
      </c>
      <c r="C33" t="str">
        <f t="shared" si="3"/>
        <v>PX385</v>
      </c>
      <c r="D33" t="str">
        <f t="shared" si="4"/>
        <v>INTERVAL_SUM</v>
      </c>
      <c r="E33" t="str">
        <f t="shared" si="5"/>
        <v>Dynamic</v>
      </c>
      <c r="F33">
        <f ca="1">IF(AND(ISNUMBER($F$185),$B$156=1),$F$185,HLOOKUP(INDIRECT(ADDRESS(2,COLUMN())),OFFSET($BN$2,0,0,ROW()-1,60),ROW()-1,FALSE))</f>
        <v>32343</v>
      </c>
      <c r="G33">
        <f ca="1">IF(AND(ISNUMBER($G$185),$B$156=1),$G$185,HLOOKUP(INDIRECT(ADDRESS(2,COLUMN())),OFFSET($BN$2,0,0,ROW()-1,60),ROW()-1,FALSE))</f>
        <v>2485</v>
      </c>
      <c r="H33">
        <f ca="1">IF(AND(ISNUMBER($H$185),$B$156=1),$H$185,HLOOKUP(INDIRECT(ADDRESS(2,COLUMN())),OFFSET($BN$2,0,0,ROW()-1,60),ROW()-1,FALSE))</f>
        <v>36000</v>
      </c>
      <c r="I33">
        <f ca="1">IF(AND(ISNUMBER($I$185),$B$156=1),$I$185,HLOOKUP(INDIRECT(ADDRESS(2,COLUMN())),OFFSET($BN$2,0,0,ROW()-1,60),ROW()-1,FALSE))</f>
        <v>15398</v>
      </c>
      <c r="J33">
        <f ca="1">IF(AND(ISNUMBER($J$185),$B$156=1),$J$185,HLOOKUP(INDIRECT(ADDRESS(2,COLUMN())),OFFSET($BN$2,0,0,ROW()-1,60),ROW()-1,FALSE))</f>
        <v>71856</v>
      </c>
      <c r="K33">
        <f ca="1">IF(AND(ISNUMBER($K$185),$B$156=1),$K$185,HLOOKUP(INDIRECT(ADDRESS(2,COLUMN())),OFFSET($BN$2,0,0,ROW()-1,60),ROW()-1,FALSE))</f>
        <v>2784</v>
      </c>
      <c r="L33">
        <f ca="1">IF(AND(ISNUMBER($L$185),$B$156=1),$L$185,HLOOKUP(INDIRECT(ADDRESS(2,COLUMN())),OFFSET($BN$2,0,0,ROW()-1,60),ROW()-1,FALSE))</f>
        <v>37333</v>
      </c>
      <c r="M33">
        <f ca="1">IF(AND(ISNUMBER($M$185),$B$156=1),$M$185,HLOOKUP(INDIRECT(ADDRESS(2,COLUMN())),OFFSET($BN$2,0,0,ROW()-1,60),ROW()-1,FALSE))</f>
        <v>15233</v>
      </c>
      <c r="N33">
        <f ca="1">IF(AND(ISNUMBER($N$185),$B$156=1),$N$185,HLOOKUP(INDIRECT(ADDRESS(2,COLUMN())),OFFSET($BN$2,0,0,ROW()-1,60),ROW()-1,FALSE))</f>
        <v>75982</v>
      </c>
      <c r="O33">
        <f ca="1">IF(AND(ISNUMBER($O$185),$B$156=1),$O$185,HLOOKUP(INDIRECT(ADDRESS(2,COLUMN())),OFFSET($BN$2,0,0,ROW()-1,60),ROW()-1,FALSE))</f>
        <v>3445</v>
      </c>
      <c r="P33">
        <f ca="1">IF(AND(ISNUMBER($P$185),$B$156=1),$P$185,HLOOKUP(INDIRECT(ADDRESS(2,COLUMN())),OFFSET($BN$2,0,0,ROW()-1,60),ROW()-1,FALSE))</f>
        <v>41884</v>
      </c>
      <c r="Q33">
        <f ca="1">IF(AND(ISNUMBER($Q$185),$B$156=1),$Q$185,HLOOKUP(INDIRECT(ADDRESS(2,COLUMN())),OFFSET($BN$2,0,0,ROW()-1,60),ROW()-1,FALSE))</f>
        <v>18503</v>
      </c>
      <c r="R33">
        <f ca="1">IF(AND(ISNUMBER($R$185),$B$156=1),$R$185,HLOOKUP(INDIRECT(ADDRESS(2,COLUMN())),OFFSET($BN$2,0,0,ROW()-1,60),ROW()-1,FALSE))</f>
        <v>82829</v>
      </c>
      <c r="S33">
        <f ca="1">IF(AND(ISNUMBER($S$185),$B$156=1),$S$185,HLOOKUP(INDIRECT(ADDRESS(2,COLUMN())),OFFSET($BN$2,0,0,ROW()-1,60),ROW()-1,FALSE))</f>
        <v>3852</v>
      </c>
      <c r="T33">
        <f ca="1">IF(AND(ISNUMBER($T$185),$B$156=1),$T$185,HLOOKUP(INDIRECT(ADDRESS(2,COLUMN())),OFFSET($BN$2,0,0,ROW()-1,60),ROW()-1,FALSE))</f>
        <v>38776</v>
      </c>
      <c r="U33">
        <f ca="1">IF(AND(ISNUMBER($U$185),$B$156=1),$U$185,HLOOKUP(INDIRECT(ADDRESS(2,COLUMN())),OFFSET($BN$2,0,0,ROW()-1,60),ROW()-1,FALSE))</f>
        <v>17829</v>
      </c>
      <c r="V33">
        <f ca="1">IF(AND(ISNUMBER($V$185),$B$156=1),$V$185,HLOOKUP(INDIRECT(ADDRESS(2,COLUMN())),OFFSET($BN$2,0,0,ROW()-1,60),ROW()-1,FALSE))</f>
        <v>64704</v>
      </c>
      <c r="W33">
        <f ca="1">IF(AND(ISNUMBER($W$185),$B$156=1),$W$185,HLOOKUP(INDIRECT(ADDRESS(2,COLUMN())),OFFSET($BN$2,0,0,ROW()-1,60),ROW()-1,FALSE))</f>
        <v>3129</v>
      </c>
      <c r="X33">
        <f ca="1">IF(AND(ISNUMBER($X$185),$B$156=1),$X$185,HLOOKUP(INDIRECT(ADDRESS(2,COLUMN())),OFFSET($BN$2,0,0,ROW()-1,60),ROW()-1,FALSE))</f>
        <v>27474</v>
      </c>
      <c r="Y33">
        <f ca="1">IF(AND(ISNUMBER($Y$185),$B$156=1),$Y$185,HLOOKUP(INDIRECT(ADDRESS(2,COLUMN())),OFFSET($BN$2,0,0,ROW()-1,60),ROW()-1,FALSE))</f>
        <v>15778</v>
      </c>
      <c r="Z33">
        <f ca="1">IF(AND(ISNUMBER($Z$185),$B$156=1),$Z$185,HLOOKUP(INDIRECT(ADDRESS(2,COLUMN())),OFFSET($BN$2,0,0,ROW()-1,60),ROW()-1,FALSE))</f>
        <v>49901</v>
      </c>
      <c r="AA33">
        <f ca="1">IF(AND(ISNUMBER($AA$185),$B$156=1),$AA$185,HLOOKUP(INDIRECT(ADDRESS(2,COLUMN())),OFFSET($BN$2,0,0,ROW()-1,60),ROW()-1,FALSE))</f>
        <v>2610</v>
      </c>
      <c r="AB33">
        <f ca="1">IF(AND(ISNUMBER($AB$185),$B$156=1),$AB$185,HLOOKUP(INDIRECT(ADDRESS(2,COLUMN())),OFFSET($BN$2,0,0,ROW()-1,60),ROW()-1,FALSE))</f>
        <v>18513</v>
      </c>
      <c r="AC33">
        <f ca="1">IF(AND(ISNUMBER($AC$185),$B$156=1),$AC$185,HLOOKUP(INDIRECT(ADDRESS(2,COLUMN())),OFFSET($BN$2,0,0,ROW()-1,60),ROW()-1,FALSE))</f>
        <v>13809</v>
      </c>
      <c r="AD33">
        <f ca="1">IF(AND(ISNUMBER($AD$185),$B$156=1),$AD$185,HLOOKUP(INDIRECT(ADDRESS(2,COLUMN())),OFFSET($BN$2,0,0,ROW()-1,60),ROW()-1,FALSE))</f>
        <v>39605</v>
      </c>
      <c r="AE33">
        <f ca="1">IF(AND(ISNUMBER($AE$185),$B$156=1),$AE$185,HLOOKUP(INDIRECT(ADDRESS(2,COLUMN())),OFFSET($BN$2,0,0,ROW()-1,60),ROW()-1,FALSE))</f>
        <v>2857</v>
      </c>
      <c r="AF33">
        <f ca="1">IF(AND(ISNUMBER($AF$185),$B$156=1),$AF$185,HLOOKUP(INDIRECT(ADDRESS(2,COLUMN())),OFFSET($BN$2,0,0,ROW()-1,60),ROW()-1,FALSE))</f>
        <v>9999</v>
      </c>
      <c r="AG33">
        <f ca="1">IF(AND(ISNUMBER($AG$185),$B$156=1),$AG$185,HLOOKUP(INDIRECT(ADDRESS(2,COLUMN())),OFFSET($BN$2,0,0,ROW()-1,60),ROW()-1,FALSE))</f>
        <v>20859</v>
      </c>
      <c r="AH33">
        <f ca="1">IF(AND(ISNUMBER($AH$185),$B$156=1),$AH$185,HLOOKUP(INDIRECT(ADDRESS(2,COLUMN())),OFFSET($BN$2,0,0,ROW()-1,60),ROW()-1,FALSE))</f>
        <v>45840</v>
      </c>
      <c r="AI33">
        <f ca="1">IF(AND(ISNUMBER($AI$185),$B$156=1),$AI$185,HLOOKUP(INDIRECT(ADDRESS(2,COLUMN())),OFFSET($BN$2,0,0,ROW()-1,60),ROW()-1,FALSE))</f>
        <v>2719</v>
      </c>
      <c r="AJ33">
        <f ca="1">IF(AND(ISNUMBER($AJ$185),$B$156=1),$AJ$185,HLOOKUP(INDIRECT(ADDRESS(2,COLUMN())),OFFSET($BN$2,0,0,ROW()-1,60),ROW()-1,FALSE))</f>
        <v>10089</v>
      </c>
      <c r="AK33">
        <f ca="1">IF(AND(ISNUMBER($AK$185),$B$156=1),$AK$185,HLOOKUP(INDIRECT(ADDRESS(2,COLUMN())),OFFSET($BN$2,0,0,ROW()-1,60),ROW()-1,FALSE))</f>
        <v>29210</v>
      </c>
      <c r="AL33">
        <f ca="1">IF(AND(ISNUMBER($AL$185),$B$156=1),$AL$185,HLOOKUP(INDIRECT(ADDRESS(2,COLUMN())),OFFSET($BN$2,0,0,ROW()-1,60),ROW()-1,FALSE))</f>
        <v>48113</v>
      </c>
      <c r="AM33">
        <f ca="1">IF(AND(ISNUMBER($AM$185),$B$156=1),$AM$185,HLOOKUP(INDIRECT(ADDRESS(2,COLUMN())),OFFSET($BN$2,0,0,ROW()-1,60),ROW()-1,FALSE))</f>
        <v>5213</v>
      </c>
      <c r="AN33">
        <f ca="1">IF(AND(ISNUMBER($AN$185),$B$156=1),$AN$185,HLOOKUP(INDIRECT(ADDRESS(2,COLUMN())),OFFSET($BN$2,0,0,ROW()-1,60),ROW()-1,FALSE))</f>
        <v>15698</v>
      </c>
      <c r="AO33">
        <f ca="1">IF(AND(ISNUMBER($AO$185),$B$156=1),$AO$185,HLOOKUP(INDIRECT(ADDRESS(2,COLUMN())),OFFSET($BN$2,0,0,ROW()-1,60),ROW()-1,FALSE))</f>
        <v>25673</v>
      </c>
      <c r="AP33">
        <f ca="1">IF(AND(ISNUMBER($AP$185),$B$156=1),$AP$185,HLOOKUP(INDIRECT(ADDRESS(2,COLUMN())),OFFSET($BN$2,0,0,ROW()-1,60),ROW()-1,FALSE))</f>
        <v>42714</v>
      </c>
      <c r="AQ33">
        <f ca="1">IF(AND(ISNUMBER($AQ$185),$B$156=1),$AQ$185,HLOOKUP(INDIRECT(ADDRESS(2,COLUMN())),OFFSET($BN$2,0,0,ROW()-1,60),ROW()-1,FALSE))</f>
        <v>2355</v>
      </c>
      <c r="AR33">
        <f ca="1">IF(AND(ISNUMBER($AR$185),$B$156=1),$AR$185,HLOOKUP(INDIRECT(ADDRESS(2,COLUMN())),OFFSET($BN$2,0,0,ROW()-1,60),ROW()-1,FALSE))</f>
        <v>8381</v>
      </c>
      <c r="AS33">
        <f ca="1">IF(AND(ISNUMBER($AS$185),$B$156=1),$AS$185,HLOOKUP(INDIRECT(ADDRESS(2,COLUMN())),OFFSET($BN$2,0,0,ROW()-1,60),ROW()-1,FALSE))</f>
        <v>14268</v>
      </c>
      <c r="AT33">
        <f ca="1">IF(AND(ISNUMBER($AT$185),$B$156=1),$AT$185,HLOOKUP(INDIRECT(ADDRESS(2,COLUMN())),OFFSET($BN$2,0,0,ROW()-1,60),ROW()-1,FALSE))</f>
        <v>32446</v>
      </c>
      <c r="AU33">
        <f ca="1">IF(AND(ISNUMBER($AU$185),$B$156=1),$AU$185,HLOOKUP(INDIRECT(ADDRESS(2,COLUMN())),OFFSET($BN$2,0,0,ROW()-1,60),ROW()-1,FALSE))</f>
        <v>2573</v>
      </c>
      <c r="AV33">
        <f ca="1">IF(AND(ISNUMBER($AV$185),$B$156=1),$AV$185,HLOOKUP(INDIRECT(ADDRESS(2,COLUMN())),OFFSET($BN$2,0,0,ROW()-1,60),ROW()-1,FALSE))</f>
        <v>25039</v>
      </c>
      <c r="AW33">
        <f ca="1">IF(AND(ISNUMBER($AW$185),$B$156=1),$AW$185,HLOOKUP(INDIRECT(ADDRESS(2,COLUMN())),OFFSET($BN$2,0,0,ROW()-1,60),ROW()-1,FALSE))</f>
        <v>31282</v>
      </c>
      <c r="AX33">
        <f ca="1">IF(AND(ISNUMBER($AX$185),$B$156=1),$AX$185,HLOOKUP(INDIRECT(ADDRESS(2,COLUMN())),OFFSET($BN$2,0,0,ROW()-1,60),ROW()-1,FALSE))</f>
        <v>92713</v>
      </c>
      <c r="AY33">
        <f ca="1">IF(AND(ISNUMBER($AY$185),$B$156=1),$AY$185,HLOOKUP(INDIRECT(ADDRESS(2,COLUMN())),OFFSET($BN$2,0,0,ROW()-1,60),ROW()-1,FALSE))</f>
        <v>5747</v>
      </c>
      <c r="AZ33">
        <f ca="1">IF(AND(ISNUMBER($AZ$185),$B$156=1),$AZ$185,HLOOKUP(INDIRECT(ADDRESS(2,COLUMN())),OFFSET($BN$2,0,0,ROW()-1,60),ROW()-1,FALSE))</f>
        <v>27652</v>
      </c>
      <c r="BA33">
        <f ca="1">IF(AND(ISNUMBER($BA$185),$B$156=1),$BA$185,HLOOKUP(INDIRECT(ADDRESS(2,COLUMN())),OFFSET($BN$2,0,0,ROW()-1,60),ROW()-1,FALSE))</f>
        <v>52633</v>
      </c>
      <c r="BB33">
        <f ca="1">IF(AND(ISNUMBER($BB$185),$B$156=1),$BB$185,HLOOKUP(INDIRECT(ADDRESS(2,COLUMN())),OFFSET($BN$2,0,0,ROW()-1,60),ROW()-1,FALSE))</f>
        <v>100293</v>
      </c>
      <c r="BC33">
        <f ca="1">IF(AND(ISNUMBER($BC$185),$B$156=1),$BC$185,HLOOKUP(INDIRECT(ADDRESS(2,COLUMN())),OFFSET($BN$2,0,0,ROW()-1,60),ROW()-1,FALSE))</f>
        <v>6707</v>
      </c>
      <c r="BD33">
        <f ca="1">IF(AND(ISNUMBER($BD$185),$B$156=1),$BD$185,HLOOKUP(INDIRECT(ADDRESS(2,COLUMN())),OFFSET($BN$2,0,0,ROW()-1,60),ROW()-1,FALSE))</f>
        <v>27292</v>
      </c>
      <c r="BE33">
        <f ca="1">IF(AND(ISNUMBER($BE$185),$B$156=1),$BE$185,HLOOKUP(INDIRECT(ADDRESS(2,COLUMN())),OFFSET($BN$2,0,0,ROW()-1,60),ROW()-1,FALSE))</f>
        <v>50256</v>
      </c>
      <c r="BF33">
        <f ca="1">IF(AND(ISNUMBER($BF$185),$B$156=1),$BF$185,HLOOKUP(INDIRECT(ADDRESS(2,COLUMN())),OFFSET($BN$2,0,0,ROW()-1,60),ROW()-1,FALSE))</f>
        <v>94229</v>
      </c>
      <c r="BG33">
        <f ca="1">IF(AND(ISNUMBER($BG$185),$B$156=1),$BG$185,HLOOKUP(INDIRECT(ADDRESS(2,COLUMN())),OFFSET($BN$2,0,0,ROW()-1,60),ROW()-1,FALSE))</f>
        <v>6540</v>
      </c>
      <c r="BH33">
        <f ca="1">IF(AND(ISNUMBER($BH$185),$B$156=1),$BH$185,HLOOKUP(INDIRECT(ADDRESS(2,COLUMN())),OFFSET($BN$2,0,0,ROW()-1,60),ROW()-1,FALSE))</f>
        <v>28271</v>
      </c>
      <c r="BI33">
        <f ca="1">IF(AND(ISNUMBER($BI$185),$B$156=1),$BI$185,HLOOKUP(INDIRECT(ADDRESS(2,COLUMN())),OFFSET($BN$2,0,0,ROW()-1,60),ROW()-1,FALSE))</f>
        <v>49296</v>
      </c>
      <c r="BJ33">
        <f ca="1">IF(AND(ISNUMBER($BJ$185),$B$156=1),$BJ$185,HLOOKUP(INDIRECT(ADDRESS(2,COLUMN())),OFFSET($BN$2,0,0,ROW()-1,60),ROW()-1,FALSE))</f>
        <v>87635</v>
      </c>
      <c r="BK33">
        <f ca="1">IF(AND(ISNUMBER($BK$185),$B$156=1),$BK$185,HLOOKUP(INDIRECT(ADDRESS(2,COLUMN())),OFFSET($BN$2,0,0,ROW()-1,60),ROW()-1,FALSE))</f>
        <v>6885</v>
      </c>
      <c r="BL33">
        <f ca="1">IF(AND(ISNUMBER($BL$185),$B$156=1),$BL$185,HLOOKUP(INDIRECT(ADDRESS(2,COLUMN())),OFFSET($BN$2,0,0,ROW()-1,60),ROW()-1,FALSE))</f>
        <v>25767</v>
      </c>
      <c r="BM33">
        <f ca="1">IF(AND(ISNUMBER($BM$185),$B$156=1),$BM$185,HLOOKUP(INDIRECT(ADDRESS(2,COLUMN())),OFFSET($BN$2,0,0,ROW()-1,60),ROW()-1,FALSE))</f>
        <v>44552</v>
      </c>
      <c r="BN33">
        <f>32343</f>
        <v>32343</v>
      </c>
      <c r="BO33">
        <f>2485</f>
        <v>2485</v>
      </c>
      <c r="BP33">
        <f>36000</f>
        <v>36000</v>
      </c>
      <c r="BQ33">
        <f>15398</f>
        <v>15398</v>
      </c>
      <c r="BR33">
        <f>71856</f>
        <v>71856</v>
      </c>
      <c r="BS33">
        <f>2784</f>
        <v>2784</v>
      </c>
      <c r="BT33">
        <f>37333</f>
        <v>37333</v>
      </c>
      <c r="BU33">
        <f>15233</f>
        <v>15233</v>
      </c>
      <c r="BV33">
        <f>75982</f>
        <v>75982</v>
      </c>
      <c r="BW33">
        <f>3445</f>
        <v>3445</v>
      </c>
      <c r="BX33">
        <f>41884</f>
        <v>41884</v>
      </c>
      <c r="BY33">
        <f>18503</f>
        <v>18503</v>
      </c>
      <c r="BZ33">
        <f>82829</f>
        <v>82829</v>
      </c>
      <c r="CA33">
        <f>3852</f>
        <v>3852</v>
      </c>
      <c r="CB33">
        <f>38776</f>
        <v>38776</v>
      </c>
      <c r="CC33">
        <f>17829</f>
        <v>17829</v>
      </c>
      <c r="CD33">
        <f>64704</f>
        <v>64704</v>
      </c>
      <c r="CE33">
        <f>3129</f>
        <v>3129</v>
      </c>
      <c r="CF33">
        <f>27474</f>
        <v>27474</v>
      </c>
      <c r="CG33">
        <f>15778</f>
        <v>15778</v>
      </c>
      <c r="CH33">
        <f>49901</f>
        <v>49901</v>
      </c>
      <c r="CI33">
        <f>2610</f>
        <v>2610</v>
      </c>
      <c r="CJ33">
        <f>18513</f>
        <v>18513</v>
      </c>
      <c r="CK33">
        <f>13809</f>
        <v>13809</v>
      </c>
      <c r="CL33">
        <f>39605</f>
        <v>39605</v>
      </c>
      <c r="CM33">
        <f>2857</f>
        <v>2857</v>
      </c>
      <c r="CN33">
        <f>9999</f>
        <v>9999</v>
      </c>
      <c r="CO33">
        <f>20859</f>
        <v>20859</v>
      </c>
      <c r="CP33">
        <f>45840</f>
        <v>45840</v>
      </c>
      <c r="CQ33">
        <f>2719</f>
        <v>2719</v>
      </c>
      <c r="CR33">
        <f>10089</f>
        <v>10089</v>
      </c>
      <c r="CS33">
        <f>29210</f>
        <v>29210</v>
      </c>
      <c r="CT33">
        <f>48113</f>
        <v>48113</v>
      </c>
      <c r="CU33">
        <f>5213</f>
        <v>5213</v>
      </c>
      <c r="CV33">
        <f>15698</f>
        <v>15698</v>
      </c>
      <c r="CW33">
        <f>25673</f>
        <v>25673</v>
      </c>
      <c r="CX33">
        <f>42714</f>
        <v>42714</v>
      </c>
      <c r="CY33">
        <f>2355</f>
        <v>2355</v>
      </c>
      <c r="CZ33">
        <f>8381</f>
        <v>8381</v>
      </c>
      <c r="DA33">
        <f>14268</f>
        <v>14268</v>
      </c>
      <c r="DB33">
        <f>32446</f>
        <v>32446</v>
      </c>
      <c r="DC33">
        <f>2573</f>
        <v>2573</v>
      </c>
      <c r="DD33">
        <f>25039</f>
        <v>25039</v>
      </c>
      <c r="DE33">
        <f>31282</f>
        <v>31282</v>
      </c>
      <c r="DF33">
        <f>92713</f>
        <v>92713</v>
      </c>
      <c r="DG33">
        <f>5747</f>
        <v>5747</v>
      </c>
      <c r="DH33">
        <f>27652</f>
        <v>27652</v>
      </c>
      <c r="DI33">
        <f>52633</f>
        <v>52633</v>
      </c>
      <c r="DJ33">
        <f>100293</f>
        <v>100293</v>
      </c>
      <c r="DK33">
        <f>6707</f>
        <v>6707</v>
      </c>
      <c r="DL33">
        <f>27292</f>
        <v>27292</v>
      </c>
      <c r="DM33">
        <f>50256</f>
        <v>50256</v>
      </c>
      <c r="DN33">
        <f>94229</f>
        <v>94229</v>
      </c>
      <c r="DO33">
        <f>6540</f>
        <v>6540</v>
      </c>
      <c r="DP33">
        <f>28271</f>
        <v>28271</v>
      </c>
      <c r="DQ33">
        <f>49296</f>
        <v>49296</v>
      </c>
      <c r="DR33">
        <f>87635</f>
        <v>87635</v>
      </c>
      <c r="DS33">
        <f>6885</f>
        <v>6885</v>
      </c>
      <c r="DT33">
        <f>25767</f>
        <v>25767</v>
      </c>
      <c r="DU33">
        <f>44552</f>
        <v>44552</v>
      </c>
    </row>
    <row r="34" spans="1:125" x14ac:dyDescent="0.25">
      <c r="A34" t="str">
        <f>"            Italy"</f>
        <v xml:space="preserve">            Italy</v>
      </c>
      <c r="B34" t="str">
        <f>"WCARITI Index"</f>
        <v>WCARITI Index</v>
      </c>
      <c r="C34" t="str">
        <f t="shared" si="3"/>
        <v>PX385</v>
      </c>
      <c r="D34" t="str">
        <f t="shared" si="4"/>
        <v>INTERVAL_SUM</v>
      </c>
      <c r="E34" t="str">
        <f t="shared" si="5"/>
        <v>Dynamic</v>
      </c>
      <c r="F34">
        <f ca="1">IF(AND(ISNUMBER($F$186),$B$156=1),$F$186,HLOOKUP(INDIRECT(ADDRESS(2,COLUMN())),OFFSET($BN$2,0,0,ROW()-1,60),ROW()-1,FALSE))</f>
        <v>164864</v>
      </c>
      <c r="G34">
        <f ca="1">IF(AND(ISNUMBER($G$186),$B$156=1),$G$186,HLOOKUP(INDIRECT(ADDRESS(2,COLUMN())),OFFSET($BN$2,0,0,ROW()-1,60),ROW()-1,FALSE))</f>
        <v>417724</v>
      </c>
      <c r="H34">
        <f ca="1">IF(AND(ISNUMBER($H$186),$B$156=1),$H$186,HLOOKUP(INDIRECT(ADDRESS(2,COLUMN())),OFFSET($BN$2,0,0,ROW()-1,60),ROW()-1,FALSE))</f>
        <v>369306</v>
      </c>
      <c r="I34">
        <f ca="1">IF(AND(ISNUMBER($I$186),$B$156=1),$I$186,HLOOKUP(INDIRECT(ADDRESS(2,COLUMN())),OFFSET($BN$2,0,0,ROW()-1,60),ROW()-1,FALSE))</f>
        <v>545194</v>
      </c>
      <c r="J34">
        <f ca="1">IF(AND(ISNUMBER($J$186),$B$156=1),$J$186,HLOOKUP(INDIRECT(ADDRESS(2,COLUMN())),OFFSET($BN$2,0,0,ROW()-1,60),ROW()-1,FALSE))</f>
        <v>573791</v>
      </c>
      <c r="K34">
        <f ca="1">IF(AND(ISNUMBER($K$186),$B$156=1),$K$186,HLOOKUP(INDIRECT(ADDRESS(2,COLUMN())),OFFSET($BN$2,0,0,ROW()-1,60),ROW()-1,FALSE))</f>
        <v>436992</v>
      </c>
      <c r="L34">
        <f ca="1">IF(AND(ISNUMBER($L$186),$B$156=1),$L$186,HLOOKUP(INDIRECT(ADDRESS(2,COLUMN())),OFFSET($BN$2,0,0,ROW()-1,60),ROW()-1,FALSE))</f>
        <v>397049</v>
      </c>
      <c r="M34">
        <f ca="1">IF(AND(ISNUMBER($M$186),$B$156=1),$M$186,HLOOKUP(INDIRECT(ADDRESS(2,COLUMN())),OFFSET($BN$2,0,0,ROW()-1,60),ROW()-1,FALSE))</f>
        <v>554139</v>
      </c>
      <c r="N34">
        <f ca="1">IF(AND(ISNUMBER($N$186),$B$156=1),$N$186,HLOOKUP(INDIRECT(ADDRESS(2,COLUMN())),OFFSET($BN$2,0,0,ROW()-1,60),ROW()-1,FALSE))</f>
        <v>583164</v>
      </c>
      <c r="O34">
        <f ca="1">IF(AND(ISNUMBER($O$186),$B$156=1),$O$186,HLOOKUP(INDIRECT(ADDRESS(2,COLUMN())),OFFSET($BN$2,0,0,ROW()-1,60),ROW()-1,FALSE))</f>
        <v>418894</v>
      </c>
      <c r="P34">
        <f ca="1">IF(AND(ISNUMBER($P$186),$B$156=1),$P$186,HLOOKUP(INDIRECT(ADDRESS(2,COLUMN())),OFFSET($BN$2,0,0,ROW()-1,60),ROW()-1,FALSE))</f>
        <v>363631</v>
      </c>
      <c r="Q34">
        <f ca="1">IF(AND(ISNUMBER($Q$186),$B$156=1),$Q$186,HLOOKUP(INDIRECT(ADDRESS(2,COLUMN())),OFFSET($BN$2,0,0,ROW()-1,60),ROW()-1,FALSE))</f>
        <v>523026</v>
      </c>
      <c r="R34">
        <f ca="1">IF(AND(ISNUMBER($R$186),$B$156=1),$R$186,HLOOKUP(INDIRECT(ADDRESS(2,COLUMN())),OFFSET($BN$2,0,0,ROW()-1,60),ROW()-1,FALSE))</f>
        <v>520360</v>
      </c>
      <c r="S34">
        <f ca="1">IF(AND(ISNUMBER($S$186),$B$156=1),$S$186,HLOOKUP(INDIRECT(ADDRESS(2,COLUMN())),OFFSET($BN$2,0,0,ROW()-1,60),ROW()-1,FALSE))</f>
        <v>376345</v>
      </c>
      <c r="T34">
        <f ca="1">IF(AND(ISNUMBER($T$186),$B$156=1),$T$186,HLOOKUP(INDIRECT(ADDRESS(2,COLUMN())),OFFSET($BN$2,0,0,ROW()-1,60),ROW()-1,FALSE))</f>
        <v>321370</v>
      </c>
      <c r="U34">
        <f ca="1">IF(AND(ISNUMBER($U$186),$B$156=1),$U$186,HLOOKUP(INDIRECT(ADDRESS(2,COLUMN())),OFFSET($BN$2,0,0,ROW()-1,60),ROW()-1,FALSE))</f>
        <v>442071</v>
      </c>
      <c r="V34">
        <f ca="1">IF(AND(ISNUMBER($V$186),$B$156=1),$V$186,HLOOKUP(INDIRECT(ADDRESS(2,COLUMN())),OFFSET($BN$2,0,0,ROW()-1,60),ROW()-1,FALSE))</f>
        <v>427385</v>
      </c>
      <c r="W34">
        <f ca="1">IF(AND(ISNUMBER($W$186),$B$156=1),$W$186,HLOOKUP(INDIRECT(ADDRESS(2,COLUMN())),OFFSET($BN$2,0,0,ROW()-1,60),ROW()-1,FALSE))</f>
        <v>323190</v>
      </c>
      <c r="X34">
        <f ca="1">IF(AND(ISNUMBER($X$186),$B$156=1),$X$186,HLOOKUP(INDIRECT(ADDRESS(2,COLUMN())),OFFSET($BN$2,0,0,ROW()-1,60),ROW()-1,FALSE))</f>
        <v>279326</v>
      </c>
      <c r="Y34">
        <f ca="1">IF(AND(ISNUMBER($Y$186),$B$156=1),$Y$186,HLOOKUP(INDIRECT(ADDRESS(2,COLUMN())),OFFSET($BN$2,0,0,ROW()-1,60),ROW()-1,FALSE))</f>
        <v>380434</v>
      </c>
      <c r="Z34">
        <f ca="1">IF(AND(ISNUMBER($Z$186),$B$156=1),$Z$186,HLOOKUP(INDIRECT(ADDRESS(2,COLUMN())),OFFSET($BN$2,0,0,ROW()-1,60),ROW()-1,FALSE))</f>
        <v>377630</v>
      </c>
      <c r="AA34">
        <f ca="1">IF(AND(ISNUMBER($AA$186),$B$156=1),$AA$186,HLOOKUP(INDIRECT(ADDRESS(2,COLUMN())),OFFSET($BN$2,0,0,ROW()-1,60),ROW()-1,FALSE))</f>
        <v>301747</v>
      </c>
      <c r="AB34">
        <f ca="1">IF(AND(ISNUMBER($AB$186),$B$156=1),$AB$186,HLOOKUP(INDIRECT(ADDRESS(2,COLUMN())),OFFSET($BN$2,0,0,ROW()-1,60),ROW()-1,FALSE))</f>
        <v>267203</v>
      </c>
      <c r="AC34">
        <f ca="1">IF(AND(ISNUMBER($AC$186),$B$156=1),$AC$186,HLOOKUP(INDIRECT(ADDRESS(2,COLUMN())),OFFSET($BN$2,0,0,ROW()-1,60),ROW()-1,FALSE))</f>
        <v>374346</v>
      </c>
      <c r="AD34">
        <f ca="1">IF(AND(ISNUMBER($AD$186),$B$156=1),$AD$186,HLOOKUP(INDIRECT(ADDRESS(2,COLUMN())),OFFSET($BN$2,0,0,ROW()-1,60),ROW()-1,FALSE))</f>
        <v>353964</v>
      </c>
      <c r="AE34">
        <f ca="1">IF(AND(ISNUMBER($AE$186),$B$156=1),$AE$186,HLOOKUP(INDIRECT(ADDRESS(2,COLUMN())),OFFSET($BN$2,0,0,ROW()-1,60),ROW()-1,FALSE))</f>
        <v>311935</v>
      </c>
      <c r="AF34">
        <f ca="1">IF(AND(ISNUMBER($AF$186),$B$156=1),$AF$186,HLOOKUP(INDIRECT(ADDRESS(2,COLUMN())),OFFSET($BN$2,0,0,ROW()-1,60),ROW()-1,FALSE))</f>
        <v>275875</v>
      </c>
      <c r="AG34">
        <f ca="1">IF(AND(ISNUMBER($AG$186),$B$156=1),$AG$186,HLOOKUP(INDIRECT(ADDRESS(2,COLUMN())),OFFSET($BN$2,0,0,ROW()-1,60),ROW()-1,FALSE))</f>
        <v>407381</v>
      </c>
      <c r="AH34">
        <f ca="1">IF(AND(ISNUMBER($AH$186),$B$156=1),$AH$186,HLOOKUP(INDIRECT(ADDRESS(2,COLUMN())),OFFSET($BN$2,0,0,ROW()-1,60),ROW()-1,FALSE))</f>
        <v>407832</v>
      </c>
      <c r="AI34">
        <f ca="1">IF(AND(ISNUMBER($AI$186),$B$156=1),$AI$186,HLOOKUP(INDIRECT(ADDRESS(2,COLUMN())),OFFSET($BN$2,0,0,ROW()-1,60),ROW()-1,FALSE))</f>
        <v>376494</v>
      </c>
      <c r="AJ34">
        <f ca="1">IF(AND(ISNUMBER($AJ$186),$B$156=1),$AJ$186,HLOOKUP(INDIRECT(ADDRESS(2,COLUMN())),OFFSET($BN$2,0,0,ROW()-1,60),ROW()-1,FALSE))</f>
        <v>355258</v>
      </c>
      <c r="AK34">
        <f ca="1">IF(AND(ISNUMBER($AK$186),$B$156=1),$AK$186,HLOOKUP(INDIRECT(ADDRESS(2,COLUMN())),OFFSET($BN$2,0,0,ROW()-1,60),ROW()-1,FALSE))</f>
        <v>496744</v>
      </c>
      <c r="AL34">
        <f ca="1">IF(AND(ISNUMBER($AL$186),$B$156=1),$AL$186,HLOOKUP(INDIRECT(ADDRESS(2,COLUMN())),OFFSET($BN$2,0,0,ROW()-1,60),ROW()-1,FALSE))</f>
        <v>512372</v>
      </c>
      <c r="AM34">
        <f ca="1">IF(AND(ISNUMBER($AM$186),$B$156=1),$AM$186,HLOOKUP(INDIRECT(ADDRESS(2,COLUMN())),OFFSET($BN$2,0,0,ROW()-1,60),ROW()-1,FALSE))</f>
        <v>415257</v>
      </c>
      <c r="AN34">
        <f ca="1">IF(AND(ISNUMBER($AN$186),$B$156=1),$AN$186,HLOOKUP(INDIRECT(ADDRESS(2,COLUMN())),OFFSET($BN$2,0,0,ROW()-1,60),ROW()-1,FALSE))</f>
        <v>376896</v>
      </c>
      <c r="AO34">
        <f ca="1">IF(AND(ISNUMBER($AO$186),$B$156=1),$AO$186,HLOOKUP(INDIRECT(ADDRESS(2,COLUMN())),OFFSET($BN$2,0,0,ROW()-1,60),ROW()-1,FALSE))</f>
        <v>494296</v>
      </c>
      <c r="AP34">
        <f ca="1">IF(AND(ISNUMBER($AP$186),$B$156=1),$AP$186,HLOOKUP(INDIRECT(ADDRESS(2,COLUMN())),OFFSET($BN$2,0,0,ROW()-1,60),ROW()-1,FALSE))</f>
        <v>664595</v>
      </c>
      <c r="AQ34">
        <f ca="1">IF(AND(ISNUMBER($AQ$186),$B$156=1),$AQ$186,HLOOKUP(INDIRECT(ADDRESS(2,COLUMN())),OFFSET($BN$2,0,0,ROW()-1,60),ROW()-1,FALSE))</f>
        <v>546883</v>
      </c>
      <c r="AR34">
        <f ca="1">IF(AND(ISNUMBER($AR$186),$B$156=1),$AR$186,HLOOKUP(INDIRECT(ADDRESS(2,COLUMN())),OFFSET($BN$2,0,0,ROW()-1,60),ROW()-1,FALSE))</f>
        <v>481847</v>
      </c>
      <c r="AS34">
        <f ca="1">IF(AND(ISNUMBER($AS$186),$B$156=1),$AS$186,HLOOKUP(INDIRECT(ADDRESS(2,COLUMN())),OFFSET($BN$2,0,0,ROW()-1,60),ROW()-1,FALSE))</f>
        <v>590511</v>
      </c>
      <c r="AT34">
        <f ca="1">IF(AND(ISNUMBER($AT$186),$B$156=1),$AT$186,HLOOKUP(INDIRECT(ADDRESS(2,COLUMN())),OFFSET($BN$2,0,0,ROW()-1,60),ROW()-1,FALSE))</f>
        <v>540220</v>
      </c>
      <c r="AU34">
        <f ca="1">IF(AND(ISNUMBER($AU$186),$B$156=1),$AU$186,HLOOKUP(INDIRECT(ADDRESS(2,COLUMN())),OFFSET($BN$2,0,0,ROW()-1,60),ROW()-1,FALSE))</f>
        <v>450160</v>
      </c>
      <c r="AV34">
        <f ca="1">IF(AND(ISNUMBER($AV$186),$B$156=1),$AV$186,HLOOKUP(INDIRECT(ADDRESS(2,COLUMN())),OFFSET($BN$2,0,0,ROW()-1,60),ROW()-1,FALSE))</f>
        <v>448389</v>
      </c>
      <c r="AW34">
        <f ca="1">IF(AND(ISNUMBER($AW$186),$B$156=1),$AW$186,HLOOKUP(INDIRECT(ADDRESS(2,COLUMN())),OFFSET($BN$2,0,0,ROW()-1,60),ROW()-1,FALSE))</f>
        <v>596412</v>
      </c>
      <c r="AX34">
        <f ca="1">IF(AND(ISNUMBER($AX$186),$B$156=1),$AX$186,HLOOKUP(INDIRECT(ADDRESS(2,COLUMN())),OFFSET($BN$2,0,0,ROW()-1,60),ROW()-1,FALSE))</f>
        <v>666721</v>
      </c>
      <c r="AY34">
        <f ca="1">IF(AND(ISNUMBER($AY$186),$B$156=1),$AY$186,HLOOKUP(INDIRECT(ADDRESS(2,COLUMN())),OFFSET($BN$2,0,0,ROW()-1,60),ROW()-1,FALSE))</f>
        <v>565397</v>
      </c>
      <c r="AZ34">
        <f ca="1">IF(AND(ISNUMBER($AZ$186),$B$156=1),$AZ$186,HLOOKUP(INDIRECT(ADDRESS(2,COLUMN())),OFFSET($BN$2,0,0,ROW()-1,60),ROW()-1,FALSE))</f>
        <v>505435</v>
      </c>
      <c r="BA34">
        <f ca="1">IF(AND(ISNUMBER($BA$186),$B$156=1),$BA$186,HLOOKUP(INDIRECT(ADDRESS(2,COLUMN())),OFFSET($BN$2,0,0,ROW()-1,60),ROW()-1,FALSE))</f>
        <v>684897</v>
      </c>
      <c r="BB34">
        <f ca="1">IF(AND(ISNUMBER($BB$186),$B$156=1),$BB$186,HLOOKUP(INDIRECT(ADDRESS(2,COLUMN())),OFFSET($BN$2,0,0,ROW()-1,60),ROW()-1,FALSE))</f>
        <v>737377</v>
      </c>
      <c r="BC34">
        <f ca="1">IF(AND(ISNUMBER($BC$186),$B$156=1),$BC$186,HLOOKUP(INDIRECT(ADDRESS(2,COLUMN())),OFFSET($BN$2,0,0,ROW()-1,60),ROW()-1,FALSE))</f>
        <v>522862</v>
      </c>
      <c r="BD34">
        <f ca="1">IF(AND(ISNUMBER($BD$186),$B$156=1),$BD$186,HLOOKUP(INDIRECT(ADDRESS(2,COLUMN())),OFFSET($BN$2,0,0,ROW()-1,60),ROW()-1,FALSE))</f>
        <v>473657</v>
      </c>
      <c r="BE34">
        <f ca="1">IF(AND(ISNUMBER($BE$186),$B$156=1),$BE$186,HLOOKUP(INDIRECT(ADDRESS(2,COLUMN())),OFFSET($BN$2,0,0,ROW()-1,60),ROW()-1,FALSE))</f>
        <v>625416</v>
      </c>
      <c r="BF34">
        <f ca="1">IF(AND(ISNUMBER($BF$186),$B$156=1),$BF$186,HLOOKUP(INDIRECT(ADDRESS(2,COLUMN())),OFFSET($BN$2,0,0,ROW()-1,60),ROW()-1,FALSE))</f>
        <v>704114</v>
      </c>
      <c r="BG34">
        <f ca="1">IF(AND(ISNUMBER($BG$186),$B$156=1),$BG$186,HLOOKUP(INDIRECT(ADDRESS(2,COLUMN())),OFFSET($BN$2,0,0,ROW()-1,60),ROW()-1,FALSE))</f>
        <v>508975</v>
      </c>
      <c r="BH34">
        <f ca="1">IF(AND(ISNUMBER($BH$186),$B$156=1),$BH$186,HLOOKUP(INDIRECT(ADDRESS(2,COLUMN())),OFFSET($BN$2,0,0,ROW()-1,60),ROW()-1,FALSE))</f>
        <v>500638</v>
      </c>
      <c r="BI34">
        <f ca="1">IF(AND(ISNUMBER($BI$186),$B$156=1),$BI$186,HLOOKUP(INDIRECT(ADDRESS(2,COLUMN())),OFFSET($BN$2,0,0,ROW()-1,60),ROW()-1,FALSE))</f>
        <v>585336</v>
      </c>
      <c r="BJ34">
        <f ca="1">IF(AND(ISNUMBER($BJ$186),$B$156=1),$BJ$186,HLOOKUP(INDIRECT(ADDRESS(2,COLUMN())),OFFSET($BN$2,0,0,ROW()-1,60),ROW()-1,FALSE))</f>
        <v>642495</v>
      </c>
      <c r="BK34">
        <f ca="1">IF(AND(ISNUMBER($BK$186),$B$156=1),$BK$186,HLOOKUP(INDIRECT(ADDRESS(2,COLUMN())),OFFSET($BN$2,0,0,ROW()-1,60),ROW()-1,FALSE))</f>
        <v>497778</v>
      </c>
      <c r="BL34">
        <f ca="1">IF(AND(ISNUMBER($BL$186),$B$156=1),$BL$186,HLOOKUP(INDIRECT(ADDRESS(2,COLUMN())),OFFSET($BN$2,0,0,ROW()-1,60),ROW()-1,FALSE))</f>
        <v>475359</v>
      </c>
      <c r="BM34">
        <f ca="1">IF(AND(ISNUMBER($BM$186),$B$156=1),$BM$186,HLOOKUP(INDIRECT(ADDRESS(2,COLUMN())),OFFSET($BN$2,0,0,ROW()-1,60),ROW()-1,FALSE))</f>
        <v>614063</v>
      </c>
      <c r="BN34">
        <f>164864</f>
        <v>164864</v>
      </c>
      <c r="BO34">
        <f>417724</f>
        <v>417724</v>
      </c>
      <c r="BP34">
        <f>369306</f>
        <v>369306</v>
      </c>
      <c r="BQ34">
        <f>545194</f>
        <v>545194</v>
      </c>
      <c r="BR34">
        <f>573791</f>
        <v>573791</v>
      </c>
      <c r="BS34">
        <f>436992</f>
        <v>436992</v>
      </c>
      <c r="BT34">
        <f>397049</f>
        <v>397049</v>
      </c>
      <c r="BU34">
        <f>554139</f>
        <v>554139</v>
      </c>
      <c r="BV34">
        <f>583164</f>
        <v>583164</v>
      </c>
      <c r="BW34">
        <f>418894</f>
        <v>418894</v>
      </c>
      <c r="BX34">
        <f>363631</f>
        <v>363631</v>
      </c>
      <c r="BY34">
        <f>523026</f>
        <v>523026</v>
      </c>
      <c r="BZ34">
        <f>520360</f>
        <v>520360</v>
      </c>
      <c r="CA34">
        <f>376345</f>
        <v>376345</v>
      </c>
      <c r="CB34">
        <f>321370</f>
        <v>321370</v>
      </c>
      <c r="CC34">
        <f>442071</f>
        <v>442071</v>
      </c>
      <c r="CD34">
        <f>427385</f>
        <v>427385</v>
      </c>
      <c r="CE34">
        <f>323190</f>
        <v>323190</v>
      </c>
      <c r="CF34">
        <f>279326</f>
        <v>279326</v>
      </c>
      <c r="CG34">
        <f>380434</f>
        <v>380434</v>
      </c>
      <c r="CH34">
        <f>377630</f>
        <v>377630</v>
      </c>
      <c r="CI34">
        <f>301747</f>
        <v>301747</v>
      </c>
      <c r="CJ34">
        <f>267203</f>
        <v>267203</v>
      </c>
      <c r="CK34">
        <f>374346</f>
        <v>374346</v>
      </c>
      <c r="CL34">
        <f>353964</f>
        <v>353964</v>
      </c>
      <c r="CM34">
        <f>311935</f>
        <v>311935</v>
      </c>
      <c r="CN34">
        <f>275875</f>
        <v>275875</v>
      </c>
      <c r="CO34">
        <f>407381</f>
        <v>407381</v>
      </c>
      <c r="CP34">
        <f>407832</f>
        <v>407832</v>
      </c>
      <c r="CQ34">
        <f>376494</f>
        <v>376494</v>
      </c>
      <c r="CR34">
        <f>355258</f>
        <v>355258</v>
      </c>
      <c r="CS34">
        <f>496744</f>
        <v>496744</v>
      </c>
      <c r="CT34">
        <f>512372</f>
        <v>512372</v>
      </c>
      <c r="CU34">
        <f>415257</f>
        <v>415257</v>
      </c>
      <c r="CV34">
        <f>376896</f>
        <v>376896</v>
      </c>
      <c r="CW34">
        <f>494296</f>
        <v>494296</v>
      </c>
      <c r="CX34">
        <f>664595</f>
        <v>664595</v>
      </c>
      <c r="CY34">
        <f>546883</f>
        <v>546883</v>
      </c>
      <c r="CZ34">
        <f>481847</f>
        <v>481847</v>
      </c>
      <c r="DA34">
        <f>590511</f>
        <v>590511</v>
      </c>
      <c r="DB34">
        <f>540220</f>
        <v>540220</v>
      </c>
      <c r="DC34">
        <f>450160</f>
        <v>450160</v>
      </c>
      <c r="DD34">
        <f>448389</f>
        <v>448389</v>
      </c>
      <c r="DE34">
        <f>596412</f>
        <v>596412</v>
      </c>
      <c r="DF34">
        <f>666721</f>
        <v>666721</v>
      </c>
      <c r="DG34">
        <f>565397</f>
        <v>565397</v>
      </c>
      <c r="DH34">
        <f>505435</f>
        <v>505435</v>
      </c>
      <c r="DI34">
        <f>684897</f>
        <v>684897</v>
      </c>
      <c r="DJ34">
        <f>737377</f>
        <v>737377</v>
      </c>
      <c r="DK34">
        <f>522862</f>
        <v>522862</v>
      </c>
      <c r="DL34">
        <f>473657</f>
        <v>473657</v>
      </c>
      <c r="DM34">
        <f>625416</f>
        <v>625416</v>
      </c>
      <c r="DN34">
        <f>704114</f>
        <v>704114</v>
      </c>
      <c r="DO34">
        <f>508975</f>
        <v>508975</v>
      </c>
      <c r="DP34">
        <f>500638</f>
        <v>500638</v>
      </c>
      <c r="DQ34">
        <f>585336</f>
        <v>585336</v>
      </c>
      <c r="DR34">
        <f>642495</f>
        <v>642495</v>
      </c>
      <c r="DS34">
        <f>497778</f>
        <v>497778</v>
      </c>
      <c r="DT34">
        <f>475359</f>
        <v>475359</v>
      </c>
      <c r="DU34">
        <f>614063</f>
        <v>614063</v>
      </c>
    </row>
    <row r="35" spans="1:125" x14ac:dyDescent="0.25">
      <c r="A35" t="str">
        <f>"            Luxembourg"</f>
        <v xml:space="preserve">            Luxembourg</v>
      </c>
      <c r="B35" t="str">
        <f>"WCARLUI Index"</f>
        <v>WCARLUI Index</v>
      </c>
      <c r="C35" t="str">
        <f t="shared" si="3"/>
        <v>PX385</v>
      </c>
      <c r="D35" t="str">
        <f t="shared" si="4"/>
        <v>INTERVAL_SUM</v>
      </c>
      <c r="E35" t="str">
        <f t="shared" si="5"/>
        <v>Dynamic</v>
      </c>
      <c r="F35">
        <f ca="1">IF(AND(ISNUMBER($F$187),$B$156=1),$F$187,HLOOKUP(INDIRECT(ADDRESS(2,COLUMN())),OFFSET($BN$2,0,0,ROW()-1,60),ROW()-1,FALSE))</f>
        <v>4205</v>
      </c>
      <c r="G35">
        <f ca="1">IF(AND(ISNUMBER($G$187),$B$156=1),$G$187,HLOOKUP(INDIRECT(ADDRESS(2,COLUMN())),OFFSET($BN$2,0,0,ROW()-1,60),ROW()-1,FALSE))</f>
        <v>10442</v>
      </c>
      <c r="H35">
        <f ca="1">IF(AND(ISNUMBER($H$187),$B$156=1),$H$187,HLOOKUP(INDIRECT(ADDRESS(2,COLUMN())),OFFSET($BN$2,0,0,ROW()-1,60),ROW()-1,FALSE))</f>
        <v>11714</v>
      </c>
      <c r="I35">
        <f ca="1">IF(AND(ISNUMBER($I$187),$B$156=1),$I$187,HLOOKUP(INDIRECT(ADDRESS(2,COLUMN())),OFFSET($BN$2,0,0,ROW()-1,60),ROW()-1,FALSE))</f>
        <v>16359</v>
      </c>
      <c r="J35">
        <f ca="1">IF(AND(ISNUMBER($J$187),$B$156=1),$J$187,HLOOKUP(INDIRECT(ADDRESS(2,COLUMN())),OFFSET($BN$2,0,0,ROW()-1,60),ROW()-1,FALSE))</f>
        <v>14296</v>
      </c>
      <c r="K35">
        <f ca="1">IF(AND(ISNUMBER($K$187),$B$156=1),$K$187,HLOOKUP(INDIRECT(ADDRESS(2,COLUMN())),OFFSET($BN$2,0,0,ROW()-1,60),ROW()-1,FALSE))</f>
        <v>11903</v>
      </c>
      <c r="L35">
        <f ca="1">IF(AND(ISNUMBER($L$187),$B$156=1),$L$187,HLOOKUP(INDIRECT(ADDRESS(2,COLUMN())),OFFSET($BN$2,0,0,ROW()-1,60),ROW()-1,FALSE))</f>
        <v>11926</v>
      </c>
      <c r="M35">
        <f ca="1">IF(AND(ISNUMBER($M$187),$B$156=1),$M$187,HLOOKUP(INDIRECT(ADDRESS(2,COLUMN())),OFFSET($BN$2,0,0,ROW()-1,60),ROW()-1,FALSE))</f>
        <v>15605</v>
      </c>
      <c r="N35">
        <f ca="1">IF(AND(ISNUMBER($N$187),$B$156=1),$N$187,HLOOKUP(INDIRECT(ADDRESS(2,COLUMN())),OFFSET($BN$2,0,0,ROW()-1,60),ROW()-1,FALSE))</f>
        <v>13341</v>
      </c>
      <c r="O35">
        <f ca="1">IF(AND(ISNUMBER($O$187),$B$156=1),$O$187,HLOOKUP(INDIRECT(ADDRESS(2,COLUMN())),OFFSET($BN$2,0,0,ROW()-1,60),ROW()-1,FALSE))</f>
        <v>11178</v>
      </c>
      <c r="P35">
        <f ca="1">IF(AND(ISNUMBER($P$187),$B$156=1),$P$187,HLOOKUP(INDIRECT(ADDRESS(2,COLUMN())),OFFSET($BN$2,0,0,ROW()-1,60),ROW()-1,FALSE))</f>
        <v>11068</v>
      </c>
      <c r="Q35">
        <f ca="1">IF(AND(ISNUMBER($Q$187),$B$156=1),$Q$187,HLOOKUP(INDIRECT(ADDRESS(2,COLUMN())),OFFSET($BN$2,0,0,ROW()-1,60),ROW()-1,FALSE))</f>
        <v>15350</v>
      </c>
      <c r="R35">
        <f ca="1">IF(AND(ISNUMBER($R$187),$B$156=1),$R$187,HLOOKUP(INDIRECT(ADDRESS(2,COLUMN())),OFFSET($BN$2,0,0,ROW()-1,60),ROW()-1,FALSE))</f>
        <v>12965</v>
      </c>
      <c r="S35">
        <f ca="1">IF(AND(ISNUMBER($S$187),$B$156=1),$S$187,HLOOKUP(INDIRECT(ADDRESS(2,COLUMN())),OFFSET($BN$2,0,0,ROW()-1,60),ROW()-1,FALSE))</f>
        <v>10446</v>
      </c>
      <c r="T35">
        <f ca="1">IF(AND(ISNUMBER($T$187),$B$156=1),$T$187,HLOOKUP(INDIRECT(ADDRESS(2,COLUMN())),OFFSET($BN$2,0,0,ROW()-1,60),ROW()-1,FALSE))</f>
        <v>10346</v>
      </c>
      <c r="U35">
        <f ca="1">IF(AND(ISNUMBER($U$187),$B$156=1),$U$187,HLOOKUP(INDIRECT(ADDRESS(2,COLUMN())),OFFSET($BN$2,0,0,ROW()-1,60),ROW()-1,FALSE))</f>
        <v>13825</v>
      </c>
      <c r="V35">
        <f ca="1">IF(AND(ISNUMBER($V$187),$B$156=1),$V$187,HLOOKUP(INDIRECT(ADDRESS(2,COLUMN())),OFFSET($BN$2,0,0,ROW()-1,60),ROW()-1,FALSE))</f>
        <v>11856</v>
      </c>
      <c r="W35">
        <f ca="1">IF(AND(ISNUMBER($W$187),$B$156=1),$W$187,HLOOKUP(INDIRECT(ADDRESS(2,COLUMN())),OFFSET($BN$2,0,0,ROW()-1,60),ROW()-1,FALSE))</f>
        <v>11646</v>
      </c>
      <c r="X35">
        <f ca="1">IF(AND(ISNUMBER($X$187),$B$156=1),$X$187,HLOOKUP(INDIRECT(ADDRESS(2,COLUMN())),OFFSET($BN$2,0,0,ROW()-1,60),ROW()-1,FALSE))</f>
        <v>11002</v>
      </c>
      <c r="Y35">
        <f ca="1">IF(AND(ISNUMBER($Y$187),$B$156=1),$Y$187,HLOOKUP(INDIRECT(ADDRESS(2,COLUMN())),OFFSET($BN$2,0,0,ROW()-1,60),ROW()-1,FALSE))</f>
        <v>14834</v>
      </c>
      <c r="Z35">
        <f ca="1">IF(AND(ISNUMBER($Z$187),$B$156=1),$Z$187,HLOOKUP(INDIRECT(ADDRESS(2,COLUMN())),OFFSET($BN$2,0,0,ROW()-1,60),ROW()-1,FALSE))</f>
        <v>12311</v>
      </c>
      <c r="AA35">
        <f ca="1">IF(AND(ISNUMBER($AA$187),$B$156=1),$AA$187,HLOOKUP(INDIRECT(ADDRESS(2,COLUMN())),OFFSET($BN$2,0,0,ROW()-1,60),ROW()-1,FALSE))</f>
        <v>10598</v>
      </c>
      <c r="AB35">
        <f ca="1">IF(AND(ISNUMBER($AB$187),$B$156=1),$AB$187,HLOOKUP(INDIRECT(ADDRESS(2,COLUMN())),OFFSET($BN$2,0,0,ROW()-1,60),ROW()-1,FALSE))</f>
        <v>9617</v>
      </c>
      <c r="AC35">
        <f ca="1">IF(AND(ISNUMBER($AC$187),$B$156=1),$AC$187,HLOOKUP(INDIRECT(ADDRESS(2,COLUMN())),OFFSET($BN$2,0,0,ROW()-1,60),ROW()-1,FALSE))</f>
        <v>14094</v>
      </c>
      <c r="AD35">
        <f ca="1">IF(AND(ISNUMBER($AD$187),$B$156=1),$AD$187,HLOOKUP(INDIRECT(ADDRESS(2,COLUMN())),OFFSET($BN$2,0,0,ROW()-1,60),ROW()-1,FALSE))</f>
        <v>12315</v>
      </c>
      <c r="AE35">
        <f ca="1">IF(AND(ISNUMBER($AE$187),$B$156=1),$AE$187,HLOOKUP(INDIRECT(ADDRESS(2,COLUMN())),OFFSET($BN$2,0,0,ROW()-1,60),ROW()-1,FALSE))</f>
        <v>11308</v>
      </c>
      <c r="AF35">
        <f ca="1">IF(AND(ISNUMBER($AF$187),$B$156=1),$AF$187,HLOOKUP(INDIRECT(ADDRESS(2,COLUMN())),OFFSET($BN$2,0,0,ROW()-1,60),ROW()-1,FALSE))</f>
        <v>10434</v>
      </c>
      <c r="AG35">
        <f ca="1">IF(AND(ISNUMBER($AG$187),$B$156=1),$AG$187,HLOOKUP(INDIRECT(ADDRESS(2,COLUMN())),OFFSET($BN$2,0,0,ROW()-1,60),ROW()-1,FALSE))</f>
        <v>15145</v>
      </c>
      <c r="AH35">
        <f ca="1">IF(AND(ISNUMBER($AH$187),$B$156=1),$AH$187,HLOOKUP(INDIRECT(ADDRESS(2,COLUMN())),OFFSET($BN$2,0,0,ROW()-1,60),ROW()-1,FALSE))</f>
        <v>13511</v>
      </c>
      <c r="AI35">
        <f ca="1">IF(AND(ISNUMBER($AI$187),$B$156=1),$AI$187,HLOOKUP(INDIRECT(ADDRESS(2,COLUMN())),OFFSET($BN$2,0,0,ROW()-1,60),ROW()-1,FALSE))</f>
        <v>10272</v>
      </c>
      <c r="AJ35">
        <f ca="1">IF(AND(ISNUMBER($AJ$187),$B$156=1),$AJ$187,HLOOKUP(INDIRECT(ADDRESS(2,COLUMN())),OFFSET($BN$2,0,0,ROW()-1,60),ROW()-1,FALSE))</f>
        <v>11013</v>
      </c>
      <c r="AK35">
        <f ca="1">IF(AND(ISNUMBER($AK$187),$B$156=1),$AK$187,HLOOKUP(INDIRECT(ADDRESS(2,COLUMN())),OFFSET($BN$2,0,0,ROW()-1,60),ROW()-1,FALSE))</f>
        <v>15173</v>
      </c>
      <c r="AL35">
        <f ca="1">IF(AND(ISNUMBER($AL$187),$B$156=1),$AL$187,HLOOKUP(INDIRECT(ADDRESS(2,COLUMN())),OFFSET($BN$2,0,0,ROW()-1,60),ROW()-1,FALSE))</f>
        <v>13423</v>
      </c>
      <c r="AM35">
        <f ca="1">IF(AND(ISNUMBER($AM$187),$B$156=1),$AM$187,HLOOKUP(INDIRECT(ADDRESS(2,COLUMN())),OFFSET($BN$2,0,0,ROW()-1,60),ROW()-1,FALSE))</f>
        <v>9780</v>
      </c>
      <c r="AN35">
        <f ca="1">IF(AND(ISNUMBER($AN$187),$B$156=1),$AN$187,HLOOKUP(INDIRECT(ADDRESS(2,COLUMN())),OFFSET($BN$2,0,0,ROW()-1,60),ROW()-1,FALSE))</f>
        <v>10269</v>
      </c>
      <c r="AO35">
        <f ca="1">IF(AND(ISNUMBER($AO$187),$B$156=1),$AO$187,HLOOKUP(INDIRECT(ADDRESS(2,COLUMN())),OFFSET($BN$2,0,0,ROW()-1,60),ROW()-1,FALSE))</f>
        <v>16254</v>
      </c>
      <c r="AP35">
        <f ca="1">IF(AND(ISNUMBER($AP$187),$B$156=1),$AP$187,HLOOKUP(INDIRECT(ADDRESS(2,COLUMN())),OFFSET($BN$2,0,0,ROW()-1,60),ROW()-1,FALSE))</f>
        <v>13423</v>
      </c>
      <c r="AQ35">
        <f ca="1">IF(AND(ISNUMBER($AQ$187),$B$156=1),$AQ$187,HLOOKUP(INDIRECT(ADDRESS(2,COLUMN())),OFFSET($BN$2,0,0,ROW()-1,60),ROW()-1,FALSE))</f>
        <v>10403</v>
      </c>
      <c r="AR35">
        <f ca="1">IF(AND(ISNUMBER($AR$187),$B$156=1),$AR$187,HLOOKUP(INDIRECT(ADDRESS(2,COLUMN())),OFFSET($BN$2,0,0,ROW()-1,60),ROW()-1,FALSE))</f>
        <v>10390</v>
      </c>
      <c r="AS35">
        <f ca="1">IF(AND(ISNUMBER($AS$187),$B$156=1),$AS$187,HLOOKUP(INDIRECT(ADDRESS(2,COLUMN())),OFFSET($BN$2,0,0,ROW()-1,60),ROW()-1,FALSE))</f>
        <v>14382</v>
      </c>
      <c r="AT35">
        <f ca="1">IF(AND(ISNUMBER($AT$187),$B$156=1),$AT$187,HLOOKUP(INDIRECT(ADDRESS(2,COLUMN())),OFFSET($BN$2,0,0,ROW()-1,60),ROW()-1,FALSE))</f>
        <v>12090</v>
      </c>
      <c r="AU35">
        <f ca="1">IF(AND(ISNUMBER($AU$187),$B$156=1),$AU$187,HLOOKUP(INDIRECT(ADDRESS(2,COLUMN())),OFFSET($BN$2,0,0,ROW()-1,60),ROW()-1,FALSE))</f>
        <v>10675</v>
      </c>
      <c r="AV35">
        <f ca="1">IF(AND(ISNUMBER($AV$187),$B$156=1),$AV$187,HLOOKUP(INDIRECT(ADDRESS(2,COLUMN())),OFFSET($BN$2,0,0,ROW()-1,60),ROW()-1,FALSE))</f>
        <v>11782</v>
      </c>
      <c r="AW35">
        <f ca="1">IF(AND(ISNUMBER($AW$187),$B$156=1),$AW$187,HLOOKUP(INDIRECT(ADDRESS(2,COLUMN())),OFFSET($BN$2,0,0,ROW()-1,60),ROW()-1,FALSE))</f>
        <v>16413</v>
      </c>
      <c r="AX35">
        <f ca="1">IF(AND(ISNUMBER($AX$187),$B$156=1),$AX$187,HLOOKUP(INDIRECT(ADDRESS(2,COLUMN())),OFFSET($BN$2,0,0,ROW()-1,60),ROW()-1,FALSE))</f>
        <v>13489</v>
      </c>
      <c r="AY35">
        <f ca="1">IF(AND(ISNUMBER($AY$187),$B$156=1),$AY$187,HLOOKUP(INDIRECT(ADDRESS(2,COLUMN())),OFFSET($BN$2,0,0,ROW()-1,60),ROW()-1,FALSE))</f>
        <v>11437</v>
      </c>
      <c r="AZ35">
        <f ca="1">IF(AND(ISNUMBER($AZ$187),$B$156=1),$AZ$187,HLOOKUP(INDIRECT(ADDRESS(2,COLUMN())),OFFSET($BN$2,0,0,ROW()-1,60),ROW()-1,FALSE))</f>
        <v>10643</v>
      </c>
      <c r="BA35">
        <f ca="1">IF(AND(ISNUMBER($BA$187),$B$156=1),$BA$187,HLOOKUP(INDIRECT(ADDRESS(2,COLUMN())),OFFSET($BN$2,0,0,ROW()-1,60),ROW()-1,FALSE))</f>
        <v>14831</v>
      </c>
      <c r="BB35">
        <f ca="1">IF(AND(ISNUMBER($BB$187),$B$156=1),$BB$187,HLOOKUP(INDIRECT(ADDRESS(2,COLUMN())),OFFSET($BN$2,0,0,ROW()-1,60),ROW()-1,FALSE))</f>
        <v>14421</v>
      </c>
      <c r="BC35">
        <f ca="1">IF(AND(ISNUMBER($BC$187),$B$156=1),$BC$187,HLOOKUP(INDIRECT(ADDRESS(2,COLUMN())),OFFSET($BN$2,0,0,ROW()-1,60),ROW()-1,FALSE))</f>
        <v>10269</v>
      </c>
      <c r="BD35">
        <f ca="1">IF(AND(ISNUMBER($BD$187),$B$156=1),$BD$187,HLOOKUP(INDIRECT(ADDRESS(2,COLUMN())),OFFSET($BN$2,0,0,ROW()-1,60),ROW()-1,FALSE))</f>
        <v>10101</v>
      </c>
      <c r="BE35">
        <f ca="1">IF(AND(ISNUMBER($BE$187),$B$156=1),$BE$187,HLOOKUP(INDIRECT(ADDRESS(2,COLUMN())),OFFSET($BN$2,0,0,ROW()-1,60),ROW()-1,FALSE))</f>
        <v>16245</v>
      </c>
      <c r="BF35">
        <f ca="1">IF(AND(ISNUMBER($BF$187),$B$156=1),$BF$187,HLOOKUP(INDIRECT(ADDRESS(2,COLUMN())),OFFSET($BN$2,0,0,ROW()-1,60),ROW()-1,FALSE))</f>
        <v>14222</v>
      </c>
      <c r="BG35">
        <f ca="1">IF(AND(ISNUMBER($BG$187),$B$156=1),$BG$187,HLOOKUP(INDIRECT(ADDRESS(2,COLUMN())),OFFSET($BN$2,0,0,ROW()-1,60),ROW()-1,FALSE))</f>
        <v>9662</v>
      </c>
      <c r="BH35">
        <f ca="1">IF(AND(ISNUMBER($BH$187),$B$156=1),$BH$187,HLOOKUP(INDIRECT(ADDRESS(2,COLUMN())),OFFSET($BN$2,0,0,ROW()-1,60),ROW()-1,FALSE))</f>
        <v>10184</v>
      </c>
      <c r="BI35">
        <f ca="1">IF(AND(ISNUMBER($BI$187),$B$156=1),$BI$187,HLOOKUP(INDIRECT(ADDRESS(2,COLUMN())),OFFSET($BN$2,0,0,ROW()-1,60),ROW()-1,FALSE))</f>
        <v>14059</v>
      </c>
      <c r="BJ35">
        <f ca="1">IF(AND(ISNUMBER($BJ$187),$B$156=1),$BJ$187,HLOOKUP(INDIRECT(ADDRESS(2,COLUMN())),OFFSET($BN$2,0,0,ROW()-1,60),ROW()-1,FALSE))</f>
        <v>14612</v>
      </c>
      <c r="BK35">
        <f ca="1">IF(AND(ISNUMBER($BK$187),$B$156=1),$BK$187,HLOOKUP(INDIRECT(ADDRESS(2,COLUMN())),OFFSET($BN$2,0,0,ROW()-1,60),ROW()-1,FALSE))</f>
        <v>10021</v>
      </c>
      <c r="BL35">
        <f ca="1">IF(AND(ISNUMBER($BL$187),$B$156=1),$BL$187,HLOOKUP(INDIRECT(ADDRESS(2,COLUMN())),OFFSET($BN$2,0,0,ROW()-1,60),ROW()-1,FALSE))</f>
        <v>9742</v>
      </c>
      <c r="BM35">
        <f ca="1">IF(AND(ISNUMBER($BM$187),$B$156=1),$BM$187,HLOOKUP(INDIRECT(ADDRESS(2,COLUMN())),OFFSET($BN$2,0,0,ROW()-1,60),ROW()-1,FALSE))</f>
        <v>14538</v>
      </c>
      <c r="BN35">
        <f>4205</f>
        <v>4205</v>
      </c>
      <c r="BO35">
        <f>10442</f>
        <v>10442</v>
      </c>
      <c r="BP35">
        <f>11714</f>
        <v>11714</v>
      </c>
      <c r="BQ35">
        <f>16359</f>
        <v>16359</v>
      </c>
      <c r="BR35">
        <f>14296</f>
        <v>14296</v>
      </c>
      <c r="BS35">
        <f>11903</f>
        <v>11903</v>
      </c>
      <c r="BT35">
        <f>11926</f>
        <v>11926</v>
      </c>
      <c r="BU35">
        <f>15605</f>
        <v>15605</v>
      </c>
      <c r="BV35">
        <f>13341</f>
        <v>13341</v>
      </c>
      <c r="BW35">
        <f>11178</f>
        <v>11178</v>
      </c>
      <c r="BX35">
        <f>11068</f>
        <v>11068</v>
      </c>
      <c r="BY35">
        <f>15350</f>
        <v>15350</v>
      </c>
      <c r="BZ35">
        <f>12965</f>
        <v>12965</v>
      </c>
      <c r="CA35">
        <f>10446</f>
        <v>10446</v>
      </c>
      <c r="CB35">
        <f>10346</f>
        <v>10346</v>
      </c>
      <c r="CC35">
        <f>13825</f>
        <v>13825</v>
      </c>
      <c r="CD35">
        <f>11856</f>
        <v>11856</v>
      </c>
      <c r="CE35">
        <f>11646</f>
        <v>11646</v>
      </c>
      <c r="CF35">
        <f>11002</f>
        <v>11002</v>
      </c>
      <c r="CG35">
        <f>14834</f>
        <v>14834</v>
      </c>
      <c r="CH35">
        <f>12311</f>
        <v>12311</v>
      </c>
      <c r="CI35">
        <f>10598</f>
        <v>10598</v>
      </c>
      <c r="CJ35">
        <f>9617</f>
        <v>9617</v>
      </c>
      <c r="CK35">
        <f>14094</f>
        <v>14094</v>
      </c>
      <c r="CL35">
        <f>12315</f>
        <v>12315</v>
      </c>
      <c r="CM35">
        <f>11308</f>
        <v>11308</v>
      </c>
      <c r="CN35">
        <f>10434</f>
        <v>10434</v>
      </c>
      <c r="CO35">
        <f>15145</f>
        <v>15145</v>
      </c>
      <c r="CP35">
        <f>13511</f>
        <v>13511</v>
      </c>
      <c r="CQ35">
        <f>10272</f>
        <v>10272</v>
      </c>
      <c r="CR35">
        <f>11013</f>
        <v>11013</v>
      </c>
      <c r="CS35">
        <f>15173</f>
        <v>15173</v>
      </c>
      <c r="CT35">
        <f>13423</f>
        <v>13423</v>
      </c>
      <c r="CU35">
        <f>9780</f>
        <v>9780</v>
      </c>
      <c r="CV35">
        <f>10269</f>
        <v>10269</v>
      </c>
      <c r="CW35">
        <f>16254</f>
        <v>16254</v>
      </c>
      <c r="CX35">
        <f>13423</f>
        <v>13423</v>
      </c>
      <c r="CY35">
        <f>10403</f>
        <v>10403</v>
      </c>
      <c r="CZ35">
        <f>10390</f>
        <v>10390</v>
      </c>
      <c r="DA35">
        <f>14382</f>
        <v>14382</v>
      </c>
      <c r="DB35">
        <f>12090</f>
        <v>12090</v>
      </c>
      <c r="DC35">
        <f>10675</f>
        <v>10675</v>
      </c>
      <c r="DD35">
        <f>11782</f>
        <v>11782</v>
      </c>
      <c r="DE35">
        <f>16413</f>
        <v>16413</v>
      </c>
      <c r="DF35">
        <f>13489</f>
        <v>13489</v>
      </c>
      <c r="DG35">
        <f>11437</f>
        <v>11437</v>
      </c>
      <c r="DH35">
        <f>10643</f>
        <v>10643</v>
      </c>
      <c r="DI35">
        <f>14831</f>
        <v>14831</v>
      </c>
      <c r="DJ35">
        <f>14421</f>
        <v>14421</v>
      </c>
      <c r="DK35">
        <f>10269</f>
        <v>10269</v>
      </c>
      <c r="DL35">
        <f>10101</f>
        <v>10101</v>
      </c>
      <c r="DM35">
        <f>16245</f>
        <v>16245</v>
      </c>
      <c r="DN35">
        <f>14222</f>
        <v>14222</v>
      </c>
      <c r="DO35">
        <f>9662</f>
        <v>9662</v>
      </c>
      <c r="DP35">
        <f>10184</f>
        <v>10184</v>
      </c>
      <c r="DQ35">
        <f>14059</f>
        <v>14059</v>
      </c>
      <c r="DR35">
        <f>14612</f>
        <v>14612</v>
      </c>
      <c r="DS35">
        <f>10021</f>
        <v>10021</v>
      </c>
      <c r="DT35">
        <f>9742</f>
        <v>9742</v>
      </c>
      <c r="DU35">
        <f>14538</f>
        <v>14538</v>
      </c>
    </row>
    <row r="36" spans="1:125" x14ac:dyDescent="0.25">
      <c r="A36" t="str">
        <f>"            Netherlands"</f>
        <v xml:space="preserve">            Netherlands</v>
      </c>
      <c r="B36" t="str">
        <f>"WCARNLI Index"</f>
        <v>WCARNLI Index</v>
      </c>
      <c r="C36" t="str">
        <f t="shared" si="3"/>
        <v>PX385</v>
      </c>
      <c r="D36" t="str">
        <f t="shared" si="4"/>
        <v>INTERVAL_SUM</v>
      </c>
      <c r="E36" t="str">
        <f t="shared" si="5"/>
        <v>Dynamic</v>
      </c>
      <c r="F36">
        <f ca="1">IF(AND(ISNUMBER($F$188),$B$156=1),$F$188,HLOOKUP(INDIRECT(ADDRESS(2,COLUMN())),OFFSET($BN$2,0,0,ROW()-1,60),ROW()-1,FALSE))</f>
        <v>47701</v>
      </c>
      <c r="G36">
        <f ca="1">IF(AND(ISNUMBER($G$188),$B$156=1),$G$188,HLOOKUP(INDIRECT(ADDRESS(2,COLUMN())),OFFSET($BN$2,0,0,ROW()-1,60),ROW()-1,FALSE))</f>
        <v>84892</v>
      </c>
      <c r="H36">
        <f ca="1">IF(AND(ISNUMBER($H$188),$B$156=1),$H$188,HLOOKUP(INDIRECT(ADDRESS(2,COLUMN())),OFFSET($BN$2,0,0,ROW()-1,60),ROW()-1,FALSE))</f>
        <v>107145</v>
      </c>
      <c r="I36">
        <f ca="1">IF(AND(ISNUMBER($I$188),$B$156=1),$I$188,HLOOKUP(INDIRECT(ADDRESS(2,COLUMN())),OFFSET($BN$2,0,0,ROW()-1,60),ROW()-1,FALSE))</f>
        <v>118359</v>
      </c>
      <c r="J36">
        <f ca="1">IF(AND(ISNUMBER($J$188),$B$156=1),$J$188,HLOOKUP(INDIRECT(ADDRESS(2,COLUMN())),OFFSET($BN$2,0,0,ROW()-1,60),ROW()-1,FALSE))</f>
        <v>136349</v>
      </c>
      <c r="K36">
        <f ca="1">IF(AND(ISNUMBER($K$188),$B$156=1),$K$188,HLOOKUP(INDIRECT(ADDRESS(2,COLUMN())),OFFSET($BN$2,0,0,ROW()-1,60),ROW()-1,FALSE))</f>
        <v>91377</v>
      </c>
      <c r="L36">
        <f ca="1">IF(AND(ISNUMBER($L$188),$B$156=1),$L$188,HLOOKUP(INDIRECT(ADDRESS(2,COLUMN())),OFFSET($BN$2,0,0,ROW()-1,60),ROW()-1,FALSE))</f>
        <v>96956</v>
      </c>
      <c r="M36">
        <f ca="1">IF(AND(ISNUMBER($M$188),$B$156=1),$M$188,HLOOKUP(INDIRECT(ADDRESS(2,COLUMN())),OFFSET($BN$2,0,0,ROW()-1,60),ROW()-1,FALSE))</f>
        <v>106278</v>
      </c>
      <c r="N36">
        <f ca="1">IF(AND(ISNUMBER($N$188),$B$156=1),$N$188,HLOOKUP(INDIRECT(ADDRESS(2,COLUMN())),OFFSET($BN$2,0,0,ROW()-1,60),ROW()-1,FALSE))</f>
        <v>119697</v>
      </c>
      <c r="O36">
        <f ca="1">IF(AND(ISNUMBER($O$188),$B$156=1),$O$188,HLOOKUP(INDIRECT(ADDRESS(2,COLUMN())),OFFSET($BN$2,0,0,ROW()-1,60),ROW()-1,FALSE))</f>
        <v>96771</v>
      </c>
      <c r="P36">
        <f ca="1">IF(AND(ISNUMBER($P$188),$B$156=1),$P$188,HLOOKUP(INDIRECT(ADDRESS(2,COLUMN())),OFFSET($BN$2,0,0,ROW()-1,60),ROW()-1,FALSE))</f>
        <v>91199</v>
      </c>
      <c r="Q36">
        <f ca="1">IF(AND(ISNUMBER($Q$188),$B$156=1),$Q$188,HLOOKUP(INDIRECT(ADDRESS(2,COLUMN())),OFFSET($BN$2,0,0,ROW()-1,60),ROW()-1,FALSE))</f>
        <v>95650</v>
      </c>
      <c r="R36">
        <f ca="1">IF(AND(ISNUMBER($R$188),$B$156=1),$R$188,HLOOKUP(INDIRECT(ADDRESS(2,COLUMN())),OFFSET($BN$2,0,0,ROW()-1,60),ROW()-1,FALSE))</f>
        <v>98265</v>
      </c>
      <c r="S36">
        <f ca="1">IF(AND(ISNUMBER($S$188),$B$156=1),$S$188,HLOOKUP(INDIRECT(ADDRESS(2,COLUMN())),OFFSET($BN$2,0,0,ROW()-1,60),ROW()-1,FALSE))</f>
        <v>148681</v>
      </c>
      <c r="T36">
        <f ca="1">IF(AND(ISNUMBER($T$188),$B$156=1),$T$188,HLOOKUP(INDIRECT(ADDRESS(2,COLUMN())),OFFSET($BN$2,0,0,ROW()-1,60),ROW()-1,FALSE))</f>
        <v>100410</v>
      </c>
      <c r="U36">
        <f ca="1">IF(AND(ISNUMBER($U$188),$B$156=1),$U$188,HLOOKUP(INDIRECT(ADDRESS(2,COLUMN())),OFFSET($BN$2,0,0,ROW()-1,60),ROW()-1,FALSE))</f>
        <v>92196</v>
      </c>
      <c r="V36">
        <f ca="1">IF(AND(ISNUMBER($V$188),$B$156=1),$V$188,HLOOKUP(INDIRECT(ADDRESS(2,COLUMN())),OFFSET($BN$2,0,0,ROW()-1,60),ROW()-1,FALSE))</f>
        <v>110920</v>
      </c>
      <c r="W36">
        <f ca="1">IF(AND(ISNUMBER($W$188),$B$156=1),$W$188,HLOOKUP(INDIRECT(ADDRESS(2,COLUMN())),OFFSET($BN$2,0,0,ROW()-1,60),ROW()-1,FALSE))</f>
        <v>103518</v>
      </c>
      <c r="X36">
        <f ca="1">IF(AND(ISNUMBER($X$188),$B$156=1),$X$188,HLOOKUP(INDIRECT(ADDRESS(2,COLUMN())),OFFSET($BN$2,0,0,ROW()-1,60),ROW()-1,FALSE))</f>
        <v>85093</v>
      </c>
      <c r="Y36">
        <f ca="1">IF(AND(ISNUMBER($Y$188),$B$156=1),$Y$188,HLOOKUP(INDIRECT(ADDRESS(2,COLUMN())),OFFSET($BN$2,0,0,ROW()-1,60),ROW()-1,FALSE))</f>
        <v>91923</v>
      </c>
      <c r="Z36">
        <f ca="1">IF(AND(ISNUMBER($Z$188),$B$156=1),$Z$188,HLOOKUP(INDIRECT(ADDRESS(2,COLUMN())),OFFSET($BN$2,0,0,ROW()-1,60),ROW()-1,FALSE))</f>
        <v>107031</v>
      </c>
      <c r="AA36">
        <f ca="1">IF(AND(ISNUMBER($AA$188),$B$156=1),$AA$188,HLOOKUP(INDIRECT(ADDRESS(2,COLUMN())),OFFSET($BN$2,0,0,ROW()-1,60),ROW()-1,FALSE))</f>
        <v>116597</v>
      </c>
      <c r="AB36">
        <f ca="1">IF(AND(ISNUMBER($AB$188),$B$156=1),$AB$188,HLOOKUP(INDIRECT(ADDRESS(2,COLUMN())),OFFSET($BN$2,0,0,ROW()-1,60),ROW()-1,FALSE))</f>
        <v>90793</v>
      </c>
      <c r="AC36">
        <f ca="1">IF(AND(ISNUMBER($AC$188),$B$156=1),$AC$188,HLOOKUP(INDIRECT(ADDRESS(2,COLUMN())),OFFSET($BN$2,0,0,ROW()-1,60),ROW()-1,FALSE))</f>
        <v>95732</v>
      </c>
      <c r="AD36">
        <f ca="1">IF(AND(ISNUMBER($AD$188),$B$156=1),$AD$188,HLOOKUP(INDIRECT(ADDRESS(2,COLUMN())),OFFSET($BN$2,0,0,ROW()-1,60),ROW()-1,FALSE))</f>
        <v>116335</v>
      </c>
      <c r="AE36">
        <f ca="1">IF(AND(ISNUMBER($AE$188),$B$156=1),$AE$188,HLOOKUP(INDIRECT(ADDRESS(2,COLUMN())),OFFSET($BN$2,0,0,ROW()-1,60),ROW()-1,FALSE))</f>
        <v>75257</v>
      </c>
      <c r="AF36">
        <f ca="1">IF(AND(ISNUMBER($AF$188),$B$156=1),$AF$188,HLOOKUP(INDIRECT(ADDRESS(2,COLUMN())),OFFSET($BN$2,0,0,ROW()-1,60),ROW()-1,FALSE))</f>
        <v>95864</v>
      </c>
      <c r="AG36">
        <f ca="1">IF(AND(ISNUMBER($AG$188),$B$156=1),$AG$188,HLOOKUP(INDIRECT(ADDRESS(2,COLUMN())),OFFSET($BN$2,0,0,ROW()-1,60),ROW()-1,FALSE))</f>
        <v>164908</v>
      </c>
      <c r="AH36">
        <f ca="1">IF(AND(ISNUMBER($AH$188),$B$156=1),$AH$188,HLOOKUP(INDIRECT(ADDRESS(2,COLUMN())),OFFSET($BN$2,0,0,ROW()-1,60),ROW()-1,FALSE))</f>
        <v>166450</v>
      </c>
      <c r="AI36">
        <f ca="1">IF(AND(ISNUMBER($AI$188),$B$156=1),$AI$188,HLOOKUP(INDIRECT(ADDRESS(2,COLUMN())),OFFSET($BN$2,0,0,ROW()-1,60),ROW()-1,FALSE))</f>
        <v>102685</v>
      </c>
      <c r="AJ36">
        <f ca="1">IF(AND(ISNUMBER($AJ$188),$B$156=1),$AJ$188,HLOOKUP(INDIRECT(ADDRESS(2,COLUMN())),OFFSET($BN$2,0,0,ROW()-1,60),ROW()-1,FALSE))</f>
        <v>125798</v>
      </c>
      <c r="AK36">
        <f ca="1">IF(AND(ISNUMBER($AK$188),$B$156=1),$AK$188,HLOOKUP(INDIRECT(ADDRESS(2,COLUMN())),OFFSET($BN$2,0,0,ROW()-1,60),ROW()-1,FALSE))</f>
        <v>148652</v>
      </c>
      <c r="AL36">
        <f ca="1">IF(AND(ISNUMBER($AL$188),$B$156=1),$AL$188,HLOOKUP(INDIRECT(ADDRESS(2,COLUMN())),OFFSET($BN$2,0,0,ROW()-1,60),ROW()-1,FALSE))</f>
        <v>181278</v>
      </c>
      <c r="AM36">
        <f ca="1">IF(AND(ISNUMBER($AM$188),$B$156=1),$AM$188,HLOOKUP(INDIRECT(ADDRESS(2,COLUMN())),OFFSET($BN$2,0,0,ROW()-1,60),ROW()-1,FALSE))</f>
        <v>93263</v>
      </c>
      <c r="AN36">
        <f ca="1">IF(AND(ISNUMBER($AN$188),$B$156=1),$AN$188,HLOOKUP(INDIRECT(ADDRESS(2,COLUMN())),OFFSET($BN$2,0,0,ROW()-1,60),ROW()-1,FALSE))</f>
        <v>120903</v>
      </c>
      <c r="AO36">
        <f ca="1">IF(AND(ISNUMBER($AO$188),$B$156=1),$AO$188,HLOOKUP(INDIRECT(ADDRESS(2,COLUMN())),OFFSET($BN$2,0,0,ROW()-1,60),ROW()-1,FALSE))</f>
        <v>125860</v>
      </c>
      <c r="AP36">
        <f ca="1">IF(AND(ISNUMBER($AP$188),$B$156=1),$AP$188,HLOOKUP(INDIRECT(ADDRESS(2,COLUMN())),OFFSET($BN$2,0,0,ROW()-1,60),ROW()-1,FALSE))</f>
        <v>145901</v>
      </c>
      <c r="AQ36">
        <f ca="1">IF(AND(ISNUMBER($AQ$188),$B$156=1),$AQ$188,HLOOKUP(INDIRECT(ADDRESS(2,COLUMN())),OFFSET($BN$2,0,0,ROW()-1,60),ROW()-1,FALSE))</f>
        <v>70969</v>
      </c>
      <c r="AR36">
        <f ca="1">IF(AND(ISNUMBER($AR$188),$B$156=1),$AR$188,HLOOKUP(INDIRECT(ADDRESS(2,COLUMN())),OFFSET($BN$2,0,0,ROW()-1,60),ROW()-1,FALSE))</f>
        <v>94973</v>
      </c>
      <c r="AS36">
        <f ca="1">IF(AND(ISNUMBER($AS$188),$B$156=1),$AS$188,HLOOKUP(INDIRECT(ADDRESS(2,COLUMN())),OFFSET($BN$2,0,0,ROW()-1,60),ROW()-1,FALSE))</f>
        <v>96570</v>
      </c>
      <c r="AT36">
        <f ca="1">IF(AND(ISNUMBER($AT$188),$B$156=1),$AT$188,HLOOKUP(INDIRECT(ADDRESS(2,COLUMN())),OFFSET($BN$2,0,0,ROW()-1,60),ROW()-1,FALSE))</f>
        <v>124634</v>
      </c>
      <c r="AU36">
        <f ca="1">IF(AND(ISNUMBER($AU$188),$B$156=1),$AU$188,HLOOKUP(INDIRECT(ADDRESS(2,COLUMN())),OFFSET($BN$2,0,0,ROW()-1,60),ROW()-1,FALSE))</f>
        <v>78855</v>
      </c>
      <c r="AV36">
        <f ca="1">IF(AND(ISNUMBER($AV$188),$B$156=1),$AV$188,HLOOKUP(INDIRECT(ADDRESS(2,COLUMN())),OFFSET($BN$2,0,0,ROW()-1,60),ROW()-1,FALSE))</f>
        <v>120950</v>
      </c>
      <c r="AW36">
        <f ca="1">IF(AND(ISNUMBER($AW$188),$B$156=1),$AW$188,HLOOKUP(INDIRECT(ADDRESS(2,COLUMN())),OFFSET($BN$2,0,0,ROW()-1,60),ROW()-1,FALSE))</f>
        <v>136276</v>
      </c>
      <c r="AX36">
        <f ca="1">IF(AND(ISNUMBER($AX$188),$B$156=1),$AX$188,HLOOKUP(INDIRECT(ADDRESS(2,COLUMN())),OFFSET($BN$2,0,0,ROW()-1,60),ROW()-1,FALSE))</f>
        <v>163837</v>
      </c>
      <c r="AY36">
        <f ca="1">IF(AND(ISNUMBER($AY$188),$B$156=1),$AY$188,HLOOKUP(INDIRECT(ADDRESS(2,COLUMN())),OFFSET($BN$2,0,0,ROW()-1,60),ROW()-1,FALSE))</f>
        <v>89365</v>
      </c>
      <c r="AZ36">
        <f ca="1">IF(AND(ISNUMBER($AZ$188),$B$156=1),$AZ$188,HLOOKUP(INDIRECT(ADDRESS(2,COLUMN())),OFFSET($BN$2,0,0,ROW()-1,60),ROW()-1,FALSE))</f>
        <v>121069</v>
      </c>
      <c r="BA36">
        <f ca="1">IF(AND(ISNUMBER($BA$188),$B$156=1),$BA$188,HLOOKUP(INDIRECT(ADDRESS(2,COLUMN())),OFFSET($BN$2,0,0,ROW()-1,60),ROW()-1,FALSE))</f>
        <v>133735</v>
      </c>
      <c r="BB36">
        <f ca="1">IF(AND(ISNUMBER($BB$188),$B$156=1),$BB$188,HLOOKUP(INDIRECT(ADDRESS(2,COLUMN())),OFFSET($BN$2,0,0,ROW()-1,60),ROW()-1,FALSE))</f>
        <v>161369</v>
      </c>
      <c r="BC36">
        <f ca="1">IF(AND(ISNUMBER($BC$188),$B$156=1),$BC$188,HLOOKUP(INDIRECT(ADDRESS(2,COLUMN())),OFFSET($BN$2,0,0,ROW()-1,60),ROW()-1,FALSE))</f>
        <v>87062</v>
      </c>
      <c r="BD36">
        <f ca="1">IF(AND(ISNUMBER($BD$188),$B$156=1),$BD$188,HLOOKUP(INDIRECT(ADDRESS(2,COLUMN())),OFFSET($BN$2,0,0,ROW()-1,60),ROW()-1,FALSE))</f>
        <v>110050</v>
      </c>
      <c r="BE36">
        <f ca="1">IF(AND(ISNUMBER($BE$188),$B$156=1),$BE$188,HLOOKUP(INDIRECT(ADDRESS(2,COLUMN())),OFFSET($BN$2,0,0,ROW()-1,60),ROW()-1,FALSE))</f>
        <v>126830</v>
      </c>
      <c r="BF36">
        <f ca="1">IF(AND(ISNUMBER($BF$188),$B$156=1),$BF$188,HLOOKUP(INDIRECT(ADDRESS(2,COLUMN())),OFFSET($BN$2,0,0,ROW()-1,60),ROW()-1,FALSE))</f>
        <v>160028</v>
      </c>
      <c r="BG36">
        <f ca="1">IF(AND(ISNUMBER($BG$188),$B$156=1),$BG$188,HLOOKUP(INDIRECT(ADDRESS(2,COLUMN())),OFFSET($BN$2,0,0,ROW()-1,60),ROW()-1,FALSE))</f>
        <v>76897</v>
      </c>
      <c r="BH36">
        <f ca="1">IF(AND(ISNUMBER($BH$188),$B$156=1),$BH$188,HLOOKUP(INDIRECT(ADDRESS(2,COLUMN())),OFFSET($BN$2,0,0,ROW()-1,60),ROW()-1,FALSE))</f>
        <v>114389</v>
      </c>
      <c r="BI36">
        <f ca="1">IF(AND(ISNUMBER($BI$188),$B$156=1),$BI$188,HLOOKUP(INDIRECT(ADDRESS(2,COLUMN())),OFFSET($BN$2,0,0,ROW()-1,60),ROW()-1,FALSE))</f>
        <v>123173</v>
      </c>
      <c r="BJ36">
        <f ca="1">IF(AND(ISNUMBER($BJ$188),$B$156=1),$BJ$188,HLOOKUP(INDIRECT(ADDRESS(2,COLUMN())),OFFSET($BN$2,0,0,ROW()-1,60),ROW()-1,FALSE))</f>
        <v>150693</v>
      </c>
      <c r="BK36">
        <f ca="1">IF(AND(ISNUMBER($BK$188),$B$156=1),$BK$188,HLOOKUP(INDIRECT(ADDRESS(2,COLUMN())),OFFSET($BN$2,0,0,ROW()-1,60),ROW()-1,FALSE))</f>
        <v>86647</v>
      </c>
      <c r="BL36">
        <f ca="1">IF(AND(ISNUMBER($BL$188),$B$156=1),$BL$188,HLOOKUP(INDIRECT(ADDRESS(2,COLUMN())),OFFSET($BN$2,0,0,ROW()-1,60),ROW()-1,FALSE))</f>
        <v>111895</v>
      </c>
      <c r="BM36">
        <f ca="1">IF(AND(ISNUMBER($BM$188),$B$156=1),$BM$188,HLOOKUP(INDIRECT(ADDRESS(2,COLUMN())),OFFSET($BN$2,0,0,ROW()-1,60),ROW()-1,FALSE))</f>
        <v>129358</v>
      </c>
      <c r="BN36">
        <f>47701</f>
        <v>47701</v>
      </c>
      <c r="BO36">
        <f>84892</f>
        <v>84892</v>
      </c>
      <c r="BP36">
        <f>107145</f>
        <v>107145</v>
      </c>
      <c r="BQ36">
        <f>118359</f>
        <v>118359</v>
      </c>
      <c r="BR36">
        <f>136349</f>
        <v>136349</v>
      </c>
      <c r="BS36">
        <f>91377</f>
        <v>91377</v>
      </c>
      <c r="BT36">
        <f>96956</f>
        <v>96956</v>
      </c>
      <c r="BU36">
        <f>106278</f>
        <v>106278</v>
      </c>
      <c r="BV36">
        <f>119697</f>
        <v>119697</v>
      </c>
      <c r="BW36">
        <f>96771</f>
        <v>96771</v>
      </c>
      <c r="BX36">
        <f>91199</f>
        <v>91199</v>
      </c>
      <c r="BY36">
        <f>95650</f>
        <v>95650</v>
      </c>
      <c r="BZ36">
        <f>98265</f>
        <v>98265</v>
      </c>
      <c r="CA36">
        <f>148681</f>
        <v>148681</v>
      </c>
      <c r="CB36">
        <f>100410</f>
        <v>100410</v>
      </c>
      <c r="CC36">
        <f>92196</f>
        <v>92196</v>
      </c>
      <c r="CD36">
        <f>110920</f>
        <v>110920</v>
      </c>
      <c r="CE36">
        <f>103518</f>
        <v>103518</v>
      </c>
      <c r="CF36">
        <f>85093</f>
        <v>85093</v>
      </c>
      <c r="CG36">
        <f>91923</f>
        <v>91923</v>
      </c>
      <c r="CH36">
        <f>107031</f>
        <v>107031</v>
      </c>
      <c r="CI36">
        <f>116597</f>
        <v>116597</v>
      </c>
      <c r="CJ36">
        <f>90793</f>
        <v>90793</v>
      </c>
      <c r="CK36">
        <f>95732</f>
        <v>95732</v>
      </c>
      <c r="CL36">
        <f>116335</f>
        <v>116335</v>
      </c>
      <c r="CM36">
        <f>75257</f>
        <v>75257</v>
      </c>
      <c r="CN36">
        <f>95864</f>
        <v>95864</v>
      </c>
      <c r="CO36">
        <f>164908</f>
        <v>164908</v>
      </c>
      <c r="CP36">
        <f>166450</f>
        <v>166450</v>
      </c>
      <c r="CQ36">
        <f>102685</f>
        <v>102685</v>
      </c>
      <c r="CR36">
        <f>125798</f>
        <v>125798</v>
      </c>
      <c r="CS36">
        <f>148652</f>
        <v>148652</v>
      </c>
      <c r="CT36">
        <f>181278</f>
        <v>181278</v>
      </c>
      <c r="CU36">
        <f>93263</f>
        <v>93263</v>
      </c>
      <c r="CV36">
        <f>120903</f>
        <v>120903</v>
      </c>
      <c r="CW36">
        <f>125860</f>
        <v>125860</v>
      </c>
      <c r="CX36">
        <f>145901</f>
        <v>145901</v>
      </c>
      <c r="CY36">
        <f>70969</f>
        <v>70969</v>
      </c>
      <c r="CZ36">
        <f>94973</f>
        <v>94973</v>
      </c>
      <c r="DA36">
        <f>96570</f>
        <v>96570</v>
      </c>
      <c r="DB36">
        <f>124634</f>
        <v>124634</v>
      </c>
      <c r="DC36">
        <f>78855</f>
        <v>78855</v>
      </c>
      <c r="DD36">
        <f>120950</f>
        <v>120950</v>
      </c>
      <c r="DE36">
        <f>136276</f>
        <v>136276</v>
      </c>
      <c r="DF36">
        <f>163837</f>
        <v>163837</v>
      </c>
      <c r="DG36">
        <f>89365</f>
        <v>89365</v>
      </c>
      <c r="DH36">
        <f>121069</f>
        <v>121069</v>
      </c>
      <c r="DI36">
        <f>133735</f>
        <v>133735</v>
      </c>
      <c r="DJ36">
        <f>161369</f>
        <v>161369</v>
      </c>
      <c r="DK36">
        <f>87062</f>
        <v>87062</v>
      </c>
      <c r="DL36">
        <f>110050</f>
        <v>110050</v>
      </c>
      <c r="DM36">
        <f>126830</f>
        <v>126830</v>
      </c>
      <c r="DN36">
        <f>160028</f>
        <v>160028</v>
      </c>
      <c r="DO36">
        <f>76897</f>
        <v>76897</v>
      </c>
      <c r="DP36">
        <f>114389</f>
        <v>114389</v>
      </c>
      <c r="DQ36">
        <f>123173</f>
        <v>123173</v>
      </c>
      <c r="DR36">
        <f>150693</f>
        <v>150693</v>
      </c>
      <c r="DS36">
        <f>86647</f>
        <v>86647</v>
      </c>
      <c r="DT36">
        <f>111895</f>
        <v>111895</v>
      </c>
      <c r="DU36">
        <f>129358</f>
        <v>129358</v>
      </c>
    </row>
    <row r="37" spans="1:125" x14ac:dyDescent="0.25">
      <c r="A37" t="str">
        <f>"            Norway"</f>
        <v xml:space="preserve">            Norway</v>
      </c>
      <c r="B37" t="str">
        <f>"WCARNOI Index"</f>
        <v>WCARNOI Index</v>
      </c>
      <c r="C37" t="str">
        <f t="shared" si="3"/>
        <v>PX385</v>
      </c>
      <c r="D37" t="str">
        <f t="shared" si="4"/>
        <v>INTERVAL_SUM</v>
      </c>
      <c r="E37" t="str">
        <f t="shared" si="5"/>
        <v>Dynamic</v>
      </c>
      <c r="F37">
        <f ca="1">IF(AND(ISNUMBER($F$189),$B$156=1),$F$189,HLOOKUP(INDIRECT(ADDRESS(2,COLUMN())),OFFSET($BN$2,0,0,ROW()-1,60),ROW()-1,FALSE))</f>
        <v>9004</v>
      </c>
      <c r="G37">
        <f ca="1">IF(AND(ISNUMBER($G$189),$B$156=1),$G$189,HLOOKUP(INDIRECT(ADDRESS(2,COLUMN())),OFFSET($BN$2,0,0,ROW()-1,60),ROW()-1,FALSE))</f>
        <v>36429</v>
      </c>
      <c r="H37">
        <f ca="1">IF(AND(ISNUMBER($H$189),$B$156=1),$H$189,HLOOKUP(INDIRECT(ADDRESS(2,COLUMN())),OFFSET($BN$2,0,0,ROW()-1,60),ROW()-1,FALSE))</f>
        <v>34755</v>
      </c>
      <c r="I37">
        <f ca="1">IF(AND(ISNUMBER($I$189),$B$156=1),$I$189,HLOOKUP(INDIRECT(ADDRESS(2,COLUMN())),OFFSET($BN$2,0,0,ROW()-1,60),ROW()-1,FALSE))</f>
        <v>42946</v>
      </c>
      <c r="J37">
        <f ca="1">IF(AND(ISNUMBER($J$189),$B$156=1),$J$189,HLOOKUP(INDIRECT(ADDRESS(2,COLUMN())),OFFSET($BN$2,0,0,ROW()-1,60),ROW()-1,FALSE))</f>
        <v>33799</v>
      </c>
      <c r="K37">
        <f ca="1">IF(AND(ISNUMBER($K$189),$B$156=1),$K$189,HLOOKUP(INDIRECT(ADDRESS(2,COLUMN())),OFFSET($BN$2,0,0,ROW()-1,60),ROW()-1,FALSE))</f>
        <v>42292</v>
      </c>
      <c r="L37">
        <f ca="1">IF(AND(ISNUMBER($L$189),$B$156=1),$L$189,HLOOKUP(INDIRECT(ADDRESS(2,COLUMN())),OFFSET($BN$2,0,0,ROW()-1,60),ROW()-1,FALSE))</f>
        <v>38375</v>
      </c>
      <c r="M37">
        <f ca="1">IF(AND(ISNUMBER($M$189),$B$156=1),$M$189,HLOOKUP(INDIRECT(ADDRESS(2,COLUMN())),OFFSET($BN$2,0,0,ROW()-1,60),ROW()-1,FALSE))</f>
        <v>39742</v>
      </c>
      <c r="N37">
        <f ca="1">IF(AND(ISNUMBER($N$189),$B$156=1),$N$189,HLOOKUP(INDIRECT(ADDRESS(2,COLUMN())),OFFSET($BN$2,0,0,ROW()-1,60),ROW()-1,FALSE))</f>
        <v>38241</v>
      </c>
      <c r="O37">
        <f ca="1">IF(AND(ISNUMBER($O$189),$B$156=1),$O$189,HLOOKUP(INDIRECT(ADDRESS(2,COLUMN())),OFFSET($BN$2,0,0,ROW()-1,60),ROW()-1,FALSE))</f>
        <v>38728</v>
      </c>
      <c r="P37">
        <f ca="1">IF(AND(ISNUMBER($P$189),$B$156=1),$P$189,HLOOKUP(INDIRECT(ADDRESS(2,COLUMN())),OFFSET($BN$2,0,0,ROW()-1,60),ROW()-1,FALSE))</f>
        <v>38126</v>
      </c>
      <c r="Q37">
        <f ca="1">IF(AND(ISNUMBER($Q$189),$B$156=1),$Q$189,HLOOKUP(INDIRECT(ADDRESS(2,COLUMN())),OFFSET($BN$2,0,0,ROW()-1,60),ROW()-1,FALSE))</f>
        <v>40661</v>
      </c>
      <c r="R37">
        <f ca="1">IF(AND(ISNUMBER($R$189),$B$156=1),$R$189,HLOOKUP(INDIRECT(ADDRESS(2,COLUMN())),OFFSET($BN$2,0,0,ROW()-1,60),ROW()-1,FALSE))</f>
        <v>37088</v>
      </c>
      <c r="S37">
        <f ca="1">IF(AND(ISNUMBER($S$189),$B$156=1),$S$189,HLOOKUP(INDIRECT(ADDRESS(2,COLUMN())),OFFSET($BN$2,0,0,ROW()-1,60),ROW()-1,FALSE))</f>
        <v>38875</v>
      </c>
      <c r="T37">
        <f ca="1">IF(AND(ISNUMBER($T$189),$B$156=1),$T$189,HLOOKUP(INDIRECT(ADDRESS(2,COLUMN())),OFFSET($BN$2,0,0,ROW()-1,60),ROW()-1,FALSE))</f>
        <v>37419</v>
      </c>
      <c r="U37">
        <f ca="1">IF(AND(ISNUMBER($U$189),$B$156=1),$U$189,HLOOKUP(INDIRECT(ADDRESS(2,COLUMN())),OFFSET($BN$2,0,0,ROW()-1,60),ROW()-1,FALSE))</f>
        <v>39025</v>
      </c>
      <c r="V37">
        <f ca="1">IF(AND(ISNUMBER($V$189),$B$156=1),$V$189,HLOOKUP(INDIRECT(ADDRESS(2,COLUMN())),OFFSET($BN$2,0,0,ROW()-1,60),ROW()-1,FALSE))</f>
        <v>35367</v>
      </c>
      <c r="W37">
        <f ca="1">IF(AND(ISNUMBER($W$189),$B$156=1),$W$189,HLOOKUP(INDIRECT(ADDRESS(2,COLUMN())),OFFSET($BN$2,0,0,ROW()-1,60),ROW()-1,FALSE))</f>
        <v>37098</v>
      </c>
      <c r="X37">
        <f ca="1">IF(AND(ISNUMBER($X$189),$B$156=1),$X$189,HLOOKUP(INDIRECT(ADDRESS(2,COLUMN())),OFFSET($BN$2,0,0,ROW()-1,60),ROW()-1,FALSE))</f>
        <v>34719</v>
      </c>
      <c r="Y37">
        <f ca="1">IF(AND(ISNUMBER($Y$189),$B$156=1),$Y$189,HLOOKUP(INDIRECT(ADDRESS(2,COLUMN())),OFFSET($BN$2,0,0,ROW()-1,60),ROW()-1,FALSE))</f>
        <v>35893</v>
      </c>
      <c r="Z37">
        <f ca="1">IF(AND(ISNUMBER($Z$189),$B$156=1),$Z$189,HLOOKUP(INDIRECT(ADDRESS(2,COLUMN())),OFFSET($BN$2,0,0,ROW()-1,60),ROW()-1,FALSE))</f>
        <v>36492</v>
      </c>
      <c r="AA37">
        <f ca="1">IF(AND(ISNUMBER($AA$189),$B$156=1),$AA$189,HLOOKUP(INDIRECT(ADDRESS(2,COLUMN())),OFFSET($BN$2,0,0,ROW()-1,60),ROW()-1,FALSE))</f>
        <v>36367</v>
      </c>
      <c r="AB37">
        <f ca="1">IF(AND(ISNUMBER($AB$189),$B$156=1),$AB$189,HLOOKUP(INDIRECT(ADDRESS(2,COLUMN())),OFFSET($BN$2,0,0,ROW()-1,60),ROW()-1,FALSE))</f>
        <v>35140</v>
      </c>
      <c r="AC37">
        <f ca="1">IF(AND(ISNUMBER($AC$189),$B$156=1),$AC$189,HLOOKUP(INDIRECT(ADDRESS(2,COLUMN())),OFFSET($BN$2,0,0,ROW()-1,60),ROW()-1,FALSE))</f>
        <v>36948</v>
      </c>
      <c r="AD37">
        <f ca="1">IF(AND(ISNUMBER($AD$189),$B$156=1),$AD$189,HLOOKUP(INDIRECT(ADDRESS(2,COLUMN())),OFFSET($BN$2,0,0,ROW()-1,60),ROW()-1,FALSE))</f>
        <v>33696</v>
      </c>
      <c r="AE37">
        <f ca="1">IF(AND(ISNUMBER($AE$189),$B$156=1),$AE$189,HLOOKUP(INDIRECT(ADDRESS(2,COLUMN())),OFFSET($BN$2,0,0,ROW()-1,60),ROW()-1,FALSE))</f>
        <v>33768</v>
      </c>
      <c r="AF37">
        <f ca="1">IF(AND(ISNUMBER($AF$189),$B$156=1),$AF$189,HLOOKUP(INDIRECT(ADDRESS(2,COLUMN())),OFFSET($BN$2,0,0,ROW()-1,60),ROW()-1,FALSE))</f>
        <v>34844</v>
      </c>
      <c r="AG37">
        <f ca="1">IF(AND(ISNUMBER($AG$189),$B$156=1),$AG$189,HLOOKUP(INDIRECT(ADDRESS(2,COLUMN())),OFFSET($BN$2,0,0,ROW()-1,60),ROW()-1,FALSE))</f>
        <v>34541</v>
      </c>
      <c r="AH37">
        <f ca="1">IF(AND(ISNUMBER($AH$189),$B$156=1),$AH$189,HLOOKUP(INDIRECT(ADDRESS(2,COLUMN())),OFFSET($BN$2,0,0,ROW()-1,60),ROW()-1,FALSE))</f>
        <v>34814</v>
      </c>
      <c r="AI37">
        <f ca="1">IF(AND(ISNUMBER($AI$189),$B$156=1),$AI$189,HLOOKUP(INDIRECT(ADDRESS(2,COLUMN())),OFFSET($BN$2,0,0,ROW()-1,60),ROW()-1,FALSE))</f>
        <v>35450</v>
      </c>
      <c r="AJ37">
        <f ca="1">IF(AND(ISNUMBER($AJ$189),$B$156=1),$AJ$189,HLOOKUP(INDIRECT(ADDRESS(2,COLUMN())),OFFSET($BN$2,0,0,ROW()-1,60),ROW()-1,FALSE))</f>
        <v>34390</v>
      </c>
      <c r="AK37">
        <f ca="1">IF(AND(ISNUMBER($AK$189),$B$156=1),$AK$189,HLOOKUP(INDIRECT(ADDRESS(2,COLUMN())),OFFSET($BN$2,0,0,ROW()-1,60),ROW()-1,FALSE))</f>
        <v>34689</v>
      </c>
      <c r="AL37">
        <f ca="1">IF(AND(ISNUMBER($AL$189),$B$156=1),$AL$189,HLOOKUP(INDIRECT(ADDRESS(2,COLUMN())),OFFSET($BN$2,0,0,ROW()-1,60),ROW()-1,FALSE))</f>
        <v>33816</v>
      </c>
      <c r="AM37">
        <f ca="1">IF(AND(ISNUMBER($AM$189),$B$156=1),$AM$189,HLOOKUP(INDIRECT(ADDRESS(2,COLUMN())),OFFSET($BN$2,0,0,ROW()-1,60),ROW()-1,FALSE))</f>
        <v>32727</v>
      </c>
      <c r="AN37">
        <f ca="1">IF(AND(ISNUMBER($AN$189),$B$156=1),$AN$189,HLOOKUP(INDIRECT(ADDRESS(2,COLUMN())),OFFSET($BN$2,0,0,ROW()-1,60),ROW()-1,FALSE))</f>
        <v>33058</v>
      </c>
      <c r="AO37">
        <f ca="1">IF(AND(ISNUMBER($AO$189),$B$156=1),$AO$189,HLOOKUP(INDIRECT(ADDRESS(2,COLUMN())),OFFSET($BN$2,0,0,ROW()-1,60),ROW()-1,FALSE))</f>
        <v>31692</v>
      </c>
      <c r="AP37">
        <f ca="1">IF(AND(ISNUMBER($AP$189),$B$156=1),$AP$189,HLOOKUP(INDIRECT(ADDRESS(2,COLUMN())),OFFSET($BN$2,0,0,ROW()-1,60),ROW()-1,FALSE))</f>
        <v>30277</v>
      </c>
      <c r="AQ37">
        <f ca="1">IF(AND(ISNUMBER($AQ$189),$B$156=1),$AQ$189,HLOOKUP(INDIRECT(ADDRESS(2,COLUMN())),OFFSET($BN$2,0,0,ROW()-1,60),ROW()-1,FALSE))</f>
        <v>30037</v>
      </c>
      <c r="AR37">
        <f ca="1">IF(AND(ISNUMBER($AR$189),$B$156=1),$AR$189,HLOOKUP(INDIRECT(ADDRESS(2,COLUMN())),OFFSET($BN$2,0,0,ROW()-1,60),ROW()-1,FALSE))</f>
        <v>26891</v>
      </c>
      <c r="AS37">
        <f ca="1">IF(AND(ISNUMBER($AS$189),$B$156=1),$AS$189,HLOOKUP(INDIRECT(ADDRESS(2,COLUMN())),OFFSET($BN$2,0,0,ROW()-1,60),ROW()-1,FALSE))</f>
        <v>22506</v>
      </c>
      <c r="AT37">
        <f ca="1">IF(AND(ISNUMBER($AT$189),$B$156=1),$AT$189,HLOOKUP(INDIRECT(ADDRESS(2,COLUMN())),OFFSET($BN$2,0,0,ROW()-1,60),ROW()-1,FALSE))</f>
        <v>19241</v>
      </c>
      <c r="AU37">
        <f ca="1">IF(AND(ISNUMBER($AU$189),$B$156=1),$AU$189,HLOOKUP(INDIRECT(ADDRESS(2,COLUMN())),OFFSET($BN$2,0,0,ROW()-1,60),ROW()-1,FALSE))</f>
        <v>23161</v>
      </c>
      <c r="AV37">
        <f ca="1">IF(AND(ISNUMBER($AV$189),$B$156=1),$AV$189,HLOOKUP(INDIRECT(ADDRESS(2,COLUMN())),OFFSET($BN$2,0,0,ROW()-1,60),ROW()-1,FALSE))</f>
        <v>25891</v>
      </c>
      <c r="AW37">
        <f ca="1">IF(AND(ISNUMBER($AW$189),$B$156=1),$AW$189,HLOOKUP(INDIRECT(ADDRESS(2,COLUMN())),OFFSET($BN$2,0,0,ROW()-1,60),ROW()-1,FALSE))</f>
        <v>31591</v>
      </c>
      <c r="AX37">
        <f ca="1">IF(AND(ISNUMBER($AX$189),$B$156=1),$AX$189,HLOOKUP(INDIRECT(ADDRESS(2,COLUMN())),OFFSET($BN$2,0,0,ROW()-1,60),ROW()-1,FALSE))</f>
        <v>29974</v>
      </c>
      <c r="AY37">
        <f ca="1">IF(AND(ISNUMBER($AY$189),$B$156=1),$AY$189,HLOOKUP(INDIRECT(ADDRESS(2,COLUMN())),OFFSET($BN$2,0,0,ROW()-1,60),ROW()-1,FALSE))</f>
        <v>31321</v>
      </c>
      <c r="AZ37">
        <f ca="1">IF(AND(ISNUMBER($AZ$189),$B$156=1),$AZ$189,HLOOKUP(INDIRECT(ADDRESS(2,COLUMN())),OFFSET($BN$2,0,0,ROW()-1,60),ROW()-1,FALSE))</f>
        <v>32188</v>
      </c>
      <c r="BA37">
        <f ca="1">IF(AND(ISNUMBER($BA$189),$B$156=1),$BA$189,HLOOKUP(INDIRECT(ADDRESS(2,COLUMN())),OFFSET($BN$2,0,0,ROW()-1,60),ROW()-1,FALSE))</f>
        <v>31944</v>
      </c>
      <c r="BB37">
        <f ca="1">IF(AND(ISNUMBER($BB$189),$B$156=1),$BB$189,HLOOKUP(INDIRECT(ADDRESS(2,COLUMN())),OFFSET($BN$2,0,0,ROW()-1,60),ROW()-1,FALSE))</f>
        <v>33742</v>
      </c>
      <c r="BC37">
        <f ca="1">IF(AND(ISNUMBER($BC$189),$B$156=1),$BC$189,HLOOKUP(INDIRECT(ADDRESS(2,COLUMN())),OFFSET($BN$2,0,0,ROW()-1,60),ROW()-1,FALSE))</f>
        <v>28450</v>
      </c>
      <c r="BD37">
        <f ca="1">IF(AND(ISNUMBER($BD$189),$B$156=1),$BD$189,HLOOKUP(INDIRECT(ADDRESS(2,COLUMN())),OFFSET($BN$2,0,0,ROW()-1,60),ROW()-1,FALSE))</f>
        <v>27789</v>
      </c>
      <c r="BE37">
        <f ca="1">IF(AND(ISNUMBER($BE$189),$B$156=1),$BE$189,HLOOKUP(INDIRECT(ADDRESS(2,COLUMN())),OFFSET($BN$2,0,0,ROW()-1,60),ROW()-1,FALSE))</f>
        <v>28303</v>
      </c>
      <c r="BF37">
        <f ca="1">IF(AND(ISNUMBER($BF$189),$B$156=1),$BF$189,HLOOKUP(INDIRECT(ADDRESS(2,COLUMN())),OFFSET($BN$2,0,0,ROW()-1,60),ROW()-1,FALSE))</f>
        <v>24622</v>
      </c>
      <c r="BG37">
        <f ca="1">IF(AND(ISNUMBER($BG$189),$B$156=1),$BG$189,HLOOKUP(INDIRECT(ADDRESS(2,COLUMN())),OFFSET($BN$2,0,0,ROW()-1,60),ROW()-1,FALSE))</f>
        <v>28003</v>
      </c>
      <c r="BH37">
        <f ca="1">IF(AND(ISNUMBER($BH$189),$B$156=1),$BH$189,HLOOKUP(INDIRECT(ADDRESS(2,COLUMN())),OFFSET($BN$2,0,0,ROW()-1,60),ROW()-1,FALSE))</f>
        <v>27029</v>
      </c>
      <c r="BI37">
        <f ca="1">IF(AND(ISNUMBER($BI$189),$B$156=1),$BI$189,HLOOKUP(INDIRECT(ADDRESS(2,COLUMN())),OFFSET($BN$2,0,0,ROW()-1,60),ROW()-1,FALSE))</f>
        <v>29682</v>
      </c>
      <c r="BJ37">
        <f ca="1">IF(AND(ISNUMBER($BJ$189),$B$156=1),$BJ$189,HLOOKUP(INDIRECT(ADDRESS(2,COLUMN())),OFFSET($BN$2,0,0,ROW()-1,60),ROW()-1,FALSE))</f>
        <v>25193</v>
      </c>
      <c r="BK37">
        <f ca="1">IF(AND(ISNUMBER($BK$189),$B$156=1),$BK$189,HLOOKUP(INDIRECT(ADDRESS(2,COLUMN())),OFFSET($BN$2,0,0,ROW()-1,60),ROW()-1,FALSE))</f>
        <v>32862</v>
      </c>
      <c r="BL37">
        <f ca="1">IF(AND(ISNUMBER($BL$189),$B$156=1),$BL$189,HLOOKUP(INDIRECT(ADDRESS(2,COLUMN())),OFFSET($BN$2,0,0,ROW()-1,60),ROW()-1,FALSE))</f>
        <v>27466</v>
      </c>
      <c r="BM37">
        <f ca="1">IF(AND(ISNUMBER($BM$189),$B$156=1),$BM$189,HLOOKUP(INDIRECT(ADDRESS(2,COLUMN())),OFFSET($BN$2,0,0,ROW()-1,60),ROW()-1,FALSE))</f>
        <v>27828</v>
      </c>
      <c r="BN37">
        <f>9004</f>
        <v>9004</v>
      </c>
      <c r="BO37">
        <f>36429</f>
        <v>36429</v>
      </c>
      <c r="BP37">
        <f>34755</f>
        <v>34755</v>
      </c>
      <c r="BQ37">
        <f>42946</f>
        <v>42946</v>
      </c>
      <c r="BR37">
        <f>33799</f>
        <v>33799</v>
      </c>
      <c r="BS37">
        <f>42292</f>
        <v>42292</v>
      </c>
      <c r="BT37">
        <f>38375</f>
        <v>38375</v>
      </c>
      <c r="BU37">
        <f>39742</f>
        <v>39742</v>
      </c>
      <c r="BV37">
        <f>38241</f>
        <v>38241</v>
      </c>
      <c r="BW37">
        <f>38728</f>
        <v>38728</v>
      </c>
      <c r="BX37">
        <f>38126</f>
        <v>38126</v>
      </c>
      <c r="BY37">
        <f>40661</f>
        <v>40661</v>
      </c>
      <c r="BZ37">
        <f>37088</f>
        <v>37088</v>
      </c>
      <c r="CA37">
        <f>38875</f>
        <v>38875</v>
      </c>
      <c r="CB37">
        <f>37419</f>
        <v>37419</v>
      </c>
      <c r="CC37">
        <f>39025</f>
        <v>39025</v>
      </c>
      <c r="CD37">
        <f>35367</f>
        <v>35367</v>
      </c>
      <c r="CE37">
        <f>37098</f>
        <v>37098</v>
      </c>
      <c r="CF37">
        <f>34719</f>
        <v>34719</v>
      </c>
      <c r="CG37">
        <f>35893</f>
        <v>35893</v>
      </c>
      <c r="CH37">
        <f>36492</f>
        <v>36492</v>
      </c>
      <c r="CI37">
        <f>36367</f>
        <v>36367</v>
      </c>
      <c r="CJ37">
        <f>35140</f>
        <v>35140</v>
      </c>
      <c r="CK37">
        <f>36948</f>
        <v>36948</v>
      </c>
      <c r="CL37">
        <f>33696</f>
        <v>33696</v>
      </c>
      <c r="CM37">
        <f>33768</f>
        <v>33768</v>
      </c>
      <c r="CN37">
        <f>34844</f>
        <v>34844</v>
      </c>
      <c r="CO37">
        <f>34541</f>
        <v>34541</v>
      </c>
      <c r="CP37">
        <f>34814</f>
        <v>34814</v>
      </c>
      <c r="CQ37">
        <f>35450</f>
        <v>35450</v>
      </c>
      <c r="CR37">
        <f>34390</f>
        <v>34390</v>
      </c>
      <c r="CS37">
        <f>34689</f>
        <v>34689</v>
      </c>
      <c r="CT37">
        <f>33816</f>
        <v>33816</v>
      </c>
      <c r="CU37">
        <f>32727</f>
        <v>32727</v>
      </c>
      <c r="CV37">
        <f>33058</f>
        <v>33058</v>
      </c>
      <c r="CW37">
        <f>31692</f>
        <v>31692</v>
      </c>
      <c r="CX37">
        <f>30277</f>
        <v>30277</v>
      </c>
      <c r="CY37">
        <f>30037</f>
        <v>30037</v>
      </c>
      <c r="CZ37">
        <f>26891</f>
        <v>26891</v>
      </c>
      <c r="DA37">
        <f>22506</f>
        <v>22506</v>
      </c>
      <c r="DB37">
        <f>19241</f>
        <v>19241</v>
      </c>
      <c r="DC37">
        <f>23161</f>
        <v>23161</v>
      </c>
      <c r="DD37">
        <f>25891</f>
        <v>25891</v>
      </c>
      <c r="DE37">
        <f>31591</f>
        <v>31591</v>
      </c>
      <c r="DF37">
        <f>29974</f>
        <v>29974</v>
      </c>
      <c r="DG37">
        <f>31321</f>
        <v>31321</v>
      </c>
      <c r="DH37">
        <f>32188</f>
        <v>32188</v>
      </c>
      <c r="DI37">
        <f>31944</f>
        <v>31944</v>
      </c>
      <c r="DJ37">
        <f>33742</f>
        <v>33742</v>
      </c>
      <c r="DK37">
        <f>28450</f>
        <v>28450</v>
      </c>
      <c r="DL37">
        <f>27789</f>
        <v>27789</v>
      </c>
      <c r="DM37">
        <f>28303</f>
        <v>28303</v>
      </c>
      <c r="DN37">
        <f>24622</f>
        <v>24622</v>
      </c>
      <c r="DO37">
        <f>28003</f>
        <v>28003</v>
      </c>
      <c r="DP37">
        <f>27029</f>
        <v>27029</v>
      </c>
      <c r="DQ37">
        <f>29682</f>
        <v>29682</v>
      </c>
      <c r="DR37">
        <f>25193</f>
        <v>25193</v>
      </c>
      <c r="DS37">
        <f>32862</f>
        <v>32862</v>
      </c>
      <c r="DT37">
        <f>27466</f>
        <v>27466</v>
      </c>
      <c r="DU37">
        <f>27828</f>
        <v>27828</v>
      </c>
    </row>
    <row r="38" spans="1:125" x14ac:dyDescent="0.25">
      <c r="A38" t="str">
        <f>"            Portugal"</f>
        <v xml:space="preserve">            Portugal</v>
      </c>
      <c r="B38" t="str">
        <f>"WCARPTI Index"</f>
        <v>WCARPTI Index</v>
      </c>
      <c r="C38" t="str">
        <f t="shared" si="3"/>
        <v>PX385</v>
      </c>
      <c r="D38" t="str">
        <f t="shared" si="4"/>
        <v>INTERVAL_SUM</v>
      </c>
      <c r="E38" t="str">
        <f t="shared" si="5"/>
        <v>Dynamic</v>
      </c>
      <c r="F38">
        <f ca="1">IF(AND(ISNUMBER($F$190),$B$156=1),$F$190,HLOOKUP(INDIRECT(ADDRESS(2,COLUMN())),OFFSET($BN$2,0,0,ROW()-1,60),ROW()-1,FALSE))</f>
        <v>15684</v>
      </c>
      <c r="G38">
        <f ca="1">IF(AND(ISNUMBER($G$190),$B$156=1),$G$190,HLOOKUP(INDIRECT(ADDRESS(2,COLUMN())),OFFSET($BN$2,0,0,ROW()-1,60),ROW()-1,FALSE))</f>
        <v>45579</v>
      </c>
      <c r="H38">
        <f ca="1">IF(AND(ISNUMBER($H$190),$B$156=1),$H$190,HLOOKUP(INDIRECT(ADDRESS(2,COLUMN())),OFFSET($BN$2,0,0,ROW()-1,60),ROW()-1,FALSE))</f>
        <v>48013</v>
      </c>
      <c r="I38">
        <f ca="1">IF(AND(ISNUMBER($I$190),$B$156=1),$I$190,HLOOKUP(INDIRECT(ADDRESS(2,COLUMN())),OFFSET($BN$2,0,0,ROW()-1,60),ROW()-1,FALSE))</f>
        <v>71168</v>
      </c>
      <c r="J38">
        <f ca="1">IF(AND(ISNUMBER($J$190),$B$156=1),$J$190,HLOOKUP(INDIRECT(ADDRESS(2,COLUMN())),OFFSET($BN$2,0,0,ROW()-1,60),ROW()-1,FALSE))</f>
        <v>63078</v>
      </c>
      <c r="K38">
        <f ca="1">IF(AND(ISNUMBER($K$190),$B$156=1),$K$190,HLOOKUP(INDIRECT(ADDRESS(2,COLUMN())),OFFSET($BN$2,0,0,ROW()-1,60),ROW()-1,FALSE))</f>
        <v>50577</v>
      </c>
      <c r="L38">
        <f ca="1">IF(AND(ISNUMBER($L$190),$B$156=1),$L$190,HLOOKUP(INDIRECT(ADDRESS(2,COLUMN())),OFFSET($BN$2,0,0,ROW()-1,60),ROW()-1,FALSE))</f>
        <v>44366</v>
      </c>
      <c r="M38">
        <f ca="1">IF(AND(ISNUMBER($M$190),$B$156=1),$M$190,HLOOKUP(INDIRECT(ADDRESS(2,COLUMN())),OFFSET($BN$2,0,0,ROW()-1,60),ROW()-1,FALSE))</f>
        <v>67317</v>
      </c>
      <c r="N38">
        <f ca="1">IF(AND(ISNUMBER($N$190),$B$156=1),$N$190,HLOOKUP(INDIRECT(ADDRESS(2,COLUMN())),OFFSET($BN$2,0,0,ROW()-1,60),ROW()-1,FALSE))</f>
        <v>59869</v>
      </c>
      <c r="O38">
        <f ca="1">IF(AND(ISNUMBER($O$190),$B$156=1),$O$190,HLOOKUP(INDIRECT(ADDRESS(2,COLUMN())),OFFSET($BN$2,0,0,ROW()-1,60),ROW()-1,FALSE))</f>
        <v>48404</v>
      </c>
      <c r="P38">
        <f ca="1">IF(AND(ISNUMBER($P$190),$B$156=1),$P$190,HLOOKUP(INDIRECT(ADDRESS(2,COLUMN())),OFFSET($BN$2,0,0,ROW()-1,60),ROW()-1,FALSE))</f>
        <v>40300</v>
      </c>
      <c r="Q38">
        <f ca="1">IF(AND(ISNUMBER($Q$190),$B$156=1),$Q$190,HLOOKUP(INDIRECT(ADDRESS(2,COLUMN())),OFFSET($BN$2,0,0,ROW()-1,60),ROW()-1,FALSE))</f>
        <v>60198</v>
      </c>
      <c r="R38">
        <f ca="1">IF(AND(ISNUMBER($R$190),$B$156=1),$R$190,HLOOKUP(INDIRECT(ADDRESS(2,COLUMN())),OFFSET($BN$2,0,0,ROW()-1,60),ROW()-1,FALSE))</f>
        <v>58428</v>
      </c>
      <c r="S38">
        <f ca="1">IF(AND(ISNUMBER($S$190),$B$156=1),$S$190,HLOOKUP(INDIRECT(ADDRESS(2,COLUMN())),OFFSET($BN$2,0,0,ROW()-1,60),ROW()-1,FALSE))</f>
        <v>40165</v>
      </c>
      <c r="T38">
        <f ca="1">IF(AND(ISNUMBER($T$190),$B$156=1),$T$190,HLOOKUP(INDIRECT(ADDRESS(2,COLUMN())),OFFSET($BN$2,0,0,ROW()-1,60),ROW()-1,FALSE))</f>
        <v>37609</v>
      </c>
      <c r="U38">
        <f ca="1">IF(AND(ISNUMBER($U$190),$B$156=1),$U$190,HLOOKUP(INDIRECT(ADDRESS(2,COLUMN())),OFFSET($BN$2,0,0,ROW()-1,60),ROW()-1,FALSE))</f>
        <v>54424</v>
      </c>
      <c r="V38">
        <f ca="1">IF(AND(ISNUMBER($V$190),$B$156=1),$V$190,HLOOKUP(INDIRECT(ADDRESS(2,COLUMN())),OFFSET($BN$2,0,0,ROW()-1,60),ROW()-1,FALSE))</f>
        <v>46222</v>
      </c>
      <c r="W38">
        <f ca="1">IF(AND(ISNUMBER($W$190),$B$156=1),$W$190,HLOOKUP(INDIRECT(ADDRESS(2,COLUMN())),OFFSET($BN$2,0,0,ROW()-1,60),ROW()-1,FALSE))</f>
        <v>35418</v>
      </c>
      <c r="X38">
        <f ca="1">IF(AND(ISNUMBER($X$190),$B$156=1),$X$190,HLOOKUP(INDIRECT(ADDRESS(2,COLUMN())),OFFSET($BN$2,0,0,ROW()-1,60),ROW()-1,FALSE))</f>
        <v>31617</v>
      </c>
      <c r="Y38">
        <f ca="1">IF(AND(ISNUMBER($Y$190),$B$156=1),$Y$190,HLOOKUP(INDIRECT(ADDRESS(2,COLUMN())),OFFSET($BN$2,0,0,ROW()-1,60),ROW()-1,FALSE))</f>
        <v>41831</v>
      </c>
      <c r="Z38">
        <f ca="1">IF(AND(ISNUMBER($Z$190),$B$156=1),$Z$190,HLOOKUP(INDIRECT(ADDRESS(2,COLUMN())),OFFSET($BN$2,0,0,ROW()-1,60),ROW()-1,FALSE))</f>
        <v>33960</v>
      </c>
      <c r="AA38">
        <f ca="1">IF(AND(ISNUMBER($AA$190),$B$156=1),$AA$190,HLOOKUP(INDIRECT(ADDRESS(2,COLUMN())),OFFSET($BN$2,0,0,ROW()-1,60),ROW()-1,FALSE))</f>
        <v>26491</v>
      </c>
      <c r="AB38">
        <f ca="1">IF(AND(ISNUMBER($AB$190),$B$156=1),$AB$190,HLOOKUP(INDIRECT(ADDRESS(2,COLUMN())),OFFSET($BN$2,0,0,ROW()-1,60),ROW()-1,FALSE))</f>
        <v>24363</v>
      </c>
      <c r="AC38">
        <f ca="1">IF(AND(ISNUMBER($AC$190),$B$156=1),$AC$190,HLOOKUP(INDIRECT(ADDRESS(2,COLUMN())),OFFSET($BN$2,0,0,ROW()-1,60),ROW()-1,FALSE))</f>
        <v>30799</v>
      </c>
      <c r="AD38">
        <f ca="1">IF(AND(ISNUMBER($AD$190),$B$156=1),$AD$190,HLOOKUP(INDIRECT(ADDRESS(2,COLUMN())),OFFSET($BN$2,0,0,ROW()-1,60),ROW()-1,FALSE))</f>
        <v>24120</v>
      </c>
      <c r="AE38">
        <f ca="1">IF(AND(ISNUMBER($AE$190),$B$156=1),$AE$190,HLOOKUP(INDIRECT(ADDRESS(2,COLUMN())),OFFSET($BN$2,0,0,ROW()-1,60),ROW()-1,FALSE))</f>
        <v>20879</v>
      </c>
      <c r="AF38">
        <f ca="1">IF(AND(ISNUMBER($AF$190),$B$156=1),$AF$190,HLOOKUP(INDIRECT(ADDRESS(2,COLUMN())),OFFSET($BN$2,0,0,ROW()-1,60),ROW()-1,FALSE))</f>
        <v>21055</v>
      </c>
      <c r="AG38">
        <f ca="1">IF(AND(ISNUMBER($AG$190),$B$156=1),$AG$190,HLOOKUP(INDIRECT(ADDRESS(2,COLUMN())),OFFSET($BN$2,0,0,ROW()-1,60),ROW()-1,FALSE))</f>
        <v>29871</v>
      </c>
      <c r="AH38">
        <f ca="1">IF(AND(ISNUMBER($AH$190),$B$156=1),$AH$190,HLOOKUP(INDIRECT(ADDRESS(2,COLUMN())),OFFSET($BN$2,0,0,ROW()-1,60),ROW()-1,FALSE))</f>
        <v>23504</v>
      </c>
      <c r="AI38">
        <f ca="1">IF(AND(ISNUMBER($AI$190),$B$156=1),$AI$190,HLOOKUP(INDIRECT(ADDRESS(2,COLUMN())),OFFSET($BN$2,0,0,ROW()-1,60),ROW()-1,FALSE))</f>
        <v>29852</v>
      </c>
      <c r="AJ38">
        <f ca="1">IF(AND(ISNUMBER($AJ$190),$B$156=1),$AJ$190,HLOOKUP(INDIRECT(ADDRESS(2,COLUMN())),OFFSET($BN$2,0,0,ROW()-1,60),ROW()-1,FALSE))</f>
        <v>31620</v>
      </c>
      <c r="AK38">
        <f ca="1">IF(AND(ISNUMBER($AK$190),$B$156=1),$AK$190,HLOOKUP(INDIRECT(ADDRESS(2,COLUMN())),OFFSET($BN$2,0,0,ROW()-1,60),ROW()-1,FALSE))</f>
        <v>46290</v>
      </c>
      <c r="AL38">
        <f ca="1">IF(AND(ISNUMBER($AL$190),$B$156=1),$AL$190,HLOOKUP(INDIRECT(ADDRESS(2,COLUMN())),OFFSET($BN$2,0,0,ROW()-1,60),ROW()-1,FALSE))</f>
        <v>45561</v>
      </c>
      <c r="AM38">
        <f ca="1">IF(AND(ISNUMBER($AM$190),$B$156=1),$AM$190,HLOOKUP(INDIRECT(ADDRESS(2,COLUMN())),OFFSET($BN$2,0,0,ROW()-1,60),ROW()-1,FALSE))</f>
        <v>62068</v>
      </c>
      <c r="AN38">
        <f ca="1">IF(AND(ISNUMBER($AN$190),$B$156=1),$AN$190,HLOOKUP(INDIRECT(ADDRESS(2,COLUMN())),OFFSET($BN$2,0,0,ROW()-1,60),ROW()-1,FALSE))</f>
        <v>46145</v>
      </c>
      <c r="AO38">
        <f ca="1">IF(AND(ISNUMBER($AO$190),$B$156=1),$AO$190,HLOOKUP(INDIRECT(ADDRESS(2,COLUMN())),OFFSET($BN$2,0,0,ROW()-1,60),ROW()-1,FALSE))</f>
        <v>61463</v>
      </c>
      <c r="AP38">
        <f ca="1">IF(AND(ISNUMBER($AP$190),$B$156=1),$AP$190,HLOOKUP(INDIRECT(ADDRESS(2,COLUMN())),OFFSET($BN$2,0,0,ROW()-1,60),ROW()-1,FALSE))</f>
        <v>53765</v>
      </c>
      <c r="AQ38">
        <f ca="1">IF(AND(ISNUMBER($AQ$190),$B$156=1),$AQ$190,HLOOKUP(INDIRECT(ADDRESS(2,COLUMN())),OFFSET($BN$2,0,0,ROW()-1,60),ROW()-1,FALSE))</f>
        <v>48156</v>
      </c>
      <c r="AR38">
        <f ca="1">IF(AND(ISNUMBER($AR$190),$B$156=1),$AR$190,HLOOKUP(INDIRECT(ADDRESS(2,COLUMN())),OFFSET($BN$2,0,0,ROW()-1,60),ROW()-1,FALSE))</f>
        <v>39757</v>
      </c>
      <c r="AS38">
        <f ca="1">IF(AND(ISNUMBER($AS$190),$B$156=1),$AS$190,HLOOKUP(INDIRECT(ADDRESS(2,COLUMN())),OFFSET($BN$2,0,0,ROW()-1,60),ROW()-1,FALSE))</f>
        <v>41317</v>
      </c>
      <c r="AT38">
        <f ca="1">IF(AND(ISNUMBER($AT$190),$B$156=1),$AT$190,HLOOKUP(INDIRECT(ADDRESS(2,COLUMN())),OFFSET($BN$2,0,0,ROW()-1,60),ROW()-1,FALSE))</f>
        <v>31783</v>
      </c>
      <c r="AU38">
        <f ca="1">IF(AND(ISNUMBER($AU$190),$B$156=1),$AU$190,HLOOKUP(INDIRECT(ADDRESS(2,COLUMN())),OFFSET($BN$2,0,0,ROW()-1,60),ROW()-1,FALSE))</f>
        <v>51224</v>
      </c>
      <c r="AV38">
        <f ca="1">IF(AND(ISNUMBER($AV$190),$B$156=1),$AV$190,HLOOKUP(INDIRECT(ADDRESS(2,COLUMN())),OFFSET($BN$2,0,0,ROW()-1,60),ROW()-1,FALSE))</f>
        <v>47751</v>
      </c>
      <c r="AW38">
        <f ca="1">IF(AND(ISNUMBER($AW$190),$B$156=1),$AW$190,HLOOKUP(INDIRECT(ADDRESS(2,COLUMN())),OFFSET($BN$2,0,0,ROW()-1,60),ROW()-1,FALSE))</f>
        <v>59185</v>
      </c>
      <c r="AX38">
        <f ca="1">IF(AND(ISNUMBER($AX$190),$B$156=1),$AX$190,HLOOKUP(INDIRECT(ADDRESS(2,COLUMN())),OFFSET($BN$2,0,0,ROW()-1,60),ROW()-1,FALSE))</f>
        <v>55229</v>
      </c>
      <c r="AY38">
        <f ca="1">IF(AND(ISNUMBER($AY$190),$B$156=1),$AY$190,HLOOKUP(INDIRECT(ADDRESS(2,COLUMN())),OFFSET($BN$2,0,0,ROW()-1,60),ROW()-1,FALSE))</f>
        <v>46944</v>
      </c>
      <c r="AZ38">
        <f ca="1">IF(AND(ISNUMBER($AZ$190),$B$156=1),$AZ$190,HLOOKUP(INDIRECT(ADDRESS(2,COLUMN())),OFFSET($BN$2,0,0,ROW()-1,60),ROW()-1,FALSE))</f>
        <v>47334</v>
      </c>
      <c r="BA38">
        <f ca="1">IF(AND(ISNUMBER($BA$190),$B$156=1),$BA$190,HLOOKUP(INDIRECT(ADDRESS(2,COLUMN())),OFFSET($BN$2,0,0,ROW()-1,60),ROW()-1,FALSE))</f>
        <v>58090</v>
      </c>
      <c r="BB38">
        <f ca="1">IF(AND(ISNUMBER($BB$190),$B$156=1),$BB$190,HLOOKUP(INDIRECT(ADDRESS(2,COLUMN())),OFFSET($BN$2,0,0,ROW()-1,60),ROW()-1,FALSE))</f>
        <v>49448</v>
      </c>
      <c r="BC38">
        <f ca="1">IF(AND(ISNUMBER($BC$190),$B$156=1),$BC$190,HLOOKUP(INDIRECT(ADDRESS(2,COLUMN())),OFFSET($BN$2,0,0,ROW()-1,60),ROW()-1,FALSE))</f>
        <v>42544</v>
      </c>
      <c r="BD38">
        <f ca="1">IF(AND(ISNUMBER($BD$190),$B$156=1),$BD$190,HLOOKUP(INDIRECT(ADDRESS(2,COLUMN())),OFFSET($BN$2,0,0,ROW()-1,60),ROW()-1,FALSE))</f>
        <v>42496</v>
      </c>
      <c r="BE38">
        <f ca="1">IF(AND(ISNUMBER($BE$190),$B$156=1),$BE$190,HLOOKUP(INDIRECT(ADDRESS(2,COLUMN())),OFFSET($BN$2,0,0,ROW()-1,60),ROW()-1,FALSE))</f>
        <v>57699</v>
      </c>
      <c r="BF38">
        <f ca="1">IF(AND(ISNUMBER($BF$190),$B$156=1),$BF$190,HLOOKUP(INDIRECT(ADDRESS(2,COLUMN())),OFFSET($BN$2,0,0,ROW()-1,60),ROW()-1,FALSE))</f>
        <v>51963</v>
      </c>
      <c r="BG38">
        <f ca="1">IF(AND(ISNUMBER($BG$190),$B$156=1),$BG$190,HLOOKUP(INDIRECT(ADDRESS(2,COLUMN())),OFFSET($BN$2,0,0,ROW()-1,60),ROW()-1,FALSE))</f>
        <v>45812</v>
      </c>
      <c r="BH38">
        <f ca="1">IF(AND(ISNUMBER($BH$190),$B$156=1),$BH$190,HLOOKUP(INDIRECT(ADDRESS(2,COLUMN())),OFFSET($BN$2,0,0,ROW()-1,60),ROW()-1,FALSE))</f>
        <v>43930</v>
      </c>
      <c r="BI38">
        <f ca="1">IF(AND(ISNUMBER($BI$190),$B$156=1),$BI$190,HLOOKUP(INDIRECT(ADDRESS(2,COLUMN())),OFFSET($BN$2,0,0,ROW()-1,60),ROW()-1,FALSE))</f>
        <v>63563</v>
      </c>
      <c r="BJ38">
        <f ca="1">IF(AND(ISNUMBER($BJ$190),$B$156=1),$BJ$190,HLOOKUP(INDIRECT(ADDRESS(2,COLUMN())),OFFSET($BN$2,0,0,ROW()-1,60),ROW()-1,FALSE))</f>
        <v>53183</v>
      </c>
      <c r="BK38">
        <f ca="1">IF(AND(ISNUMBER($BK$190),$B$156=1),$BK$190,HLOOKUP(INDIRECT(ADDRESS(2,COLUMN())),OFFSET($BN$2,0,0,ROW()-1,60),ROW()-1,FALSE))</f>
        <v>46742</v>
      </c>
      <c r="BL38">
        <f ca="1">IF(AND(ISNUMBER($BL$190),$B$156=1),$BL$190,HLOOKUP(INDIRECT(ADDRESS(2,COLUMN())),OFFSET($BN$2,0,0,ROW()-1,60),ROW()-1,FALSE))</f>
        <v>44938</v>
      </c>
      <c r="BM38">
        <f ca="1">IF(AND(ISNUMBER($BM$190),$B$156=1),$BM$190,HLOOKUP(INDIRECT(ADDRESS(2,COLUMN())),OFFSET($BN$2,0,0,ROW()-1,60),ROW()-1,FALSE))</f>
        <v>55824</v>
      </c>
      <c r="BN38">
        <f>15684</f>
        <v>15684</v>
      </c>
      <c r="BO38">
        <f>45579</f>
        <v>45579</v>
      </c>
      <c r="BP38">
        <f>48013</f>
        <v>48013</v>
      </c>
      <c r="BQ38">
        <f>71168</f>
        <v>71168</v>
      </c>
      <c r="BR38">
        <f>63078</f>
        <v>63078</v>
      </c>
      <c r="BS38">
        <f>50577</f>
        <v>50577</v>
      </c>
      <c r="BT38">
        <f>44366</f>
        <v>44366</v>
      </c>
      <c r="BU38">
        <f>67317</f>
        <v>67317</v>
      </c>
      <c r="BV38">
        <f>59869</f>
        <v>59869</v>
      </c>
      <c r="BW38">
        <f>48404</f>
        <v>48404</v>
      </c>
      <c r="BX38">
        <f>40300</f>
        <v>40300</v>
      </c>
      <c r="BY38">
        <f>60198</f>
        <v>60198</v>
      </c>
      <c r="BZ38">
        <f>58428</f>
        <v>58428</v>
      </c>
      <c r="CA38">
        <f>40165</f>
        <v>40165</v>
      </c>
      <c r="CB38">
        <f>37609</f>
        <v>37609</v>
      </c>
      <c r="CC38">
        <f>54424</f>
        <v>54424</v>
      </c>
      <c r="CD38">
        <f>46222</f>
        <v>46222</v>
      </c>
      <c r="CE38">
        <f>35418</f>
        <v>35418</v>
      </c>
      <c r="CF38">
        <f>31617</f>
        <v>31617</v>
      </c>
      <c r="CG38">
        <f>41831</f>
        <v>41831</v>
      </c>
      <c r="CH38">
        <f>33960</f>
        <v>33960</v>
      </c>
      <c r="CI38">
        <f>26491</f>
        <v>26491</v>
      </c>
      <c r="CJ38">
        <f>24363</f>
        <v>24363</v>
      </c>
      <c r="CK38">
        <f>30799</f>
        <v>30799</v>
      </c>
      <c r="CL38">
        <f>24120</f>
        <v>24120</v>
      </c>
      <c r="CM38">
        <f>20879</f>
        <v>20879</v>
      </c>
      <c r="CN38">
        <f>21055</f>
        <v>21055</v>
      </c>
      <c r="CO38">
        <f>29871</f>
        <v>29871</v>
      </c>
      <c r="CP38">
        <f>23504</f>
        <v>23504</v>
      </c>
      <c r="CQ38">
        <f>29852</f>
        <v>29852</v>
      </c>
      <c r="CR38">
        <f>31620</f>
        <v>31620</v>
      </c>
      <c r="CS38">
        <f>46290</f>
        <v>46290</v>
      </c>
      <c r="CT38">
        <f>45561</f>
        <v>45561</v>
      </c>
      <c r="CU38">
        <f>62068</f>
        <v>62068</v>
      </c>
      <c r="CV38">
        <f>46145</f>
        <v>46145</v>
      </c>
      <c r="CW38">
        <f>61463</f>
        <v>61463</v>
      </c>
      <c r="CX38">
        <f>53765</f>
        <v>53765</v>
      </c>
      <c r="CY38">
        <f>48156</f>
        <v>48156</v>
      </c>
      <c r="CZ38">
        <f>39757</f>
        <v>39757</v>
      </c>
      <c r="DA38">
        <f>41317</f>
        <v>41317</v>
      </c>
      <c r="DB38">
        <f>31783</f>
        <v>31783</v>
      </c>
      <c r="DC38">
        <f>51224</f>
        <v>51224</v>
      </c>
      <c r="DD38">
        <f>47751</f>
        <v>47751</v>
      </c>
      <c r="DE38">
        <f>59185</f>
        <v>59185</v>
      </c>
      <c r="DF38">
        <f>55229</f>
        <v>55229</v>
      </c>
      <c r="DG38">
        <f>46944</f>
        <v>46944</v>
      </c>
      <c r="DH38">
        <f>47334</f>
        <v>47334</v>
      </c>
      <c r="DI38">
        <f>58090</f>
        <v>58090</v>
      </c>
      <c r="DJ38">
        <f>49448</f>
        <v>49448</v>
      </c>
      <c r="DK38">
        <f>42544</f>
        <v>42544</v>
      </c>
      <c r="DL38">
        <f>42496</f>
        <v>42496</v>
      </c>
      <c r="DM38">
        <f>57699</f>
        <v>57699</v>
      </c>
      <c r="DN38">
        <f>51963</f>
        <v>51963</v>
      </c>
      <c r="DO38">
        <f>45812</f>
        <v>45812</v>
      </c>
      <c r="DP38">
        <f>43930</f>
        <v>43930</v>
      </c>
      <c r="DQ38">
        <f>63563</f>
        <v>63563</v>
      </c>
      <c r="DR38">
        <f>53183</f>
        <v>53183</v>
      </c>
      <c r="DS38">
        <f>46742</f>
        <v>46742</v>
      </c>
      <c r="DT38">
        <f>44938</f>
        <v>44938</v>
      </c>
      <c r="DU38">
        <f>55824</f>
        <v>55824</v>
      </c>
    </row>
    <row r="39" spans="1:125" x14ac:dyDescent="0.25">
      <c r="A39" t="str">
        <f>"            Spain"</f>
        <v xml:space="preserve">            Spain</v>
      </c>
      <c r="B39" t="str">
        <f>"WCARESI Index"</f>
        <v>WCARESI Index</v>
      </c>
      <c r="C39" t="str">
        <f t="shared" si="3"/>
        <v>PX385</v>
      </c>
      <c r="D39" t="str">
        <f t="shared" si="4"/>
        <v>INTERVAL_SUM</v>
      </c>
      <c r="E39" t="str">
        <f t="shared" si="5"/>
        <v>Dynamic</v>
      </c>
      <c r="F39">
        <f ca="1">IF(AND(ISNUMBER($F$191),$B$156=1),$F$191,HLOOKUP(INDIRECT(ADDRESS(2,COLUMN())),OFFSET($BN$2,0,0,ROW()-1,60),ROW()-1,FALSE))</f>
        <v>93546</v>
      </c>
      <c r="G39">
        <f ca="1">IF(AND(ISNUMBER($G$191),$B$156=1),$G$191,HLOOKUP(INDIRECT(ADDRESS(2,COLUMN())),OFFSET($BN$2,0,0,ROW()-1,60),ROW()-1,FALSE))</f>
        <v>278764</v>
      </c>
      <c r="H39">
        <f ca="1">IF(AND(ISNUMBER($H$191),$B$156=1),$H$191,HLOOKUP(INDIRECT(ADDRESS(2,COLUMN())),OFFSET($BN$2,0,0,ROW()-1,60),ROW()-1,FALSE))</f>
        <v>308002</v>
      </c>
      <c r="I39">
        <f ca="1">IF(AND(ISNUMBER($I$191),$B$156=1),$I$191,HLOOKUP(INDIRECT(ADDRESS(2,COLUMN())),OFFSET($BN$2,0,0,ROW()-1,60),ROW()-1,FALSE))</f>
        <v>391714</v>
      </c>
      <c r="J39">
        <f ca="1">IF(AND(ISNUMBER($J$191),$B$156=1),$J$191,HLOOKUP(INDIRECT(ADDRESS(2,COLUMN())),OFFSET($BN$2,0,0,ROW()-1,60),ROW()-1,FALSE))</f>
        <v>340310</v>
      </c>
      <c r="K39">
        <f ca="1">IF(AND(ISNUMBER($K$191),$B$156=1),$K$191,HLOOKUP(INDIRECT(ADDRESS(2,COLUMN())),OFFSET($BN$2,0,0,ROW()-1,60),ROW()-1,FALSE))</f>
        <v>301790</v>
      </c>
      <c r="L39">
        <f ca="1">IF(AND(ISNUMBER($L$191),$B$156=1),$L$191,HLOOKUP(INDIRECT(ADDRESS(2,COLUMN())),OFFSET($BN$2,0,0,ROW()-1,60),ROW()-1,FALSE))</f>
        <v>265648</v>
      </c>
      <c r="M39">
        <f ca="1">IF(AND(ISNUMBER($M$191),$B$156=1),$M$191,HLOOKUP(INDIRECT(ADDRESS(2,COLUMN())),OFFSET($BN$2,0,0,ROW()-1,60),ROW()-1,FALSE))</f>
        <v>359583</v>
      </c>
      <c r="N39">
        <f ca="1">IF(AND(ISNUMBER($N$191),$B$156=1),$N$191,HLOOKUP(INDIRECT(ADDRESS(2,COLUMN())),OFFSET($BN$2,0,0,ROW()-1,60),ROW()-1,FALSE))</f>
        <v>307911</v>
      </c>
      <c r="O39">
        <f ca="1">IF(AND(ISNUMBER($O$191),$B$156=1),$O$191,HLOOKUP(INDIRECT(ADDRESS(2,COLUMN())),OFFSET($BN$2,0,0,ROW()-1,60),ROW()-1,FALSE))</f>
        <v>272789</v>
      </c>
      <c r="P39">
        <f ca="1">IF(AND(ISNUMBER($P$191),$B$156=1),$P$191,HLOOKUP(INDIRECT(ADDRESS(2,COLUMN())),OFFSET($BN$2,0,0,ROW()-1,60),ROW()-1,FALSE))</f>
        <v>250986</v>
      </c>
      <c r="Q39">
        <f ca="1">IF(AND(ISNUMBER($Q$191),$B$156=1),$Q$191,HLOOKUP(INDIRECT(ADDRESS(2,COLUMN())),OFFSET($BN$2,0,0,ROW()-1,60),ROW()-1,FALSE))</f>
        <v>337740</v>
      </c>
      <c r="R39">
        <f ca="1">IF(AND(ISNUMBER($R$191),$B$156=1),$R$191,HLOOKUP(INDIRECT(ADDRESS(2,COLUMN())),OFFSET($BN$2,0,0,ROW()-1,60),ROW()-1,FALSE))</f>
        <v>285494</v>
      </c>
      <c r="S39">
        <f ca="1">IF(AND(ISNUMBER($S$191),$B$156=1),$S$191,HLOOKUP(INDIRECT(ADDRESS(2,COLUMN())),OFFSET($BN$2,0,0,ROW()-1,60),ROW()-1,FALSE))</f>
        <v>250314</v>
      </c>
      <c r="T39">
        <f ca="1">IF(AND(ISNUMBER($T$191),$B$156=1),$T$191,HLOOKUP(INDIRECT(ADDRESS(2,COLUMN())),OFFSET($BN$2,0,0,ROW()-1,60),ROW()-1,FALSE))</f>
        <v>228666</v>
      </c>
      <c r="U39">
        <f ca="1">IF(AND(ISNUMBER($U$191),$B$156=1),$U$191,HLOOKUP(INDIRECT(ADDRESS(2,COLUMN())),OFFSET($BN$2,0,0,ROW()-1,60),ROW()-1,FALSE))</f>
        <v>288078</v>
      </c>
      <c r="V39">
        <f ca="1">IF(AND(ISNUMBER($V$191),$B$156=1),$V$191,HLOOKUP(INDIRECT(ADDRESS(2,COLUMN())),OFFSET($BN$2,0,0,ROW()-1,60),ROW()-1,FALSE))</f>
        <v>267134</v>
      </c>
      <c r="W39">
        <f ca="1">IF(AND(ISNUMBER($W$191),$B$156=1),$W$191,HLOOKUP(INDIRECT(ADDRESS(2,COLUMN())),OFFSET($BN$2,0,0,ROW()-1,60),ROW()-1,FALSE))</f>
        <v>214635</v>
      </c>
      <c r="X39">
        <f ca="1">IF(AND(ISNUMBER($X$191),$B$156=1),$X$191,HLOOKUP(INDIRECT(ADDRESS(2,COLUMN())),OFFSET($BN$2,0,0,ROW()-1,60),ROW()-1,FALSE))</f>
        <v>185730</v>
      </c>
      <c r="Y39">
        <f ca="1">IF(AND(ISNUMBER($Y$191),$B$156=1),$Y$191,HLOOKUP(INDIRECT(ADDRESS(2,COLUMN())),OFFSET($BN$2,0,0,ROW()-1,60),ROW()-1,FALSE))</f>
        <v>252816</v>
      </c>
      <c r="Z39">
        <f ca="1">IF(AND(ISNUMBER($Z$191),$B$156=1),$Z$191,HLOOKUP(INDIRECT(ADDRESS(2,COLUMN())),OFFSET($BN$2,0,0,ROW()-1,60),ROW()-1,FALSE))</f>
        <v>202127</v>
      </c>
      <c r="AA39">
        <f ca="1">IF(AND(ISNUMBER($AA$191),$B$156=1),$AA$191,HLOOKUP(INDIRECT(ADDRESS(2,COLUMN())),OFFSET($BN$2,0,0,ROW()-1,60),ROW()-1,FALSE))</f>
        <v>176264</v>
      </c>
      <c r="AB39">
        <f ca="1">IF(AND(ISNUMBER($AB$191),$B$156=1),$AB$191,HLOOKUP(INDIRECT(ADDRESS(2,COLUMN())),OFFSET($BN$2,0,0,ROW()-1,60),ROW()-1,FALSE))</f>
        <v>160074</v>
      </c>
      <c r="AC39">
        <f ca="1">IF(AND(ISNUMBER($AC$191),$B$156=1),$AC$191,HLOOKUP(INDIRECT(ADDRESS(2,COLUMN())),OFFSET($BN$2,0,0,ROW()-1,60),ROW()-1,FALSE))</f>
        <v>205617</v>
      </c>
      <c r="AD39">
        <f ca="1">IF(AND(ISNUMBER($AD$191),$B$156=1),$AD$191,HLOOKUP(INDIRECT(ADDRESS(2,COLUMN())),OFFSET($BN$2,0,0,ROW()-1,60),ROW()-1,FALSE))</f>
        <v>180721</v>
      </c>
      <c r="AE39">
        <f ca="1">IF(AND(ISNUMBER($AE$191),$B$156=1),$AE$191,HLOOKUP(INDIRECT(ADDRESS(2,COLUMN())),OFFSET($BN$2,0,0,ROW()-1,60),ROW()-1,FALSE))</f>
        <v>144225</v>
      </c>
      <c r="AF39">
        <f ca="1">IF(AND(ISNUMBER($AF$191),$B$156=1),$AF$191,HLOOKUP(INDIRECT(ADDRESS(2,COLUMN())),OFFSET($BN$2,0,0,ROW()-1,60),ROW()-1,FALSE))</f>
        <v>149293</v>
      </c>
      <c r="AG39">
        <f ca="1">IF(AND(ISNUMBER($AG$191),$B$156=1),$AG$191,HLOOKUP(INDIRECT(ADDRESS(2,COLUMN())),OFFSET($BN$2,0,0,ROW()-1,60),ROW()-1,FALSE))</f>
        <v>201953</v>
      </c>
      <c r="AH39">
        <f ca="1">IF(AND(ISNUMBER($AH$191),$B$156=1),$AH$191,HLOOKUP(INDIRECT(ADDRESS(2,COLUMN())),OFFSET($BN$2,0,0,ROW()-1,60),ROW()-1,FALSE))</f>
        <v>204118</v>
      </c>
      <c r="AI39">
        <f ca="1">IF(AND(ISNUMBER($AI$191),$B$156=1),$AI$191,HLOOKUP(INDIRECT(ADDRESS(2,COLUMN())),OFFSET($BN$2,0,0,ROW()-1,60),ROW()-1,FALSE))</f>
        <v>184131</v>
      </c>
      <c r="AJ39">
        <f ca="1">IF(AND(ISNUMBER($AJ$191),$B$156=1),$AJ$191,HLOOKUP(INDIRECT(ADDRESS(2,COLUMN())),OFFSET($BN$2,0,0,ROW()-1,60),ROW()-1,FALSE))</f>
        <v>181708</v>
      </c>
      <c r="AK39">
        <f ca="1">IF(AND(ISNUMBER($AK$191),$B$156=1),$AK$191,HLOOKUP(INDIRECT(ADDRESS(2,COLUMN())),OFFSET($BN$2,0,0,ROW()-1,60),ROW()-1,FALSE))</f>
        <v>234063</v>
      </c>
      <c r="AL39">
        <f ca="1">IF(AND(ISNUMBER($AL$191),$B$156=1),$AL$191,HLOOKUP(INDIRECT(ADDRESS(2,COLUMN())),OFFSET($BN$2,0,0,ROW()-1,60),ROW()-1,FALSE))</f>
        <v>208148</v>
      </c>
      <c r="AM39">
        <f ca="1">IF(AND(ISNUMBER($AM$191),$B$156=1),$AM$191,HLOOKUP(INDIRECT(ADDRESS(2,COLUMN())),OFFSET($BN$2,0,0,ROW()-1,60),ROW()-1,FALSE))</f>
        <v>194823</v>
      </c>
      <c r="AN39">
        <f ca="1">IF(AND(ISNUMBER($AN$191),$B$156=1),$AN$191,HLOOKUP(INDIRECT(ADDRESS(2,COLUMN())),OFFSET($BN$2,0,0,ROW()-1,60),ROW()-1,FALSE))</f>
        <v>183025</v>
      </c>
      <c r="AO39">
        <f ca="1">IF(AND(ISNUMBER($AO$191),$B$156=1),$AO$191,HLOOKUP(INDIRECT(ADDRESS(2,COLUMN())),OFFSET($BN$2,0,0,ROW()-1,60),ROW()-1,FALSE))</f>
        <v>317993</v>
      </c>
      <c r="AP39">
        <f ca="1">IF(AND(ISNUMBER($AP$191),$B$156=1),$AP$191,HLOOKUP(INDIRECT(ADDRESS(2,COLUMN())),OFFSET($BN$2,0,0,ROW()-1,60),ROW()-1,FALSE))</f>
        <v>286167</v>
      </c>
      <c r="AQ39">
        <f ca="1">IF(AND(ISNUMBER($AQ$191),$B$156=1),$AQ$191,HLOOKUP(INDIRECT(ADDRESS(2,COLUMN())),OFFSET($BN$2,0,0,ROW()-1,60),ROW()-1,FALSE))</f>
        <v>275596</v>
      </c>
      <c r="AR39">
        <f ca="1">IF(AND(ISNUMBER($AR$191),$B$156=1),$AR$191,HLOOKUP(INDIRECT(ADDRESS(2,COLUMN())),OFFSET($BN$2,0,0,ROW()-1,60),ROW()-1,FALSE))</f>
        <v>244103</v>
      </c>
      <c r="AS39">
        <f ca="1">IF(AND(ISNUMBER($AS$191),$B$156=1),$AS$191,HLOOKUP(INDIRECT(ADDRESS(2,COLUMN())),OFFSET($BN$2,0,0,ROW()-1,60),ROW()-1,FALSE))</f>
        <v>235080</v>
      </c>
      <c r="AT39">
        <f ca="1">IF(AND(ISNUMBER($AT$191),$B$156=1),$AT$191,HLOOKUP(INDIRECT(ADDRESS(2,COLUMN())),OFFSET($BN$2,0,0,ROW()-1,60),ROW()-1,FALSE))</f>
        <v>197993</v>
      </c>
      <c r="AU39">
        <f ca="1">IF(AND(ISNUMBER($AU$191),$B$156=1),$AU$191,HLOOKUP(INDIRECT(ADDRESS(2,COLUMN())),OFFSET($BN$2,0,0,ROW()-1,60),ROW()-1,FALSE))</f>
        <v>213185</v>
      </c>
      <c r="AV39">
        <f ca="1">IF(AND(ISNUMBER($AV$191),$B$156=1),$AV$191,HLOOKUP(INDIRECT(ADDRESS(2,COLUMN())),OFFSET($BN$2,0,0,ROW()-1,60),ROW()-1,FALSE))</f>
        <v>245620</v>
      </c>
      <c r="AW39">
        <f ca="1">IF(AND(ISNUMBER($AW$191),$B$156=1),$AW$191,HLOOKUP(INDIRECT(ADDRESS(2,COLUMN())),OFFSET($BN$2,0,0,ROW()-1,60),ROW()-1,FALSE))</f>
        <v>354633</v>
      </c>
      <c r="AX39">
        <f ca="1">IF(AND(ISNUMBER($AX$191),$B$156=1),$AX$191,HLOOKUP(INDIRECT(ADDRESS(2,COLUMN())),OFFSET($BN$2,0,0,ROW()-1,60),ROW()-1,FALSE))</f>
        <v>347738</v>
      </c>
      <c r="AY39">
        <f ca="1">IF(AND(ISNUMBER($AY$191),$B$156=1),$AY$191,HLOOKUP(INDIRECT(ADDRESS(2,COLUMN())),OFFSET($BN$2,0,0,ROW()-1,60),ROW()-1,FALSE))</f>
        <v>399031</v>
      </c>
      <c r="AZ39">
        <f ca="1">IF(AND(ISNUMBER($AZ$191),$B$156=1),$AZ$191,HLOOKUP(INDIRECT(ADDRESS(2,COLUMN())),OFFSET($BN$2,0,0,ROW()-1,60),ROW()-1,FALSE))</f>
        <v>363844</v>
      </c>
      <c r="BA39">
        <f ca="1">IF(AND(ISNUMBER($BA$191),$B$156=1),$BA$191,HLOOKUP(INDIRECT(ADDRESS(2,COLUMN())),OFFSET($BN$2,0,0,ROW()-1,60),ROW()-1,FALSE))</f>
        <v>441299</v>
      </c>
      <c r="BB39">
        <f ca="1">IF(AND(ISNUMBER($BB$191),$B$156=1),$BB$191,HLOOKUP(INDIRECT(ADDRESS(2,COLUMN())),OFFSET($BN$2,0,0,ROW()-1,60),ROW()-1,FALSE))</f>
        <v>410661</v>
      </c>
      <c r="BC39">
        <f ca="1">IF(AND(ISNUMBER($BC$191),$B$156=1),$BC$191,HLOOKUP(INDIRECT(ADDRESS(2,COLUMN())),OFFSET($BN$2,0,0,ROW()-1,60),ROW()-1,FALSE))</f>
        <v>393996</v>
      </c>
      <c r="BD39">
        <f ca="1">IF(AND(ISNUMBER($BD$191),$B$156=1),$BD$191,HLOOKUP(INDIRECT(ADDRESS(2,COLUMN())),OFFSET($BN$2,0,0,ROW()-1,60),ROW()-1,FALSE))</f>
        <v>374610</v>
      </c>
      <c r="BE39">
        <f ca="1">IF(AND(ISNUMBER($BE$191),$B$156=1),$BE$191,HLOOKUP(INDIRECT(ADDRESS(2,COLUMN())),OFFSET($BN$2,0,0,ROW()-1,60),ROW()-1,FALSE))</f>
        <v>452376</v>
      </c>
      <c r="BF39">
        <f ca="1">IF(AND(ISNUMBER($BF$191),$B$156=1),$BF$191,HLOOKUP(INDIRECT(ADDRESS(2,COLUMN())),OFFSET($BN$2,0,0,ROW()-1,60),ROW()-1,FALSE))</f>
        <v>413626</v>
      </c>
      <c r="BG39">
        <f ca="1">IF(AND(ISNUMBER($BG$191),$B$156=1),$BG$191,HLOOKUP(INDIRECT(ADDRESS(2,COLUMN())),OFFSET($BN$2,0,0,ROW()-1,60),ROW()-1,FALSE))</f>
        <v>356522</v>
      </c>
      <c r="BH39">
        <f ca="1">IF(AND(ISNUMBER($BH$191),$B$156=1),$BH$191,HLOOKUP(INDIRECT(ADDRESS(2,COLUMN())),OFFSET($BN$2,0,0,ROW()-1,60),ROW()-1,FALSE))</f>
        <v>362626</v>
      </c>
      <c r="BI39">
        <f ca="1">IF(AND(ISNUMBER($BI$191),$B$156=1),$BI$191,HLOOKUP(INDIRECT(ADDRESS(2,COLUMN())),OFFSET($BN$2,0,0,ROW()-1,60),ROW()-1,FALSE))</f>
        <v>435820</v>
      </c>
      <c r="BJ39">
        <f ca="1">IF(AND(ISNUMBER($BJ$191),$B$156=1),$BJ$191,HLOOKUP(INDIRECT(ADDRESS(2,COLUMN())),OFFSET($BN$2,0,0,ROW()-1,60),ROW()-1,FALSE))</f>
        <v>373909</v>
      </c>
      <c r="BK39">
        <f ca="1">IF(AND(ISNUMBER($BK$191),$B$156=1),$BK$191,HLOOKUP(INDIRECT(ADDRESS(2,COLUMN())),OFFSET($BN$2,0,0,ROW()-1,60),ROW()-1,FALSE))</f>
        <v>373413</v>
      </c>
      <c r="BL39">
        <f ca="1">IF(AND(ISNUMBER($BL$191),$B$156=1),$BL$191,HLOOKUP(INDIRECT(ADDRESS(2,COLUMN())),OFFSET($BN$2,0,0,ROW()-1,60),ROW()-1,FALSE))</f>
        <v>354354</v>
      </c>
      <c r="BM39">
        <f ca="1">IF(AND(ISNUMBER($BM$191),$B$156=1),$BM$191,HLOOKUP(INDIRECT(ADDRESS(2,COLUMN())),OFFSET($BN$2,0,0,ROW()-1,60),ROW()-1,FALSE))</f>
        <v>415455</v>
      </c>
      <c r="BN39">
        <f>93546</f>
        <v>93546</v>
      </c>
      <c r="BO39">
        <f>278764</f>
        <v>278764</v>
      </c>
      <c r="BP39">
        <f>308002</f>
        <v>308002</v>
      </c>
      <c r="BQ39">
        <f>391714</f>
        <v>391714</v>
      </c>
      <c r="BR39">
        <f>340310</f>
        <v>340310</v>
      </c>
      <c r="BS39">
        <f>301790</f>
        <v>301790</v>
      </c>
      <c r="BT39">
        <f>265648</f>
        <v>265648</v>
      </c>
      <c r="BU39">
        <f>359583</f>
        <v>359583</v>
      </c>
      <c r="BV39">
        <f>307911</f>
        <v>307911</v>
      </c>
      <c r="BW39">
        <f>272789</f>
        <v>272789</v>
      </c>
      <c r="BX39">
        <f>250986</f>
        <v>250986</v>
      </c>
      <c r="BY39">
        <f>337740</f>
        <v>337740</v>
      </c>
      <c r="BZ39">
        <f>285494</f>
        <v>285494</v>
      </c>
      <c r="CA39">
        <f>250314</f>
        <v>250314</v>
      </c>
      <c r="CB39">
        <f>228666</f>
        <v>228666</v>
      </c>
      <c r="CC39">
        <f>288078</f>
        <v>288078</v>
      </c>
      <c r="CD39">
        <f>267134</f>
        <v>267134</v>
      </c>
      <c r="CE39">
        <f>214635</f>
        <v>214635</v>
      </c>
      <c r="CF39">
        <f>185730</f>
        <v>185730</v>
      </c>
      <c r="CG39">
        <f>252816</f>
        <v>252816</v>
      </c>
      <c r="CH39">
        <f>202127</f>
        <v>202127</v>
      </c>
      <c r="CI39">
        <f>176264</f>
        <v>176264</v>
      </c>
      <c r="CJ39">
        <f>160074</f>
        <v>160074</v>
      </c>
      <c r="CK39">
        <f>205617</f>
        <v>205617</v>
      </c>
      <c r="CL39">
        <f>180721</f>
        <v>180721</v>
      </c>
      <c r="CM39">
        <f>144225</f>
        <v>144225</v>
      </c>
      <c r="CN39">
        <f>149293</f>
        <v>149293</v>
      </c>
      <c r="CO39">
        <f>201953</f>
        <v>201953</v>
      </c>
      <c r="CP39">
        <f>204118</f>
        <v>204118</v>
      </c>
      <c r="CQ39">
        <f>184131</f>
        <v>184131</v>
      </c>
      <c r="CR39">
        <f>181708</f>
        <v>181708</v>
      </c>
      <c r="CS39">
        <f>234063</f>
        <v>234063</v>
      </c>
      <c r="CT39">
        <f>208148</f>
        <v>208148</v>
      </c>
      <c r="CU39">
        <f>194823</f>
        <v>194823</v>
      </c>
      <c r="CV39">
        <f>183025</f>
        <v>183025</v>
      </c>
      <c r="CW39">
        <f>317993</f>
        <v>317993</v>
      </c>
      <c r="CX39">
        <f>286167</f>
        <v>286167</v>
      </c>
      <c r="CY39">
        <f>275596</f>
        <v>275596</v>
      </c>
      <c r="CZ39">
        <f>244103</f>
        <v>244103</v>
      </c>
      <c r="DA39">
        <f>235080</f>
        <v>235080</v>
      </c>
      <c r="DB39">
        <f>197993</f>
        <v>197993</v>
      </c>
      <c r="DC39">
        <f>213185</f>
        <v>213185</v>
      </c>
      <c r="DD39">
        <f>245620</f>
        <v>245620</v>
      </c>
      <c r="DE39">
        <f>354633</f>
        <v>354633</v>
      </c>
      <c r="DF39">
        <f>347738</f>
        <v>347738</v>
      </c>
      <c r="DG39">
        <f>399031</f>
        <v>399031</v>
      </c>
      <c r="DH39">
        <f>363844</f>
        <v>363844</v>
      </c>
      <c r="DI39">
        <f>441299</f>
        <v>441299</v>
      </c>
      <c r="DJ39">
        <f>410661</f>
        <v>410661</v>
      </c>
      <c r="DK39">
        <f>393996</f>
        <v>393996</v>
      </c>
      <c r="DL39">
        <f>374610</f>
        <v>374610</v>
      </c>
      <c r="DM39">
        <f>452376</f>
        <v>452376</v>
      </c>
      <c r="DN39">
        <f>413626</f>
        <v>413626</v>
      </c>
      <c r="DO39">
        <f>356522</f>
        <v>356522</v>
      </c>
      <c r="DP39">
        <f>362626</f>
        <v>362626</v>
      </c>
      <c r="DQ39">
        <f>435820</f>
        <v>435820</v>
      </c>
      <c r="DR39">
        <f>373909</f>
        <v>373909</v>
      </c>
      <c r="DS39">
        <f>373413</f>
        <v>373413</v>
      </c>
      <c r="DT39">
        <f>354354</f>
        <v>354354</v>
      </c>
      <c r="DU39">
        <f>415455</f>
        <v>415455</v>
      </c>
    </row>
    <row r="40" spans="1:125" x14ac:dyDescent="0.25">
      <c r="A40" t="str">
        <f>"            Sweden"</f>
        <v xml:space="preserve">            Sweden</v>
      </c>
      <c r="B40" t="str">
        <f>"WCARSEI Index"</f>
        <v>WCARSEI Index</v>
      </c>
      <c r="C40" t="str">
        <f t="shared" si="3"/>
        <v>PX385</v>
      </c>
      <c r="D40" t="str">
        <f t="shared" si="4"/>
        <v>INTERVAL_SUM</v>
      </c>
      <c r="E40" t="str">
        <f t="shared" si="5"/>
        <v>Dynamic</v>
      </c>
      <c r="F40">
        <f ca="1">IF(AND(ISNUMBER($F$192),$B$156=1),$F$192,HLOOKUP(INDIRECT(ADDRESS(2,COLUMN())),OFFSET($BN$2,0,0,ROW()-1,60),ROW()-1,FALSE))</f>
        <v>20478</v>
      </c>
      <c r="G40">
        <f ca="1">IF(AND(ISNUMBER($G$192),$B$156=1),$G$192,HLOOKUP(INDIRECT(ADDRESS(2,COLUMN())),OFFSET($BN$2,0,0,ROW()-1,60),ROW()-1,FALSE))</f>
        <v>71901</v>
      </c>
      <c r="H40">
        <f ca="1">IF(AND(ISNUMBER($H$192),$B$156=1),$H$192,HLOOKUP(INDIRECT(ADDRESS(2,COLUMN())),OFFSET($BN$2,0,0,ROW()-1,60),ROW()-1,FALSE))</f>
        <v>56285</v>
      </c>
      <c r="I40">
        <f ca="1">IF(AND(ISNUMBER($I$192),$B$156=1),$I$192,HLOOKUP(INDIRECT(ADDRESS(2,COLUMN())),OFFSET($BN$2,0,0,ROW()-1,60),ROW()-1,FALSE))</f>
        <v>138146</v>
      </c>
      <c r="J40">
        <f ca="1">IF(AND(ISNUMBER($J$192),$B$156=1),$J$192,HLOOKUP(INDIRECT(ADDRESS(2,COLUMN())),OFFSET($BN$2,0,0,ROW()-1,60),ROW()-1,FALSE))</f>
        <v>87397</v>
      </c>
      <c r="K40">
        <f ca="1">IF(AND(ISNUMBER($K$192),$B$156=1),$K$192,HLOOKUP(INDIRECT(ADDRESS(2,COLUMN())),OFFSET($BN$2,0,0,ROW()-1,60),ROW()-1,FALSE))</f>
        <v>99554</v>
      </c>
      <c r="L40">
        <f ca="1">IF(AND(ISNUMBER($L$192),$B$156=1),$L$192,HLOOKUP(INDIRECT(ADDRESS(2,COLUMN())),OFFSET($BN$2,0,0,ROW()-1,60),ROW()-1,FALSE))</f>
        <v>86309</v>
      </c>
      <c r="M40">
        <f ca="1">IF(AND(ISNUMBER($M$192),$B$156=1),$M$192,HLOOKUP(INDIRECT(ADDRESS(2,COLUMN())),OFFSET($BN$2,0,0,ROW()-1,60),ROW()-1,FALSE))</f>
        <v>104126</v>
      </c>
      <c r="N40">
        <f ca="1">IF(AND(ISNUMBER($N$192),$B$156=1),$N$192,HLOOKUP(INDIRECT(ADDRESS(2,COLUMN())),OFFSET($BN$2,0,0,ROW()-1,60),ROW()-1,FALSE))</f>
        <v>89404</v>
      </c>
      <c r="O40">
        <f ca="1">IF(AND(ISNUMBER($O$192),$B$156=1),$O$192,HLOOKUP(INDIRECT(ADDRESS(2,COLUMN())),OFFSET($BN$2,0,0,ROW()-1,60),ROW()-1,FALSE))</f>
        <v>100922</v>
      </c>
      <c r="P40">
        <f ca="1">IF(AND(ISNUMBER($P$192),$B$156=1),$P$192,HLOOKUP(INDIRECT(ADDRESS(2,COLUMN())),OFFSET($BN$2,0,0,ROW()-1,60),ROW()-1,FALSE))</f>
        <v>83805</v>
      </c>
      <c r="Q40">
        <f ca="1">IF(AND(ISNUMBER($Q$192),$B$156=1),$Q$192,HLOOKUP(INDIRECT(ADDRESS(2,COLUMN())),OFFSET($BN$2,0,0,ROW()-1,60),ROW()-1,FALSE))</f>
        <v>104362</v>
      </c>
      <c r="R40">
        <f ca="1">IF(AND(ISNUMBER($R$192),$B$156=1),$R$192,HLOOKUP(INDIRECT(ADDRESS(2,COLUMN())),OFFSET($BN$2,0,0,ROW()-1,60),ROW()-1,FALSE))</f>
        <v>83229</v>
      </c>
      <c r="S40">
        <f ca="1">IF(AND(ISNUMBER($S$192),$B$156=1),$S$192,HLOOKUP(INDIRECT(ADDRESS(2,COLUMN())),OFFSET($BN$2,0,0,ROW()-1,60),ROW()-1,FALSE))</f>
        <v>96455</v>
      </c>
      <c r="T40">
        <f ca="1">IF(AND(ISNUMBER($T$192),$B$156=1),$T$192,HLOOKUP(INDIRECT(ADDRESS(2,COLUMN())),OFFSET($BN$2,0,0,ROW()-1,60),ROW()-1,FALSE))</f>
        <v>80669</v>
      </c>
      <c r="U40">
        <f ca="1">IF(AND(ISNUMBER($U$192),$B$156=1),$U$192,HLOOKUP(INDIRECT(ADDRESS(2,COLUMN())),OFFSET($BN$2,0,0,ROW()-1,60),ROW()-1,FALSE))</f>
        <v>92251</v>
      </c>
      <c r="V40">
        <f ca="1">IF(AND(ISNUMBER($V$192),$B$156=1),$V$192,HLOOKUP(INDIRECT(ADDRESS(2,COLUMN())),OFFSET($BN$2,0,0,ROW()-1,60),ROW()-1,FALSE))</f>
        <v>75733</v>
      </c>
      <c r="W40">
        <f ca="1">IF(AND(ISNUMBER($W$192),$B$156=1),$W$192,HLOOKUP(INDIRECT(ADDRESS(2,COLUMN())),OFFSET($BN$2,0,0,ROW()-1,60),ROW()-1,FALSE))</f>
        <v>81312</v>
      </c>
      <c r="X40">
        <f ca="1">IF(AND(ISNUMBER($X$192),$B$156=1),$X$192,HLOOKUP(INDIRECT(ADDRESS(2,COLUMN())),OFFSET($BN$2,0,0,ROW()-1,60),ROW()-1,FALSE))</f>
        <v>70889</v>
      </c>
      <c r="Y40">
        <f ca="1">IF(AND(ISNUMBER($Y$192),$B$156=1),$Y$192,HLOOKUP(INDIRECT(ADDRESS(2,COLUMN())),OFFSET($BN$2,0,0,ROW()-1,60),ROW()-1,FALSE))</f>
        <v>83944</v>
      </c>
      <c r="Z40">
        <f ca="1">IF(AND(ISNUMBER($Z$192),$B$156=1),$Z$192,HLOOKUP(INDIRECT(ADDRESS(2,COLUMN())),OFFSET($BN$2,0,0,ROW()-1,60),ROW()-1,FALSE))</f>
        <v>67803</v>
      </c>
      <c r="AA40">
        <f ca="1">IF(AND(ISNUMBER($AA$192),$B$156=1),$AA$192,HLOOKUP(INDIRECT(ADDRESS(2,COLUMN())),OFFSET($BN$2,0,0,ROW()-1,60),ROW()-1,FALSE))</f>
        <v>76534</v>
      </c>
      <c r="AB40">
        <f ca="1">IF(AND(ISNUMBER($AB$192),$B$156=1),$AB$192,HLOOKUP(INDIRECT(ADDRESS(2,COLUMN())),OFFSET($BN$2,0,0,ROW()-1,60),ROW()-1,FALSE))</f>
        <v>64165</v>
      </c>
      <c r="AC40">
        <f ca="1">IF(AND(ISNUMBER($AC$192),$B$156=1),$AC$192,HLOOKUP(INDIRECT(ADDRESS(2,COLUMN())),OFFSET($BN$2,0,0,ROW()-1,60),ROW()-1,FALSE))</f>
        <v>72826</v>
      </c>
      <c r="AD40">
        <f ca="1">IF(AND(ISNUMBER($AD$192),$B$156=1),$AD$192,HLOOKUP(INDIRECT(ADDRESS(2,COLUMN())),OFFSET($BN$2,0,0,ROW()-1,60),ROW()-1,FALSE))</f>
        <v>56074</v>
      </c>
      <c r="AE40">
        <f ca="1">IF(AND(ISNUMBER($AE$192),$B$156=1),$AE$192,HLOOKUP(INDIRECT(ADDRESS(2,COLUMN())),OFFSET($BN$2,0,0,ROW()-1,60),ROW()-1,FALSE))</f>
        <v>76188</v>
      </c>
      <c r="AF40">
        <f ca="1">IF(AND(ISNUMBER($AF$192),$B$156=1),$AF$192,HLOOKUP(INDIRECT(ADDRESS(2,COLUMN())),OFFSET($BN$2,0,0,ROW()-1,60),ROW()-1,FALSE))</f>
        <v>61078</v>
      </c>
      <c r="AG40">
        <f ca="1">IF(AND(ISNUMBER($AG$192),$B$156=1),$AG$192,HLOOKUP(INDIRECT(ADDRESS(2,COLUMN())),OFFSET($BN$2,0,0,ROW()-1,60),ROW()-1,FALSE))</f>
        <v>74657</v>
      </c>
      <c r="AH40">
        <f ca="1">IF(AND(ISNUMBER($AH$192),$B$156=1),$AH$192,HLOOKUP(INDIRECT(ADDRESS(2,COLUMN())),OFFSET($BN$2,0,0,ROW()-1,60),ROW()-1,FALSE))</f>
        <v>67976</v>
      </c>
      <c r="AI40">
        <f ca="1">IF(AND(ISNUMBER($AI$192),$B$156=1),$AI$192,HLOOKUP(INDIRECT(ADDRESS(2,COLUMN())),OFFSET($BN$2,0,0,ROW()-1,60),ROW()-1,FALSE))</f>
        <v>77348</v>
      </c>
      <c r="AJ40">
        <f ca="1">IF(AND(ISNUMBER($AJ$192),$B$156=1),$AJ$192,HLOOKUP(INDIRECT(ADDRESS(2,COLUMN())),OFFSET($BN$2,0,0,ROW()-1,60),ROW()-1,FALSE))</f>
        <v>70594</v>
      </c>
      <c r="AK40">
        <f ca="1">IF(AND(ISNUMBER($AK$192),$B$156=1),$AK$192,HLOOKUP(INDIRECT(ADDRESS(2,COLUMN())),OFFSET($BN$2,0,0,ROW()-1,60),ROW()-1,FALSE))</f>
        <v>87278</v>
      </c>
      <c r="AL40">
        <f ca="1">IF(AND(ISNUMBER($AL$192),$B$156=1),$AL$192,HLOOKUP(INDIRECT(ADDRESS(2,COLUMN())),OFFSET($BN$2,0,0,ROW()-1,60),ROW()-1,FALSE))</f>
        <v>69764</v>
      </c>
      <c r="AM40">
        <f ca="1">IF(AND(ISNUMBER($AM$192),$B$156=1),$AM$192,HLOOKUP(INDIRECT(ADDRESS(2,COLUMN())),OFFSET($BN$2,0,0,ROW()-1,60),ROW()-1,FALSE))</f>
        <v>82942</v>
      </c>
      <c r="AN40">
        <f ca="1">IF(AND(ISNUMBER($AN$192),$B$156=1),$AN$192,HLOOKUP(INDIRECT(ADDRESS(2,COLUMN())),OFFSET($BN$2,0,0,ROW()-1,60),ROW()-1,FALSE))</f>
        <v>68663</v>
      </c>
      <c r="AO40">
        <f ca="1">IF(AND(ISNUMBER($AO$192),$B$156=1),$AO$192,HLOOKUP(INDIRECT(ADDRESS(2,COLUMN())),OFFSET($BN$2,0,0,ROW()-1,60),ROW()-1,FALSE))</f>
        <v>78932</v>
      </c>
      <c r="AP40">
        <f ca="1">IF(AND(ISNUMBER($AP$192),$B$156=1),$AP$192,HLOOKUP(INDIRECT(ADDRESS(2,COLUMN())),OFFSET($BN$2,0,0,ROW()-1,60),ROW()-1,FALSE))</f>
        <v>59147</v>
      </c>
      <c r="AQ40">
        <f ca="1">IF(AND(ISNUMBER($AQ$192),$B$156=1),$AQ$192,HLOOKUP(INDIRECT(ADDRESS(2,COLUMN())),OFFSET($BN$2,0,0,ROW()-1,60),ROW()-1,FALSE))</f>
        <v>61277</v>
      </c>
      <c r="AR40">
        <f ca="1">IF(AND(ISNUMBER($AR$192),$B$156=1),$AR$192,HLOOKUP(INDIRECT(ADDRESS(2,COLUMN())),OFFSET($BN$2,0,0,ROW()-1,60),ROW()-1,FALSE))</f>
        <v>49337</v>
      </c>
      <c r="AS40">
        <f ca="1">IF(AND(ISNUMBER($AS$192),$B$156=1),$AS$192,HLOOKUP(INDIRECT(ADDRESS(2,COLUMN())),OFFSET($BN$2,0,0,ROW()-1,60),ROW()-1,FALSE))</f>
        <v>58857</v>
      </c>
      <c r="AT40">
        <f ca="1">IF(AND(ISNUMBER($AT$192),$B$156=1),$AT$192,HLOOKUP(INDIRECT(ADDRESS(2,COLUMN())),OFFSET($BN$2,0,0,ROW()-1,60),ROW()-1,FALSE))</f>
        <v>43937</v>
      </c>
      <c r="AU40">
        <f ca="1">IF(AND(ISNUMBER($AU$192),$B$156=1),$AU$192,HLOOKUP(INDIRECT(ADDRESS(2,COLUMN())),OFFSET($BN$2,0,0,ROW()-1,60),ROW()-1,FALSE))</f>
        <v>57071</v>
      </c>
      <c r="AV40">
        <f ca="1">IF(AND(ISNUMBER($AV$192),$B$156=1),$AV$192,HLOOKUP(INDIRECT(ADDRESS(2,COLUMN())),OFFSET($BN$2,0,0,ROW()-1,60),ROW()-1,FALSE))</f>
        <v>57400</v>
      </c>
      <c r="AW40">
        <f ca="1">IF(AND(ISNUMBER($AW$192),$B$156=1),$AW$192,HLOOKUP(INDIRECT(ADDRESS(2,COLUMN())),OFFSET($BN$2,0,0,ROW()-1,60),ROW()-1,FALSE))</f>
        <v>77688</v>
      </c>
      <c r="AX40">
        <f ca="1">IF(AND(ISNUMBER($AX$192),$B$156=1),$AX$192,HLOOKUP(INDIRECT(ADDRESS(2,COLUMN())),OFFSET($BN$2,0,0,ROW()-1,60),ROW()-1,FALSE))</f>
        <v>61823</v>
      </c>
      <c r="AY40">
        <f ca="1">IF(AND(ISNUMBER($AY$192),$B$156=1),$AY$192,HLOOKUP(INDIRECT(ADDRESS(2,COLUMN())),OFFSET($BN$2,0,0,ROW()-1,60),ROW()-1,FALSE))</f>
        <v>87294</v>
      </c>
      <c r="AZ40">
        <f ca="1">IF(AND(ISNUMBER($AZ$192),$B$156=1),$AZ$192,HLOOKUP(INDIRECT(ADDRESS(2,COLUMN())),OFFSET($BN$2,0,0,ROW()-1,60),ROW()-1,FALSE))</f>
        <v>67456</v>
      </c>
      <c r="BA40">
        <f ca="1">IF(AND(ISNUMBER($BA$192),$B$156=1),$BA$192,HLOOKUP(INDIRECT(ADDRESS(2,COLUMN())),OFFSET($BN$2,0,0,ROW()-1,60),ROW()-1,FALSE))</f>
        <v>83647</v>
      </c>
      <c r="BB40">
        <f ca="1">IF(AND(ISNUMBER($BB$192),$B$156=1),$BB$192,HLOOKUP(INDIRECT(ADDRESS(2,COLUMN())),OFFSET($BN$2,0,0,ROW()-1,60),ROW()-1,FALSE))</f>
        <v>68402</v>
      </c>
      <c r="BC40">
        <f ca="1">IF(AND(ISNUMBER($BC$192),$B$156=1),$BC$192,HLOOKUP(INDIRECT(ADDRESS(2,COLUMN())),OFFSET($BN$2,0,0,ROW()-1,60),ROW()-1,FALSE))</f>
        <v>72946</v>
      </c>
      <c r="BD40">
        <f ca="1">IF(AND(ISNUMBER($BD$192),$B$156=1),$BD$192,HLOOKUP(INDIRECT(ADDRESS(2,COLUMN())),OFFSET($BN$2,0,0,ROW()-1,60),ROW()-1,FALSE))</f>
        <v>65608</v>
      </c>
      <c r="BE40">
        <f ca="1">IF(AND(ISNUMBER($BE$192),$B$156=1),$BE$192,HLOOKUP(INDIRECT(ADDRESS(2,COLUMN())),OFFSET($BN$2,0,0,ROW()-1,60),ROW()-1,FALSE))</f>
        <v>82956</v>
      </c>
      <c r="BF40">
        <f ca="1">IF(AND(ISNUMBER($BF$192),$B$156=1),$BF$192,HLOOKUP(INDIRECT(ADDRESS(2,COLUMN())),OFFSET($BN$2,0,0,ROW()-1,60),ROW()-1,FALSE))</f>
        <v>61256</v>
      </c>
      <c r="BG40">
        <f ca="1">IF(AND(ISNUMBER($BG$192),$B$156=1),$BG$192,HLOOKUP(INDIRECT(ADDRESS(2,COLUMN())),OFFSET($BN$2,0,0,ROW()-1,60),ROW()-1,FALSE))</f>
        <v>74512</v>
      </c>
      <c r="BH40">
        <f ca="1">IF(AND(ISNUMBER($BH$192),$B$156=1),$BH$192,HLOOKUP(INDIRECT(ADDRESS(2,COLUMN())),OFFSET($BN$2,0,0,ROW()-1,60),ROW()-1,FALSE))</f>
        <v>62623</v>
      </c>
      <c r="BI40">
        <f ca="1">IF(AND(ISNUMBER($BI$192),$B$156=1),$BI$192,HLOOKUP(INDIRECT(ADDRESS(2,COLUMN())),OFFSET($BN$2,0,0,ROW()-1,60),ROW()-1,FALSE))</f>
        <v>77610</v>
      </c>
      <c r="BJ40">
        <f ca="1">IF(AND(ISNUMBER($BJ$192),$B$156=1),$BJ$192,HLOOKUP(INDIRECT(ADDRESS(2,COLUMN())),OFFSET($BN$2,0,0,ROW()-1,60),ROW()-1,FALSE))</f>
        <v>59556</v>
      </c>
      <c r="BK40">
        <f ca="1">IF(AND(ISNUMBER($BK$192),$B$156=1),$BK$192,HLOOKUP(INDIRECT(ADDRESS(2,COLUMN())),OFFSET($BN$2,0,0,ROW()-1,60),ROW()-1,FALSE))</f>
        <v>71751</v>
      </c>
      <c r="BL40">
        <f ca="1">IF(AND(ISNUMBER($BL$192),$B$156=1),$BL$192,HLOOKUP(INDIRECT(ADDRESS(2,COLUMN())),OFFSET($BN$2,0,0,ROW()-1,60),ROW()-1,FALSE))</f>
        <v>57000</v>
      </c>
      <c r="BM40">
        <f ca="1">IF(AND(ISNUMBER($BM$192),$B$156=1),$BM$192,HLOOKUP(INDIRECT(ADDRESS(2,COLUMN())),OFFSET($BN$2,0,0,ROW()-1,60),ROW()-1,FALSE))</f>
        <v>76608</v>
      </c>
      <c r="BN40">
        <f>20478</f>
        <v>20478</v>
      </c>
      <c r="BO40">
        <f>71901</f>
        <v>71901</v>
      </c>
      <c r="BP40">
        <f>56285</f>
        <v>56285</v>
      </c>
      <c r="BQ40">
        <f>138146</f>
        <v>138146</v>
      </c>
      <c r="BR40">
        <f>87397</f>
        <v>87397</v>
      </c>
      <c r="BS40">
        <f>99554</f>
        <v>99554</v>
      </c>
      <c r="BT40">
        <f>86309</f>
        <v>86309</v>
      </c>
      <c r="BU40">
        <f>104126</f>
        <v>104126</v>
      </c>
      <c r="BV40">
        <f>89404</f>
        <v>89404</v>
      </c>
      <c r="BW40">
        <f>100922</f>
        <v>100922</v>
      </c>
      <c r="BX40">
        <f>83805</f>
        <v>83805</v>
      </c>
      <c r="BY40">
        <f>104362</f>
        <v>104362</v>
      </c>
      <c r="BZ40">
        <f>83229</f>
        <v>83229</v>
      </c>
      <c r="CA40">
        <f>96455</f>
        <v>96455</v>
      </c>
      <c r="CB40">
        <f>80669</f>
        <v>80669</v>
      </c>
      <c r="CC40">
        <f>92251</f>
        <v>92251</v>
      </c>
      <c r="CD40">
        <f>75733</f>
        <v>75733</v>
      </c>
      <c r="CE40">
        <f>81312</f>
        <v>81312</v>
      </c>
      <c r="CF40">
        <f>70889</f>
        <v>70889</v>
      </c>
      <c r="CG40">
        <f>83944</f>
        <v>83944</v>
      </c>
      <c r="CH40">
        <f>67803</f>
        <v>67803</v>
      </c>
      <c r="CI40">
        <f>76534</f>
        <v>76534</v>
      </c>
      <c r="CJ40">
        <f>64165</f>
        <v>64165</v>
      </c>
      <c r="CK40">
        <f>72826</f>
        <v>72826</v>
      </c>
      <c r="CL40">
        <f>56074</f>
        <v>56074</v>
      </c>
      <c r="CM40">
        <f>76188</f>
        <v>76188</v>
      </c>
      <c r="CN40">
        <f>61078</f>
        <v>61078</v>
      </c>
      <c r="CO40">
        <f>74657</f>
        <v>74657</v>
      </c>
      <c r="CP40">
        <f>67976</f>
        <v>67976</v>
      </c>
      <c r="CQ40">
        <f>77348</f>
        <v>77348</v>
      </c>
      <c r="CR40">
        <f>70594</f>
        <v>70594</v>
      </c>
      <c r="CS40">
        <f>87278</f>
        <v>87278</v>
      </c>
      <c r="CT40">
        <f>69764</f>
        <v>69764</v>
      </c>
      <c r="CU40">
        <f>82942</f>
        <v>82942</v>
      </c>
      <c r="CV40">
        <f>68663</f>
        <v>68663</v>
      </c>
      <c r="CW40">
        <f>78932</f>
        <v>78932</v>
      </c>
      <c r="CX40">
        <f>59147</f>
        <v>59147</v>
      </c>
      <c r="CY40">
        <f>61277</f>
        <v>61277</v>
      </c>
      <c r="CZ40">
        <f>49337</f>
        <v>49337</v>
      </c>
      <c r="DA40">
        <f>58857</f>
        <v>58857</v>
      </c>
      <c r="DB40">
        <f>43937</f>
        <v>43937</v>
      </c>
      <c r="DC40">
        <f>57071</f>
        <v>57071</v>
      </c>
      <c r="DD40">
        <f>57400</f>
        <v>57400</v>
      </c>
      <c r="DE40">
        <f>77688</f>
        <v>77688</v>
      </c>
      <c r="DF40">
        <f>61823</f>
        <v>61823</v>
      </c>
      <c r="DG40">
        <f>87294</f>
        <v>87294</v>
      </c>
      <c r="DH40">
        <f>67456</f>
        <v>67456</v>
      </c>
      <c r="DI40">
        <f>83647</f>
        <v>83647</v>
      </c>
      <c r="DJ40">
        <f>68402</f>
        <v>68402</v>
      </c>
      <c r="DK40">
        <f>72946</f>
        <v>72946</v>
      </c>
      <c r="DL40">
        <f>65608</f>
        <v>65608</v>
      </c>
      <c r="DM40">
        <f>82956</f>
        <v>82956</v>
      </c>
      <c r="DN40">
        <f>61256</f>
        <v>61256</v>
      </c>
      <c r="DO40">
        <f>74512</f>
        <v>74512</v>
      </c>
      <c r="DP40">
        <f>62623</f>
        <v>62623</v>
      </c>
      <c r="DQ40">
        <f>77610</f>
        <v>77610</v>
      </c>
      <c r="DR40">
        <f>59556</f>
        <v>59556</v>
      </c>
      <c r="DS40">
        <f>71751</f>
        <v>71751</v>
      </c>
      <c r="DT40">
        <f>57000</f>
        <v>57000</v>
      </c>
      <c r="DU40">
        <f>76608</f>
        <v>76608</v>
      </c>
    </row>
    <row r="41" spans="1:125" x14ac:dyDescent="0.25">
      <c r="A41" t="str">
        <f>"            Switzerland"</f>
        <v xml:space="preserve">            Switzerland</v>
      </c>
      <c r="B41" t="str">
        <f>"WCARCHI Index"</f>
        <v>WCARCHI Index</v>
      </c>
      <c r="C41" t="str">
        <f t="shared" si="3"/>
        <v>PX385</v>
      </c>
      <c r="D41" t="str">
        <f t="shared" si="4"/>
        <v>INTERVAL_SUM</v>
      </c>
      <c r="E41" t="str">
        <f t="shared" si="5"/>
        <v>Dynamic</v>
      </c>
      <c r="F41">
        <f ca="1">IF(AND(ISNUMBER($F$193),$B$156=1),$F$193,HLOOKUP(INDIRECT(ADDRESS(2,COLUMN())),OFFSET($BN$2,0,0,ROW()-1,60),ROW()-1,FALSE))</f>
        <v>20931</v>
      </c>
      <c r="G41">
        <f ca="1">IF(AND(ISNUMBER($G$193),$B$156=1),$G$193,HLOOKUP(INDIRECT(ADDRESS(2,COLUMN())),OFFSET($BN$2,0,0,ROW()-1,60),ROW()-1,FALSE))</f>
        <v>74430</v>
      </c>
      <c r="H41">
        <f ca="1">IF(AND(ISNUMBER($H$193),$B$156=1),$H$193,HLOOKUP(INDIRECT(ADDRESS(2,COLUMN())),OFFSET($BN$2,0,0,ROW()-1,60),ROW()-1,FALSE))</f>
        <v>67376</v>
      </c>
      <c r="I41">
        <f ca="1">IF(AND(ISNUMBER($I$193),$B$156=1),$I$193,HLOOKUP(INDIRECT(ADDRESS(2,COLUMN())),OFFSET($BN$2,0,0,ROW()-1,60),ROW()-1,FALSE))</f>
        <v>85821</v>
      </c>
      <c r="J41">
        <f ca="1">IF(AND(ISNUMBER($J$193),$B$156=1),$J$193,HLOOKUP(INDIRECT(ADDRESS(2,COLUMN())),OFFSET($BN$2,0,0,ROW()-1,60),ROW()-1,FALSE))</f>
        <v>72089</v>
      </c>
      <c r="K41">
        <f ca="1">IF(AND(ISNUMBER($K$193),$B$156=1),$K$193,HLOOKUP(INDIRECT(ADDRESS(2,COLUMN())),OFFSET($BN$2,0,0,ROW()-1,60),ROW()-1,FALSE))</f>
        <v>82545</v>
      </c>
      <c r="L41">
        <f ca="1">IF(AND(ISNUMBER($L$193),$B$156=1),$L$193,HLOOKUP(INDIRECT(ADDRESS(2,COLUMN())),OFFSET($BN$2,0,0,ROW()-1,60),ROW()-1,FALSE))</f>
        <v>72565</v>
      </c>
      <c r="M41">
        <f ca="1">IF(AND(ISNUMBER($M$193),$B$156=1),$M$193,HLOOKUP(INDIRECT(ADDRESS(2,COLUMN())),OFFSET($BN$2,0,0,ROW()-1,60),ROW()-1,FALSE))</f>
        <v>86149</v>
      </c>
      <c r="N41">
        <f ca="1">IF(AND(ISNUMBER($N$193),$B$156=1),$N$193,HLOOKUP(INDIRECT(ADDRESS(2,COLUMN())),OFFSET($BN$2,0,0,ROW()-1,60),ROW()-1,FALSE))</f>
        <v>72769</v>
      </c>
      <c r="O41">
        <f ca="1">IF(AND(ISNUMBER($O$193),$B$156=1),$O$193,HLOOKUP(INDIRECT(ADDRESS(2,COLUMN())),OFFSET($BN$2,0,0,ROW()-1,60),ROW()-1,FALSE))</f>
        <v>85136</v>
      </c>
      <c r="P41">
        <f ca="1">IF(AND(ISNUMBER($P$193),$B$156=1),$P$193,HLOOKUP(INDIRECT(ADDRESS(2,COLUMN())),OFFSET($BN$2,0,0,ROW()-1,60),ROW()-1,FALSE))</f>
        <v>74146</v>
      </c>
      <c r="Q41">
        <f ca="1">IF(AND(ISNUMBER($Q$193),$B$156=1),$Q$193,HLOOKUP(INDIRECT(ADDRESS(2,COLUMN())),OFFSET($BN$2,0,0,ROW()-1,60),ROW()-1,FALSE))</f>
        <v>86080</v>
      </c>
      <c r="R41">
        <f ca="1">IF(AND(ISNUMBER($R$193),$B$156=1),$R$193,HLOOKUP(INDIRECT(ADDRESS(2,COLUMN())),OFFSET($BN$2,0,0,ROW()-1,60),ROW()-1,FALSE))</f>
        <v>71957</v>
      </c>
      <c r="S41">
        <f ca="1">IF(AND(ISNUMBER($S$193),$B$156=1),$S$193,HLOOKUP(INDIRECT(ADDRESS(2,COLUMN())),OFFSET($BN$2,0,0,ROW()-1,60),ROW()-1,FALSE))</f>
        <v>84190</v>
      </c>
      <c r="T41">
        <f ca="1">IF(AND(ISNUMBER($T$193),$B$156=1),$T$193,HLOOKUP(INDIRECT(ADDRESS(2,COLUMN())),OFFSET($BN$2,0,0,ROW()-1,60),ROW()-1,FALSE))</f>
        <v>77796</v>
      </c>
      <c r="U41">
        <f ca="1">IF(AND(ISNUMBER($U$193),$B$156=1),$U$193,HLOOKUP(INDIRECT(ADDRESS(2,COLUMN())),OFFSET($BN$2,0,0,ROW()-1,60),ROW()-1,FALSE))</f>
        <v>89523</v>
      </c>
      <c r="V41">
        <f ca="1">IF(AND(ISNUMBER($V$193),$B$156=1),$V$193,HLOOKUP(INDIRECT(ADDRESS(2,COLUMN())),OFFSET($BN$2,0,0,ROW()-1,60),ROW()-1,FALSE))</f>
        <v>72275</v>
      </c>
      <c r="W41">
        <f ca="1">IF(AND(ISNUMBER($W$193),$B$156=1),$W$193,HLOOKUP(INDIRECT(ADDRESS(2,COLUMN())),OFFSET($BN$2,0,0,ROW()-1,60),ROW()-1,FALSE))</f>
        <v>82806</v>
      </c>
      <c r="X41">
        <f ca="1">IF(AND(ISNUMBER($X$193),$B$156=1),$X$193,HLOOKUP(INDIRECT(ADDRESS(2,COLUMN())),OFFSET($BN$2,0,0,ROW()-1,60),ROW()-1,FALSE))</f>
        <v>69231</v>
      </c>
      <c r="Y41">
        <f ca="1">IF(AND(ISNUMBER($Y$193),$B$156=1),$Y$193,HLOOKUP(INDIRECT(ADDRESS(2,COLUMN())),OFFSET($BN$2,0,0,ROW()-1,60),ROW()-1,FALSE))</f>
        <v>81510</v>
      </c>
      <c r="Z41">
        <f ca="1">IF(AND(ISNUMBER($Z$193),$B$156=1),$Z$193,HLOOKUP(INDIRECT(ADDRESS(2,COLUMN())),OFFSET($BN$2,0,0,ROW()-1,60),ROW()-1,FALSE))</f>
        <v>68395</v>
      </c>
      <c r="AA41">
        <f ca="1">IF(AND(ISNUMBER($AA$193),$B$156=1),$AA$193,HLOOKUP(INDIRECT(ADDRESS(2,COLUMN())),OFFSET($BN$2,0,0,ROW()-1,60),ROW()-1,FALSE))</f>
        <v>81619</v>
      </c>
      <c r="AB41">
        <f ca="1">IF(AND(ISNUMBER($AB$193),$B$156=1),$AB$193,HLOOKUP(INDIRECT(ADDRESS(2,COLUMN())),OFFSET($BN$2,0,0,ROW()-1,60),ROW()-1,FALSE))</f>
        <v>69961</v>
      </c>
      <c r="AC41">
        <f ca="1">IF(AND(ISNUMBER($AC$193),$B$156=1),$AC$193,HLOOKUP(INDIRECT(ADDRESS(2,COLUMN())),OFFSET($BN$2,0,0,ROW()-1,60),ROW()-1,FALSE))</f>
        <v>84554</v>
      </c>
      <c r="AD41">
        <f ca="1">IF(AND(ISNUMBER($AD$193),$B$156=1),$AD$193,HLOOKUP(INDIRECT(ADDRESS(2,COLUMN())),OFFSET($BN$2,0,0,ROW()-1,60),ROW()-1,FALSE))</f>
        <v>71751</v>
      </c>
      <c r="AE41">
        <f ca="1">IF(AND(ISNUMBER($AE$193),$B$156=1),$AE$193,HLOOKUP(INDIRECT(ADDRESS(2,COLUMN())),OFFSET($BN$2,0,0,ROW()-1,60),ROW()-1,FALSE))</f>
        <v>82613</v>
      </c>
      <c r="AF41">
        <f ca="1">IF(AND(ISNUMBER($AF$193),$B$156=1),$AF$193,HLOOKUP(INDIRECT(ADDRESS(2,COLUMN())),OFFSET($BN$2,0,0,ROW()-1,60),ROW()-1,FALSE))</f>
        <v>68216</v>
      </c>
      <c r="AG41">
        <f ca="1">IF(AND(ISNUMBER($AG$193),$B$156=1),$AG$193,HLOOKUP(INDIRECT(ADDRESS(2,COLUMN())),OFFSET($BN$2,0,0,ROW()-1,60),ROW()-1,FALSE))</f>
        <v>98180</v>
      </c>
      <c r="AH41">
        <f ca="1">IF(AND(ISNUMBER($AH$193),$B$156=1),$AH$193,HLOOKUP(INDIRECT(ADDRESS(2,COLUMN())),OFFSET($BN$2,0,0,ROW()-1,60),ROW()-1,FALSE))</f>
        <v>79130</v>
      </c>
      <c r="AI41">
        <f ca="1">IF(AND(ISNUMBER($AI$193),$B$156=1),$AI$193,HLOOKUP(INDIRECT(ADDRESS(2,COLUMN())),OFFSET($BN$2,0,0,ROW()-1,60),ROW()-1,FALSE))</f>
        <v>86220</v>
      </c>
      <c r="AJ41">
        <f ca="1">IF(AND(ISNUMBER($AJ$193),$B$156=1),$AJ$193,HLOOKUP(INDIRECT(ADDRESS(2,COLUMN())),OFFSET($BN$2,0,0,ROW()-1,60),ROW()-1,FALSE))</f>
        <v>74264</v>
      </c>
      <c r="AK41">
        <f ca="1">IF(AND(ISNUMBER($AK$193),$B$156=1),$AK$193,HLOOKUP(INDIRECT(ADDRESS(2,COLUMN())),OFFSET($BN$2,0,0,ROW()-1,60),ROW()-1,FALSE))</f>
        <v>85621</v>
      </c>
      <c r="AL41">
        <f ca="1">IF(AND(ISNUMBER($AL$193),$B$156=1),$AL$193,HLOOKUP(INDIRECT(ADDRESS(2,COLUMN())),OFFSET($BN$2,0,0,ROW()-1,60),ROW()-1,FALSE))</f>
        <v>72853</v>
      </c>
      <c r="AM41">
        <f ca="1">IF(AND(ISNUMBER($AM$193),$B$156=1),$AM$193,HLOOKUP(INDIRECT(ADDRESS(2,COLUMN())),OFFSET($BN$2,0,0,ROW()-1,60),ROW()-1,FALSE))</f>
        <v>77750</v>
      </c>
      <c r="AN41">
        <f ca="1">IF(AND(ISNUMBER($AN$193),$B$156=1),$AN$193,HLOOKUP(INDIRECT(ADDRESS(2,COLUMN())),OFFSET($BN$2,0,0,ROW()-1,60),ROW()-1,FALSE))</f>
        <v>67984</v>
      </c>
      <c r="AO41">
        <f ca="1">IF(AND(ISNUMBER($AO$193),$B$156=1),$AO$193,HLOOKUP(INDIRECT(ADDRESS(2,COLUMN())),OFFSET($BN$2,0,0,ROW()-1,60),ROW()-1,FALSE))</f>
        <v>82503</v>
      </c>
      <c r="AP41">
        <f ca="1">IF(AND(ISNUMBER($AP$193),$B$156=1),$AP$193,HLOOKUP(INDIRECT(ADDRESS(2,COLUMN())),OFFSET($BN$2,0,0,ROW()-1,60),ROW()-1,FALSE))</f>
        <v>66002</v>
      </c>
      <c r="AQ41">
        <f ca="1">IF(AND(ISNUMBER($AQ$193),$B$156=1),$AQ$193,HLOOKUP(INDIRECT(ADDRESS(2,COLUMN())),OFFSET($BN$2,0,0,ROW()-1,60),ROW()-1,FALSE))</f>
        <v>69035</v>
      </c>
      <c r="AR41">
        <f ca="1">IF(AND(ISNUMBER($AR$193),$B$156=1),$AR$193,HLOOKUP(INDIRECT(ADDRESS(2,COLUMN())),OFFSET($BN$2,0,0,ROW()-1,60),ROW()-1,FALSE))</f>
        <v>63120</v>
      </c>
      <c r="AS41">
        <f ca="1">IF(AND(ISNUMBER($AS$193),$B$156=1),$AS$193,HLOOKUP(INDIRECT(ADDRESS(2,COLUMN())),OFFSET($BN$2,0,0,ROW()-1,60),ROW()-1,FALSE))</f>
        <v>74752</v>
      </c>
      <c r="AT41">
        <f ca="1">IF(AND(ISNUMBER($AT$193),$B$156=1),$AT$193,HLOOKUP(INDIRECT(ADDRESS(2,COLUMN())),OFFSET($BN$2,0,0,ROW()-1,60),ROW()-1,FALSE))</f>
        <v>59111</v>
      </c>
      <c r="AU41">
        <f ca="1">IF(AND(ISNUMBER($AU$193),$B$156=1),$AU$193,HLOOKUP(INDIRECT(ADDRESS(2,COLUMN())),OFFSET($BN$2,0,0,ROW()-1,60),ROW()-1,FALSE))</f>
        <v>68625</v>
      </c>
      <c r="AV41">
        <f ca="1">IF(AND(ISNUMBER($AV$193),$B$156=1),$AV$193,HLOOKUP(INDIRECT(ADDRESS(2,COLUMN())),OFFSET($BN$2,0,0,ROW()-1,60),ROW()-1,FALSE))</f>
        <v>67063</v>
      </c>
      <c r="AW41">
        <f ca="1">IF(AND(ISNUMBER($AW$193),$B$156=1),$AW$193,HLOOKUP(INDIRECT(ADDRESS(2,COLUMN())),OFFSET($BN$2,0,0,ROW()-1,60),ROW()-1,FALSE))</f>
        <v>85771</v>
      </c>
      <c r="AX41">
        <f ca="1">IF(AND(ISNUMBER($AX$193),$B$156=1),$AX$193,HLOOKUP(INDIRECT(ADDRESS(2,COLUMN())),OFFSET($BN$2,0,0,ROW()-1,60),ROW()-1,FALSE))</f>
        <v>67098</v>
      </c>
      <c r="AY41">
        <f ca="1">IF(AND(ISNUMBER($AY$193),$B$156=1),$AY$193,HLOOKUP(INDIRECT(ADDRESS(2,COLUMN())),OFFSET($BN$2,0,0,ROW()-1,60),ROW()-1,FALSE))</f>
        <v>71827</v>
      </c>
      <c r="AZ41">
        <f ca="1">IF(AND(ISNUMBER($AZ$193),$B$156=1),$AZ$193,HLOOKUP(INDIRECT(ADDRESS(2,COLUMN())),OFFSET($BN$2,0,0,ROW()-1,60),ROW()-1,FALSE))</f>
        <v>66839</v>
      </c>
      <c r="BA41">
        <f ca="1">IF(AND(ISNUMBER($BA$193),$B$156=1),$BA$193,HLOOKUP(INDIRECT(ADDRESS(2,COLUMN())),OFFSET($BN$2,0,0,ROW()-1,60),ROW()-1,FALSE))</f>
        <v>82896</v>
      </c>
      <c r="BB41">
        <f ca="1">IF(AND(ISNUMBER($BB$193),$B$156=1),$BB$193,HLOOKUP(INDIRECT(ADDRESS(2,COLUMN())),OFFSET($BN$2,0,0,ROW()-1,60),ROW()-1,FALSE))</f>
        <v>63126</v>
      </c>
      <c r="BC41">
        <f ca="1">IF(AND(ISNUMBER($BC$193),$B$156=1),$BC$193,HLOOKUP(INDIRECT(ADDRESS(2,COLUMN())),OFFSET($BN$2,0,0,ROW()-1,60),ROW()-1,FALSE))</f>
        <v>65827</v>
      </c>
      <c r="BD41">
        <f ca="1">IF(AND(ISNUMBER($BD$193),$B$156=1),$BD$193,HLOOKUP(INDIRECT(ADDRESS(2,COLUMN())),OFFSET($BN$2,0,0,ROW()-1,60),ROW()-1,FALSE))</f>
        <v>58916</v>
      </c>
      <c r="BE41">
        <f ca="1">IF(AND(ISNUMBER($BE$193),$B$156=1),$BE$193,HLOOKUP(INDIRECT(ADDRESS(2,COLUMN())),OFFSET($BN$2,0,0,ROW()-1,60),ROW()-1,FALSE))</f>
        <v>81712</v>
      </c>
      <c r="BF41">
        <f ca="1">IF(AND(ISNUMBER($BF$193),$B$156=1),$BF$193,HLOOKUP(INDIRECT(ADDRESS(2,COLUMN())),OFFSET($BN$2,0,0,ROW()-1,60),ROW()-1,FALSE))</f>
        <v>62997</v>
      </c>
      <c r="BG41">
        <f ca="1">IF(AND(ISNUMBER($BG$193),$B$156=1),$BG$193,HLOOKUP(INDIRECT(ADDRESS(2,COLUMN())),OFFSET($BN$2,0,0,ROW()-1,60),ROW()-1,FALSE))</f>
        <v>62926</v>
      </c>
      <c r="BH41">
        <f ca="1">IF(AND(ISNUMBER($BH$193),$B$156=1),$BH$193,HLOOKUP(INDIRECT(ADDRESS(2,COLUMN())),OFFSET($BN$2,0,0,ROW()-1,60),ROW()-1,FALSE))</f>
        <v>62006</v>
      </c>
      <c r="BI41">
        <f ca="1">IF(AND(ISNUMBER($BI$193),$B$156=1),$BI$193,HLOOKUP(INDIRECT(ADDRESS(2,COLUMN())),OFFSET($BN$2,0,0,ROW()-1,60),ROW()-1,FALSE))</f>
        <v>80213</v>
      </c>
      <c r="BJ41">
        <f ca="1">IF(AND(ISNUMBER($BJ$193),$B$156=1),$BJ$193,HLOOKUP(INDIRECT(ADDRESS(2,COLUMN())),OFFSET($BN$2,0,0,ROW()-1,60),ROW()-1,FALSE))</f>
        <v>59796</v>
      </c>
      <c r="BK41">
        <f ca="1">IF(AND(ISNUMBER($BK$193),$B$156=1),$BK$193,HLOOKUP(INDIRECT(ADDRESS(2,COLUMN())),OFFSET($BN$2,0,0,ROW()-1,60),ROW()-1,FALSE))</f>
        <v>62684</v>
      </c>
      <c r="BL41">
        <f ca="1">IF(AND(ISNUMBER($BL$193),$B$156=1),$BL$193,HLOOKUP(INDIRECT(ADDRESS(2,COLUMN())),OFFSET($BN$2,0,0,ROW()-1,60),ROW()-1,FALSE))</f>
        <v>61992</v>
      </c>
      <c r="BM41">
        <f ca="1">IF(AND(ISNUMBER($BM$193),$B$156=1),$BM$193,HLOOKUP(INDIRECT(ADDRESS(2,COLUMN())),OFFSET($BN$2,0,0,ROW()-1,60),ROW()-1,FALSE))</f>
        <v>81787</v>
      </c>
      <c r="BN41">
        <f>20931</f>
        <v>20931</v>
      </c>
      <c r="BO41">
        <f>74430</f>
        <v>74430</v>
      </c>
      <c r="BP41">
        <f>67376</f>
        <v>67376</v>
      </c>
      <c r="BQ41">
        <f>85821</f>
        <v>85821</v>
      </c>
      <c r="BR41">
        <f>72089</f>
        <v>72089</v>
      </c>
      <c r="BS41">
        <f>82545</f>
        <v>82545</v>
      </c>
      <c r="BT41">
        <f>72565</f>
        <v>72565</v>
      </c>
      <c r="BU41">
        <f>86149</f>
        <v>86149</v>
      </c>
      <c r="BV41">
        <f>72769</f>
        <v>72769</v>
      </c>
      <c r="BW41">
        <f>85136</f>
        <v>85136</v>
      </c>
      <c r="BX41">
        <f>74146</f>
        <v>74146</v>
      </c>
      <c r="BY41">
        <f>86080</f>
        <v>86080</v>
      </c>
      <c r="BZ41">
        <f>71957</f>
        <v>71957</v>
      </c>
      <c r="CA41">
        <f>84190</f>
        <v>84190</v>
      </c>
      <c r="CB41">
        <f>77796</f>
        <v>77796</v>
      </c>
      <c r="CC41">
        <f>89523</f>
        <v>89523</v>
      </c>
      <c r="CD41">
        <f>72275</f>
        <v>72275</v>
      </c>
      <c r="CE41">
        <f>82806</f>
        <v>82806</v>
      </c>
      <c r="CF41">
        <f>69231</f>
        <v>69231</v>
      </c>
      <c r="CG41">
        <f>81510</f>
        <v>81510</v>
      </c>
      <c r="CH41">
        <f>68395</f>
        <v>68395</v>
      </c>
      <c r="CI41">
        <f>81619</f>
        <v>81619</v>
      </c>
      <c r="CJ41">
        <f>69961</f>
        <v>69961</v>
      </c>
      <c r="CK41">
        <f>84554</f>
        <v>84554</v>
      </c>
      <c r="CL41">
        <f>71751</f>
        <v>71751</v>
      </c>
      <c r="CM41">
        <f>82613</f>
        <v>82613</v>
      </c>
      <c r="CN41">
        <f>68216</f>
        <v>68216</v>
      </c>
      <c r="CO41">
        <f>98180</f>
        <v>98180</v>
      </c>
      <c r="CP41">
        <f>79130</f>
        <v>79130</v>
      </c>
      <c r="CQ41">
        <f>86220</f>
        <v>86220</v>
      </c>
      <c r="CR41">
        <f>74264</f>
        <v>74264</v>
      </c>
      <c r="CS41">
        <f>85621</f>
        <v>85621</v>
      </c>
      <c r="CT41">
        <f>72853</f>
        <v>72853</v>
      </c>
      <c r="CU41">
        <f>77750</f>
        <v>77750</v>
      </c>
      <c r="CV41">
        <f>67984</f>
        <v>67984</v>
      </c>
      <c r="CW41">
        <f>82503</f>
        <v>82503</v>
      </c>
      <c r="CX41">
        <f>66002</f>
        <v>66002</v>
      </c>
      <c r="CY41">
        <f>69035</f>
        <v>69035</v>
      </c>
      <c r="CZ41">
        <f>63120</f>
        <v>63120</v>
      </c>
      <c r="DA41">
        <f>74752</f>
        <v>74752</v>
      </c>
      <c r="DB41">
        <f>59111</f>
        <v>59111</v>
      </c>
      <c r="DC41">
        <f>68625</f>
        <v>68625</v>
      </c>
      <c r="DD41">
        <f>67063</f>
        <v>67063</v>
      </c>
      <c r="DE41">
        <f>85771</f>
        <v>85771</v>
      </c>
      <c r="DF41">
        <f>67098</f>
        <v>67098</v>
      </c>
      <c r="DG41">
        <f>71827</f>
        <v>71827</v>
      </c>
      <c r="DH41">
        <f>66839</f>
        <v>66839</v>
      </c>
      <c r="DI41">
        <f>82896</f>
        <v>82896</v>
      </c>
      <c r="DJ41">
        <f>63126</f>
        <v>63126</v>
      </c>
      <c r="DK41">
        <f>65827</f>
        <v>65827</v>
      </c>
      <c r="DL41">
        <f>58916</f>
        <v>58916</v>
      </c>
      <c r="DM41">
        <f>81712</f>
        <v>81712</v>
      </c>
      <c r="DN41">
        <f>62997</f>
        <v>62997</v>
      </c>
      <c r="DO41">
        <f>62926</f>
        <v>62926</v>
      </c>
      <c r="DP41">
        <f>62006</f>
        <v>62006</v>
      </c>
      <c r="DQ41">
        <f>80213</f>
        <v>80213</v>
      </c>
      <c r="DR41">
        <f>59796</f>
        <v>59796</v>
      </c>
      <c r="DS41">
        <f>62684</f>
        <v>62684</v>
      </c>
      <c r="DT41">
        <f>61992</f>
        <v>61992</v>
      </c>
      <c r="DU41">
        <f>81787</f>
        <v>81787</v>
      </c>
    </row>
    <row r="42" spans="1:125" x14ac:dyDescent="0.25">
      <c r="A42" t="str">
        <f>"            Turkey"</f>
        <v xml:space="preserve">            Turkey</v>
      </c>
      <c r="B42" t="str">
        <f>"TUCSMP Index"</f>
        <v>TUCSMP Index</v>
      </c>
      <c r="C42" t="str">
        <f t="shared" si="3"/>
        <v>PX385</v>
      </c>
      <c r="D42" t="str">
        <f t="shared" si="4"/>
        <v>INTERVAL_SUM</v>
      </c>
      <c r="E42" t="str">
        <f t="shared" si="5"/>
        <v>Dynamic</v>
      </c>
      <c r="F42">
        <f ca="1">IF(AND(ISNUMBER($F$194),$B$156=1),$F$194,HLOOKUP(INDIRECT(ADDRESS(2,COLUMN())),OFFSET($BN$2,0,0,ROW()-1,60),ROW()-1,FALSE))</f>
        <v>14775</v>
      </c>
      <c r="G42">
        <f ca="1">IF(AND(ISNUMBER($G$194),$B$156=1),$G$194,HLOOKUP(INDIRECT(ADDRESS(2,COLUMN())),OFFSET($BN$2,0,0,ROW()-1,60),ROW()-1,FALSE))</f>
        <v>161815</v>
      </c>
      <c r="H42">
        <f ca="1">IF(AND(ISNUMBER($H$194),$B$156=1),$H$194,HLOOKUP(INDIRECT(ADDRESS(2,COLUMN())),OFFSET($BN$2,0,0,ROW()-1,60),ROW()-1,FALSE))</f>
        <v>113389</v>
      </c>
      <c r="I42">
        <f ca="1">IF(AND(ISNUMBER($I$194),$B$156=1),$I$194,HLOOKUP(INDIRECT(ADDRESS(2,COLUMN())),OFFSET($BN$2,0,0,ROW()-1,60),ROW()-1,FALSE))</f>
        <v>153560</v>
      </c>
      <c r="J42">
        <f ca="1">IF(AND(ISNUMBER($J$194),$B$156=1),$J$194,HLOOKUP(INDIRECT(ADDRESS(2,COLUMN())),OFFSET($BN$2,0,0,ROW()-1,60),ROW()-1,FALSE))</f>
        <v>108951</v>
      </c>
      <c r="K42">
        <f ca="1">IF(AND(ISNUMBER($K$194),$B$156=1),$K$194,HLOOKUP(INDIRECT(ADDRESS(2,COLUMN())),OFFSET($BN$2,0,0,ROW()-1,60),ROW()-1,FALSE))</f>
        <v>339718</v>
      </c>
      <c r="L42">
        <f ca="1">IF(AND(ISNUMBER($L$194),$B$156=1),$L$194,HLOOKUP(INDIRECT(ADDRESS(2,COLUMN())),OFFSET($BN$2,0,0,ROW()-1,60),ROW()-1,FALSE))</f>
        <v>233591</v>
      </c>
      <c r="M42">
        <f ca="1">IF(AND(ISNUMBER($M$194),$B$156=1),$M$194,HLOOKUP(INDIRECT(ADDRESS(2,COLUMN())),OFFSET($BN$2,0,0,ROW()-1,60),ROW()-1,FALSE))</f>
        <v>189961</v>
      </c>
      <c r="N42">
        <f ca="1">IF(AND(ISNUMBER($N$194),$B$156=1),$N$194,HLOOKUP(INDIRECT(ADDRESS(2,COLUMN())),OFFSET($BN$2,0,0,ROW()-1,60),ROW()-1,FALSE))</f>
        <v>115963</v>
      </c>
      <c r="O42">
        <f ca="1">IF(AND(ISNUMBER($O$194),$B$156=1),$O$194,HLOOKUP(INDIRECT(ADDRESS(2,COLUMN())),OFFSET($BN$2,0,0,ROW()-1,60),ROW()-1,FALSE))</f>
        <v>267573</v>
      </c>
      <c r="P42">
        <f ca="1">IF(AND(ISNUMBER($P$194),$B$156=1),$P$194,HLOOKUP(INDIRECT(ADDRESS(2,COLUMN())),OFFSET($BN$2,0,0,ROW()-1,60),ROW()-1,FALSE))</f>
        <v>150883</v>
      </c>
      <c r="Q42">
        <f ca="1">IF(AND(ISNUMBER($Q$194),$B$156=1),$Q$194,HLOOKUP(INDIRECT(ADDRESS(2,COLUMN())),OFFSET($BN$2,0,0,ROW()-1,60),ROW()-1,FALSE))</f>
        <v>210561</v>
      </c>
      <c r="R42">
        <f ca="1">IF(AND(ISNUMBER($R$194),$B$156=1),$R$194,HLOOKUP(INDIRECT(ADDRESS(2,COLUMN())),OFFSET($BN$2,0,0,ROW()-1,60),ROW()-1,FALSE))</f>
        <v>127921</v>
      </c>
      <c r="S42">
        <f ca="1">IF(AND(ISNUMBER($S$194),$B$156=1),$S$194,HLOOKUP(INDIRECT(ADDRESS(2,COLUMN())),OFFSET($BN$2,0,0,ROW()-1,60),ROW()-1,FALSE))</f>
        <v>224691</v>
      </c>
      <c r="T42">
        <f ca="1">IF(AND(ISNUMBER($T$194),$B$156=1),$T$194,HLOOKUP(INDIRECT(ADDRESS(2,COLUMN())),OFFSET($BN$2,0,0,ROW()-1,60),ROW()-1,FALSE))</f>
        <v>173059</v>
      </c>
      <c r="U42">
        <f ca="1">IF(AND(ISNUMBER($U$194),$B$156=1),$U$194,HLOOKUP(INDIRECT(ADDRESS(2,COLUMN())),OFFSET($BN$2,0,0,ROW()-1,60),ROW()-1,FALSE))</f>
        <v>200855</v>
      </c>
      <c r="V42">
        <f ca="1">IF(AND(ISNUMBER($V$194),$B$156=1),$V$194,HLOOKUP(INDIRECT(ADDRESS(2,COLUMN())),OFFSET($BN$2,0,0,ROW()-1,60),ROW()-1,FALSE))</f>
        <v>126991</v>
      </c>
      <c r="W42">
        <f ca="1">IF(AND(ISNUMBER($W$194),$B$156=1),$W$194,HLOOKUP(INDIRECT(ADDRESS(2,COLUMN())),OFFSET($BN$2,0,0,ROW()-1,60),ROW()-1,FALSE))</f>
        <v>220563</v>
      </c>
      <c r="X42">
        <f ca="1">IF(AND(ISNUMBER($X$194),$B$156=1),$X$194,HLOOKUP(INDIRECT(ADDRESS(2,COLUMN())),OFFSET($BN$2,0,0,ROW()-1,60),ROW()-1,FALSE))</f>
        <v>140995</v>
      </c>
      <c r="Y42">
        <f ca="1">IF(AND(ISNUMBER($Y$194),$B$156=1),$Y$194,HLOOKUP(INDIRECT(ADDRESS(2,COLUMN())),OFFSET($BN$2,0,0,ROW()-1,60),ROW()-1,FALSE))</f>
        <v>136426</v>
      </c>
      <c r="Z42">
        <f ca="1">IF(AND(ISNUMBER($Z$194),$B$156=1),$Z$194,HLOOKUP(INDIRECT(ADDRESS(2,COLUMN())),OFFSET($BN$2,0,0,ROW()-1,60),ROW()-1,FALSE))</f>
        <v>89477</v>
      </c>
      <c r="AA42">
        <f ca="1">IF(AND(ISNUMBER($AA$194),$B$156=1),$AA$194,HLOOKUP(INDIRECT(ADDRESS(2,COLUMN())),OFFSET($BN$2,0,0,ROW()-1,60),ROW()-1,FALSE))</f>
        <v>212301</v>
      </c>
      <c r="AB42">
        <f ca="1">IF(AND(ISNUMBER($AB$194),$B$156=1),$AB$194,HLOOKUP(INDIRECT(ADDRESS(2,COLUMN())),OFFSET($BN$2,0,0,ROW()-1,60),ROW()-1,FALSE))</f>
        <v>151138</v>
      </c>
      <c r="AC42">
        <f ca="1">IF(AND(ISNUMBER($AC$194),$B$156=1),$AC$194,HLOOKUP(INDIRECT(ADDRESS(2,COLUMN())),OFFSET($BN$2,0,0,ROW()-1,60),ROW()-1,FALSE))</f>
        <v>177672</v>
      </c>
      <c r="AD42">
        <f ca="1">IF(AND(ISNUMBER($AD$194),$B$156=1),$AD$194,HLOOKUP(INDIRECT(ADDRESS(2,COLUMN())),OFFSET($BN$2,0,0,ROW()-1,60),ROW()-1,FALSE))</f>
        <v>114434</v>
      </c>
      <c r="AE42">
        <f ca="1">IF(AND(ISNUMBER($AE$194),$B$156=1),$AE$194,HLOOKUP(INDIRECT(ADDRESS(2,COLUMN())),OFFSET($BN$2,0,0,ROW()-1,60),ROW()-1,FALSE))</f>
        <v>195900</v>
      </c>
      <c r="AF42">
        <f ca="1">IF(AND(ISNUMBER($AF$194),$B$156=1),$AF$194,HLOOKUP(INDIRECT(ADDRESS(2,COLUMN())),OFFSET($BN$2,0,0,ROW()-1,60),ROW()-1,FALSE))</f>
        <v>135127</v>
      </c>
      <c r="AG42">
        <f ca="1">IF(AND(ISNUMBER($AG$194),$B$156=1),$AG$194,HLOOKUP(INDIRECT(ADDRESS(2,COLUMN())),OFFSET($BN$2,0,0,ROW()-1,60),ROW()-1,FALSE))</f>
        <v>146954</v>
      </c>
      <c r="AH42">
        <f ca="1">IF(AND(ISNUMBER($AH$194),$B$156=1),$AH$194,HLOOKUP(INDIRECT(ADDRESS(2,COLUMN())),OFFSET($BN$2,0,0,ROW()-1,60),ROW()-1,FALSE))</f>
        <v>97536</v>
      </c>
      <c r="AI42">
        <f ca="1">IF(AND(ISNUMBER($AI$194),$B$156=1),$AI$194,HLOOKUP(INDIRECT(ADDRESS(2,COLUMN())),OFFSET($BN$2,0,0,ROW()-1,60),ROW()-1,FALSE))</f>
        <v>181416</v>
      </c>
      <c r="AJ42">
        <f ca="1">IF(AND(ISNUMBER($AJ$194),$B$156=1),$AJ$194,HLOOKUP(INDIRECT(ADDRESS(2,COLUMN())),OFFSET($BN$2,0,0,ROW()-1,60),ROW()-1,FALSE))</f>
        <v>122357</v>
      </c>
      <c r="AK42">
        <f ca="1">IF(AND(ISNUMBER($AK$194),$B$156=1),$AK$194,HLOOKUP(INDIRECT(ADDRESS(2,COLUMN())),OFFSET($BN$2,0,0,ROW()-1,60),ROW()-1,FALSE))</f>
        <v>166851</v>
      </c>
      <c r="AL42">
        <f ca="1">IF(AND(ISNUMBER($AL$194),$B$156=1),$AL$194,HLOOKUP(INDIRECT(ADDRESS(2,COLUMN())),OFFSET($BN$2,0,0,ROW()-1,60),ROW()-1,FALSE))</f>
        <v>122895</v>
      </c>
      <c r="AM42">
        <f ca="1">IF(AND(ISNUMBER($AM$194),$B$156=1),$AM$194,HLOOKUP(INDIRECT(ADDRESS(2,COLUMN())),OFFSET($BN$2,0,0,ROW()-1,60),ROW()-1,FALSE))</f>
        <v>197381</v>
      </c>
      <c r="AN42">
        <f ca="1">IF(AND(ISNUMBER($AN$194),$B$156=1),$AN$194,HLOOKUP(INDIRECT(ADDRESS(2,COLUMN())),OFFSET($BN$2,0,0,ROW()-1,60),ROW()-1,FALSE))</f>
        <v>126098</v>
      </c>
      <c r="AO42">
        <f ca="1">IF(AND(ISNUMBER($AO$194),$B$156=1),$AO$194,HLOOKUP(INDIRECT(ADDRESS(2,COLUMN())),OFFSET($BN$2,0,0,ROW()-1,60),ROW()-1,FALSE))</f>
        <v>119102</v>
      </c>
      <c r="AP42">
        <f ca="1">IF(AND(ISNUMBER($AP$194),$B$156=1),$AP$194,HLOOKUP(INDIRECT(ADDRESS(2,COLUMN())),OFFSET($BN$2,0,0,ROW()-1,60),ROW()-1,FALSE))</f>
        <v>67203</v>
      </c>
      <c r="AQ42">
        <f ca="1">IF(AND(ISNUMBER($AQ$194),$B$156=1),$AQ$194,HLOOKUP(INDIRECT(ADDRESS(2,COLUMN())),OFFSET($BN$2,0,0,ROW()-1,60),ROW()-1,FALSE))</f>
        <v>88787</v>
      </c>
      <c r="AR42">
        <f ca="1">IF(AND(ISNUMBER($AR$194),$B$156=1),$AR$194,HLOOKUP(INDIRECT(ADDRESS(2,COLUMN())),OFFSET($BN$2,0,0,ROW()-1,60),ROW()-1,FALSE))</f>
        <v>91336</v>
      </c>
      <c r="AS42">
        <f ca="1">IF(AND(ISNUMBER($AS$194),$B$156=1),$AS$194,HLOOKUP(INDIRECT(ADDRESS(2,COLUMN())),OFFSET($BN$2,0,0,ROW()-1,60),ROW()-1,FALSE))</f>
        <v>121409</v>
      </c>
      <c r="AT42">
        <f ca="1">IF(AND(ISNUMBER($AT$194),$B$156=1),$AT$194,HLOOKUP(INDIRECT(ADDRESS(2,COLUMN())),OFFSET($BN$2,0,0,ROW()-1,60),ROW()-1,FALSE))</f>
        <v>68287</v>
      </c>
      <c r="AU42">
        <f ca="1">IF(AND(ISNUMBER($AU$194),$B$156=1),$AU$194,HLOOKUP(INDIRECT(ADDRESS(2,COLUMN())),OFFSET($BN$2,0,0,ROW()-1,60),ROW()-1,FALSE))</f>
        <v>62868</v>
      </c>
      <c r="AV42">
        <f ca="1">IF(AND(ISNUMBER($AV$194),$B$156=1),$AV$194,HLOOKUP(INDIRECT(ADDRESS(2,COLUMN())),OFFSET($BN$2,0,0,ROW()-1,60),ROW()-1,FALSE))</f>
        <v>78685</v>
      </c>
      <c r="AW42">
        <f ca="1">IF(AND(ISNUMBER($AW$194),$B$156=1),$AW$194,HLOOKUP(INDIRECT(ADDRESS(2,COLUMN())),OFFSET($BN$2,0,0,ROW()-1,60),ROW()-1,FALSE))</f>
        <v>90514</v>
      </c>
      <c r="AX42">
        <f ca="1">IF(AND(ISNUMBER($AX$194),$B$156=1),$AX$194,HLOOKUP(INDIRECT(ADDRESS(2,COLUMN())),OFFSET($BN$2,0,0,ROW()-1,60),ROW()-1,FALSE))</f>
        <v>73931</v>
      </c>
      <c r="AY42">
        <f ca="1">IF(AND(ISNUMBER($AY$194),$B$156=1),$AY$194,HLOOKUP(INDIRECT(ADDRESS(2,COLUMN())),OFFSET($BN$2,0,0,ROW()-1,60),ROW()-1,FALSE))</f>
        <v>133957</v>
      </c>
      <c r="AZ42">
        <f ca="1">IF(AND(ISNUMBER($AZ$194),$B$156=1),$AZ$194,HLOOKUP(INDIRECT(ADDRESS(2,COLUMN())),OFFSET($BN$2,0,0,ROW()-1,60),ROW()-1,FALSE))</f>
        <v>84377</v>
      </c>
      <c r="BA42">
        <f ca="1">IF(AND(ISNUMBER($BA$194),$B$156=1),$BA$194,HLOOKUP(INDIRECT(ADDRESS(2,COLUMN())),OFFSET($BN$2,0,0,ROW()-1,60),ROW()-1,FALSE))</f>
        <v>84397</v>
      </c>
      <c r="BB42">
        <f ca="1">IF(AND(ISNUMBER($BB$194),$B$156=1),$BB$194,HLOOKUP(INDIRECT(ADDRESS(2,COLUMN())),OFFSET($BN$2,0,0,ROW()-1,60),ROW()-1,FALSE))</f>
        <v>54734</v>
      </c>
      <c r="BC42">
        <f ca="1">IF(AND(ISNUMBER($BC$194),$B$156=1),$BC$194,HLOOKUP(INDIRECT(ADDRESS(2,COLUMN())),OFFSET($BN$2,0,0,ROW()-1,60),ROW()-1,FALSE))</f>
        <v>98065</v>
      </c>
      <c r="BD42">
        <f ca="1">IF(AND(ISNUMBER($BD$194),$B$156=1),$BD$194,HLOOKUP(INDIRECT(ADDRESS(2,COLUMN())),OFFSET($BN$2,0,0,ROW()-1,60),ROW()-1,FALSE))</f>
        <v>75043</v>
      </c>
      <c r="BE42">
        <f ca="1">IF(AND(ISNUMBER($BE$194),$B$156=1),$BE$194,HLOOKUP(INDIRECT(ADDRESS(2,COLUMN())),OFFSET($BN$2,0,0,ROW()-1,60),ROW()-1,FALSE))</f>
        <v>121680</v>
      </c>
      <c r="BF42">
        <f ca="1">IF(AND(ISNUMBER($BF$194),$B$156=1),$BF$194,HLOOKUP(INDIRECT(ADDRESS(2,COLUMN())),OFFSET($BN$2,0,0,ROW()-1,60),ROW()-1,FALSE))</f>
        <v>78431</v>
      </c>
      <c r="BG42">
        <f ca="1">IF(AND(ISNUMBER($BG$194),$B$156=1),$BG$194,HLOOKUP(INDIRECT(ADDRESS(2,COLUMN())),OFFSET($BN$2,0,0,ROW()-1,60),ROW()-1,FALSE))</f>
        <v>138248</v>
      </c>
      <c r="BH42">
        <f ca="1">IF(AND(ISNUMBER($BH$194),$B$156=1),$BH$194,HLOOKUP(INDIRECT(ADDRESS(2,COLUMN())),OFFSET($BN$2,0,0,ROW()-1,60),ROW()-1,FALSE))</f>
        <v>114027</v>
      </c>
      <c r="BI42">
        <f ca="1">IF(AND(ISNUMBER($BI$194),$B$156=1),$BI$194,HLOOKUP(INDIRECT(ADDRESS(2,COLUMN())),OFFSET($BN$2,0,0,ROW()-1,60),ROW()-1,FALSE))</f>
        <v>115562</v>
      </c>
      <c r="BJ42">
        <f ca="1">IF(AND(ISNUMBER($BJ$194),$B$156=1),$BJ$194,HLOOKUP(INDIRECT(ADDRESS(2,COLUMN())),OFFSET($BN$2,0,0,ROW()-1,60),ROW()-1,FALSE))</f>
        <v>70736</v>
      </c>
      <c r="BK42" t="str">
        <f ca="1">IF(AND(ISNUMBER($BK$194),$B$156=1),$BK$194,HLOOKUP(INDIRECT(ADDRESS(2,COLUMN())),OFFSET($BN$2,0,0,ROW()-1,60),ROW()-1,FALSE))</f>
        <v/>
      </c>
      <c r="BL42" t="str">
        <f ca="1">IF(AND(ISNUMBER($BL$194),$B$156=1),$BL$194,HLOOKUP(INDIRECT(ADDRESS(2,COLUMN())),OFFSET($BN$2,0,0,ROW()-1,60),ROW()-1,FALSE))</f>
        <v/>
      </c>
      <c r="BM42" t="str">
        <f ca="1">IF(AND(ISNUMBER($BM$194),$B$156=1),$BM$194,HLOOKUP(INDIRECT(ADDRESS(2,COLUMN())),OFFSET($BN$2,0,0,ROW()-1,60),ROW()-1,FALSE))</f>
        <v/>
      </c>
      <c r="BN42">
        <f>14775</f>
        <v>14775</v>
      </c>
      <c r="BO42">
        <f>161815</f>
        <v>161815</v>
      </c>
      <c r="BP42">
        <f>113389</f>
        <v>113389</v>
      </c>
      <c r="BQ42">
        <f>153560</f>
        <v>153560</v>
      </c>
      <c r="BR42">
        <f>108951</f>
        <v>108951</v>
      </c>
      <c r="BS42">
        <f>339718</f>
        <v>339718</v>
      </c>
      <c r="BT42">
        <f>233591</f>
        <v>233591</v>
      </c>
      <c r="BU42">
        <f>189961</f>
        <v>189961</v>
      </c>
      <c r="BV42">
        <f>115963</f>
        <v>115963</v>
      </c>
      <c r="BW42">
        <f>267573</f>
        <v>267573</v>
      </c>
      <c r="BX42">
        <f>150883</f>
        <v>150883</v>
      </c>
      <c r="BY42">
        <f>210561</f>
        <v>210561</v>
      </c>
      <c r="BZ42">
        <f>127921</f>
        <v>127921</v>
      </c>
      <c r="CA42">
        <f>224691</f>
        <v>224691</v>
      </c>
      <c r="CB42">
        <f>173059</f>
        <v>173059</v>
      </c>
      <c r="CC42">
        <f>200855</f>
        <v>200855</v>
      </c>
      <c r="CD42">
        <f>126991</f>
        <v>126991</v>
      </c>
      <c r="CE42">
        <f>220563</f>
        <v>220563</v>
      </c>
      <c r="CF42">
        <f>140995</f>
        <v>140995</v>
      </c>
      <c r="CG42">
        <f>136426</f>
        <v>136426</v>
      </c>
      <c r="CH42">
        <f>89477</f>
        <v>89477</v>
      </c>
      <c r="CI42">
        <f>212301</f>
        <v>212301</v>
      </c>
      <c r="CJ42">
        <f>151138</f>
        <v>151138</v>
      </c>
      <c r="CK42">
        <f>177672</f>
        <v>177672</v>
      </c>
      <c r="CL42">
        <f>114434</f>
        <v>114434</v>
      </c>
      <c r="CM42">
        <f>195900</f>
        <v>195900</v>
      </c>
      <c r="CN42">
        <f>135127</f>
        <v>135127</v>
      </c>
      <c r="CO42">
        <f>146954</f>
        <v>146954</v>
      </c>
      <c r="CP42">
        <f>97536</f>
        <v>97536</v>
      </c>
      <c r="CQ42">
        <f>181416</f>
        <v>181416</v>
      </c>
      <c r="CR42">
        <f>122357</f>
        <v>122357</v>
      </c>
      <c r="CS42">
        <f>166851</f>
        <v>166851</v>
      </c>
      <c r="CT42">
        <f>122895</f>
        <v>122895</v>
      </c>
      <c r="CU42">
        <f>197381</f>
        <v>197381</v>
      </c>
      <c r="CV42">
        <f>126098</f>
        <v>126098</v>
      </c>
      <c r="CW42">
        <f>119102</f>
        <v>119102</v>
      </c>
      <c r="CX42">
        <f>67203</f>
        <v>67203</v>
      </c>
      <c r="CY42">
        <f>88787</f>
        <v>88787</v>
      </c>
      <c r="CZ42">
        <f>91336</f>
        <v>91336</v>
      </c>
      <c r="DA42">
        <f>121409</f>
        <v>121409</v>
      </c>
      <c r="DB42">
        <f>68287</f>
        <v>68287</v>
      </c>
      <c r="DC42">
        <f>62868</f>
        <v>62868</v>
      </c>
      <c r="DD42">
        <f>78685</f>
        <v>78685</v>
      </c>
      <c r="DE42">
        <f>90514</f>
        <v>90514</v>
      </c>
      <c r="DF42">
        <f>73931</f>
        <v>73931</v>
      </c>
      <c r="DG42">
        <f>133957</f>
        <v>133957</v>
      </c>
      <c r="DH42">
        <f>84377</f>
        <v>84377</v>
      </c>
      <c r="DI42">
        <f>84397</f>
        <v>84397</v>
      </c>
      <c r="DJ42">
        <f>54734</f>
        <v>54734</v>
      </c>
      <c r="DK42">
        <f>98065</f>
        <v>98065</v>
      </c>
      <c r="DL42">
        <f>75043</f>
        <v>75043</v>
      </c>
      <c r="DM42">
        <f>121680</f>
        <v>121680</v>
      </c>
      <c r="DN42">
        <f>78431</f>
        <v>78431</v>
      </c>
      <c r="DO42">
        <f>138248</f>
        <v>138248</v>
      </c>
      <c r="DP42">
        <f>114027</f>
        <v>114027</v>
      </c>
      <c r="DQ42">
        <f>115562</f>
        <v>115562</v>
      </c>
      <c r="DR42">
        <f>70736</f>
        <v>70736</v>
      </c>
      <c r="DS42" t="str">
        <f>""</f>
        <v/>
      </c>
      <c r="DT42" t="str">
        <f>""</f>
        <v/>
      </c>
      <c r="DU42" t="str">
        <f>""</f>
        <v/>
      </c>
    </row>
    <row r="43" spans="1:125" x14ac:dyDescent="0.25">
      <c r="A43" t="str">
        <f>"            United Kingdom"</f>
        <v xml:space="preserve">            United Kingdom</v>
      </c>
      <c r="B43" t="str">
        <f>"WCARUKI Index"</f>
        <v>WCARUKI Index</v>
      </c>
      <c r="C43" t="str">
        <f t="shared" si="3"/>
        <v>PX385</v>
      </c>
      <c r="D43" t="str">
        <f t="shared" si="4"/>
        <v>INTERVAL_SUM</v>
      </c>
      <c r="E43" t="str">
        <f t="shared" si="5"/>
        <v>Dynamic</v>
      </c>
      <c r="F43">
        <f ca="1">IF(AND(ISNUMBER($F$195),$B$156=1),$F$195,HLOOKUP(INDIRECT(ADDRESS(2,COLUMN())),OFFSET($BN$2,0,0,ROW()-1,60),ROW()-1,FALSE))</f>
        <v>161013</v>
      </c>
      <c r="G43">
        <f ca="1">IF(AND(ISNUMBER($G$195),$B$156=1),$G$195,HLOOKUP(INDIRECT(ADDRESS(2,COLUMN())),OFFSET($BN$2,0,0,ROW()-1,60),ROW()-1,FALSE))</f>
        <v>456327</v>
      </c>
      <c r="H43">
        <f ca="1">IF(AND(ISNUMBER($H$195),$B$156=1),$H$195,HLOOKUP(INDIRECT(ADDRESS(2,COLUMN())),OFFSET($BN$2,0,0,ROW()-1,60),ROW()-1,FALSE))</f>
        <v>596826</v>
      </c>
      <c r="I43">
        <f ca="1">IF(AND(ISNUMBER($I$195),$B$156=1),$I$195,HLOOKUP(INDIRECT(ADDRESS(2,COLUMN())),OFFSET($BN$2,0,0,ROW()-1,60),ROW()-1,FALSE))</f>
        <v>595505</v>
      </c>
      <c r="J43">
        <f ca="1">IF(AND(ISNUMBER($J$195),$B$156=1),$J$195,HLOOKUP(INDIRECT(ADDRESS(2,COLUMN())),OFFSET($BN$2,0,0,ROW()-1,60),ROW()-1,FALSE))</f>
        <v>718489</v>
      </c>
      <c r="K43">
        <f ca="1">IF(AND(ISNUMBER($K$195),$B$156=1),$K$195,HLOOKUP(INDIRECT(ADDRESS(2,COLUMN())),OFFSET($BN$2,0,0,ROW()-1,60),ROW()-1,FALSE))</f>
        <v>474206</v>
      </c>
      <c r="L43">
        <f ca="1">IF(AND(ISNUMBER($L$195),$B$156=1),$L$195,HLOOKUP(INDIRECT(ADDRESS(2,COLUMN())),OFFSET($BN$2,0,0,ROW()-1,60),ROW()-1,FALSE))</f>
        <v>664600</v>
      </c>
      <c r="M43">
        <f ca="1">IF(AND(ISNUMBER($M$195),$B$156=1),$M$195,HLOOKUP(INDIRECT(ADDRESS(2,COLUMN())),OFFSET($BN$2,0,0,ROW()-1,60),ROW()-1,FALSE))</f>
        <v>581795</v>
      </c>
      <c r="N43">
        <f ca="1">IF(AND(ISNUMBER($N$195),$B$156=1),$N$195,HLOOKUP(INDIRECT(ADDRESS(2,COLUMN())),OFFSET($BN$2,0,0,ROW()-1,60),ROW()-1,FALSE))</f>
        <v>820016</v>
      </c>
      <c r="O43">
        <f ca="1">IF(AND(ISNUMBER($O$195),$B$156=1),$O$195,HLOOKUP(INDIRECT(ADDRESS(2,COLUMN())),OFFSET($BN$2,0,0,ROW()-1,60),ROW()-1,FALSE))</f>
        <v>542291</v>
      </c>
      <c r="P43">
        <f ca="1">IF(AND(ISNUMBER($P$195),$B$156=1),$P$195,HLOOKUP(INDIRECT(ADDRESS(2,COLUMN())),OFFSET($BN$2,0,0,ROW()-1,60),ROW()-1,FALSE))</f>
        <v>729859</v>
      </c>
      <c r="Q43">
        <f ca="1">IF(AND(ISNUMBER($Q$195),$B$156=1),$Q$195,HLOOKUP(INDIRECT(ADDRESS(2,COLUMN())),OFFSET($BN$2,0,0,ROW()-1,60),ROW()-1,FALSE))</f>
        <v>648856</v>
      </c>
      <c r="R43">
        <f ca="1">IF(AND(ISNUMBER($R$195),$B$156=1),$R$195,HLOOKUP(INDIRECT(ADDRESS(2,COLUMN())),OFFSET($BN$2,0,0,ROW()-1,60),ROW()-1,FALSE))</f>
        <v>771780</v>
      </c>
      <c r="S43">
        <f ca="1">IF(AND(ISNUMBER($S$195),$B$156=1),$S$195,HLOOKUP(INDIRECT(ADDRESS(2,COLUMN())),OFFSET($BN$2,0,0,ROW()-1,60),ROW()-1,FALSE))</f>
        <v>536617</v>
      </c>
      <c r="T43">
        <f ca="1">IF(AND(ISNUMBER($T$195),$B$156=1),$T$195,HLOOKUP(INDIRECT(ADDRESS(2,COLUMN())),OFFSET($BN$2,0,0,ROW()-1,60),ROW()-1,FALSE))</f>
        <v>719997</v>
      </c>
      <c r="U43">
        <f ca="1">IF(AND(ISNUMBER($U$195),$B$156=1),$U$195,HLOOKUP(INDIRECT(ADDRESS(2,COLUMN())),OFFSET($BN$2,0,0,ROW()-1,60),ROW()-1,FALSE))</f>
        <v>642301</v>
      </c>
      <c r="V43">
        <f ca="1">IF(AND(ISNUMBER($V$195),$B$156=1),$V$195,HLOOKUP(INDIRECT(ADDRESS(2,COLUMN())),OFFSET($BN$2,0,0,ROW()-1,60),ROW()-1,FALSE))</f>
        <v>734588</v>
      </c>
      <c r="W43">
        <f ca="1">IF(AND(ISNUMBER($W$195),$B$156=1),$W$195,HLOOKUP(INDIRECT(ADDRESS(2,COLUMN())),OFFSET($BN$2,0,0,ROW()-1,60),ROW()-1,FALSE))</f>
        <v>518239</v>
      </c>
      <c r="X43">
        <f ca="1">IF(AND(ISNUMBER($X$195),$B$156=1),$X$195,HLOOKUP(INDIRECT(ADDRESS(2,COLUMN())),OFFSET($BN$2,0,0,ROW()-1,60),ROW()-1,FALSE))</f>
        <v>670931</v>
      </c>
      <c r="Y43">
        <f ca="1">IF(AND(ISNUMBER($Y$195),$B$156=1),$Y$195,HLOOKUP(INDIRECT(ADDRESS(2,COLUMN())),OFFSET($BN$2,0,0,ROW()-1,60),ROW()-1,FALSE))</f>
        <v>599143</v>
      </c>
      <c r="Z43">
        <f ca="1">IF(AND(ISNUMBER($Z$195),$B$156=1),$Z$195,HLOOKUP(INDIRECT(ADDRESS(2,COLUMN())),OFFSET($BN$2,0,0,ROW()-1,60),ROW()-1,FALSE))</f>
        <v>688122</v>
      </c>
      <c r="AA43">
        <f ca="1">IF(AND(ISNUMBER($AA$195),$B$156=1),$AA$195,HLOOKUP(INDIRECT(ADDRESS(2,COLUMN())),OFFSET($BN$2,0,0,ROW()-1,60),ROW()-1,FALSE))</f>
        <v>469813</v>
      </c>
      <c r="AB43">
        <f ca="1">IF(AND(ISNUMBER($AB$195),$B$156=1),$AB$195,HLOOKUP(INDIRECT(ADDRESS(2,COLUMN())),OFFSET($BN$2,0,0,ROW()-1,60),ROW()-1,FALSE))</f>
        <v>631301</v>
      </c>
      <c r="AC43">
        <f ca="1">IF(AND(ISNUMBER($AC$195),$B$156=1),$AC$195,HLOOKUP(INDIRECT(ADDRESS(2,COLUMN())),OFFSET($BN$2,0,0,ROW()-1,60),ROW()-1,FALSE))</f>
        <v>558425</v>
      </c>
      <c r="AD43">
        <f ca="1">IF(AND(ISNUMBER($AD$195),$B$156=1),$AD$195,HLOOKUP(INDIRECT(ADDRESS(2,COLUMN())),OFFSET($BN$2,0,0,ROW()-1,60),ROW()-1,FALSE))</f>
        <v>605198</v>
      </c>
      <c r="AE43">
        <f ca="1">IF(AND(ISNUMBER($AE$195),$B$156=1),$AE$195,HLOOKUP(INDIRECT(ADDRESS(2,COLUMN())),OFFSET($BN$2,0,0,ROW()-1,60),ROW()-1,FALSE))</f>
        <v>424000</v>
      </c>
      <c r="AF43">
        <f ca="1">IF(AND(ISNUMBER($AF$195),$B$156=1),$AF$195,HLOOKUP(INDIRECT(ADDRESS(2,COLUMN())),OFFSET($BN$2,0,0,ROW()-1,60),ROW()-1,FALSE))</f>
        <v>562929</v>
      </c>
      <c r="AG43">
        <f ca="1">IF(AND(ISNUMBER($AG$195),$B$156=1),$AG$195,HLOOKUP(INDIRECT(ADDRESS(2,COLUMN())),OFFSET($BN$2,0,0,ROW()-1,60),ROW()-1,FALSE))</f>
        <v>494124</v>
      </c>
      <c r="AH43">
        <f ca="1">IF(AND(ISNUMBER($AH$195),$B$156=1),$AH$195,HLOOKUP(INDIRECT(ADDRESS(2,COLUMN())),OFFSET($BN$2,0,0,ROW()-1,60),ROW()-1,FALSE))</f>
        <v>563556</v>
      </c>
      <c r="AI43">
        <f ca="1">IF(AND(ISNUMBER($AI$195),$B$156=1),$AI$195,HLOOKUP(INDIRECT(ADDRESS(2,COLUMN())),OFFSET($BN$2,0,0,ROW()-1,60),ROW()-1,FALSE))</f>
        <v>388159</v>
      </c>
      <c r="AJ43">
        <f ca="1">IF(AND(ISNUMBER($AJ$195),$B$156=1),$AJ$195,HLOOKUP(INDIRECT(ADDRESS(2,COLUMN())),OFFSET($BN$2,0,0,ROW()-1,60),ROW()-1,FALSE))</f>
        <v>523456</v>
      </c>
      <c r="AK43">
        <f ca="1">IF(AND(ISNUMBER($AK$195),$B$156=1),$AK$195,HLOOKUP(INDIRECT(ADDRESS(2,COLUMN())),OFFSET($BN$2,0,0,ROW()-1,60),ROW()-1,FALSE))</f>
        <v>471302</v>
      </c>
      <c r="AL43">
        <f ca="1">IF(AND(ISNUMBER($AL$195),$B$156=1),$AL$195,HLOOKUP(INDIRECT(ADDRESS(2,COLUMN())),OFFSET($BN$2,0,0,ROW()-1,60),ROW()-1,FALSE))</f>
        <v>558336</v>
      </c>
      <c r="AM43">
        <f ca="1">IF(AND(ISNUMBER($AM$195),$B$156=1),$AM$195,HLOOKUP(INDIRECT(ADDRESS(2,COLUMN())),OFFSET($BN$2,0,0,ROW()-1,60),ROW()-1,FALSE))</f>
        <v>395187</v>
      </c>
      <c r="AN43">
        <f ca="1">IF(AND(ISNUMBER($AN$195),$B$156=1),$AN$195,HLOOKUP(INDIRECT(ADDRESS(2,COLUMN())),OFFSET($BN$2,0,0,ROW()-1,60),ROW()-1,FALSE))</f>
        <v>526997</v>
      </c>
      <c r="AO43">
        <f ca="1">IF(AND(ISNUMBER($AO$195),$B$156=1),$AO$195,HLOOKUP(INDIRECT(ADDRESS(2,COLUMN())),OFFSET($BN$2,0,0,ROW()-1,60),ROW()-1,FALSE))</f>
        <v>497114</v>
      </c>
      <c r="AP43">
        <f ca="1">IF(AND(ISNUMBER($AP$195),$B$156=1),$AP$195,HLOOKUP(INDIRECT(ADDRESS(2,COLUMN())),OFFSET($BN$2,0,0,ROW()-1,60),ROW()-1,FALSE))</f>
        <v>611548</v>
      </c>
      <c r="AQ43">
        <f ca="1">IF(AND(ISNUMBER($AQ$195),$B$156=1),$AQ$195,HLOOKUP(INDIRECT(ADDRESS(2,COLUMN())),OFFSET($BN$2,0,0,ROW()-1,60),ROW()-1,FALSE))</f>
        <v>477960</v>
      </c>
      <c r="AR43">
        <f ca="1">IF(AND(ISNUMBER($AR$195),$B$156=1),$AR$195,HLOOKUP(INDIRECT(ADDRESS(2,COLUMN())),OFFSET($BN$2,0,0,ROW()-1,60),ROW()-1,FALSE))</f>
        <v>592084</v>
      </c>
      <c r="AS43">
        <f ca="1">IF(AND(ISNUMBER($AS$195),$B$156=1),$AS$195,HLOOKUP(INDIRECT(ADDRESS(2,COLUMN())),OFFSET($BN$2,0,0,ROW()-1,60),ROW()-1,FALSE))</f>
        <v>444597</v>
      </c>
      <c r="AT43">
        <f ca="1">IF(AND(ISNUMBER($AT$195),$B$156=1),$AT$195,HLOOKUP(INDIRECT(ADDRESS(2,COLUMN())),OFFSET($BN$2,0,0,ROW()-1,60),ROW()-1,FALSE))</f>
        <v>480358</v>
      </c>
      <c r="AU43">
        <f ca="1">IF(AND(ISNUMBER($AU$195),$B$156=1),$AU$195,HLOOKUP(INDIRECT(ADDRESS(2,COLUMN())),OFFSET($BN$2,0,0,ROW()-1,60),ROW()-1,FALSE))</f>
        <v>337376</v>
      </c>
      <c r="AV43">
        <f ca="1">IF(AND(ISNUMBER($AV$195),$B$156=1),$AV$195,HLOOKUP(INDIRECT(ADDRESS(2,COLUMN())),OFFSET($BN$2,0,0,ROW()-1,60),ROW()-1,FALSE))</f>
        <v>546940</v>
      </c>
      <c r="AW43">
        <f ca="1">IF(AND(ISNUMBER($AW$195),$B$156=1),$AW$195,HLOOKUP(INDIRECT(ADDRESS(2,COLUMN())),OFFSET($BN$2,0,0,ROW()-1,60),ROW()-1,FALSE))</f>
        <v>564130</v>
      </c>
      <c r="AX43">
        <f ca="1">IF(AND(ISNUMBER($AX$195),$B$156=1),$AX$195,HLOOKUP(INDIRECT(ADDRESS(2,COLUMN())),OFFSET($BN$2,0,0,ROW()-1,60),ROW()-1,FALSE))</f>
        <v>683349</v>
      </c>
      <c r="AY43">
        <f ca="1">IF(AND(ISNUMBER($AY$195),$B$156=1),$AY$195,HLOOKUP(INDIRECT(ADDRESS(2,COLUMN())),OFFSET($BN$2,0,0,ROW()-1,60),ROW()-1,FALSE))</f>
        <v>463492</v>
      </c>
      <c r="AZ43">
        <f ca="1">IF(AND(ISNUMBER($AZ$195),$B$156=1),$AZ$195,HLOOKUP(INDIRECT(ADDRESS(2,COLUMN())),OFFSET($BN$2,0,0,ROW()-1,60),ROW()-1,FALSE))</f>
        <v>673216</v>
      </c>
      <c r="BA43">
        <f ca="1">IF(AND(ISNUMBER($BA$195),$B$156=1),$BA$195,HLOOKUP(INDIRECT(ADDRESS(2,COLUMN())),OFFSET($BN$2,0,0,ROW()-1,60),ROW()-1,FALSE))</f>
        <v>578823</v>
      </c>
      <c r="BB43">
        <f ca="1">IF(AND(ISNUMBER($BB$195),$B$156=1),$BB$195,HLOOKUP(INDIRECT(ADDRESS(2,COLUMN())),OFFSET($BN$2,0,0,ROW()-1,60),ROW()-1,FALSE))</f>
        <v>688476</v>
      </c>
      <c r="BC43">
        <f ca="1">IF(AND(ISNUMBER($BC$195),$B$156=1),$BC$195,HLOOKUP(INDIRECT(ADDRESS(2,COLUMN())),OFFSET($BN$2,0,0,ROW()-1,60),ROW()-1,FALSE))</f>
        <v>442976</v>
      </c>
      <c r="BD43">
        <f ca="1">IF(AND(ISNUMBER($BD$195),$B$156=1),$BD$195,HLOOKUP(INDIRECT(ADDRESS(2,COLUMN())),OFFSET($BN$2,0,0,ROW()-1,60),ROW()-1,FALSE))</f>
        <v>659967</v>
      </c>
      <c r="BE43">
        <f ca="1">IF(AND(ISNUMBER($BE$195),$B$156=1),$BE$195,HLOOKUP(INDIRECT(ADDRESS(2,COLUMN())),OFFSET($BN$2,0,0,ROW()-1,60),ROW()-1,FALSE))</f>
        <v>572715</v>
      </c>
      <c r="BF43">
        <f ca="1">IF(AND(ISNUMBER($BF$195),$B$156=1),$BF$195,HLOOKUP(INDIRECT(ADDRESS(2,COLUMN())),OFFSET($BN$2,0,0,ROW()-1,60),ROW()-1,FALSE))</f>
        <v>669206</v>
      </c>
      <c r="BG43">
        <f ca="1">IF(AND(ISNUMBER($BG$195),$B$156=1),$BG$195,HLOOKUP(INDIRECT(ADDRESS(2,COLUMN())),OFFSET($BN$2,0,0,ROW()-1,60),ROW()-1,FALSE))</f>
        <v>467837</v>
      </c>
      <c r="BH43">
        <f ca="1">IF(AND(ISNUMBER($BH$195),$B$156=1),$BH$195,HLOOKUP(INDIRECT(ADDRESS(2,COLUMN())),OFFSET($BN$2,0,0,ROW()-1,60),ROW()-1,FALSE))</f>
        <v>675395</v>
      </c>
      <c r="BI43">
        <f ca="1">IF(AND(ISNUMBER($BI$195),$B$156=1),$BI$195,HLOOKUP(INDIRECT(ADDRESS(2,COLUMN())),OFFSET($BN$2,0,0,ROW()-1,60),ROW()-1,FALSE))</f>
        <v>594980</v>
      </c>
      <c r="BJ43">
        <f ca="1">IF(AND(ISNUMBER($BJ$195),$B$156=1),$BJ$195,HLOOKUP(INDIRECT(ADDRESS(2,COLUMN())),OFFSET($BN$2,0,0,ROW()-1,60),ROW()-1,FALSE))</f>
        <v>701505</v>
      </c>
      <c r="BK43">
        <f ca="1">IF(AND(ISNUMBER($BK$195),$B$156=1),$BK$195,HLOOKUP(INDIRECT(ADDRESS(2,COLUMN())),OFFSET($BN$2,0,0,ROW()-1,60),ROW()-1,FALSE))</f>
        <v>487313</v>
      </c>
      <c r="BL43">
        <f ca="1">IF(AND(ISNUMBER($BL$195),$B$156=1),$BL$195,HLOOKUP(INDIRECT(ADDRESS(2,COLUMN())),OFFSET($BN$2,0,0,ROW()-1,60),ROW()-1,FALSE))</f>
        <v>703391</v>
      </c>
      <c r="BM43">
        <f ca="1">IF(AND(ISNUMBER($BM$195),$B$156=1),$BM$195,HLOOKUP(INDIRECT(ADDRESS(2,COLUMN())),OFFSET($BN$2,0,0,ROW()-1,60),ROW()-1,FALSE))</f>
        <v>620560</v>
      </c>
      <c r="BN43">
        <f>161013</f>
        <v>161013</v>
      </c>
      <c r="BO43">
        <f>456327</f>
        <v>456327</v>
      </c>
      <c r="BP43">
        <f>596826</f>
        <v>596826</v>
      </c>
      <c r="BQ43">
        <f>595505</f>
        <v>595505</v>
      </c>
      <c r="BR43">
        <f>718489</f>
        <v>718489</v>
      </c>
      <c r="BS43">
        <f>474206</f>
        <v>474206</v>
      </c>
      <c r="BT43">
        <f>664600</f>
        <v>664600</v>
      </c>
      <c r="BU43">
        <f>581795</f>
        <v>581795</v>
      </c>
      <c r="BV43">
        <f>820016</f>
        <v>820016</v>
      </c>
      <c r="BW43">
        <f>542291</f>
        <v>542291</v>
      </c>
      <c r="BX43">
        <f>729859</f>
        <v>729859</v>
      </c>
      <c r="BY43">
        <f>648856</f>
        <v>648856</v>
      </c>
      <c r="BZ43">
        <f>771780</f>
        <v>771780</v>
      </c>
      <c r="CA43">
        <f>536617</f>
        <v>536617</v>
      </c>
      <c r="CB43">
        <f>719997</f>
        <v>719997</v>
      </c>
      <c r="CC43">
        <f>642301</f>
        <v>642301</v>
      </c>
      <c r="CD43">
        <f>734588</f>
        <v>734588</v>
      </c>
      <c r="CE43">
        <f>518239</f>
        <v>518239</v>
      </c>
      <c r="CF43">
        <f>670931</f>
        <v>670931</v>
      </c>
      <c r="CG43">
        <f>599143</f>
        <v>599143</v>
      </c>
      <c r="CH43">
        <f>688122</f>
        <v>688122</v>
      </c>
      <c r="CI43">
        <f>469813</f>
        <v>469813</v>
      </c>
      <c r="CJ43">
        <f>631301</f>
        <v>631301</v>
      </c>
      <c r="CK43">
        <f>558425</f>
        <v>558425</v>
      </c>
      <c r="CL43">
        <f>605198</f>
        <v>605198</v>
      </c>
      <c r="CM43">
        <f>424000</f>
        <v>424000</v>
      </c>
      <c r="CN43">
        <f>562929</f>
        <v>562929</v>
      </c>
      <c r="CO43">
        <f>494124</f>
        <v>494124</v>
      </c>
      <c r="CP43">
        <f>563556</f>
        <v>563556</v>
      </c>
      <c r="CQ43">
        <f>388159</f>
        <v>388159</v>
      </c>
      <c r="CR43">
        <f>523456</f>
        <v>523456</v>
      </c>
      <c r="CS43">
        <f>471302</f>
        <v>471302</v>
      </c>
      <c r="CT43">
        <f>558336</f>
        <v>558336</v>
      </c>
      <c r="CU43">
        <f>395187</f>
        <v>395187</v>
      </c>
      <c r="CV43">
        <f>526997</f>
        <v>526997</v>
      </c>
      <c r="CW43">
        <f>497114</f>
        <v>497114</v>
      </c>
      <c r="CX43">
        <f>611548</f>
        <v>611548</v>
      </c>
      <c r="CY43">
        <f>477960</f>
        <v>477960</v>
      </c>
      <c r="CZ43">
        <f>592084</f>
        <v>592084</v>
      </c>
      <c r="DA43">
        <f>444597</f>
        <v>444597</v>
      </c>
      <c r="DB43">
        <f>480358</f>
        <v>480358</v>
      </c>
      <c r="DC43">
        <f>337376</f>
        <v>337376</v>
      </c>
      <c r="DD43">
        <f>546940</f>
        <v>546940</v>
      </c>
      <c r="DE43">
        <f>564130</f>
        <v>564130</v>
      </c>
      <c r="DF43">
        <f>683349</f>
        <v>683349</v>
      </c>
      <c r="DG43">
        <f>463492</f>
        <v>463492</v>
      </c>
      <c r="DH43">
        <f>673216</f>
        <v>673216</v>
      </c>
      <c r="DI43">
        <f>578823</f>
        <v>578823</v>
      </c>
      <c r="DJ43">
        <f>688476</f>
        <v>688476</v>
      </c>
      <c r="DK43">
        <f>442976</f>
        <v>442976</v>
      </c>
      <c r="DL43">
        <f>659967</f>
        <v>659967</v>
      </c>
      <c r="DM43">
        <f>572715</f>
        <v>572715</v>
      </c>
      <c r="DN43">
        <f>669206</f>
        <v>669206</v>
      </c>
      <c r="DO43">
        <f>467837</f>
        <v>467837</v>
      </c>
      <c r="DP43">
        <f>675395</f>
        <v>675395</v>
      </c>
      <c r="DQ43">
        <f>594980</f>
        <v>594980</v>
      </c>
      <c r="DR43">
        <f>701505</f>
        <v>701505</v>
      </c>
      <c r="DS43">
        <f>487313</f>
        <v>487313</v>
      </c>
      <c r="DT43">
        <f>703391</f>
        <v>703391</v>
      </c>
      <c r="DU43">
        <f>620560</f>
        <v>620560</v>
      </c>
    </row>
    <row r="44" spans="1:125" x14ac:dyDescent="0.25">
      <c r="A44" t="str">
        <f>"        Eastern Europe"</f>
        <v xml:space="preserve">        Eastern Europe</v>
      </c>
      <c r="B44" t="str">
        <f>""</f>
        <v/>
      </c>
      <c r="E44" t="str">
        <f>"Sum"</f>
        <v>Sum</v>
      </c>
      <c r="F44">
        <f ca="1">IF(ISERROR(IF(SUM($F$45:$F$55) = 0, "", SUM($F$45:$F$55))), "", (IF(SUM($F$45:$F$55) = 0, "", SUM($F$45:$F$55))))</f>
        <v>214943</v>
      </c>
      <c r="G44">
        <f ca="1">IF(ISERROR(IF(SUM($G$45:$G$55) = 0, "", SUM($G$45:$G$55))), "", (IF(SUM($G$45:$G$55) = 0, "", SUM($G$45:$G$55))))</f>
        <v>802979</v>
      </c>
      <c r="H44">
        <f ca="1">IF(ISERROR(IF(SUM($H$45:$H$55) = 0, "", SUM($H$45:$H$55))), "", (IF(SUM($H$45:$H$55) = 0, "", SUM($H$45:$H$55))))</f>
        <v>787645</v>
      </c>
      <c r="I44">
        <f ca="1">IF(ISERROR(IF(SUM($I$45:$I$55) = 0, "", SUM($I$45:$I$55))), "", (IF(SUM($I$45:$I$55) = 0, "", SUM($I$45:$I$55))))</f>
        <v>816404</v>
      </c>
      <c r="J44">
        <f ca="1">IF(ISERROR(IF(SUM($J$45:$J$55) = 0, "", SUM($J$45:$J$55))), "", (IF(SUM($J$45:$J$55) = 0, "", SUM($J$45:$J$55))))</f>
        <v>731862</v>
      </c>
      <c r="K44">
        <f ca="1">IF(ISERROR(IF(SUM($K$45:$K$55) = 0, "", SUM($K$45:$K$55))), "", (IF(SUM($K$45:$K$55) = 0, "", SUM($K$45:$K$55))))</f>
        <v>791564</v>
      </c>
      <c r="L44">
        <f ca="1">IF(ISERROR(IF(SUM($L$45:$L$55) = 0, "", SUM($L$45:$L$55))), "", (IF(SUM($L$45:$L$55) = 0, "", SUM($L$45:$L$55))))</f>
        <v>702902</v>
      </c>
      <c r="M44">
        <f ca="1">IF(ISERROR(IF(SUM($M$45:$M$55) = 0, "", SUM($M$45:$M$55))), "", (IF(SUM($M$45:$M$55) = 0, "", SUM($M$45:$M$55))))</f>
        <v>720189</v>
      </c>
      <c r="N44">
        <f ca="1">IF(ISERROR(IF(SUM($N$45:$N$55) = 0, "", SUM($N$45:$N$55))), "", (IF(SUM($N$45:$N$55) = 0, "", SUM($N$45:$N$55))))</f>
        <v>626936</v>
      </c>
      <c r="O44">
        <f ca="1">IF(ISERROR(IF(SUM($O$45:$O$55) = 0, "", SUM($O$45:$O$55))), "", (IF(SUM($O$45:$O$55) = 0, "", SUM($O$45:$O$55))))</f>
        <v>697984</v>
      </c>
      <c r="P44">
        <f ca="1">IF(ISERROR(IF(SUM($P$45:$P$55) = 0, "", SUM($P$45:$P$55))), "", (IF(SUM($P$45:$P$55) = 0, "", SUM($P$45:$P$55))))</f>
        <v>612975</v>
      </c>
      <c r="Q44">
        <f ca="1">IF(ISERROR(IF(SUM($Q$45:$Q$55) = 0, "", SUM($Q$45:$Q$55))), "", (IF(SUM($Q$45:$Q$55) = 0, "", SUM($Q$45:$Q$55))))</f>
        <v>642726</v>
      </c>
      <c r="R44">
        <f ca="1">IF(ISERROR(IF(SUM($R$45:$R$55) = 0, "", SUM($R$45:$R$55))), "", (IF(SUM($R$45:$R$55) = 0, "", SUM($R$45:$R$55))))</f>
        <v>576703</v>
      </c>
      <c r="S44">
        <f ca="1">IF(ISERROR(IF(SUM($S$45:$S$55) = 0, "", SUM($S$45:$S$55))), "", (IF(SUM($S$45:$S$55) = 0, "", SUM($S$45:$S$55))))</f>
        <v>666854</v>
      </c>
      <c r="T44">
        <f ca="1">IF(ISERROR(IF(SUM($T$45:$T$55) = 0, "", SUM($T$45:$T$55))), "", (IF(SUM($T$45:$T$55) = 0, "", SUM($T$45:$T$55))))</f>
        <v>641592</v>
      </c>
      <c r="U44">
        <f ca="1">IF(ISERROR(IF(SUM($U$45:$U$55) = 0, "", SUM($U$45:$U$55))), "", (IF(SUM($U$45:$U$55) = 0, "", SUM($U$45:$U$55))))</f>
        <v>642033</v>
      </c>
      <c r="V44">
        <f ca="1">IF(ISERROR(IF(SUM($V$45:$V$55) = 0, "", SUM($V$45:$V$55))), "", (IF(SUM($V$45:$V$55) = 0, "", SUM($V$45:$V$55))))</f>
        <v>608986</v>
      </c>
      <c r="W44">
        <f ca="1">IF(ISERROR(IF(SUM($W$45:$W$55) = 0, "", SUM($W$45:$W$55))), "", (IF(SUM($W$45:$W$55) = 0, "", SUM($W$45:$W$55))))</f>
        <v>930805</v>
      </c>
      <c r="X44">
        <f ca="1">IF(ISERROR(IF(SUM($X$45:$X$55) = 0, "", SUM($X$45:$X$55))), "", (IF(SUM($X$45:$X$55) = 0, "", SUM($X$45:$X$55))))</f>
        <v>749776</v>
      </c>
      <c r="Y44">
        <f ca="1">IF(ISERROR(IF(SUM($Y$45:$Y$55) = 0, "", SUM($Y$45:$Y$55))), "", (IF(SUM($Y$45:$Y$55) = 0, "", SUM($Y$45:$Y$55))))</f>
        <v>844630</v>
      </c>
      <c r="Z44">
        <f ca="1">IF(ISERROR(IF(SUM($Z$45:$Z$55) = 0, "", SUM($Z$45:$Z$55))), "", (IF(SUM($Z$45:$Z$55) = 0, "", SUM($Z$45:$Z$55))))</f>
        <v>818207</v>
      </c>
      <c r="AA44">
        <f ca="1">IF(ISERROR(IF(SUM($AA$45:$AA$55) = 0, "", SUM($AA$45:$AA$55))), "", (IF(SUM($AA$45:$AA$55) = 0, "", SUM($AA$45:$AA$55))))</f>
        <v>929892</v>
      </c>
      <c r="AB44">
        <f ca="1">IF(ISERROR(IF(SUM($AB$45:$AB$55) = 0, "", SUM($AB$45:$AB$55))), "", (IF(SUM($AB$45:$AB$55) = 0, "", SUM($AB$45:$AB$55))))</f>
        <v>890599</v>
      </c>
      <c r="AC44">
        <f ca="1">IF(ISERROR(IF(SUM($AC$45:$AC$55) = 0, "", SUM($AC$45:$AC$55))), "", (IF(SUM($AC$45:$AC$55) = 0, "", SUM($AC$45:$AC$55))))</f>
        <v>910741</v>
      </c>
      <c r="AD44">
        <f ca="1">IF(ISERROR(IF(SUM($AD$45:$AD$55) = 0, "", SUM($AD$45:$AD$55))), "", (IF(SUM($AD$45:$AD$55) = 0, "", SUM($AD$45:$AD$55))))</f>
        <v>793577</v>
      </c>
      <c r="AE44">
        <f ca="1">IF(ISERROR(IF(SUM($AE$45:$AE$55) = 0, "", SUM($AE$45:$AE$55))), "", (IF(SUM($AE$45:$AE$55) = 0, "", SUM($AE$45:$AE$55))))</f>
        <v>927659</v>
      </c>
      <c r="AF44">
        <f ca="1">IF(ISERROR(IF(SUM($AF$45:$AF$55) = 0, "", SUM($AF$45:$AF$55))), "", (IF(SUM($AF$45:$AF$55) = 0, "", SUM($AF$45:$AF$55))))</f>
        <v>940044</v>
      </c>
      <c r="AG44">
        <f ca="1">IF(ISERROR(IF(SUM($AG$45:$AG$55) = 0, "", SUM($AG$45:$AG$55))), "", (IF(SUM($AG$45:$AG$55) = 0, "", SUM($AG$45:$AG$55))))</f>
        <v>1003296</v>
      </c>
      <c r="AH44">
        <f ca="1">IF(ISERROR(IF(SUM($AH$45:$AH$55) = 0, "", SUM($AH$45:$AH$55))), "", (IF(SUM($AH$45:$AH$55) = 0, "", SUM($AH$45:$AH$55))))</f>
        <v>807623</v>
      </c>
      <c r="AI44">
        <f ca="1">IF(ISERROR(IF(SUM($AI$45:$AI$55) = 0, "", SUM($AI$45:$AI$55))), "", (IF(SUM($AI$45:$AI$55) = 0, "", SUM($AI$45:$AI$55))))</f>
        <v>935147.5</v>
      </c>
      <c r="AJ44">
        <f ca="1">IF(ISERROR(IF(SUM($AJ$45:$AJ$55) = 0, "", SUM($AJ$45:$AJ$55))), "", (IF(SUM($AJ$45:$AJ$55) = 0, "", SUM($AJ$45:$AJ$55))))</f>
        <v>866766</v>
      </c>
      <c r="AK44">
        <f ca="1">IF(ISERROR(IF(SUM($AK$45:$AK$55) = 0, "", SUM($AK$45:$AK$55))), "", (IF(SUM($AK$45:$AK$55) = 0, "", SUM($AK$45:$AK$55))))</f>
        <v>916917</v>
      </c>
      <c r="AL44">
        <f ca="1">IF(ISERROR(IF(SUM($AL$45:$AL$55) = 0, "", SUM($AL$45:$AL$55))), "", (IF(SUM($AL$45:$AL$55) = 0, "", SUM($AL$45:$AL$55))))</f>
        <v>693259</v>
      </c>
      <c r="AM44">
        <f ca="1">IF(ISERROR(IF(SUM($AM$45:$AM$55) = 0, "", SUM($AM$45:$AM$55))), "", (IF(SUM($AM$45:$AM$55) = 0, "", SUM($AM$45:$AM$55))))</f>
        <v>814670.75</v>
      </c>
      <c r="AN44">
        <f ca="1">IF(ISERROR(IF(SUM($AN$45:$AN$55) = 0, "", SUM($AN$45:$AN$55))), "", (IF(SUM($AN$45:$AN$55) = 0, "", SUM($AN$45:$AN$55))))</f>
        <v>709560</v>
      </c>
      <c r="AO44">
        <f ca="1">IF(ISERROR(IF(SUM($AO$45:$AO$55) = 0, "", SUM($AO$45:$AO$55))), "", (IF(SUM($AO$45:$AO$55) = 0, "", SUM($AO$45:$AO$55))))</f>
        <v>700927.25</v>
      </c>
      <c r="AP44">
        <f ca="1">IF(ISERROR(IF(SUM($AP$45:$AP$55) = 0, "", SUM($AP$45:$AP$55))), "", (IF(SUM($AP$45:$AP$55) = 0, "", SUM($AP$45:$AP$55))))</f>
        <v>458744.5</v>
      </c>
      <c r="AQ44">
        <f ca="1">IF(ISERROR(IF(SUM($AQ$45:$AQ$55) = 0, "", SUM($AQ$45:$AQ$55))), "", (IF(SUM($AQ$45:$AQ$55) = 0, "", SUM($AQ$45:$AQ$55))))</f>
        <v>546466</v>
      </c>
      <c r="AR44">
        <f ca="1">IF(ISERROR(IF(SUM($AR$45:$AR$55) = 0, "", SUM($AR$45:$AR$55))), "", (IF(SUM($AR$45:$AR$55) = 0, "", SUM($AR$45:$AR$55))))</f>
        <v>534641</v>
      </c>
      <c r="AS44">
        <f ca="1">IF(ISERROR(IF(SUM($AS$45:$AS$55) = 0, "", SUM($AS$45:$AS$55))), "", (IF(SUM($AS$45:$AS$55) = 0, "", SUM($AS$45:$AS$55))))</f>
        <v>609178</v>
      </c>
      <c r="AT44">
        <f ca="1">IF(ISERROR(IF(SUM($AT$45:$AT$55) = 0, "", SUM($AT$45:$AT$55))), "", (IF(SUM($AT$45:$AT$55) = 0, "", SUM($AT$45:$AT$55))))</f>
        <v>597298</v>
      </c>
      <c r="AU44">
        <f ca="1">IF(ISERROR(IF(SUM($AU$45:$AU$55) = 0, "", SUM($AU$45:$AU$55))), "", (IF(SUM($AU$45:$AU$55) = 0, "", SUM($AU$45:$AU$55))))</f>
        <v>590082</v>
      </c>
      <c r="AV44">
        <f ca="1">IF(ISERROR(IF(SUM($AV$45:$AV$55) = 0, "", SUM($AV$45:$AV$55))), "", (IF(SUM($AV$45:$AV$55) = 0, "", SUM($AV$45:$AV$55))))</f>
        <v>842687</v>
      </c>
      <c r="AW44">
        <f ca="1">IF(ISERROR(IF(SUM($AW$45:$AW$55) = 0, "", SUM($AW$45:$AW$55))), "", (IF(SUM($AW$45:$AW$55) = 0, "", SUM($AW$45:$AW$55))))</f>
        <v>928045</v>
      </c>
      <c r="AX44">
        <f ca="1">IF(ISERROR(IF(SUM($AX$45:$AX$55) = 0, "", SUM($AX$45:$AX$55))), "", (IF(SUM($AX$45:$AX$55) = 0, "", SUM($AX$45:$AX$55))))</f>
        <v>602612</v>
      </c>
      <c r="AY44">
        <f ca="1">IF(ISERROR(IF(SUM($AY$45:$AY$55) = 0, "", SUM($AY$45:$AY$55))), "", (IF(SUM($AY$45:$AY$55) = 0, "", SUM($AY$45:$AY$55))))</f>
        <v>811257</v>
      </c>
      <c r="AZ44">
        <f ca="1">IF(ISERROR(IF(SUM($AZ$45:$AZ$55) = 0, "", SUM($AZ$45:$AZ$55))), "", (IF(SUM($AZ$45:$AZ$55) = 0, "", SUM($AZ$45:$AZ$55))))</f>
        <v>727306</v>
      </c>
      <c r="BA44">
        <f ca="1">IF(ISERROR(IF(SUM($BA$45:$BA$55) = 0, "", SUM($BA$45:$BA$55))), "", (IF(SUM($BA$45:$BA$55) = 0, "", SUM($BA$45:$BA$55))))</f>
        <v>741100</v>
      </c>
      <c r="BB44">
        <f ca="1">IF(ISERROR(IF(SUM($BB$45:$BB$55) = 0, "", SUM($BB$45:$BB$55))), "", (IF(SUM($BB$45:$BB$55) = 0, "", SUM($BB$45:$BB$55))))</f>
        <v>474400</v>
      </c>
      <c r="BC44">
        <f ca="1">IF(ISERROR(IF(SUM($BC$45:$BC$55) = 0, "", SUM($BC$45:$BC$55))), "", (IF(SUM($BC$45:$BC$55) = 0, "", SUM($BC$45:$BC$55))))</f>
        <v>395652</v>
      </c>
      <c r="BD44">
        <f ca="1">IF(ISERROR(IF(SUM($BD$45:$BD$55) = 0, "", SUM($BD$45:$BD$55))), "", (IF(SUM($BD$45:$BD$55) = 0, "", SUM($BD$45:$BD$55))))</f>
        <v>435865</v>
      </c>
      <c r="BE44">
        <f ca="1">IF(ISERROR(IF(SUM($BE$45:$BE$55) = 0, "", SUM($BE$45:$BE$55))), "", (IF(SUM($BE$45:$BE$55) = 0, "", SUM($BE$45:$BE$55))))</f>
        <v>364505</v>
      </c>
      <c r="BF44">
        <f ca="1">IF(ISERROR(IF(SUM($BF$45:$BF$55) = 0, "", SUM($BF$45:$BF$55))), "", (IF(SUM($BF$45:$BF$55) = 0, "", SUM($BF$45:$BF$55))))</f>
        <v>236476</v>
      </c>
      <c r="BG44">
        <f ca="1">IF(ISERROR(IF(SUM($BG$45:$BG$55) = 0, "", SUM($BG$45:$BG$55))), "", (IF(SUM($BG$45:$BG$55) = 0, "", SUM($BG$45:$BG$55))))</f>
        <v>184618</v>
      </c>
      <c r="BH44">
        <f ca="1">IF(ISERROR(IF(SUM($BH$45:$BH$55) = 0, "", SUM($BH$45:$BH$55))), "", (IF(SUM($BH$45:$BH$55) = 0, "", SUM($BH$45:$BH$55))))</f>
        <v>178528</v>
      </c>
      <c r="BI44">
        <f ca="1">IF(ISERROR(IF(SUM($BI$45:$BI$55) = 0, "", SUM($BI$45:$BI$55))), "", (IF(SUM($BI$45:$BI$55) = 0, "", SUM($BI$45:$BI$55))))</f>
        <v>209100</v>
      </c>
      <c r="BJ44">
        <f ca="1">IF(ISERROR(IF(SUM($BJ$45:$BJ$55) = 0, "", SUM($BJ$45:$BJ$55))), "", (IF(SUM($BJ$45:$BJ$55) = 0, "", SUM($BJ$45:$BJ$55))))</f>
        <v>177115</v>
      </c>
      <c r="BK44">
        <f ca="1">IF(ISERROR(IF(SUM($BK$45:$BK$55) = 0, "", SUM($BK$45:$BK$55))), "", (IF(SUM($BK$45:$BK$55) = 0, "", SUM($BK$45:$BK$55))))</f>
        <v>192504</v>
      </c>
      <c r="BL44">
        <f ca="1">IF(ISERROR(IF(SUM($BL$45:$BL$55) = 0, "", SUM($BL$45:$BL$55))), "", (IF(SUM($BL$45:$BL$55) = 0, "", SUM($BL$45:$BL$55))))</f>
        <v>181046</v>
      </c>
      <c r="BM44">
        <f ca="1">IF(ISERROR(IF(SUM($BM$45:$BM$55) = 0, "", SUM($BM$45:$BM$55))), "", (IF(SUM($BM$45:$BM$55) = 0, "", SUM($BM$45:$BM$55))))</f>
        <v>237907</v>
      </c>
      <c r="BN44">
        <f>214943</f>
        <v>214943</v>
      </c>
      <c r="BO44">
        <f>802979</f>
        <v>802979</v>
      </c>
      <c r="BP44">
        <f>787645</f>
        <v>787645</v>
      </c>
      <c r="BQ44">
        <f>816404</f>
        <v>816404</v>
      </c>
      <c r="BR44">
        <f>731862</f>
        <v>731862</v>
      </c>
      <c r="BS44">
        <f>791564</f>
        <v>791564</v>
      </c>
      <c r="BT44">
        <f>702902</f>
        <v>702902</v>
      </c>
      <c r="BU44">
        <f>720189</f>
        <v>720189</v>
      </c>
      <c r="BV44">
        <f>626936</f>
        <v>626936</v>
      </c>
      <c r="BW44">
        <f>697984</f>
        <v>697984</v>
      </c>
      <c r="BX44">
        <f>612975</f>
        <v>612975</v>
      </c>
      <c r="BY44">
        <f>642726</f>
        <v>642726</v>
      </c>
      <c r="BZ44">
        <f>576703</f>
        <v>576703</v>
      </c>
      <c r="CA44">
        <f>666854</f>
        <v>666854</v>
      </c>
      <c r="CB44">
        <f>641592</f>
        <v>641592</v>
      </c>
      <c r="CC44">
        <f>642033</f>
        <v>642033</v>
      </c>
      <c r="CD44">
        <f>608986</f>
        <v>608986</v>
      </c>
      <c r="CE44">
        <f>930805</f>
        <v>930805</v>
      </c>
      <c r="CF44">
        <f>749776</f>
        <v>749776</v>
      </c>
      <c r="CG44">
        <f>844630</f>
        <v>844630</v>
      </c>
      <c r="CH44">
        <f>818207</f>
        <v>818207</v>
      </c>
      <c r="CI44">
        <f>929892</f>
        <v>929892</v>
      </c>
      <c r="CJ44">
        <f>890599</f>
        <v>890599</v>
      </c>
      <c r="CK44">
        <f>910741</f>
        <v>910741</v>
      </c>
      <c r="CL44">
        <f>793577</f>
        <v>793577</v>
      </c>
      <c r="CM44">
        <f>927659</f>
        <v>927659</v>
      </c>
      <c r="CN44">
        <f>940044</f>
        <v>940044</v>
      </c>
      <c r="CO44">
        <f>1003296</f>
        <v>1003296</v>
      </c>
      <c r="CP44">
        <f>807623</f>
        <v>807623</v>
      </c>
      <c r="CQ44">
        <f>935147.5</f>
        <v>935147.5</v>
      </c>
      <c r="CR44">
        <f>866766</f>
        <v>866766</v>
      </c>
      <c r="CS44">
        <f>916917</f>
        <v>916917</v>
      </c>
      <c r="CT44">
        <f>693259</f>
        <v>693259</v>
      </c>
      <c r="CU44">
        <f>814670.75</f>
        <v>814670.75</v>
      </c>
      <c r="CV44">
        <f>709560</f>
        <v>709560</v>
      </c>
      <c r="CW44">
        <f>700927.25</f>
        <v>700927.25</v>
      </c>
      <c r="CX44">
        <f>458744.5</f>
        <v>458744.5</v>
      </c>
      <c r="CY44">
        <f>546466</f>
        <v>546466</v>
      </c>
      <c r="CZ44">
        <f>534641</f>
        <v>534641</v>
      </c>
      <c r="DA44">
        <f>609178</f>
        <v>609178</v>
      </c>
      <c r="DB44">
        <f>597298</f>
        <v>597298</v>
      </c>
      <c r="DC44">
        <f>590082</f>
        <v>590082</v>
      </c>
      <c r="DD44">
        <f>842687</f>
        <v>842687</v>
      </c>
      <c r="DE44">
        <f>928045</f>
        <v>928045</v>
      </c>
      <c r="DF44">
        <f>602612</f>
        <v>602612</v>
      </c>
      <c r="DG44">
        <f>811257</f>
        <v>811257</v>
      </c>
      <c r="DH44">
        <f>727306</f>
        <v>727306</v>
      </c>
      <c r="DI44">
        <f>741100</f>
        <v>741100</v>
      </c>
      <c r="DJ44">
        <f>474400</f>
        <v>474400</v>
      </c>
      <c r="DK44">
        <f>395652</f>
        <v>395652</v>
      </c>
      <c r="DL44">
        <f>435865</f>
        <v>435865</v>
      </c>
      <c r="DM44">
        <f>364505</f>
        <v>364505</v>
      </c>
      <c r="DN44">
        <f>236476</f>
        <v>236476</v>
      </c>
      <c r="DO44">
        <f>184618</f>
        <v>184618</v>
      </c>
      <c r="DP44">
        <f>178528</f>
        <v>178528</v>
      </c>
      <c r="DQ44">
        <f>209100</f>
        <v>209100</v>
      </c>
      <c r="DR44">
        <f>177115</f>
        <v>177115</v>
      </c>
      <c r="DS44">
        <f>192504</f>
        <v>192504</v>
      </c>
      <c r="DT44">
        <f>181046</f>
        <v>181046</v>
      </c>
      <c r="DU44">
        <f>237907</f>
        <v>237907</v>
      </c>
    </row>
    <row r="45" spans="1:125" x14ac:dyDescent="0.25">
      <c r="A45" t="str">
        <f>"            Bulgaria"</f>
        <v xml:space="preserve">            Bulgaria</v>
      </c>
      <c r="B45" t="str">
        <f>"WCARBG Index"</f>
        <v>WCARBG Index</v>
      </c>
      <c r="C45" t="str">
        <f t="shared" ref="C45:C55" si="6">"PX385"</f>
        <v>PX385</v>
      </c>
      <c r="D45" t="str">
        <f t="shared" ref="D45:D55" si="7">"INTERVAL_SUM"</f>
        <v>INTERVAL_SUM</v>
      </c>
      <c r="E45" t="str">
        <f t="shared" ref="E45:E55" si="8">"Dynamic"</f>
        <v>Dynamic</v>
      </c>
      <c r="F45">
        <f ca="1">IF(AND(ISNUMBER($F$196),$B$156=1),$F$196,HLOOKUP(INDIRECT(ADDRESS(2,COLUMN())),OFFSET($BN$2,0,0,ROW()-1,60),ROW()-1,FALSE))</f>
        <v>2344</v>
      </c>
      <c r="G45">
        <f ca="1">IF(AND(ISNUMBER($G$196),$B$156=1),$G$196,HLOOKUP(INDIRECT(ADDRESS(2,COLUMN())),OFFSET($BN$2,0,0,ROW()-1,60),ROW()-1,FALSE))</f>
        <v>7889</v>
      </c>
      <c r="H45">
        <f ca="1">IF(AND(ISNUMBER($H$196),$B$156=1),$H$196,HLOOKUP(INDIRECT(ADDRESS(2,COLUMN())),OFFSET($BN$2,0,0,ROW()-1,60),ROW()-1,FALSE))</f>
        <v>8361</v>
      </c>
      <c r="I45">
        <f ca="1">IF(AND(ISNUMBER($I$196),$B$156=1),$I$196,HLOOKUP(INDIRECT(ADDRESS(2,COLUMN())),OFFSET($BN$2,0,0,ROW()-1,60),ROW()-1,FALSE))</f>
        <v>9746</v>
      </c>
      <c r="J45">
        <f ca="1">IF(AND(ISNUMBER($J$196),$B$156=1),$J$196,HLOOKUP(INDIRECT(ADDRESS(2,COLUMN())),OFFSET($BN$2,0,0,ROW()-1,60),ROW()-1,FALSE))</f>
        <v>8336</v>
      </c>
      <c r="K45">
        <f ca="1">IF(AND(ISNUMBER($K$196),$B$156=1),$K$196,HLOOKUP(INDIRECT(ADDRESS(2,COLUMN())),OFFSET($BN$2,0,0,ROW()-1,60),ROW()-1,FALSE))</f>
        <v>9146</v>
      </c>
      <c r="L45">
        <f ca="1">IF(AND(ISNUMBER($L$196),$B$156=1),$L$196,HLOOKUP(INDIRECT(ADDRESS(2,COLUMN())),OFFSET($BN$2,0,0,ROW()-1,60),ROW()-1,FALSE))</f>
        <v>7349</v>
      </c>
      <c r="M45">
        <f ca="1">IF(AND(ISNUMBER($M$196),$B$156=1),$M$196,HLOOKUP(INDIRECT(ADDRESS(2,COLUMN())),OFFSET($BN$2,0,0,ROW()-1,60),ROW()-1,FALSE))</f>
        <v>8142</v>
      </c>
      <c r="N45">
        <f ca="1">IF(AND(ISNUMBER($N$196),$B$156=1),$N$196,HLOOKUP(INDIRECT(ADDRESS(2,COLUMN())),OFFSET($BN$2,0,0,ROW()-1,60),ROW()-1,FALSE))</f>
        <v>6607</v>
      </c>
      <c r="O45">
        <f ca="1">IF(AND(ISNUMBER($O$196),$B$156=1),$O$196,HLOOKUP(INDIRECT(ADDRESS(2,COLUMN())),OFFSET($BN$2,0,0,ROW()-1,60),ROW()-1,FALSE))</f>
        <v>7661</v>
      </c>
      <c r="P45">
        <f ca="1">IF(AND(ISNUMBER($P$196),$B$156=1),$P$196,HLOOKUP(INDIRECT(ADDRESS(2,COLUMN())),OFFSET($BN$2,0,0,ROW()-1,60),ROW()-1,FALSE))</f>
        <v>6348</v>
      </c>
      <c r="Q45">
        <f ca="1">IF(AND(ISNUMBER($Q$196),$B$156=1),$Q$196,HLOOKUP(INDIRECT(ADDRESS(2,COLUMN())),OFFSET($BN$2,0,0,ROW()-1,60),ROW()-1,FALSE))</f>
        <v>6962</v>
      </c>
      <c r="R45">
        <f ca="1">IF(AND(ISNUMBER($R$196),$B$156=1),$R$196,HLOOKUP(INDIRECT(ADDRESS(2,COLUMN())),OFFSET($BN$2,0,0,ROW()-1,60),ROW()-1,FALSE))</f>
        <v>5399</v>
      </c>
      <c r="S45">
        <f ca="1">IF(AND(ISNUMBER($S$196),$B$156=1),$S$196,HLOOKUP(INDIRECT(ADDRESS(2,COLUMN())),OFFSET($BN$2,0,0,ROW()-1,60),ROW()-1,FALSE))</f>
        <v>7212</v>
      </c>
      <c r="T45">
        <f ca="1">IF(AND(ISNUMBER($T$196),$B$156=1),$T$196,HLOOKUP(INDIRECT(ADDRESS(2,COLUMN())),OFFSET($BN$2,0,0,ROW()-1,60),ROW()-1,FALSE))</f>
        <v>5540</v>
      </c>
      <c r="U45">
        <f ca="1">IF(AND(ISNUMBER($U$196),$B$156=1),$U$196,HLOOKUP(INDIRECT(ADDRESS(2,COLUMN())),OFFSET($BN$2,0,0,ROW()-1,60),ROW()-1,FALSE))</f>
        <v>6533</v>
      </c>
      <c r="V45">
        <f ca="1">IF(AND(ISNUMBER($V$196),$B$156=1),$V$196,HLOOKUP(INDIRECT(ADDRESS(2,COLUMN())),OFFSET($BN$2,0,0,ROW()-1,60),ROW()-1,FALSE))</f>
        <v>5008</v>
      </c>
      <c r="W45">
        <f ca="1">IF(AND(ISNUMBER($W$196),$B$156=1),$W$196,HLOOKUP(INDIRECT(ADDRESS(2,COLUMN())),OFFSET($BN$2,0,0,ROW()-1,60),ROW()-1,FALSE))</f>
        <v>5209</v>
      </c>
      <c r="X45">
        <f ca="1">IF(AND(ISNUMBER($X$196),$B$156=1),$X$196,HLOOKUP(INDIRECT(ADDRESS(2,COLUMN())),OFFSET($BN$2,0,0,ROW()-1,60),ROW()-1,FALSE))</f>
        <v>4818</v>
      </c>
      <c r="Y45">
        <f ca="1">IF(AND(ISNUMBER($Y$196),$B$156=1),$Y$196,HLOOKUP(INDIRECT(ADDRESS(2,COLUMN())),OFFSET($BN$2,0,0,ROW()-1,60),ROW()-1,FALSE))</f>
        <v>5713</v>
      </c>
      <c r="Z45">
        <f ca="1">IF(AND(ISNUMBER($Z$196),$B$156=1),$Z$196,HLOOKUP(INDIRECT(ADDRESS(2,COLUMN())),OFFSET($BN$2,0,0,ROW()-1,60),ROW()-1,FALSE))</f>
        <v>4619</v>
      </c>
      <c r="AA45">
        <f ca="1">IF(AND(ISNUMBER($AA$196),$B$156=1),$AA$196,HLOOKUP(INDIRECT(ADDRESS(2,COLUMN())),OFFSET($BN$2,0,0,ROW()-1,60),ROW()-1,FALSE))</f>
        <v>5454</v>
      </c>
      <c r="AB45">
        <f ca="1">IF(AND(ISNUMBER($AB$196),$B$156=1),$AB$196,HLOOKUP(INDIRECT(ADDRESS(2,COLUMN())),OFFSET($BN$2,0,0,ROW()-1,60),ROW()-1,FALSE))</f>
        <v>4927</v>
      </c>
      <c r="AC45">
        <f ca="1">IF(AND(ISNUMBER($AC$196),$B$156=1),$AC$196,HLOOKUP(INDIRECT(ADDRESS(2,COLUMN())),OFFSET($BN$2,0,0,ROW()-1,60),ROW()-1,FALSE))</f>
        <v>5430</v>
      </c>
      <c r="AD45">
        <f ca="1">IF(AND(ISNUMBER($AD$196),$B$156=1),$AD$196,HLOOKUP(INDIRECT(ADDRESS(2,COLUMN())),OFFSET($BN$2,0,0,ROW()-1,60),ROW()-1,FALSE))</f>
        <v>3541</v>
      </c>
      <c r="AE45">
        <f ca="1">IF(AND(ISNUMBER($AE$196),$B$156=1),$AE$196,HLOOKUP(INDIRECT(ADDRESS(2,COLUMN())),OFFSET($BN$2,0,0,ROW()-1,60),ROW()-1,FALSE))</f>
        <v>5167</v>
      </c>
      <c r="AF45">
        <f ca="1">IF(AND(ISNUMBER($AF$196),$B$156=1),$AF$196,HLOOKUP(INDIRECT(ADDRESS(2,COLUMN())),OFFSET($BN$2,0,0,ROW()-1,60),ROW()-1,FALSE))</f>
        <v>4482</v>
      </c>
      <c r="AG45">
        <f ca="1">IF(AND(ISNUMBER($AG$196),$B$156=1),$AG$196,HLOOKUP(INDIRECT(ADDRESS(2,COLUMN())),OFFSET($BN$2,0,0,ROW()-1,60),ROW()-1,FALSE))</f>
        <v>5844</v>
      </c>
      <c r="AH45">
        <f ca="1">IF(AND(ISNUMBER($AH$196),$B$156=1),$AH$196,HLOOKUP(INDIRECT(ADDRESS(2,COLUMN())),OFFSET($BN$2,0,0,ROW()-1,60),ROW()-1,FALSE))</f>
        <v>3926</v>
      </c>
      <c r="AI45">
        <f ca="1">IF(AND(ISNUMBER($AI$196),$B$156=1),$AI$196,HLOOKUP(INDIRECT(ADDRESS(2,COLUMN())),OFFSET($BN$2,0,0,ROW()-1,60),ROW()-1,FALSE))</f>
        <v>5427.5</v>
      </c>
      <c r="AJ45">
        <f ca="1">IF(AND(ISNUMBER($AJ$196),$B$156=1),$AJ$196,HLOOKUP(INDIRECT(ADDRESS(2,COLUMN())),OFFSET($BN$2,0,0,ROW()-1,60),ROW()-1,FALSE))</f>
        <v>5188</v>
      </c>
      <c r="AK45">
        <f ca="1">IF(AND(ISNUMBER($AK$196),$B$156=1),$AK$196,HLOOKUP(INDIRECT(ADDRESS(2,COLUMN())),OFFSET($BN$2,0,0,ROW()-1,60),ROW()-1,FALSE))</f>
        <v>5047</v>
      </c>
      <c r="AL45">
        <f ca="1">IF(AND(ISNUMBER($AL$196),$B$156=1),$AL$196,HLOOKUP(INDIRECT(ADDRESS(2,COLUMN())),OFFSET($BN$2,0,0,ROW()-1,60),ROW()-1,FALSE))</f>
        <v>4119</v>
      </c>
      <c r="AM45">
        <f ca="1">IF(AND(ISNUMBER($AM$196),$B$156=1),$AM$196,HLOOKUP(INDIRECT(ADDRESS(2,COLUMN())),OFFSET($BN$2,0,0,ROW()-1,60),ROW()-1,FALSE))</f>
        <v>4948</v>
      </c>
      <c r="AN45">
        <f ca="1">IF(AND(ISNUMBER($AN$196),$B$156=1),$AN$196,HLOOKUP(INDIRECT(ADDRESS(2,COLUMN())),OFFSET($BN$2,0,0,ROW()-1,60),ROW()-1,FALSE))</f>
        <v>4010</v>
      </c>
      <c r="AO45">
        <f ca="1">IF(AND(ISNUMBER($AO$196),$B$156=1),$AO$196,HLOOKUP(INDIRECT(ADDRESS(2,COLUMN())),OFFSET($BN$2,0,0,ROW()-1,60),ROW()-1,FALSE))</f>
        <v>3943</v>
      </c>
      <c r="AP45">
        <f ca="1">IF(AND(ISNUMBER($AP$196),$B$156=1),$AP$196,HLOOKUP(INDIRECT(ADDRESS(2,COLUMN())),OFFSET($BN$2,0,0,ROW()-1,60),ROW()-1,FALSE))</f>
        <v>3356</v>
      </c>
      <c r="AQ45">
        <f ca="1">IF(AND(ISNUMBER($AQ$196),$B$156=1),$AQ$196,HLOOKUP(INDIRECT(ADDRESS(2,COLUMN())),OFFSET($BN$2,0,0,ROW()-1,60),ROW()-1,FALSE))</f>
        <v>4677</v>
      </c>
      <c r="AR45">
        <f ca="1">IF(AND(ISNUMBER($AR$196),$B$156=1),$AR$196,HLOOKUP(INDIRECT(ADDRESS(2,COLUMN())),OFFSET($BN$2,0,0,ROW()-1,60),ROW()-1,FALSE))</f>
        <v>5721</v>
      </c>
      <c r="AS45">
        <f ca="1">IF(AND(ISNUMBER($AS$196),$B$156=1),$AS$196,HLOOKUP(INDIRECT(ADDRESS(2,COLUMN())),OFFSET($BN$2,0,0,ROW()-1,60),ROW()-1,FALSE))</f>
        <v>6752</v>
      </c>
      <c r="AT45">
        <f ca="1">IF(AND(ISNUMBER($AT$196),$B$156=1),$AT$196,HLOOKUP(INDIRECT(ADDRESS(2,COLUMN())),OFFSET($BN$2,0,0,ROW()-1,60),ROW()-1,FALSE))</f>
        <v>6100</v>
      </c>
      <c r="AU45">
        <f ca="1">IF(AND(ISNUMBER($AU$196),$B$156=1),$AU$196,HLOOKUP(INDIRECT(ADDRESS(2,COLUMN())),OFFSET($BN$2,0,0,ROW()-1,60),ROW()-1,FALSE))</f>
        <v>10428</v>
      </c>
      <c r="AV45">
        <f ca="1">IF(AND(ISNUMBER($AV$196),$B$156=1),$AV$196,HLOOKUP(INDIRECT(ADDRESS(2,COLUMN())),OFFSET($BN$2,0,0,ROW()-1,60),ROW()-1,FALSE))</f>
        <v>10809</v>
      </c>
      <c r="AW45">
        <f ca="1">IF(AND(ISNUMBER($AW$196),$B$156=1),$AW$196,HLOOKUP(INDIRECT(ADDRESS(2,COLUMN())),OFFSET($BN$2,0,0,ROW()-1,60),ROW()-1,FALSE))</f>
        <v>11092</v>
      </c>
      <c r="AX45">
        <f ca="1">IF(AND(ISNUMBER($AX$196),$B$156=1),$AX$196,HLOOKUP(INDIRECT(ADDRESS(2,COLUMN())),OFFSET($BN$2,0,0,ROW()-1,60),ROW()-1,FALSE))</f>
        <v>11429</v>
      </c>
      <c r="AY45">
        <f ca="1">IF(AND(ISNUMBER($AY$196),$B$156=1),$AY$196,HLOOKUP(INDIRECT(ADDRESS(2,COLUMN())),OFFSET($BN$2,0,0,ROW()-1,60),ROW()-1,FALSE))</f>
        <v>12171</v>
      </c>
      <c r="AZ45">
        <f ca="1">IF(AND(ISNUMBER($AZ$196),$B$156=1),$AZ$196,HLOOKUP(INDIRECT(ADDRESS(2,COLUMN())),OFFSET($BN$2,0,0,ROW()-1,60),ROW()-1,FALSE))</f>
        <v>9820</v>
      </c>
      <c r="BA45">
        <f ca="1">IF(AND(ISNUMBER($BA$196),$B$156=1),$BA$196,HLOOKUP(INDIRECT(ADDRESS(2,COLUMN())),OFFSET($BN$2,0,0,ROW()-1,60),ROW()-1,FALSE))</f>
        <v>9905</v>
      </c>
      <c r="BB45">
        <f ca="1">IF(AND(ISNUMBER($BB$196),$B$156=1),$BB$196,HLOOKUP(INDIRECT(ADDRESS(2,COLUMN())),OFFSET($BN$2,0,0,ROW()-1,60),ROW()-1,FALSE))</f>
        <v>9146</v>
      </c>
      <c r="BC45">
        <f ca="1">IF(AND(ISNUMBER($BC$196),$B$156=1),$BC$196,HLOOKUP(INDIRECT(ADDRESS(2,COLUMN())),OFFSET($BN$2,0,0,ROW()-1,60),ROW()-1,FALSE))</f>
        <v>10230</v>
      </c>
      <c r="BD45">
        <f ca="1">IF(AND(ISNUMBER($BD$196),$B$156=1),$BD$196,HLOOKUP(INDIRECT(ADDRESS(2,COLUMN())),OFFSET($BN$2,0,0,ROW()-1,60),ROW()-1,FALSE))</f>
        <v>7538</v>
      </c>
      <c r="BE45">
        <f ca="1">IF(AND(ISNUMBER($BE$196),$B$156=1),$BE$196,HLOOKUP(INDIRECT(ADDRESS(2,COLUMN())),OFFSET($BN$2,0,0,ROW()-1,60),ROW()-1,FALSE))</f>
        <v>8173</v>
      </c>
      <c r="BF45">
        <f ca="1">IF(AND(ISNUMBER($BF$196),$B$156=1),$BF$196,HLOOKUP(INDIRECT(ADDRESS(2,COLUMN())),OFFSET($BN$2,0,0,ROW()-1,60),ROW()-1,FALSE))</f>
        <v>6540</v>
      </c>
      <c r="BG45" t="str">
        <f ca="1">IF(AND(ISNUMBER($BG$196),$B$156=1),$BG$196,HLOOKUP(INDIRECT(ADDRESS(2,COLUMN())),OFFSET($BN$2,0,0,ROW()-1,60),ROW()-1,FALSE))</f>
        <v/>
      </c>
      <c r="BH45" t="str">
        <f ca="1">IF(AND(ISNUMBER($BH$196),$B$156=1),$BH$196,HLOOKUP(INDIRECT(ADDRESS(2,COLUMN())),OFFSET($BN$2,0,0,ROW()-1,60),ROW()-1,FALSE))</f>
        <v/>
      </c>
      <c r="BI45" t="str">
        <f ca="1">IF(AND(ISNUMBER($BI$196),$B$156=1),$BI$196,HLOOKUP(INDIRECT(ADDRESS(2,COLUMN())),OFFSET($BN$2,0,0,ROW()-1,60),ROW()-1,FALSE))</f>
        <v/>
      </c>
      <c r="BJ45" t="str">
        <f ca="1">IF(AND(ISNUMBER($BJ$196),$B$156=1),$BJ$196,HLOOKUP(INDIRECT(ADDRESS(2,COLUMN())),OFFSET($BN$2,0,0,ROW()-1,60),ROW()-1,FALSE))</f>
        <v/>
      </c>
      <c r="BK45" t="str">
        <f ca="1">IF(AND(ISNUMBER($BK$196),$B$156=1),$BK$196,HLOOKUP(INDIRECT(ADDRESS(2,COLUMN())),OFFSET($BN$2,0,0,ROW()-1,60),ROW()-1,FALSE))</f>
        <v/>
      </c>
      <c r="BL45" t="str">
        <f ca="1">IF(AND(ISNUMBER($BL$196),$B$156=1),$BL$196,HLOOKUP(INDIRECT(ADDRESS(2,COLUMN())),OFFSET($BN$2,0,0,ROW()-1,60),ROW()-1,FALSE))</f>
        <v/>
      </c>
      <c r="BM45" t="str">
        <f ca="1">IF(AND(ISNUMBER($BM$196),$B$156=1),$BM$196,HLOOKUP(INDIRECT(ADDRESS(2,COLUMN())),OFFSET($BN$2,0,0,ROW()-1,60),ROW()-1,FALSE))</f>
        <v/>
      </c>
      <c r="BN45">
        <f>2344</f>
        <v>2344</v>
      </c>
      <c r="BO45">
        <f>7889</f>
        <v>7889</v>
      </c>
      <c r="BP45">
        <f>8361</f>
        <v>8361</v>
      </c>
      <c r="BQ45">
        <f>9746</f>
        <v>9746</v>
      </c>
      <c r="BR45">
        <f>8336</f>
        <v>8336</v>
      </c>
      <c r="BS45">
        <f>9146</f>
        <v>9146</v>
      </c>
      <c r="BT45">
        <f>7349</f>
        <v>7349</v>
      </c>
      <c r="BU45">
        <f>8142</f>
        <v>8142</v>
      </c>
      <c r="BV45">
        <f>6607</f>
        <v>6607</v>
      </c>
      <c r="BW45">
        <f>7661</f>
        <v>7661</v>
      </c>
      <c r="BX45">
        <f>6348</f>
        <v>6348</v>
      </c>
      <c r="BY45">
        <f>6962</f>
        <v>6962</v>
      </c>
      <c r="BZ45">
        <f>5399</f>
        <v>5399</v>
      </c>
      <c r="CA45">
        <f>7212</f>
        <v>7212</v>
      </c>
      <c r="CB45">
        <f>5540</f>
        <v>5540</v>
      </c>
      <c r="CC45">
        <f>6533</f>
        <v>6533</v>
      </c>
      <c r="CD45">
        <f>5008</f>
        <v>5008</v>
      </c>
      <c r="CE45">
        <f>5209</f>
        <v>5209</v>
      </c>
      <c r="CF45">
        <f>4818</f>
        <v>4818</v>
      </c>
      <c r="CG45">
        <f>5713</f>
        <v>5713</v>
      </c>
      <c r="CH45">
        <f>4619</f>
        <v>4619</v>
      </c>
      <c r="CI45">
        <f>5454</f>
        <v>5454</v>
      </c>
      <c r="CJ45">
        <f>4927</f>
        <v>4927</v>
      </c>
      <c r="CK45">
        <f>5430</f>
        <v>5430</v>
      </c>
      <c r="CL45">
        <f>3541</f>
        <v>3541</v>
      </c>
      <c r="CM45">
        <f>5167</f>
        <v>5167</v>
      </c>
      <c r="CN45">
        <f>4482</f>
        <v>4482</v>
      </c>
      <c r="CO45">
        <f>5844</f>
        <v>5844</v>
      </c>
      <c r="CP45">
        <f>3926</f>
        <v>3926</v>
      </c>
      <c r="CQ45">
        <f>5427.5</f>
        <v>5427.5</v>
      </c>
      <c r="CR45">
        <f>5188</f>
        <v>5188</v>
      </c>
      <c r="CS45">
        <f>5047</f>
        <v>5047</v>
      </c>
      <c r="CT45">
        <f>4119</f>
        <v>4119</v>
      </c>
      <c r="CU45">
        <f>4948</f>
        <v>4948</v>
      </c>
      <c r="CV45">
        <f>4010</f>
        <v>4010</v>
      </c>
      <c r="CW45">
        <f>3943</f>
        <v>3943</v>
      </c>
      <c r="CX45">
        <f>3356</f>
        <v>3356</v>
      </c>
      <c r="CY45">
        <f>4677</f>
        <v>4677</v>
      </c>
      <c r="CZ45">
        <f>5721</f>
        <v>5721</v>
      </c>
      <c r="DA45">
        <f>6752</f>
        <v>6752</v>
      </c>
      <c r="DB45">
        <f>6100</f>
        <v>6100</v>
      </c>
      <c r="DC45">
        <f>10428</f>
        <v>10428</v>
      </c>
      <c r="DD45">
        <f>10809</f>
        <v>10809</v>
      </c>
      <c r="DE45">
        <f>11092</f>
        <v>11092</v>
      </c>
      <c r="DF45">
        <f>11429</f>
        <v>11429</v>
      </c>
      <c r="DG45">
        <f>12171</f>
        <v>12171</v>
      </c>
      <c r="DH45">
        <f>9820</f>
        <v>9820</v>
      </c>
      <c r="DI45">
        <f>9905</f>
        <v>9905</v>
      </c>
      <c r="DJ45">
        <f>9146</f>
        <v>9146</v>
      </c>
      <c r="DK45">
        <f>10230</f>
        <v>10230</v>
      </c>
      <c r="DL45">
        <f>7538</f>
        <v>7538</v>
      </c>
      <c r="DM45">
        <f>8173</f>
        <v>8173</v>
      </c>
      <c r="DN45">
        <f>6540</f>
        <v>6540</v>
      </c>
      <c r="DO45" t="str">
        <f>""</f>
        <v/>
      </c>
      <c r="DP45" t="str">
        <f>""</f>
        <v/>
      </c>
      <c r="DQ45" t="str">
        <f>""</f>
        <v/>
      </c>
      <c r="DR45" t="str">
        <f>""</f>
        <v/>
      </c>
      <c r="DS45" t="str">
        <f>""</f>
        <v/>
      </c>
      <c r="DT45" t="str">
        <f>""</f>
        <v/>
      </c>
      <c r="DU45" t="str">
        <f>""</f>
        <v/>
      </c>
    </row>
    <row r="46" spans="1:125" x14ac:dyDescent="0.25">
      <c r="A46" t="str">
        <f>"            Czech Republic"</f>
        <v xml:space="preserve">            Czech Republic</v>
      </c>
      <c r="B46" t="str">
        <f>"WCARCZ Index"</f>
        <v>WCARCZ Index</v>
      </c>
      <c r="C46" t="str">
        <f t="shared" si="6"/>
        <v>PX385</v>
      </c>
      <c r="D46" t="str">
        <f t="shared" si="7"/>
        <v>INTERVAL_SUM</v>
      </c>
      <c r="E46" t="str">
        <f t="shared" si="8"/>
        <v>Dynamic</v>
      </c>
      <c r="F46">
        <f ca="1">IF(AND(ISNUMBER($F$197),$B$156=1),$F$197,HLOOKUP(INDIRECT(ADDRESS(2,COLUMN())),OFFSET($BN$2,0,0,ROW()-1,60),ROW()-1,FALSE))</f>
        <v>19278</v>
      </c>
      <c r="G46">
        <f ca="1">IF(AND(ISNUMBER($G$197),$B$156=1),$G$197,HLOOKUP(INDIRECT(ADDRESS(2,COLUMN())),OFFSET($BN$2,0,0,ROW()-1,60),ROW()-1,FALSE))</f>
        <v>53653</v>
      </c>
      <c r="H46">
        <f ca="1">IF(AND(ISNUMBER($H$197),$B$156=1),$H$197,HLOOKUP(INDIRECT(ADDRESS(2,COLUMN())),OFFSET($BN$2,0,0,ROW()-1,60),ROW()-1,FALSE))</f>
        <v>64000</v>
      </c>
      <c r="I46">
        <f ca="1">IF(AND(ISNUMBER($I$197),$B$156=1),$I$197,HLOOKUP(INDIRECT(ADDRESS(2,COLUMN())),OFFSET($BN$2,0,0,ROW()-1,60),ROW()-1,FALSE))</f>
        <v>75911</v>
      </c>
      <c r="J46">
        <f ca="1">IF(AND(ISNUMBER($J$197),$B$156=1),$J$197,HLOOKUP(INDIRECT(ADDRESS(2,COLUMN())),OFFSET($BN$2,0,0,ROW()-1,60),ROW()-1,FALSE))</f>
        <v>67873</v>
      </c>
      <c r="K46">
        <f ca="1">IF(AND(ISNUMBER($K$197),$B$156=1),$K$197,HLOOKUP(INDIRECT(ADDRESS(2,COLUMN())),OFFSET($BN$2,0,0,ROW()-1,60),ROW()-1,FALSE))</f>
        <v>66084</v>
      </c>
      <c r="L46">
        <f ca="1">IF(AND(ISNUMBER($L$197),$B$156=1),$L$197,HLOOKUP(INDIRECT(ADDRESS(2,COLUMN())),OFFSET($BN$2,0,0,ROW()-1,60),ROW()-1,FALSE))</f>
        <v>61060</v>
      </c>
      <c r="M46">
        <f ca="1">IF(AND(ISNUMBER($M$197),$B$156=1),$M$197,HLOOKUP(INDIRECT(ADDRESS(2,COLUMN())),OFFSET($BN$2,0,0,ROW()-1,60),ROW()-1,FALSE))</f>
        <v>76392</v>
      </c>
      <c r="N46">
        <f ca="1">IF(AND(ISNUMBER($N$197),$B$156=1),$N$197,HLOOKUP(INDIRECT(ADDRESS(2,COLUMN())),OFFSET($BN$2,0,0,ROW()-1,60),ROW()-1,FALSE))</f>
        <v>68059</v>
      </c>
      <c r="O46">
        <f ca="1">IF(AND(ISNUMBER($O$197),$B$156=1),$O$197,HLOOKUP(INDIRECT(ADDRESS(2,COLUMN())),OFFSET($BN$2,0,0,ROW()-1,60),ROW()-1,FALSE))</f>
        <v>66979</v>
      </c>
      <c r="P46">
        <f ca="1">IF(AND(ISNUMBER($P$197),$B$156=1),$P$197,HLOOKUP(INDIRECT(ADDRESS(2,COLUMN())),OFFSET($BN$2,0,0,ROW()-1,60),ROW()-1,FALSE))</f>
        <v>59936</v>
      </c>
      <c r="Q46">
        <f ca="1">IF(AND(ISNUMBER($Q$197),$B$156=1),$Q$197,HLOOKUP(INDIRECT(ADDRESS(2,COLUMN())),OFFSET($BN$2,0,0,ROW()-1,60),ROW()-1,FALSE))</f>
        <v>73180</v>
      </c>
      <c r="R46">
        <f ca="1">IF(AND(ISNUMBER($R$197),$B$156=1),$R$197,HLOOKUP(INDIRECT(ADDRESS(2,COLUMN())),OFFSET($BN$2,0,0,ROW()-1,60),ROW()-1,FALSE))</f>
        <v>59598</v>
      </c>
      <c r="S46">
        <f ca="1">IF(AND(ISNUMBER($S$197),$B$156=1),$S$197,HLOOKUP(INDIRECT(ADDRESS(2,COLUMN())),OFFSET($BN$2,0,0,ROW()-1,60),ROW()-1,FALSE))</f>
        <v>59847</v>
      </c>
      <c r="T46">
        <f ca="1">IF(AND(ISNUMBER($T$197),$B$156=1),$T$197,HLOOKUP(INDIRECT(ADDRESS(2,COLUMN())),OFFSET($BN$2,0,0,ROW()-1,60),ROW()-1,FALSE))</f>
        <v>57749</v>
      </c>
      <c r="U46">
        <f ca="1">IF(AND(ISNUMBER($U$197),$B$156=1),$U$197,HLOOKUP(INDIRECT(ADDRESS(2,COLUMN())),OFFSET($BN$2,0,0,ROW()-1,60),ROW()-1,FALSE))</f>
        <v>59996</v>
      </c>
      <c r="V46">
        <f ca="1">IF(AND(ISNUMBER($V$197),$B$156=1),$V$197,HLOOKUP(INDIRECT(ADDRESS(2,COLUMN())),OFFSET($BN$2,0,0,ROW()-1,60),ROW()-1,FALSE))</f>
        <v>53265</v>
      </c>
      <c r="W46">
        <f ca="1">IF(AND(ISNUMBER($W$197),$B$156=1),$W$197,HLOOKUP(INDIRECT(ADDRESS(2,COLUMN())),OFFSET($BN$2,0,0,ROW()-1,60),ROW()-1,FALSE))</f>
        <v>50844</v>
      </c>
      <c r="X46">
        <f ca="1">IF(AND(ISNUMBER($X$197),$B$156=1),$X$197,HLOOKUP(INDIRECT(ADDRESS(2,COLUMN())),OFFSET($BN$2,0,0,ROW()-1,60),ROW()-1,FALSE))</f>
        <v>47412</v>
      </c>
      <c r="Y46">
        <f ca="1">IF(AND(ISNUMBER($Y$197),$B$156=1),$Y$197,HLOOKUP(INDIRECT(ADDRESS(2,COLUMN())),OFFSET($BN$2,0,0,ROW()-1,60),ROW()-1,FALSE))</f>
        <v>51065</v>
      </c>
      <c r="Z46">
        <f ca="1">IF(AND(ISNUMBER($Z$197),$B$156=1),$Z$197,HLOOKUP(INDIRECT(ADDRESS(2,COLUMN())),OFFSET($BN$2,0,0,ROW()-1,60),ROW()-1,FALSE))</f>
        <v>42993</v>
      </c>
      <c r="AA46">
        <f ca="1">IF(AND(ISNUMBER($AA$197),$B$156=1),$AA$197,HLOOKUP(INDIRECT(ADDRESS(2,COLUMN())),OFFSET($BN$2,0,0,ROW()-1,60),ROW()-1,FALSE))</f>
        <v>44582</v>
      </c>
      <c r="AB46">
        <f ca="1">IF(AND(ISNUMBER($AB$197),$B$156=1),$AB$197,HLOOKUP(INDIRECT(ADDRESS(2,COLUMN())),OFFSET($BN$2,0,0,ROW()-1,60),ROW()-1,FALSE))</f>
        <v>39336</v>
      </c>
      <c r="AC46">
        <f ca="1">IF(AND(ISNUMBER($AC$197),$B$156=1),$AC$197,HLOOKUP(INDIRECT(ADDRESS(2,COLUMN())),OFFSET($BN$2,0,0,ROW()-1,60),ROW()-1,FALSE))</f>
        <v>44365</v>
      </c>
      <c r="AD46">
        <f ca="1">IF(AND(ISNUMBER($AD$197),$B$156=1),$AD$197,HLOOKUP(INDIRECT(ADDRESS(2,COLUMN())),OFFSET($BN$2,0,0,ROW()-1,60),ROW()-1,FALSE))</f>
        <v>36453</v>
      </c>
      <c r="AE46">
        <f ca="1">IF(AND(ISNUMBER($AE$197),$B$156=1),$AE$197,HLOOKUP(INDIRECT(ADDRESS(2,COLUMN())),OFFSET($BN$2,0,0,ROW()-1,60),ROW()-1,FALSE))</f>
        <v>42950</v>
      </c>
      <c r="AF46">
        <f ca="1">IF(AND(ISNUMBER($AF$197),$B$156=1),$AF$197,HLOOKUP(INDIRECT(ADDRESS(2,COLUMN())),OFFSET($BN$2,0,0,ROW()-1,60),ROW()-1,FALSE))</f>
        <v>36826</v>
      </c>
      <c r="AG46">
        <f ca="1">IF(AND(ISNUMBER($AG$197),$B$156=1),$AG$197,HLOOKUP(INDIRECT(ADDRESS(2,COLUMN())),OFFSET($BN$2,0,0,ROW()-1,60),ROW()-1,FALSE))</f>
        <v>50704</v>
      </c>
      <c r="AH46">
        <f ca="1">IF(AND(ISNUMBER($AH$197),$B$156=1),$AH$197,HLOOKUP(INDIRECT(ADDRESS(2,COLUMN())),OFFSET($BN$2,0,0,ROW()-1,60),ROW()-1,FALSE))</f>
        <v>43529</v>
      </c>
      <c r="AI46">
        <f ca="1">IF(AND(ISNUMBER($AI$197),$B$156=1),$AI$197,HLOOKUP(INDIRECT(ADDRESS(2,COLUMN())),OFFSET($BN$2,0,0,ROW()-1,60),ROW()-1,FALSE))</f>
        <v>45797</v>
      </c>
      <c r="AJ46">
        <f ca="1">IF(AND(ISNUMBER($AJ$197),$B$156=1),$AJ$197,HLOOKUP(INDIRECT(ADDRESS(2,COLUMN())),OFFSET($BN$2,0,0,ROW()-1,60),ROW()-1,FALSE))</f>
        <v>39201</v>
      </c>
      <c r="AK46">
        <f ca="1">IF(AND(ISNUMBER($AK$197),$B$156=1),$AK$197,HLOOKUP(INDIRECT(ADDRESS(2,COLUMN())),OFFSET($BN$2,0,0,ROW()-1,60),ROW()-1,FALSE))</f>
        <v>46258</v>
      </c>
      <c r="AL46">
        <f ca="1">IF(AND(ISNUMBER($AL$197),$B$156=1),$AL$197,HLOOKUP(INDIRECT(ADDRESS(2,COLUMN())),OFFSET($BN$2,0,0,ROW()-1,60),ROW()-1,FALSE))</f>
        <v>42026</v>
      </c>
      <c r="AM46">
        <f ca="1">IF(AND(ISNUMBER($AM$197),$B$156=1),$AM$197,HLOOKUP(INDIRECT(ADDRESS(2,COLUMN())),OFFSET($BN$2,0,0,ROW()-1,60),ROW()-1,FALSE))</f>
        <v>43483</v>
      </c>
      <c r="AN46">
        <f ca="1">IF(AND(ISNUMBER($AN$197),$B$156=1),$AN$197,HLOOKUP(INDIRECT(ADDRESS(2,COLUMN())),OFFSET($BN$2,0,0,ROW()-1,60),ROW()-1,FALSE))</f>
        <v>36727</v>
      </c>
      <c r="AO46">
        <f ca="1">IF(AND(ISNUMBER($AO$197),$B$156=1),$AO$197,HLOOKUP(INDIRECT(ADDRESS(2,COLUMN())),OFFSET($BN$2,0,0,ROW()-1,60),ROW()-1,FALSE))</f>
        <v>49687</v>
      </c>
      <c r="AP46">
        <f ca="1">IF(AND(ISNUMBER($AP$197),$B$156=1),$AP$197,HLOOKUP(INDIRECT(ADDRESS(2,COLUMN())),OFFSET($BN$2,0,0,ROW()-1,60),ROW()-1,FALSE))</f>
        <v>39339</v>
      </c>
      <c r="AQ46">
        <f ca="1">IF(AND(ISNUMBER($AQ$197),$B$156=1),$AQ$197,HLOOKUP(INDIRECT(ADDRESS(2,COLUMN())),OFFSET($BN$2,0,0,ROW()-1,60),ROW()-1,FALSE))</f>
        <v>43911</v>
      </c>
      <c r="AR46">
        <f ca="1">IF(AND(ISNUMBER($AR$197),$B$156=1),$AR$197,HLOOKUP(INDIRECT(ADDRESS(2,COLUMN())),OFFSET($BN$2,0,0,ROW()-1,60),ROW()-1,FALSE))</f>
        <v>38505</v>
      </c>
      <c r="AS46">
        <f ca="1">IF(AND(ISNUMBER($AS$197),$B$156=1),$AS$197,HLOOKUP(INDIRECT(ADDRESS(2,COLUMN())),OFFSET($BN$2,0,0,ROW()-1,60),ROW()-1,FALSE))</f>
        <v>48153</v>
      </c>
      <c r="AT46">
        <f ca="1">IF(AND(ISNUMBER($AT$197),$B$156=1),$AT$197,HLOOKUP(INDIRECT(ADDRESS(2,COLUMN())),OFFSET($BN$2,0,0,ROW()-1,60),ROW()-1,FALSE))</f>
        <v>31075</v>
      </c>
      <c r="AU46">
        <f ca="1">IF(AND(ISNUMBER($AU$197),$B$156=1),$AU$197,HLOOKUP(INDIRECT(ADDRESS(2,COLUMN())),OFFSET($BN$2,0,0,ROW()-1,60),ROW()-1,FALSE))</f>
        <v>43496</v>
      </c>
      <c r="AV46">
        <f ca="1">IF(AND(ISNUMBER($AV$197),$B$156=1),$AV$197,HLOOKUP(INDIRECT(ADDRESS(2,COLUMN())),OFFSET($BN$2,0,0,ROW()-1,60),ROW()-1,FALSE))</f>
        <v>44600</v>
      </c>
      <c r="AW46">
        <f ca="1">IF(AND(ISNUMBER($AW$197),$B$156=1),$AW$197,HLOOKUP(INDIRECT(ADDRESS(2,COLUMN())),OFFSET($BN$2,0,0,ROW()-1,60),ROW()-1,FALSE))</f>
        <v>51324</v>
      </c>
      <c r="AX46">
        <f ca="1">IF(AND(ISNUMBER($AX$197),$B$156=1),$AX$197,HLOOKUP(INDIRECT(ADDRESS(2,COLUMN())),OFFSET($BN$2,0,0,ROW()-1,60),ROW()-1,FALSE))</f>
        <v>43134</v>
      </c>
      <c r="AY46">
        <f ca="1">IF(AND(ISNUMBER($AY$197),$B$156=1),$AY$197,HLOOKUP(INDIRECT(ADDRESS(2,COLUMN())),OFFSET($BN$2,0,0,ROW()-1,60),ROW()-1,FALSE))</f>
        <v>47973</v>
      </c>
      <c r="AZ46">
        <f ca="1">IF(AND(ISNUMBER($AZ$197),$B$156=1),$AZ$197,HLOOKUP(INDIRECT(ADDRESS(2,COLUMN())),OFFSET($BN$2,0,0,ROW()-1,60),ROW()-1,FALSE))</f>
        <v>40145</v>
      </c>
      <c r="BA46">
        <f ca="1">IF(AND(ISNUMBER($BA$197),$B$156=1),$BA$197,HLOOKUP(INDIRECT(ADDRESS(2,COLUMN())),OFFSET($BN$2,0,0,ROW()-1,60),ROW()-1,FALSE))</f>
        <v>47705</v>
      </c>
      <c r="BB46">
        <f ca="1">IF(AND(ISNUMBER($BB$197),$B$156=1),$BB$197,HLOOKUP(INDIRECT(ADDRESS(2,COLUMN())),OFFSET($BN$2,0,0,ROW()-1,60),ROW()-1,FALSE))</f>
        <v>38633</v>
      </c>
      <c r="BC46">
        <f ca="1">IF(AND(ISNUMBER($BC$197),$B$156=1),$BC$197,HLOOKUP(INDIRECT(ADDRESS(2,COLUMN())),OFFSET($BN$2,0,0,ROW()-1,60),ROW()-1,FALSE))</f>
        <v>41437</v>
      </c>
      <c r="BD46">
        <f ca="1">IF(AND(ISNUMBER($BD$197),$B$156=1),$BD$197,HLOOKUP(INDIRECT(ADDRESS(2,COLUMN())),OFFSET($BN$2,0,0,ROW()-1,60),ROW()-1,FALSE))</f>
        <v>36215</v>
      </c>
      <c r="BE46">
        <f ca="1">IF(AND(ISNUMBER($BE$197),$B$156=1),$BE$197,HLOOKUP(INDIRECT(ADDRESS(2,COLUMN())),OFFSET($BN$2,0,0,ROW()-1,60),ROW()-1,FALSE))</f>
        <v>44525</v>
      </c>
      <c r="BF46">
        <f ca="1">IF(AND(ISNUMBER($BF$197),$B$156=1),$BF$197,HLOOKUP(INDIRECT(ADDRESS(2,COLUMN())),OFFSET($BN$2,0,0,ROW()-1,60),ROW()-1,FALSE))</f>
        <v>34509</v>
      </c>
      <c r="BG46">
        <f ca="1">IF(AND(ISNUMBER($BG$197),$B$156=1),$BG$197,HLOOKUP(INDIRECT(ADDRESS(2,COLUMN())),OFFSET($BN$2,0,0,ROW()-1,60),ROW()-1,FALSE))</f>
        <v>39107</v>
      </c>
      <c r="BH46">
        <f ca="1">IF(AND(ISNUMBER($BH$197),$B$156=1),$BH$197,HLOOKUP(INDIRECT(ADDRESS(2,COLUMN())),OFFSET($BN$2,0,0,ROW()-1,60),ROW()-1,FALSE))</f>
        <v>34980</v>
      </c>
      <c r="BI46">
        <f ca="1">IF(AND(ISNUMBER($BI$197),$B$156=1),$BI$197,HLOOKUP(INDIRECT(ADDRESS(2,COLUMN())),OFFSET($BN$2,0,0,ROW()-1,60),ROW()-1,FALSE))</f>
        <v>46036</v>
      </c>
      <c r="BJ46">
        <f ca="1">IF(AND(ISNUMBER($BJ$197),$B$156=1),$BJ$197,HLOOKUP(INDIRECT(ADDRESS(2,COLUMN())),OFFSET($BN$2,0,0,ROW()-1,60),ROW()-1,FALSE))</f>
        <v>31576</v>
      </c>
      <c r="BK46">
        <f ca="1">IF(AND(ISNUMBER($BK$197),$B$156=1),$BK$197,HLOOKUP(INDIRECT(ADDRESS(2,COLUMN())),OFFSET($BN$2,0,0,ROW()-1,60),ROW()-1,FALSE))</f>
        <v>37455</v>
      </c>
      <c r="BL46">
        <f ca="1">IF(AND(ISNUMBER($BL$197),$B$156=1),$BL$197,HLOOKUP(INDIRECT(ADDRESS(2,COLUMN())),OFFSET($BN$2,0,0,ROW()-1,60),ROW()-1,FALSE))</f>
        <v>33843</v>
      </c>
      <c r="BM46">
        <f ca="1">IF(AND(ISNUMBER($BM$197),$B$156=1),$BM$197,HLOOKUP(INDIRECT(ADDRESS(2,COLUMN())),OFFSET($BN$2,0,0,ROW()-1,60),ROW()-1,FALSE))</f>
        <v>40121</v>
      </c>
      <c r="BN46">
        <f>19278</f>
        <v>19278</v>
      </c>
      <c r="BO46">
        <f>53653</f>
        <v>53653</v>
      </c>
      <c r="BP46">
        <f>64000</f>
        <v>64000</v>
      </c>
      <c r="BQ46">
        <f>75911</f>
        <v>75911</v>
      </c>
      <c r="BR46">
        <f>67873</f>
        <v>67873</v>
      </c>
      <c r="BS46">
        <f>66084</f>
        <v>66084</v>
      </c>
      <c r="BT46">
        <f>61060</f>
        <v>61060</v>
      </c>
      <c r="BU46">
        <f>76392</f>
        <v>76392</v>
      </c>
      <c r="BV46">
        <f>68059</f>
        <v>68059</v>
      </c>
      <c r="BW46">
        <f>66979</f>
        <v>66979</v>
      </c>
      <c r="BX46">
        <f>59936</f>
        <v>59936</v>
      </c>
      <c r="BY46">
        <f>73180</f>
        <v>73180</v>
      </c>
      <c r="BZ46">
        <f>59598</f>
        <v>59598</v>
      </c>
      <c r="CA46">
        <f>59847</f>
        <v>59847</v>
      </c>
      <c r="CB46">
        <f>57749</f>
        <v>57749</v>
      </c>
      <c r="CC46">
        <f>59996</f>
        <v>59996</v>
      </c>
      <c r="CD46">
        <f>53265</f>
        <v>53265</v>
      </c>
      <c r="CE46">
        <f>50844</f>
        <v>50844</v>
      </c>
      <c r="CF46">
        <f>47412</f>
        <v>47412</v>
      </c>
      <c r="CG46">
        <f>51065</f>
        <v>51065</v>
      </c>
      <c r="CH46">
        <f>42993</f>
        <v>42993</v>
      </c>
      <c r="CI46">
        <f>44582</f>
        <v>44582</v>
      </c>
      <c r="CJ46">
        <f>39336</f>
        <v>39336</v>
      </c>
      <c r="CK46">
        <f>44365</f>
        <v>44365</v>
      </c>
      <c r="CL46">
        <f>36453</f>
        <v>36453</v>
      </c>
      <c r="CM46">
        <f>42950</f>
        <v>42950</v>
      </c>
      <c r="CN46">
        <f>36826</f>
        <v>36826</v>
      </c>
      <c r="CO46">
        <f>50704</f>
        <v>50704</v>
      </c>
      <c r="CP46">
        <f>43529</f>
        <v>43529</v>
      </c>
      <c r="CQ46">
        <f>45797</f>
        <v>45797</v>
      </c>
      <c r="CR46">
        <f>39201</f>
        <v>39201</v>
      </c>
      <c r="CS46">
        <f>46258</f>
        <v>46258</v>
      </c>
      <c r="CT46">
        <f>42026</f>
        <v>42026</v>
      </c>
      <c r="CU46">
        <f>43483</f>
        <v>43483</v>
      </c>
      <c r="CV46">
        <f>36727</f>
        <v>36727</v>
      </c>
      <c r="CW46">
        <f>49687</f>
        <v>49687</v>
      </c>
      <c r="CX46">
        <f>39339</f>
        <v>39339</v>
      </c>
      <c r="CY46">
        <f>43911</f>
        <v>43911</v>
      </c>
      <c r="CZ46">
        <f>38505</f>
        <v>38505</v>
      </c>
      <c r="DA46">
        <f>48153</f>
        <v>48153</v>
      </c>
      <c r="DB46">
        <f>31075</f>
        <v>31075</v>
      </c>
      <c r="DC46">
        <f>43496</f>
        <v>43496</v>
      </c>
      <c r="DD46">
        <f>44600</f>
        <v>44600</v>
      </c>
      <c r="DE46">
        <f>51324</f>
        <v>51324</v>
      </c>
      <c r="DF46">
        <f>43134</f>
        <v>43134</v>
      </c>
      <c r="DG46">
        <f>47973</f>
        <v>47973</v>
      </c>
      <c r="DH46">
        <f>40145</f>
        <v>40145</v>
      </c>
      <c r="DI46">
        <f>47705</f>
        <v>47705</v>
      </c>
      <c r="DJ46">
        <f>38633</f>
        <v>38633</v>
      </c>
      <c r="DK46">
        <f>41437</f>
        <v>41437</v>
      </c>
      <c r="DL46">
        <f>36215</f>
        <v>36215</v>
      </c>
      <c r="DM46">
        <f>44525</f>
        <v>44525</v>
      </c>
      <c r="DN46">
        <f>34509</f>
        <v>34509</v>
      </c>
      <c r="DO46">
        <f>39107</f>
        <v>39107</v>
      </c>
      <c r="DP46">
        <f>34980</f>
        <v>34980</v>
      </c>
      <c r="DQ46">
        <f>46036</f>
        <v>46036</v>
      </c>
      <c r="DR46">
        <f>31576</f>
        <v>31576</v>
      </c>
      <c r="DS46">
        <f>37455</f>
        <v>37455</v>
      </c>
      <c r="DT46">
        <f>33843</f>
        <v>33843</v>
      </c>
      <c r="DU46">
        <f>40121</f>
        <v>40121</v>
      </c>
    </row>
    <row r="47" spans="1:125" x14ac:dyDescent="0.25">
      <c r="A47" t="str">
        <f>"            Estonia"</f>
        <v xml:space="preserve">            Estonia</v>
      </c>
      <c r="B47" t="str">
        <f>"WCAREE Index"</f>
        <v>WCAREE Index</v>
      </c>
      <c r="C47" t="str">
        <f t="shared" si="6"/>
        <v>PX385</v>
      </c>
      <c r="D47" t="str">
        <f t="shared" si="7"/>
        <v>INTERVAL_SUM</v>
      </c>
      <c r="E47" t="str">
        <f t="shared" si="8"/>
        <v>Dynamic</v>
      </c>
      <c r="F47">
        <f ca="1">IF(AND(ISNUMBER($F$198),$B$156=1),$F$198,HLOOKUP(INDIRECT(ADDRESS(2,COLUMN())),OFFSET($BN$2,0,0,ROW()-1,60),ROW()-1,FALSE))</f>
        <v>2186</v>
      </c>
      <c r="G47">
        <f ca="1">IF(AND(ISNUMBER($G$198),$B$156=1),$G$198,HLOOKUP(INDIRECT(ADDRESS(2,COLUMN())),OFFSET($BN$2,0,0,ROW()-1,60),ROW()-1,FALSE))</f>
        <v>4868</v>
      </c>
      <c r="H47">
        <f ca="1">IF(AND(ISNUMBER($H$198),$B$156=1),$H$198,HLOOKUP(INDIRECT(ADDRESS(2,COLUMN())),OFFSET($BN$2,0,0,ROW()-1,60),ROW()-1,FALSE))</f>
        <v>6329</v>
      </c>
      <c r="I47">
        <f ca="1">IF(AND(ISNUMBER($I$198),$B$156=1),$I$198,HLOOKUP(INDIRECT(ADDRESS(2,COLUMN())),OFFSET($BN$2,0,0,ROW()-1,60),ROW()-1,FALSE))</f>
        <v>7558</v>
      </c>
      <c r="J47">
        <f ca="1">IF(AND(ISNUMBER($J$198),$B$156=1),$J$198,HLOOKUP(INDIRECT(ADDRESS(2,COLUMN())),OFFSET($BN$2,0,0,ROW()-1,60),ROW()-1,FALSE))</f>
        <v>6632</v>
      </c>
      <c r="K47">
        <f ca="1">IF(AND(ISNUMBER($K$198),$B$156=1),$K$198,HLOOKUP(INDIRECT(ADDRESS(2,COLUMN())),OFFSET($BN$2,0,0,ROW()-1,60),ROW()-1,FALSE))</f>
        <v>5527</v>
      </c>
      <c r="L47">
        <f ca="1">IF(AND(ISNUMBER($L$198),$B$156=1),$L$198,HLOOKUP(INDIRECT(ADDRESS(2,COLUMN())),OFFSET($BN$2,0,0,ROW()-1,60),ROW()-1,FALSE))</f>
        <v>5845</v>
      </c>
      <c r="M47">
        <f ca="1">IF(AND(ISNUMBER($M$198),$B$156=1),$M$198,HLOOKUP(INDIRECT(ADDRESS(2,COLUMN())),OFFSET($BN$2,0,0,ROW()-1,60),ROW()-1,FALSE))</f>
        <v>7379</v>
      </c>
      <c r="N47">
        <f ca="1">IF(AND(ISNUMBER($N$198),$B$156=1),$N$198,HLOOKUP(INDIRECT(ADDRESS(2,COLUMN())),OFFSET($BN$2,0,0,ROW()-1,60),ROW()-1,FALSE))</f>
        <v>5743</v>
      </c>
      <c r="O47">
        <f ca="1">IF(AND(ISNUMBER($O$198),$B$156=1),$O$198,HLOOKUP(INDIRECT(ADDRESS(2,COLUMN())),OFFSET($BN$2,0,0,ROW()-1,60),ROW()-1,FALSE))</f>
        <v>5015</v>
      </c>
      <c r="P47">
        <f ca="1">IF(AND(ISNUMBER($P$198),$B$156=1),$P$198,HLOOKUP(INDIRECT(ADDRESS(2,COLUMN())),OFFSET($BN$2,0,0,ROW()-1,60),ROW()-1,FALSE))</f>
        <v>5660</v>
      </c>
      <c r="Q47">
        <f ca="1">IF(AND(ISNUMBER($Q$198),$B$156=1),$Q$198,HLOOKUP(INDIRECT(ADDRESS(2,COLUMN())),OFFSET($BN$2,0,0,ROW()-1,60),ROW()-1,FALSE))</f>
        <v>6326</v>
      </c>
      <c r="R47">
        <f ca="1">IF(AND(ISNUMBER($R$198),$B$156=1),$R$198,HLOOKUP(INDIRECT(ADDRESS(2,COLUMN())),OFFSET($BN$2,0,0,ROW()-1,60),ROW()-1,FALSE))</f>
        <v>5428</v>
      </c>
      <c r="S47">
        <f ca="1">IF(AND(ISNUMBER($S$198),$B$156=1),$S$198,HLOOKUP(INDIRECT(ADDRESS(2,COLUMN())),OFFSET($BN$2,0,0,ROW()-1,60),ROW()-1,FALSE))</f>
        <v>4687</v>
      </c>
      <c r="T47">
        <f ca="1">IF(AND(ISNUMBER($T$198),$B$156=1),$T$198,HLOOKUP(INDIRECT(ADDRESS(2,COLUMN())),OFFSET($BN$2,0,0,ROW()-1,60),ROW()-1,FALSE))</f>
        <v>5202</v>
      </c>
      <c r="U47">
        <f ca="1">IF(AND(ISNUMBER($U$198),$B$156=1),$U$198,HLOOKUP(INDIRECT(ADDRESS(2,COLUMN())),OFFSET($BN$2,0,0,ROW()-1,60),ROW()-1,FALSE))</f>
        <v>5667</v>
      </c>
      <c r="V47">
        <f ca="1">IF(AND(ISNUMBER($V$198),$B$156=1),$V$198,HLOOKUP(INDIRECT(ADDRESS(2,COLUMN())),OFFSET($BN$2,0,0,ROW()-1,60),ROW()-1,FALSE))</f>
        <v>4793</v>
      </c>
      <c r="W47">
        <f ca="1">IF(AND(ISNUMBER($W$198),$B$156=1),$W$198,HLOOKUP(INDIRECT(ADDRESS(2,COLUMN())),OFFSET($BN$2,0,0,ROW()-1,60),ROW()-1,FALSE))</f>
        <v>5005</v>
      </c>
      <c r="X47">
        <f ca="1">IF(AND(ISNUMBER($X$198),$B$156=1),$X$198,HLOOKUP(INDIRECT(ADDRESS(2,COLUMN())),OFFSET($BN$2,0,0,ROW()-1,60),ROW()-1,FALSE))</f>
        <v>5312</v>
      </c>
      <c r="Y47">
        <f ca="1">IF(AND(ISNUMBER($Y$198),$B$156=1),$Y$198,HLOOKUP(INDIRECT(ADDRESS(2,COLUMN())),OFFSET($BN$2,0,0,ROW()-1,60),ROW()-1,FALSE))</f>
        <v>5899</v>
      </c>
      <c r="Z47">
        <f ca="1">IF(AND(ISNUMBER($Z$198),$B$156=1),$Z$198,HLOOKUP(INDIRECT(ADDRESS(2,COLUMN())),OFFSET($BN$2,0,0,ROW()-1,60),ROW()-1,FALSE))</f>
        <v>4753</v>
      </c>
      <c r="AA47">
        <f ca="1">IF(AND(ISNUMBER($AA$198),$B$156=1),$AA$198,HLOOKUP(INDIRECT(ADDRESS(2,COLUMN())),OFFSET($BN$2,0,0,ROW()-1,60),ROW()-1,FALSE))</f>
        <v>4332</v>
      </c>
      <c r="AB47">
        <f ca="1">IF(AND(ISNUMBER($AB$198),$B$156=1),$AB$198,HLOOKUP(INDIRECT(ADDRESS(2,COLUMN())),OFFSET($BN$2,0,0,ROW()-1,60),ROW()-1,FALSE))</f>
        <v>4886</v>
      </c>
      <c r="AC47">
        <f ca="1">IF(AND(ISNUMBER($AC$198),$B$156=1),$AC$198,HLOOKUP(INDIRECT(ADDRESS(2,COLUMN())),OFFSET($BN$2,0,0,ROW()-1,60),ROW()-1,FALSE))</f>
        <v>5604</v>
      </c>
      <c r="AD47">
        <f ca="1">IF(AND(ISNUMBER($AD$198),$B$156=1),$AD$198,HLOOKUP(INDIRECT(ADDRESS(2,COLUMN())),OFFSET($BN$2,0,0,ROW()-1,60),ROW()-1,FALSE))</f>
        <v>4678</v>
      </c>
      <c r="AE47">
        <f ca="1">IF(AND(ISNUMBER($AE$198),$B$156=1),$AE$198,HLOOKUP(INDIRECT(ADDRESS(2,COLUMN())),OFFSET($BN$2,0,0,ROW()-1,60),ROW()-1,FALSE))</f>
        <v>3951</v>
      </c>
      <c r="AF47">
        <f ca="1">IF(AND(ISNUMBER($AF$198),$B$156=1),$AF$198,HLOOKUP(INDIRECT(ADDRESS(2,COLUMN())),OFFSET($BN$2,0,0,ROW()-1,60),ROW()-1,FALSE))</f>
        <v>4393</v>
      </c>
      <c r="AG47">
        <f ca="1">IF(AND(ISNUMBER($AG$198),$B$156=1),$AG$198,HLOOKUP(INDIRECT(ADDRESS(2,COLUMN())),OFFSET($BN$2,0,0,ROW()-1,60),ROW()-1,FALSE))</f>
        <v>4896</v>
      </c>
      <c r="AH47">
        <f ca="1">IF(AND(ISNUMBER($AH$198),$B$156=1),$AH$198,HLOOKUP(INDIRECT(ADDRESS(2,COLUMN())),OFFSET($BN$2,0,0,ROW()-1,60),ROW()-1,FALSE))</f>
        <v>4026</v>
      </c>
      <c r="AI47">
        <f ca="1">IF(AND(ISNUMBER($AI$198),$B$156=1),$AI$198,HLOOKUP(INDIRECT(ADDRESS(2,COLUMN())),OFFSET($BN$2,0,0,ROW()-1,60),ROW()-1,FALSE))</f>
        <v>3945</v>
      </c>
      <c r="AJ47">
        <f ca="1">IF(AND(ISNUMBER($AJ$198),$B$156=1),$AJ$198,HLOOKUP(INDIRECT(ADDRESS(2,COLUMN())),OFFSET($BN$2,0,0,ROW()-1,60),ROW()-1,FALSE))</f>
        <v>3902</v>
      </c>
      <c r="AK47">
        <f ca="1">IF(AND(ISNUMBER($AK$198),$B$156=1),$AK$198,HLOOKUP(INDIRECT(ADDRESS(2,COLUMN())),OFFSET($BN$2,0,0,ROW()-1,60),ROW()-1,FALSE))</f>
        <v>4256</v>
      </c>
      <c r="AL47">
        <f ca="1">IF(AND(ISNUMBER($AL$198),$B$156=1),$AL$198,HLOOKUP(INDIRECT(ADDRESS(2,COLUMN())),OFFSET($BN$2,0,0,ROW()-1,60),ROW()-1,FALSE))</f>
        <v>3253</v>
      </c>
      <c r="AM47">
        <f ca="1">IF(AND(ISNUMBER($AM$198),$B$156=1),$AM$198,HLOOKUP(INDIRECT(ADDRESS(2,COLUMN())),OFFSET($BN$2,0,0,ROW()-1,60),ROW()-1,FALSE))</f>
        <v>2576</v>
      </c>
      <c r="AN47">
        <f ca="1">IF(AND(ISNUMBER($AN$198),$B$156=1),$AN$198,HLOOKUP(INDIRECT(ADDRESS(2,COLUMN())),OFFSET($BN$2,0,0,ROW()-1,60),ROW()-1,FALSE))</f>
        <v>2372</v>
      </c>
      <c r="AO47">
        <f ca="1">IF(AND(ISNUMBER($AO$198),$B$156=1),$AO$198,HLOOKUP(INDIRECT(ADDRESS(2,COLUMN())),OFFSET($BN$2,0,0,ROW()-1,60),ROW()-1,FALSE))</f>
        <v>2296</v>
      </c>
      <c r="AP47">
        <f ca="1">IF(AND(ISNUMBER($AP$198),$B$156=1),$AP$198,HLOOKUP(INDIRECT(ADDRESS(2,COLUMN())),OFFSET($BN$2,0,0,ROW()-1,60),ROW()-1,FALSE))</f>
        <v>1597</v>
      </c>
      <c r="AQ47">
        <f ca="1">IF(AND(ISNUMBER($AQ$198),$B$156=1),$AQ$198,HLOOKUP(INDIRECT(ADDRESS(2,COLUMN())),OFFSET($BN$2,0,0,ROW()-1,60),ROW()-1,FALSE))</f>
        <v>1309</v>
      </c>
      <c r="AR47">
        <f ca="1">IF(AND(ISNUMBER($AR$198),$B$156=1),$AR$198,HLOOKUP(INDIRECT(ADDRESS(2,COLUMN())),OFFSET($BN$2,0,0,ROW()-1,60),ROW()-1,FALSE))</f>
        <v>1946</v>
      </c>
      <c r="AS47">
        <f ca="1">IF(AND(ISNUMBER($AS$198),$B$156=1),$AS$198,HLOOKUP(INDIRECT(ADDRESS(2,COLUMN())),OFFSET($BN$2,0,0,ROW()-1,60),ROW()-1,FALSE))</f>
        <v>2464</v>
      </c>
      <c r="AT47">
        <f ca="1">IF(AND(ISNUMBER($AT$198),$B$156=1),$AT$198,HLOOKUP(INDIRECT(ADDRESS(2,COLUMN())),OFFSET($BN$2,0,0,ROW()-1,60),ROW()-1,FALSE))</f>
        <v>2572</v>
      </c>
      <c r="AU47">
        <f ca="1">IF(AND(ISNUMBER($AU$198),$B$156=1),$AU$198,HLOOKUP(INDIRECT(ADDRESS(2,COLUMN())),OFFSET($BN$2,0,0,ROW()-1,60),ROW()-1,FALSE))</f>
        <v>3771</v>
      </c>
      <c r="AV47">
        <f ca="1">IF(AND(ISNUMBER($AV$198),$B$156=1),$AV$198,HLOOKUP(INDIRECT(ADDRESS(2,COLUMN())),OFFSET($BN$2,0,0,ROW()-1,60),ROW()-1,FALSE))</f>
        <v>5612</v>
      </c>
      <c r="AW47">
        <f ca="1">IF(AND(ISNUMBER($AW$198),$B$156=1),$AW$198,HLOOKUP(INDIRECT(ADDRESS(2,COLUMN())),OFFSET($BN$2,0,0,ROW()-1,60),ROW()-1,FALSE))</f>
        <v>7761</v>
      </c>
      <c r="AX47">
        <f ca="1">IF(AND(ISNUMBER($AX$198),$B$156=1),$AX$198,HLOOKUP(INDIRECT(ADDRESS(2,COLUMN())),OFFSET($BN$2,0,0,ROW()-1,60),ROW()-1,FALSE))</f>
        <v>7435</v>
      </c>
      <c r="AY47">
        <f ca="1">IF(AND(ISNUMBER($AY$198),$B$156=1),$AY$198,HLOOKUP(INDIRECT(ADDRESS(2,COLUMN())),OFFSET($BN$2,0,0,ROW()-1,60),ROW()-1,FALSE))</f>
        <v>6695</v>
      </c>
      <c r="AZ47">
        <f ca="1">IF(AND(ISNUMBER($AZ$198),$B$156=1),$AZ$198,HLOOKUP(INDIRECT(ADDRESS(2,COLUMN())),OFFSET($BN$2,0,0,ROW()-1,60),ROW()-1,FALSE))</f>
        <v>7426</v>
      </c>
      <c r="BA47">
        <f ca="1">IF(AND(ISNUMBER($BA$198),$B$156=1),$BA$198,HLOOKUP(INDIRECT(ADDRESS(2,COLUMN())),OFFSET($BN$2,0,0,ROW()-1,60),ROW()-1,FALSE))</f>
        <v>9141</v>
      </c>
      <c r="BB47">
        <f ca="1">IF(AND(ISNUMBER($BB$198),$B$156=1),$BB$198,HLOOKUP(INDIRECT(ADDRESS(2,COLUMN())),OFFSET($BN$2,0,0,ROW()-1,60),ROW()-1,FALSE))</f>
        <v>7650</v>
      </c>
      <c r="BC47">
        <f ca="1">IF(AND(ISNUMBER($BC$198),$B$156=1),$BC$198,HLOOKUP(INDIRECT(ADDRESS(2,COLUMN())),OFFSET($BN$2,0,0,ROW()-1,60),ROW()-1,FALSE))</f>
        <v>6253</v>
      </c>
      <c r="BD47">
        <f ca="1">IF(AND(ISNUMBER($BD$198),$B$156=1),$BD$198,HLOOKUP(INDIRECT(ADDRESS(2,COLUMN())),OFFSET($BN$2,0,0,ROW()-1,60),ROW()-1,FALSE))</f>
        <v>6512</v>
      </c>
      <c r="BE47">
        <f ca="1">IF(AND(ISNUMBER($BE$198),$B$156=1),$BE$198,HLOOKUP(INDIRECT(ADDRESS(2,COLUMN())),OFFSET($BN$2,0,0,ROW()-1,60),ROW()-1,FALSE))</f>
        <v>7368</v>
      </c>
      <c r="BF47">
        <f ca="1">IF(AND(ISNUMBER($BF$198),$B$156=1),$BF$198,HLOOKUP(INDIRECT(ADDRESS(2,COLUMN())),OFFSET($BN$2,0,0,ROW()-1,60),ROW()-1,FALSE))</f>
        <v>5230</v>
      </c>
      <c r="BG47">
        <f ca="1">IF(AND(ISNUMBER($BG$198),$B$156=1),$BG$198,HLOOKUP(INDIRECT(ADDRESS(2,COLUMN())),OFFSET($BN$2,0,0,ROW()-1,60),ROW()-1,FALSE))</f>
        <v>4609</v>
      </c>
      <c r="BH47">
        <f ca="1">IF(AND(ISNUMBER($BH$198),$B$156=1),$BH$198,HLOOKUP(INDIRECT(ADDRESS(2,COLUMN())),OFFSET($BN$2,0,0,ROW()-1,60),ROW()-1,FALSE))</f>
        <v>4826</v>
      </c>
      <c r="BI47">
        <f ca="1">IF(AND(ISNUMBER($BI$198),$B$156=1),$BI$198,HLOOKUP(INDIRECT(ADDRESS(2,COLUMN())),OFFSET($BN$2,0,0,ROW()-1,60),ROW()-1,FALSE))</f>
        <v>5842</v>
      </c>
      <c r="BJ47">
        <f ca="1">IF(AND(ISNUMBER($BJ$198),$B$156=1),$BJ$198,HLOOKUP(INDIRECT(ADDRESS(2,COLUMN())),OFFSET($BN$2,0,0,ROW()-1,60),ROW()-1,FALSE))</f>
        <v>4363</v>
      </c>
      <c r="BK47">
        <f ca="1">IF(AND(ISNUMBER($BK$198),$B$156=1),$BK$198,HLOOKUP(INDIRECT(ADDRESS(2,COLUMN())),OFFSET($BN$2,0,0,ROW()-1,60),ROW()-1,FALSE))</f>
        <v>3785</v>
      </c>
      <c r="BL47">
        <f ca="1">IF(AND(ISNUMBER($BL$198),$B$156=1),$BL$198,HLOOKUP(INDIRECT(ADDRESS(2,COLUMN())),OFFSET($BN$2,0,0,ROW()-1,60),ROW()-1,FALSE))</f>
        <v>3675</v>
      </c>
      <c r="BM47">
        <f ca="1">IF(AND(ISNUMBER($BM$198),$B$156=1),$BM$198,HLOOKUP(INDIRECT(ADDRESS(2,COLUMN())),OFFSET($BN$2,0,0,ROW()-1,60),ROW()-1,FALSE))</f>
        <v>5058</v>
      </c>
      <c r="BN47">
        <f>2186</f>
        <v>2186</v>
      </c>
      <c r="BO47">
        <f>4868</f>
        <v>4868</v>
      </c>
      <c r="BP47">
        <f>6329</f>
        <v>6329</v>
      </c>
      <c r="BQ47">
        <f>7558</f>
        <v>7558</v>
      </c>
      <c r="BR47">
        <f>6632</f>
        <v>6632</v>
      </c>
      <c r="BS47">
        <f>5527</f>
        <v>5527</v>
      </c>
      <c r="BT47">
        <f>5845</f>
        <v>5845</v>
      </c>
      <c r="BU47">
        <f>7379</f>
        <v>7379</v>
      </c>
      <c r="BV47">
        <f>5743</f>
        <v>5743</v>
      </c>
      <c r="BW47">
        <f>5015</f>
        <v>5015</v>
      </c>
      <c r="BX47">
        <f>5660</f>
        <v>5660</v>
      </c>
      <c r="BY47">
        <f>6326</f>
        <v>6326</v>
      </c>
      <c r="BZ47">
        <f>5428</f>
        <v>5428</v>
      </c>
      <c r="CA47">
        <f>4687</f>
        <v>4687</v>
      </c>
      <c r="CB47">
        <f>5202</f>
        <v>5202</v>
      </c>
      <c r="CC47">
        <f>5667</f>
        <v>5667</v>
      </c>
      <c r="CD47">
        <f>4793</f>
        <v>4793</v>
      </c>
      <c r="CE47">
        <f>5005</f>
        <v>5005</v>
      </c>
      <c r="CF47">
        <f>5312</f>
        <v>5312</v>
      </c>
      <c r="CG47">
        <f>5899</f>
        <v>5899</v>
      </c>
      <c r="CH47">
        <f>4753</f>
        <v>4753</v>
      </c>
      <c r="CI47">
        <f>4332</f>
        <v>4332</v>
      </c>
      <c r="CJ47">
        <f>4886</f>
        <v>4886</v>
      </c>
      <c r="CK47">
        <f>5604</f>
        <v>5604</v>
      </c>
      <c r="CL47">
        <f>4678</f>
        <v>4678</v>
      </c>
      <c r="CM47">
        <f>3951</f>
        <v>3951</v>
      </c>
      <c r="CN47">
        <f>4393</f>
        <v>4393</v>
      </c>
      <c r="CO47">
        <f>4896</f>
        <v>4896</v>
      </c>
      <c r="CP47">
        <f>4026</f>
        <v>4026</v>
      </c>
      <c r="CQ47">
        <f>3945</f>
        <v>3945</v>
      </c>
      <c r="CR47">
        <f>3902</f>
        <v>3902</v>
      </c>
      <c r="CS47">
        <f>4256</f>
        <v>4256</v>
      </c>
      <c r="CT47">
        <f>3253</f>
        <v>3253</v>
      </c>
      <c r="CU47">
        <f>2576</f>
        <v>2576</v>
      </c>
      <c r="CV47">
        <f>2372</f>
        <v>2372</v>
      </c>
      <c r="CW47">
        <f>2296</f>
        <v>2296</v>
      </c>
      <c r="CX47">
        <f>1597</f>
        <v>1597</v>
      </c>
      <c r="CY47">
        <f>1309</f>
        <v>1309</v>
      </c>
      <c r="CZ47">
        <f>1946</f>
        <v>1946</v>
      </c>
      <c r="DA47">
        <f>2464</f>
        <v>2464</v>
      </c>
      <c r="DB47">
        <f>2572</f>
        <v>2572</v>
      </c>
      <c r="DC47">
        <f>3771</f>
        <v>3771</v>
      </c>
      <c r="DD47">
        <f>5612</f>
        <v>5612</v>
      </c>
      <c r="DE47">
        <f>7761</f>
        <v>7761</v>
      </c>
      <c r="DF47">
        <f>7435</f>
        <v>7435</v>
      </c>
      <c r="DG47">
        <f>6695</f>
        <v>6695</v>
      </c>
      <c r="DH47">
        <f>7426</f>
        <v>7426</v>
      </c>
      <c r="DI47">
        <f>9141</f>
        <v>9141</v>
      </c>
      <c r="DJ47">
        <f>7650</f>
        <v>7650</v>
      </c>
      <c r="DK47">
        <f>6253</f>
        <v>6253</v>
      </c>
      <c r="DL47">
        <f>6512</f>
        <v>6512</v>
      </c>
      <c r="DM47">
        <f>7368</f>
        <v>7368</v>
      </c>
      <c r="DN47">
        <f>5230</f>
        <v>5230</v>
      </c>
      <c r="DO47">
        <f>4609</f>
        <v>4609</v>
      </c>
      <c r="DP47">
        <f>4826</f>
        <v>4826</v>
      </c>
      <c r="DQ47">
        <f>5842</f>
        <v>5842</v>
      </c>
      <c r="DR47">
        <f>4363</f>
        <v>4363</v>
      </c>
      <c r="DS47">
        <f>3785</f>
        <v>3785</v>
      </c>
      <c r="DT47">
        <f>3675</f>
        <v>3675</v>
      </c>
      <c r="DU47">
        <f>5058</f>
        <v>5058</v>
      </c>
    </row>
    <row r="48" spans="1:125" x14ac:dyDescent="0.25">
      <c r="A48" t="str">
        <f>"            Hungary"</f>
        <v xml:space="preserve">            Hungary</v>
      </c>
      <c r="B48" t="str">
        <f>"WCARHU Index"</f>
        <v>WCARHU Index</v>
      </c>
      <c r="C48" t="str">
        <f t="shared" si="6"/>
        <v>PX385</v>
      </c>
      <c r="D48" t="str">
        <f t="shared" si="7"/>
        <v>INTERVAL_SUM</v>
      </c>
      <c r="E48" t="str">
        <f t="shared" si="8"/>
        <v>Dynamic</v>
      </c>
      <c r="F48">
        <f ca="1">IF(AND(ISNUMBER($F$199),$B$156=1),$F$199,HLOOKUP(INDIRECT(ADDRESS(2,COLUMN())),OFFSET($BN$2,0,0,ROW()-1,60),ROW()-1,FALSE))</f>
        <v>9714</v>
      </c>
      <c r="G48">
        <f ca="1">IF(AND(ISNUMBER($G$199),$B$156=1),$G$199,HLOOKUP(INDIRECT(ADDRESS(2,COLUMN())),OFFSET($BN$2,0,0,ROW()-1,60),ROW()-1,FALSE))</f>
        <v>31981</v>
      </c>
      <c r="H48">
        <f ca="1">IF(AND(ISNUMBER($H$199),$B$156=1),$H$199,HLOOKUP(INDIRECT(ADDRESS(2,COLUMN())),OFFSET($BN$2,0,0,ROW()-1,60),ROW()-1,FALSE))</f>
        <v>33864</v>
      </c>
      <c r="I48">
        <f ca="1">IF(AND(ISNUMBER($I$199),$B$156=1),$I$199,HLOOKUP(INDIRECT(ADDRESS(2,COLUMN())),OFFSET($BN$2,0,0,ROW()-1,60),ROW()-1,FALSE))</f>
        <v>39119</v>
      </c>
      <c r="J48">
        <f ca="1">IF(AND(ISNUMBER($J$199),$B$156=1),$J$199,HLOOKUP(INDIRECT(ADDRESS(2,COLUMN())),OFFSET($BN$2,0,0,ROW()-1,60),ROW()-1,FALSE))</f>
        <v>31609</v>
      </c>
      <c r="K48">
        <f ca="1">IF(AND(ISNUMBER($K$199),$B$156=1),$K$199,HLOOKUP(INDIRECT(ADDRESS(2,COLUMN())),OFFSET($BN$2,0,0,ROW()-1,60),ROW()-1,FALSE))</f>
        <v>33564</v>
      </c>
      <c r="L48">
        <f ca="1">IF(AND(ISNUMBER($L$199),$B$156=1),$L$199,HLOOKUP(INDIRECT(ADDRESS(2,COLUMN())),OFFSET($BN$2,0,0,ROW()-1,60),ROW()-1,FALSE))</f>
        <v>27851</v>
      </c>
      <c r="M48">
        <f ca="1">IF(AND(ISNUMBER($M$199),$B$156=1),$M$199,HLOOKUP(INDIRECT(ADDRESS(2,COLUMN())),OFFSET($BN$2,0,0,ROW()-1,60),ROW()-1,FALSE))</f>
        <v>30503</v>
      </c>
      <c r="N48">
        <f ca="1">IF(AND(ISNUMBER($N$199),$B$156=1),$N$199,HLOOKUP(INDIRECT(ADDRESS(2,COLUMN())),OFFSET($BN$2,0,0,ROW()-1,60),ROW()-1,FALSE))</f>
        <v>24347</v>
      </c>
      <c r="O48">
        <f ca="1">IF(AND(ISNUMBER($O$199),$B$156=1),$O$199,HLOOKUP(INDIRECT(ADDRESS(2,COLUMN())),OFFSET($BN$2,0,0,ROW()-1,60),ROW()-1,FALSE))</f>
        <v>27116</v>
      </c>
      <c r="P48">
        <f ca="1">IF(AND(ISNUMBER($P$199),$B$156=1),$P$199,HLOOKUP(INDIRECT(ADDRESS(2,COLUMN())),OFFSET($BN$2,0,0,ROW()-1,60),ROW()-1,FALSE))</f>
        <v>23467</v>
      </c>
      <c r="Q48">
        <f ca="1">IF(AND(ISNUMBER($Q$199),$B$156=1),$Q$199,HLOOKUP(INDIRECT(ADDRESS(2,COLUMN())),OFFSET($BN$2,0,0,ROW()-1,60),ROW()-1,FALSE))</f>
        <v>26270</v>
      </c>
      <c r="R48">
        <f ca="1">IF(AND(ISNUMBER($R$199),$B$156=1),$R$199,HLOOKUP(INDIRECT(ADDRESS(2,COLUMN())),OFFSET($BN$2,0,0,ROW()-1,60),ROW()-1,FALSE))</f>
        <v>19699</v>
      </c>
      <c r="S48">
        <f ca="1">IF(AND(ISNUMBER($S$199),$B$156=1),$S$199,HLOOKUP(INDIRECT(ADDRESS(2,COLUMN())),OFFSET($BN$2,0,0,ROW()-1,60),ROW()-1,FALSE))</f>
        <v>21876</v>
      </c>
      <c r="T48">
        <f ca="1">IF(AND(ISNUMBER($T$199),$B$156=1),$T$199,HLOOKUP(INDIRECT(ADDRESS(2,COLUMN())),OFFSET($BN$2,0,0,ROW()-1,60),ROW()-1,FALSE))</f>
        <v>18279</v>
      </c>
      <c r="U48">
        <f ca="1">IF(AND(ISNUMBER($U$199),$B$156=1),$U$199,HLOOKUP(INDIRECT(ADDRESS(2,COLUMN())),OFFSET($BN$2,0,0,ROW()-1,60),ROW()-1,FALSE))</f>
        <v>19952</v>
      </c>
      <c r="V48">
        <f ca="1">IF(AND(ISNUMBER($V$199),$B$156=1),$V$199,HLOOKUP(INDIRECT(ADDRESS(2,COLUMN())),OFFSET($BN$2,0,0,ROW()-1,60),ROW()-1,FALSE))</f>
        <v>17051</v>
      </c>
      <c r="W48">
        <f ca="1">IF(AND(ISNUMBER($W$199),$B$156=1),$W$199,HLOOKUP(INDIRECT(ADDRESS(2,COLUMN())),OFFSET($BN$2,0,0,ROW()-1,60),ROW()-1,FALSE))</f>
        <v>18095</v>
      </c>
      <c r="X48">
        <f ca="1">IF(AND(ISNUMBER($X$199),$B$156=1),$X$199,HLOOKUP(INDIRECT(ADDRESS(2,COLUMN())),OFFSET($BN$2,0,0,ROW()-1,60),ROW()-1,FALSE))</f>
        <v>16378</v>
      </c>
      <c r="Y48">
        <f ca="1">IF(AND(ISNUMBER($Y$199),$B$156=1),$Y$199,HLOOKUP(INDIRECT(ADDRESS(2,COLUMN())),OFFSET($BN$2,0,0,ROW()-1,60),ROW()-1,FALSE))</f>
        <v>17510</v>
      </c>
      <c r="Z48">
        <f ca="1">IF(AND(ISNUMBER($Z$199),$B$156=1),$Z$199,HLOOKUP(INDIRECT(ADDRESS(2,COLUMN())),OFFSET($BN$2,0,0,ROW()-1,60),ROW()-1,FALSE))</f>
        <v>15493</v>
      </c>
      <c r="AA48">
        <f ca="1">IF(AND(ISNUMBER($AA$199),$B$156=1),$AA$199,HLOOKUP(INDIRECT(ADDRESS(2,COLUMN())),OFFSET($BN$2,0,0,ROW()-1,60),ROW()-1,FALSE))</f>
        <v>15093</v>
      </c>
      <c r="AB48">
        <f ca="1">IF(AND(ISNUMBER($AB$199),$B$156=1),$AB$199,HLOOKUP(INDIRECT(ADDRESS(2,COLUMN())),OFFSET($BN$2,0,0,ROW()-1,60),ROW()-1,FALSE))</f>
        <v>13864</v>
      </c>
      <c r="AC48">
        <f ca="1">IF(AND(ISNUMBER($AC$199),$B$156=1),$AC$199,HLOOKUP(INDIRECT(ADDRESS(2,COLUMN())),OFFSET($BN$2,0,0,ROW()-1,60),ROW()-1,FALSE))</f>
        <v>14608</v>
      </c>
      <c r="AD48">
        <f ca="1">IF(AND(ISNUMBER($AD$199),$B$156=1),$AD$199,HLOOKUP(INDIRECT(ADDRESS(2,COLUMN())),OFFSET($BN$2,0,0,ROW()-1,60),ROW()-1,FALSE))</f>
        <v>12553</v>
      </c>
      <c r="AE48">
        <f ca="1">IF(AND(ISNUMBER($AE$199),$B$156=1),$AE$199,HLOOKUP(INDIRECT(ADDRESS(2,COLUMN())),OFFSET($BN$2,0,0,ROW()-1,60),ROW()-1,FALSE))</f>
        <v>13738</v>
      </c>
      <c r="AF48">
        <f ca="1">IF(AND(ISNUMBER($AF$199),$B$156=1),$AF$199,HLOOKUP(INDIRECT(ADDRESS(2,COLUMN())),OFFSET($BN$2,0,0,ROW()-1,60),ROW()-1,FALSE))</f>
        <v>11536</v>
      </c>
      <c r="AG48">
        <f ca="1">IF(AND(ISNUMBER($AG$199),$B$156=1),$AG$199,HLOOKUP(INDIRECT(ADDRESS(2,COLUMN())),OFFSET($BN$2,0,0,ROW()-1,60),ROW()-1,FALSE))</f>
        <v>13824</v>
      </c>
      <c r="AH48">
        <f ca="1">IF(AND(ISNUMBER($AH$199),$B$156=1),$AH$199,HLOOKUP(INDIRECT(ADDRESS(2,COLUMN())),OFFSET($BN$2,0,0,ROW()-1,60),ROW()-1,FALSE))</f>
        <v>13961</v>
      </c>
      <c r="AI48">
        <f ca="1">IF(AND(ISNUMBER($AI$199),$B$156=1),$AI$199,HLOOKUP(INDIRECT(ADDRESS(2,COLUMN())),OFFSET($BN$2,0,0,ROW()-1,60),ROW()-1,FALSE))</f>
        <v>11249</v>
      </c>
      <c r="AJ48">
        <f ca="1">IF(AND(ISNUMBER($AJ$199),$B$156=1),$AJ$199,HLOOKUP(INDIRECT(ADDRESS(2,COLUMN())),OFFSET($BN$2,0,0,ROW()-1,60),ROW()-1,FALSE))</f>
        <v>10594</v>
      </c>
      <c r="AK48">
        <f ca="1">IF(AND(ISNUMBER($AK$199),$B$156=1),$AK$199,HLOOKUP(INDIRECT(ADDRESS(2,COLUMN())),OFFSET($BN$2,0,0,ROW()-1,60),ROW()-1,FALSE))</f>
        <v>11698</v>
      </c>
      <c r="AL48">
        <f ca="1">IF(AND(ISNUMBER($AL$199),$B$156=1),$AL$199,HLOOKUP(INDIRECT(ADDRESS(2,COLUMN())),OFFSET($BN$2,0,0,ROW()-1,60),ROW()-1,FALSE))</f>
        <v>11408</v>
      </c>
      <c r="AM48">
        <f ca="1">IF(AND(ISNUMBER($AM$199),$B$156=1),$AM$199,HLOOKUP(INDIRECT(ADDRESS(2,COLUMN())),OFFSET($BN$2,0,0,ROW()-1,60),ROW()-1,FALSE))</f>
        <v>10957.75</v>
      </c>
      <c r="AN48">
        <f ca="1">IF(AND(ISNUMBER($AN$199),$B$156=1),$AN$199,HLOOKUP(INDIRECT(ADDRESS(2,COLUMN())),OFFSET($BN$2,0,0,ROW()-1,60),ROW()-1,FALSE))</f>
        <v>10912</v>
      </c>
      <c r="AO48">
        <f ca="1">IF(AND(ISNUMBER($AO$199),$B$156=1),$AO$199,HLOOKUP(INDIRECT(ADDRESS(2,COLUMN())),OFFSET($BN$2,0,0,ROW()-1,60),ROW()-1,FALSE))</f>
        <v>11279.25</v>
      </c>
      <c r="AP48">
        <f ca="1">IF(AND(ISNUMBER($AP$199),$B$156=1),$AP$199,HLOOKUP(INDIRECT(ADDRESS(2,COLUMN())),OFFSET($BN$2,0,0,ROW()-1,60),ROW()-1,FALSE))</f>
        <v>10180.5</v>
      </c>
      <c r="AQ48">
        <f ca="1">IF(AND(ISNUMBER($AQ$199),$B$156=1),$AQ$199,HLOOKUP(INDIRECT(ADDRESS(2,COLUMN())),OFFSET($BN$2,0,0,ROW()-1,60),ROW()-1,FALSE))</f>
        <v>11141</v>
      </c>
      <c r="AR48">
        <f ca="1">IF(AND(ISNUMBER($AR$199),$B$156=1),$AR$199,HLOOKUP(INDIRECT(ADDRESS(2,COLUMN())),OFFSET($BN$2,0,0,ROW()-1,60),ROW()-1,FALSE))</f>
        <v>9270</v>
      </c>
      <c r="AS48">
        <f ca="1">IF(AND(ISNUMBER($AS$199),$B$156=1),$AS$199,HLOOKUP(INDIRECT(ADDRESS(2,COLUMN())),OFFSET($BN$2,0,0,ROW()-1,60),ROW()-1,FALSE))</f>
        <v>17128</v>
      </c>
      <c r="AT48">
        <f ca="1">IF(AND(ISNUMBER($AT$199),$B$156=1),$AT$199,HLOOKUP(INDIRECT(ADDRESS(2,COLUMN())),OFFSET($BN$2,0,0,ROW()-1,60),ROW()-1,FALSE))</f>
        <v>22650</v>
      </c>
      <c r="AU48">
        <f ca="1">IF(AND(ISNUMBER($AU$199),$B$156=1),$AU$199,HLOOKUP(INDIRECT(ADDRESS(2,COLUMN())),OFFSET($BN$2,0,0,ROW()-1,60),ROW()-1,FALSE))</f>
        <v>32543</v>
      </c>
      <c r="AV48">
        <f ca="1">IF(AND(ISNUMBER($AV$199),$B$156=1),$AV$199,HLOOKUP(INDIRECT(ADDRESS(2,COLUMN())),OFFSET($BN$2,0,0,ROW()-1,60),ROW()-1,FALSE))</f>
        <v>38481</v>
      </c>
      <c r="AW48">
        <f ca="1">IF(AND(ISNUMBER($AW$199),$B$156=1),$AW$199,HLOOKUP(INDIRECT(ADDRESS(2,COLUMN())),OFFSET($BN$2,0,0,ROW()-1,60),ROW()-1,FALSE))</f>
        <v>42463</v>
      </c>
      <c r="AX48">
        <f ca="1">IF(AND(ISNUMBER($AX$199),$B$156=1),$AX$199,HLOOKUP(INDIRECT(ADDRESS(2,COLUMN())),OFFSET($BN$2,0,0,ROW()-1,60),ROW()-1,FALSE))</f>
        <v>39791</v>
      </c>
      <c r="AY48">
        <f ca="1">IF(AND(ISNUMBER($AY$199),$B$156=1),$AY$199,HLOOKUP(INDIRECT(ADDRESS(2,COLUMN())),OFFSET($BN$2,0,0,ROW()-1,60),ROW()-1,FALSE))</f>
        <v>42413</v>
      </c>
      <c r="AZ48">
        <f ca="1">IF(AND(ISNUMBER($AZ$199),$B$156=1),$AZ$199,HLOOKUP(INDIRECT(ADDRESS(2,COLUMN())),OFFSET($BN$2,0,0,ROW()-1,60),ROW()-1,FALSE))</f>
        <v>44406</v>
      </c>
      <c r="BA48">
        <f ca="1">IF(AND(ISNUMBER($BA$199),$B$156=1),$BA$199,HLOOKUP(INDIRECT(ADDRESS(2,COLUMN())),OFFSET($BN$2,0,0,ROW()-1,60),ROW()-1,FALSE))</f>
        <v>43735</v>
      </c>
      <c r="BB48">
        <f ca="1">IF(AND(ISNUMBER($BB$199),$B$156=1),$BB$199,HLOOKUP(INDIRECT(ADDRESS(2,COLUMN())),OFFSET($BN$2,0,0,ROW()-1,60),ROW()-1,FALSE))</f>
        <v>41107</v>
      </c>
      <c r="BC48">
        <f ca="1">IF(AND(ISNUMBER($BC$199),$B$156=1),$BC$199,HLOOKUP(INDIRECT(ADDRESS(2,COLUMN())),OFFSET($BN$2,0,0,ROW()-1,60),ROW()-1,FALSE))</f>
        <v>46388</v>
      </c>
      <c r="BD48">
        <f ca="1">IF(AND(ISNUMBER($BD$199),$B$156=1),$BD$199,HLOOKUP(INDIRECT(ADDRESS(2,COLUMN())),OFFSET($BN$2,0,0,ROW()-1,60),ROW()-1,FALSE))</f>
        <v>43770</v>
      </c>
      <c r="BE48">
        <f ca="1">IF(AND(ISNUMBER($BE$199),$B$156=1),$BE$199,HLOOKUP(INDIRECT(ADDRESS(2,COLUMN())),OFFSET($BN$2,0,0,ROW()-1,60),ROW()-1,FALSE))</f>
        <v>52578</v>
      </c>
      <c r="BF48">
        <f ca="1">IF(AND(ISNUMBER($BF$199),$B$156=1),$BF$199,HLOOKUP(INDIRECT(ADDRESS(2,COLUMN())),OFFSET($BN$2,0,0,ROW()-1,60),ROW()-1,FALSE))</f>
        <v>44940</v>
      </c>
      <c r="BG48">
        <f ca="1">IF(AND(ISNUMBER($BG$199),$B$156=1),$BG$199,HLOOKUP(INDIRECT(ADDRESS(2,COLUMN())),OFFSET($BN$2,0,0,ROW()-1,60),ROW()-1,FALSE))</f>
        <v>54307</v>
      </c>
      <c r="BH48">
        <f ca="1">IF(AND(ISNUMBER($BH$199),$B$156=1),$BH$199,HLOOKUP(INDIRECT(ADDRESS(2,COLUMN())),OFFSET($BN$2,0,0,ROW()-1,60),ROW()-1,FALSE))</f>
        <v>50009</v>
      </c>
      <c r="BI48">
        <f ca="1">IF(AND(ISNUMBER($BI$199),$B$156=1),$BI$199,HLOOKUP(INDIRECT(ADDRESS(2,COLUMN())),OFFSET($BN$2,0,0,ROW()-1,60),ROW()-1,FALSE))</f>
        <v>52466</v>
      </c>
      <c r="BJ48">
        <f ca="1">IF(AND(ISNUMBER($BJ$199),$B$156=1),$BJ$199,HLOOKUP(INDIRECT(ADDRESS(2,COLUMN())),OFFSET($BN$2,0,0,ROW()-1,60),ROW()-1,FALSE))</f>
        <v>42200</v>
      </c>
      <c r="BK48">
        <f ca="1">IF(AND(ISNUMBER($BK$199),$B$156=1),$BK$199,HLOOKUP(INDIRECT(ADDRESS(2,COLUMN())),OFFSET($BN$2,0,0,ROW()-1,60),ROW()-1,FALSE))</f>
        <v>53791</v>
      </c>
      <c r="BL48">
        <f ca="1">IF(AND(ISNUMBER($BL$199),$B$156=1),$BL$199,HLOOKUP(INDIRECT(ADDRESS(2,COLUMN())),OFFSET($BN$2,0,0,ROW()-1,60),ROW()-1,FALSE))</f>
        <v>48865</v>
      </c>
      <c r="BM48">
        <f ca="1">IF(AND(ISNUMBER($BM$199),$B$156=1),$BM$199,HLOOKUP(INDIRECT(ADDRESS(2,COLUMN())),OFFSET($BN$2,0,0,ROW()-1,60),ROW()-1,FALSE))</f>
        <v>58683</v>
      </c>
      <c r="BN48">
        <f>9714</f>
        <v>9714</v>
      </c>
      <c r="BO48">
        <f>31981</f>
        <v>31981</v>
      </c>
      <c r="BP48">
        <f>33864</f>
        <v>33864</v>
      </c>
      <c r="BQ48">
        <f>39119</f>
        <v>39119</v>
      </c>
      <c r="BR48">
        <f>31609</f>
        <v>31609</v>
      </c>
      <c r="BS48">
        <f>33564</f>
        <v>33564</v>
      </c>
      <c r="BT48">
        <f>27851</f>
        <v>27851</v>
      </c>
      <c r="BU48">
        <f>30503</f>
        <v>30503</v>
      </c>
      <c r="BV48">
        <f>24347</f>
        <v>24347</v>
      </c>
      <c r="BW48">
        <f>27116</f>
        <v>27116</v>
      </c>
      <c r="BX48">
        <f>23467</f>
        <v>23467</v>
      </c>
      <c r="BY48">
        <f>26270</f>
        <v>26270</v>
      </c>
      <c r="BZ48">
        <f>19699</f>
        <v>19699</v>
      </c>
      <c r="CA48">
        <f>21876</f>
        <v>21876</v>
      </c>
      <c r="CB48">
        <f>18279</f>
        <v>18279</v>
      </c>
      <c r="CC48">
        <f>19952</f>
        <v>19952</v>
      </c>
      <c r="CD48">
        <f>17051</f>
        <v>17051</v>
      </c>
      <c r="CE48">
        <f>18095</f>
        <v>18095</v>
      </c>
      <c r="CF48">
        <f>16378</f>
        <v>16378</v>
      </c>
      <c r="CG48">
        <f>17510</f>
        <v>17510</v>
      </c>
      <c r="CH48">
        <f>15493</f>
        <v>15493</v>
      </c>
      <c r="CI48">
        <f>15093</f>
        <v>15093</v>
      </c>
      <c r="CJ48">
        <f>13864</f>
        <v>13864</v>
      </c>
      <c r="CK48">
        <f>14608</f>
        <v>14608</v>
      </c>
      <c r="CL48">
        <f>12553</f>
        <v>12553</v>
      </c>
      <c r="CM48">
        <f>13738</f>
        <v>13738</v>
      </c>
      <c r="CN48">
        <f>11536</f>
        <v>11536</v>
      </c>
      <c r="CO48">
        <f>13824</f>
        <v>13824</v>
      </c>
      <c r="CP48">
        <f>13961</f>
        <v>13961</v>
      </c>
      <c r="CQ48">
        <f>11249</f>
        <v>11249</v>
      </c>
      <c r="CR48">
        <f>10594</f>
        <v>10594</v>
      </c>
      <c r="CS48">
        <f>11698</f>
        <v>11698</v>
      </c>
      <c r="CT48">
        <f>11408</f>
        <v>11408</v>
      </c>
      <c r="CU48">
        <f>10957.75</f>
        <v>10957.75</v>
      </c>
      <c r="CV48">
        <f>10912</f>
        <v>10912</v>
      </c>
      <c r="CW48">
        <f>11279.25</f>
        <v>11279.25</v>
      </c>
      <c r="CX48">
        <f>10180.5</f>
        <v>10180.5</v>
      </c>
      <c r="CY48">
        <f>11141</f>
        <v>11141</v>
      </c>
      <c r="CZ48">
        <f>9270</f>
        <v>9270</v>
      </c>
      <c r="DA48">
        <f>17128</f>
        <v>17128</v>
      </c>
      <c r="DB48">
        <f>22650</f>
        <v>22650</v>
      </c>
      <c r="DC48">
        <f>32543</f>
        <v>32543</v>
      </c>
      <c r="DD48">
        <f>38481</f>
        <v>38481</v>
      </c>
      <c r="DE48">
        <f>42463</f>
        <v>42463</v>
      </c>
      <c r="DF48">
        <f>39791</f>
        <v>39791</v>
      </c>
      <c r="DG48">
        <f>42413</f>
        <v>42413</v>
      </c>
      <c r="DH48">
        <f>44406</f>
        <v>44406</v>
      </c>
      <c r="DI48">
        <f>43735</f>
        <v>43735</v>
      </c>
      <c r="DJ48">
        <f>41107</f>
        <v>41107</v>
      </c>
      <c r="DK48">
        <f>46388</f>
        <v>46388</v>
      </c>
      <c r="DL48">
        <f>43770</f>
        <v>43770</v>
      </c>
      <c r="DM48">
        <f>52578</f>
        <v>52578</v>
      </c>
      <c r="DN48">
        <f>44940</f>
        <v>44940</v>
      </c>
      <c r="DO48">
        <f>54307</f>
        <v>54307</v>
      </c>
      <c r="DP48">
        <f>50009</f>
        <v>50009</v>
      </c>
      <c r="DQ48">
        <f>52466</f>
        <v>52466</v>
      </c>
      <c r="DR48">
        <f>42200</f>
        <v>42200</v>
      </c>
      <c r="DS48">
        <f>53791</f>
        <v>53791</v>
      </c>
      <c r="DT48">
        <f>48865</f>
        <v>48865</v>
      </c>
      <c r="DU48">
        <f>58683</f>
        <v>58683</v>
      </c>
    </row>
    <row r="49" spans="1:125" x14ac:dyDescent="0.25">
      <c r="A49" t="str">
        <f>"            Latvia"</f>
        <v xml:space="preserve">            Latvia</v>
      </c>
      <c r="B49" t="str">
        <f>"WCARLV Index"</f>
        <v>WCARLV Index</v>
      </c>
      <c r="C49" t="str">
        <f t="shared" si="6"/>
        <v>PX385</v>
      </c>
      <c r="D49" t="str">
        <f t="shared" si="7"/>
        <v>INTERVAL_SUM</v>
      </c>
      <c r="E49" t="str">
        <f t="shared" si="8"/>
        <v>Dynamic</v>
      </c>
      <c r="F49">
        <f ca="1">IF(AND(ISNUMBER($F$200),$B$156=1),$F$200,HLOOKUP(INDIRECT(ADDRESS(2,COLUMN())),OFFSET($BN$2,0,0,ROW()-1,60),ROW()-1,FALSE))</f>
        <v>1540</v>
      </c>
      <c r="G49">
        <f ca="1">IF(AND(ISNUMBER($G$200),$B$156=1),$G$200,HLOOKUP(INDIRECT(ADDRESS(2,COLUMN())),OFFSET($BN$2,0,0,ROW()-1,60),ROW()-1,FALSE))</f>
        <v>3721</v>
      </c>
      <c r="H49">
        <f ca="1">IF(AND(ISNUMBER($H$200),$B$156=1),$H$200,HLOOKUP(INDIRECT(ADDRESS(2,COLUMN())),OFFSET($BN$2,0,0,ROW()-1,60),ROW()-1,FALSE))</f>
        <v>4088</v>
      </c>
      <c r="I49">
        <f ca="1">IF(AND(ISNUMBER($I$200),$B$156=1),$I$200,HLOOKUP(INDIRECT(ADDRESS(2,COLUMN())),OFFSET($BN$2,0,0,ROW()-1,60),ROW()-1,FALSE))</f>
        <v>4885</v>
      </c>
      <c r="J49">
        <f ca="1">IF(AND(ISNUMBER($J$200),$B$156=1),$J$200,HLOOKUP(INDIRECT(ADDRESS(2,COLUMN())),OFFSET($BN$2,0,0,ROW()-1,60),ROW()-1,FALSE))</f>
        <v>4185</v>
      </c>
      <c r="K49">
        <f ca="1">IF(AND(ISNUMBER($K$200),$B$156=1),$K$200,HLOOKUP(INDIRECT(ADDRESS(2,COLUMN())),OFFSET($BN$2,0,0,ROW()-1,60),ROW()-1,FALSE))</f>
        <v>3990</v>
      </c>
      <c r="L49">
        <f ca="1">IF(AND(ISNUMBER($L$200),$B$156=1),$L$200,HLOOKUP(INDIRECT(ADDRESS(2,COLUMN())),OFFSET($BN$2,0,0,ROW()-1,60),ROW()-1,FALSE))</f>
        <v>4088</v>
      </c>
      <c r="M49">
        <f ca="1">IF(AND(ISNUMBER($M$200),$B$156=1),$M$200,HLOOKUP(INDIRECT(ADDRESS(2,COLUMN())),OFFSET($BN$2,0,0,ROW()-1,60),ROW()-1,FALSE))</f>
        <v>4550</v>
      </c>
      <c r="N49">
        <f ca="1">IF(AND(ISNUMBER($N$200),$B$156=1),$N$200,HLOOKUP(INDIRECT(ADDRESS(2,COLUMN())),OFFSET($BN$2,0,0,ROW()-1,60),ROW()-1,FALSE))</f>
        <v>4064</v>
      </c>
      <c r="O49">
        <f ca="1">IF(AND(ISNUMBER($O$200),$B$156=1),$O$200,HLOOKUP(INDIRECT(ADDRESS(2,COLUMN())),OFFSET($BN$2,0,0,ROW()-1,60),ROW()-1,FALSE))</f>
        <v>3707</v>
      </c>
      <c r="P49">
        <f ca="1">IF(AND(ISNUMBER($P$200),$B$156=1),$P$200,HLOOKUP(INDIRECT(ADDRESS(2,COLUMN())),OFFSET($BN$2,0,0,ROW()-1,60),ROW()-1,FALSE))</f>
        <v>3955</v>
      </c>
      <c r="Q49">
        <f ca="1">IF(AND(ISNUMBER($Q$200),$B$156=1),$Q$200,HLOOKUP(INDIRECT(ADDRESS(2,COLUMN())),OFFSET($BN$2,0,0,ROW()-1,60),ROW()-1,FALSE))</f>
        <v>4813</v>
      </c>
      <c r="R49">
        <f ca="1">IF(AND(ISNUMBER($R$200),$B$156=1),$R$200,HLOOKUP(INDIRECT(ADDRESS(2,COLUMN())),OFFSET($BN$2,0,0,ROW()-1,60),ROW()-1,FALSE))</f>
        <v>3884</v>
      </c>
      <c r="S49">
        <f ca="1">IF(AND(ISNUMBER($S$200),$B$156=1),$S$200,HLOOKUP(INDIRECT(ADDRESS(2,COLUMN())),OFFSET($BN$2,0,0,ROW()-1,60),ROW()-1,FALSE))</f>
        <v>3479</v>
      </c>
      <c r="T49">
        <f ca="1">IF(AND(ISNUMBER($T$200),$B$156=1),$T$200,HLOOKUP(INDIRECT(ADDRESS(2,COLUMN())),OFFSET($BN$2,0,0,ROW()-1,60),ROW()-1,FALSE))</f>
        <v>3421</v>
      </c>
      <c r="U49">
        <f ca="1">IF(AND(ISNUMBER($U$200),$B$156=1),$U$200,HLOOKUP(INDIRECT(ADDRESS(2,COLUMN())),OFFSET($BN$2,0,0,ROW()-1,60),ROW()-1,FALSE))</f>
        <v>3655</v>
      </c>
      <c r="V49">
        <f ca="1">IF(AND(ISNUMBER($V$200),$B$156=1),$V$200,HLOOKUP(INDIRECT(ADDRESS(2,COLUMN())),OFFSET($BN$2,0,0,ROW()-1,60),ROW()-1,FALSE))</f>
        <v>3210</v>
      </c>
      <c r="W49">
        <f ca="1">IF(AND(ISNUMBER($W$200),$B$156=1),$W$200,HLOOKUP(INDIRECT(ADDRESS(2,COLUMN())),OFFSET($BN$2,0,0,ROW()-1,60),ROW()-1,FALSE))</f>
        <v>3213</v>
      </c>
      <c r="X49">
        <f ca="1">IF(AND(ISNUMBER($X$200),$B$156=1),$X$200,HLOOKUP(INDIRECT(ADDRESS(2,COLUMN())),OFFSET($BN$2,0,0,ROW()-1,60),ROW()-1,FALSE))</f>
        <v>3079</v>
      </c>
      <c r="Y49">
        <f ca="1">IF(AND(ISNUMBER($Y$200),$B$156=1),$Y$200,HLOOKUP(INDIRECT(ADDRESS(2,COLUMN())),OFFSET($BN$2,0,0,ROW()-1,60),ROW()-1,FALSE))</f>
        <v>3310</v>
      </c>
      <c r="Z49">
        <f ca="1">IF(AND(ISNUMBER($Z$200),$B$156=1),$Z$200,HLOOKUP(INDIRECT(ADDRESS(2,COLUMN())),OFFSET($BN$2,0,0,ROW()-1,60),ROW()-1,FALSE))</f>
        <v>2850</v>
      </c>
      <c r="AA49">
        <f ca="1">IF(AND(ISNUMBER($AA$200),$B$156=1),$AA$200,HLOOKUP(INDIRECT(ADDRESS(2,COLUMN())),OFFSET($BN$2,0,0,ROW()-1,60),ROW()-1,FALSE))</f>
        <v>2874</v>
      </c>
      <c r="AB49">
        <f ca="1">IF(AND(ISNUMBER($AB$200),$B$156=1),$AB$200,HLOOKUP(INDIRECT(ADDRESS(2,COLUMN())),OFFSET($BN$2,0,0,ROW()-1,60),ROW()-1,FALSE))</f>
        <v>2626</v>
      </c>
      <c r="AC49">
        <f ca="1">IF(AND(ISNUMBER($AC$200),$B$156=1),$AC$200,HLOOKUP(INDIRECT(ADDRESS(2,COLUMN())),OFFSET($BN$2,0,0,ROW()-1,60),ROW()-1,FALSE))</f>
        <v>2783</v>
      </c>
      <c r="AD49">
        <f ca="1">IF(AND(ISNUMBER($AD$200),$B$156=1),$AD$200,HLOOKUP(INDIRECT(ADDRESS(2,COLUMN())),OFFSET($BN$2,0,0,ROW()-1,60),ROW()-1,FALSE))</f>
        <v>2354</v>
      </c>
      <c r="AE49">
        <f ca="1">IF(AND(ISNUMBER($AE$200),$B$156=1),$AE$200,HLOOKUP(INDIRECT(ADDRESS(2,COLUMN())),OFFSET($BN$2,0,0,ROW()-1,60),ROW()-1,FALSE))</f>
        <v>2669</v>
      </c>
      <c r="AF49">
        <f ca="1">IF(AND(ISNUMBER($AF$200),$B$156=1),$AF$200,HLOOKUP(INDIRECT(ADDRESS(2,COLUMN())),OFFSET($BN$2,0,0,ROW()-1,60),ROW()-1,FALSE))</f>
        <v>2533</v>
      </c>
      <c r="AG49">
        <f ca="1">IF(AND(ISNUMBER($AG$200),$B$156=1),$AG$200,HLOOKUP(INDIRECT(ADDRESS(2,COLUMN())),OFFSET($BN$2,0,0,ROW()-1,60),ROW()-1,FALSE))</f>
        <v>2974</v>
      </c>
      <c r="AH49">
        <f ca="1">IF(AND(ISNUMBER($AH$200),$B$156=1),$AH$200,HLOOKUP(INDIRECT(ADDRESS(2,COLUMN())),OFFSET($BN$2,0,0,ROW()-1,60),ROW()-1,FALSE))</f>
        <v>2488</v>
      </c>
      <c r="AI49">
        <f ca="1">IF(AND(ISNUMBER($AI$200),$B$156=1),$AI$200,HLOOKUP(INDIRECT(ADDRESS(2,COLUMN())),OFFSET($BN$2,0,0,ROW()-1,60),ROW()-1,FALSE))</f>
        <v>2658</v>
      </c>
      <c r="AJ49">
        <f ca="1">IF(AND(ISNUMBER($AJ$200),$B$156=1),$AJ$200,HLOOKUP(INDIRECT(ADDRESS(2,COLUMN())),OFFSET($BN$2,0,0,ROW()-1,60),ROW()-1,FALSE))</f>
        <v>2362</v>
      </c>
      <c r="AK49">
        <f ca="1">IF(AND(ISNUMBER($AK$200),$B$156=1),$AK$200,HLOOKUP(INDIRECT(ADDRESS(2,COLUMN())),OFFSET($BN$2,0,0,ROW()-1,60),ROW()-1,FALSE))</f>
        <v>2098</v>
      </c>
      <c r="AL49">
        <f ca="1">IF(AND(ISNUMBER($AL$200),$B$156=1),$AL$200,HLOOKUP(INDIRECT(ADDRESS(2,COLUMN())),OFFSET($BN$2,0,0,ROW()-1,60),ROW()-1,FALSE))</f>
        <v>1902</v>
      </c>
      <c r="AM49">
        <f ca="1">IF(AND(ISNUMBER($AM$200),$B$156=1),$AM$200,HLOOKUP(INDIRECT(ADDRESS(2,COLUMN())),OFFSET($BN$2,0,0,ROW()-1,60),ROW()-1,FALSE))</f>
        <v>1467</v>
      </c>
      <c r="AN49">
        <f ca="1">IF(AND(ISNUMBER($AN$200),$B$156=1),$AN$200,HLOOKUP(INDIRECT(ADDRESS(2,COLUMN())),OFFSET($BN$2,0,0,ROW()-1,60),ROW()-1,FALSE))</f>
        <v>1461</v>
      </c>
      <c r="AO49">
        <f ca="1">IF(AND(ISNUMBER($AO$200),$B$156=1),$AO$200,HLOOKUP(INDIRECT(ADDRESS(2,COLUMN())),OFFSET($BN$2,0,0,ROW()-1,60),ROW()-1,FALSE))</f>
        <v>1227</v>
      </c>
      <c r="AP49">
        <f ca="1">IF(AND(ISNUMBER($AP$200),$B$156=1),$AP$200,HLOOKUP(INDIRECT(ADDRESS(2,COLUMN())),OFFSET($BN$2,0,0,ROW()-1,60),ROW()-1,FALSE))</f>
        <v>821</v>
      </c>
      <c r="AQ49">
        <f ca="1">IF(AND(ISNUMBER($AQ$200),$B$156=1),$AQ$200,HLOOKUP(INDIRECT(ADDRESS(2,COLUMN())),OFFSET($BN$2,0,0,ROW()-1,60),ROW()-1,FALSE))</f>
        <v>566</v>
      </c>
      <c r="AR49">
        <f ca="1">IF(AND(ISNUMBER($AR$200),$B$156=1),$AR$200,HLOOKUP(INDIRECT(ADDRESS(2,COLUMN())),OFFSET($BN$2,0,0,ROW()-1,60),ROW()-1,FALSE))</f>
        <v>850</v>
      </c>
      <c r="AS49">
        <f ca="1">IF(AND(ISNUMBER($AS$200),$B$156=1),$AS$200,HLOOKUP(INDIRECT(ADDRESS(2,COLUMN())),OFFSET($BN$2,0,0,ROW()-1,60),ROW()-1,FALSE))</f>
        <v>1159</v>
      </c>
      <c r="AT49">
        <f ca="1">IF(AND(ISNUMBER($AT$200),$B$156=1),$AT$200,HLOOKUP(INDIRECT(ADDRESS(2,COLUMN())),OFFSET($BN$2,0,0,ROW()-1,60),ROW()-1,FALSE))</f>
        <v>1309</v>
      </c>
      <c r="AU49">
        <f ca="1">IF(AND(ISNUMBER($AU$200),$B$156=1),$AU$200,HLOOKUP(INDIRECT(ADDRESS(2,COLUMN())),OFFSET($BN$2,0,0,ROW()-1,60),ROW()-1,FALSE))</f>
        <v>3285</v>
      </c>
      <c r="AV49">
        <f ca="1">IF(AND(ISNUMBER($AV$200),$B$156=1),$AV$200,HLOOKUP(INDIRECT(ADDRESS(2,COLUMN())),OFFSET($BN$2,0,0,ROW()-1,60),ROW()-1,FALSE))</f>
        <v>4699</v>
      </c>
      <c r="AW49">
        <f ca="1">IF(AND(ISNUMBER($AW$200),$B$156=1),$AW$200,HLOOKUP(INDIRECT(ADDRESS(2,COLUMN())),OFFSET($BN$2,0,0,ROW()-1,60),ROW()-1,FALSE))</f>
        <v>5857</v>
      </c>
      <c r="AX49">
        <f ca="1">IF(AND(ISNUMBER($AX$200),$B$156=1),$AX$200,HLOOKUP(INDIRECT(ADDRESS(2,COLUMN())),OFFSET($BN$2,0,0,ROW()-1,60),ROW()-1,FALSE))</f>
        <v>5990</v>
      </c>
      <c r="AY49">
        <f ca="1">IF(AND(ISNUMBER($AY$200),$B$156=1),$AY$200,HLOOKUP(INDIRECT(ADDRESS(2,COLUMN())),OFFSET($BN$2,0,0,ROW()-1,60),ROW()-1,FALSE))</f>
        <v>7598</v>
      </c>
      <c r="AZ49">
        <f ca="1">IF(AND(ISNUMBER($AZ$200),$B$156=1),$AZ$200,HLOOKUP(INDIRECT(ADDRESS(2,COLUMN())),OFFSET($BN$2,0,0,ROW()-1,60),ROW()-1,FALSE))</f>
        <v>7853</v>
      </c>
      <c r="BA49">
        <f ca="1">IF(AND(ISNUMBER($BA$200),$B$156=1),$BA$200,HLOOKUP(INDIRECT(ADDRESS(2,COLUMN())),OFFSET($BN$2,0,0,ROW()-1,60),ROW()-1,FALSE))</f>
        <v>9425</v>
      </c>
      <c r="BB49">
        <f ca="1">IF(AND(ISNUMBER($BB$200),$B$156=1),$BB$200,HLOOKUP(INDIRECT(ADDRESS(2,COLUMN())),OFFSET($BN$2,0,0,ROW()-1,60),ROW()-1,FALSE))</f>
        <v>7895</v>
      </c>
      <c r="BC49">
        <f ca="1">IF(AND(ISNUMBER($BC$200),$B$156=1),$BC$200,HLOOKUP(INDIRECT(ADDRESS(2,COLUMN())),OFFSET($BN$2,0,0,ROW()-1,60),ROW()-1,FALSE))</f>
        <v>7920</v>
      </c>
      <c r="BD49">
        <f ca="1">IF(AND(ISNUMBER($BD$200),$B$156=1),$BD$200,HLOOKUP(INDIRECT(ADDRESS(2,COLUMN())),OFFSET($BN$2,0,0,ROW()-1,60),ROW()-1,FALSE))</f>
        <v>6334</v>
      </c>
      <c r="BE49">
        <f ca="1">IF(AND(ISNUMBER($BE$200),$B$156=1),$BE$200,HLOOKUP(INDIRECT(ADDRESS(2,COLUMN())),OFFSET($BN$2,0,0,ROW()-1,60),ROW()-1,FALSE))</f>
        <v>6762</v>
      </c>
      <c r="BF49">
        <f ca="1">IF(AND(ISNUMBER($BF$200),$B$156=1),$BF$200,HLOOKUP(INDIRECT(ADDRESS(2,COLUMN())),OFFSET($BN$2,0,0,ROW()-1,60),ROW()-1,FALSE))</f>
        <v>4566</v>
      </c>
      <c r="BG49">
        <f ca="1">IF(AND(ISNUMBER($BG$200),$B$156=1),$BG$200,HLOOKUP(INDIRECT(ADDRESS(2,COLUMN())),OFFSET($BN$2,0,0,ROW()-1,60),ROW()-1,FALSE))</f>
        <v>4885</v>
      </c>
      <c r="BH49">
        <f ca="1">IF(AND(ISNUMBER($BH$200),$B$156=1),$BH$200,HLOOKUP(INDIRECT(ADDRESS(2,COLUMN())),OFFSET($BN$2,0,0,ROW()-1,60),ROW()-1,FALSE))</f>
        <v>4443</v>
      </c>
      <c r="BI49">
        <f ca="1">IF(AND(ISNUMBER($BI$200),$B$156=1),$BI$200,HLOOKUP(INDIRECT(ADDRESS(2,COLUMN())),OFFSET($BN$2,0,0,ROW()-1,60),ROW()-1,FALSE))</f>
        <v>4334</v>
      </c>
      <c r="BJ49">
        <f ca="1">IF(AND(ISNUMBER($BJ$200),$B$156=1),$BJ$200,HLOOKUP(INDIRECT(ADDRESS(2,COLUMN())),OFFSET($BN$2,0,0,ROW()-1,60),ROW()-1,FALSE))</f>
        <v>2940</v>
      </c>
      <c r="BK49">
        <f ca="1">IF(AND(ISNUMBER($BK$200),$B$156=1),$BK$200,HLOOKUP(INDIRECT(ADDRESS(2,COLUMN())),OFFSET($BN$2,0,0,ROW()-1,60),ROW()-1,FALSE))</f>
        <v>3166</v>
      </c>
      <c r="BL49">
        <f ca="1">IF(AND(ISNUMBER($BL$200),$B$156=1),$BL$200,HLOOKUP(INDIRECT(ADDRESS(2,COLUMN())),OFFSET($BN$2,0,0,ROW()-1,60),ROW()-1,FALSE))</f>
        <v>2779</v>
      </c>
      <c r="BM49">
        <f ca="1">IF(AND(ISNUMBER($BM$200),$B$156=1),$BM$200,HLOOKUP(INDIRECT(ADDRESS(2,COLUMN())),OFFSET($BN$2,0,0,ROW()-1,60),ROW()-1,FALSE))</f>
        <v>2966</v>
      </c>
      <c r="BN49">
        <f>1540</f>
        <v>1540</v>
      </c>
      <c r="BO49">
        <f>3721</f>
        <v>3721</v>
      </c>
      <c r="BP49">
        <f>4088</f>
        <v>4088</v>
      </c>
      <c r="BQ49">
        <f>4885</f>
        <v>4885</v>
      </c>
      <c r="BR49">
        <f>4185</f>
        <v>4185</v>
      </c>
      <c r="BS49">
        <f>3990</f>
        <v>3990</v>
      </c>
      <c r="BT49">
        <f>4088</f>
        <v>4088</v>
      </c>
      <c r="BU49">
        <f>4550</f>
        <v>4550</v>
      </c>
      <c r="BV49">
        <f>4064</f>
        <v>4064</v>
      </c>
      <c r="BW49">
        <f>3707</f>
        <v>3707</v>
      </c>
      <c r="BX49">
        <f>3955</f>
        <v>3955</v>
      </c>
      <c r="BY49">
        <f>4813</f>
        <v>4813</v>
      </c>
      <c r="BZ49">
        <f>3884</f>
        <v>3884</v>
      </c>
      <c r="CA49">
        <f>3479</f>
        <v>3479</v>
      </c>
      <c r="CB49">
        <f>3421</f>
        <v>3421</v>
      </c>
      <c r="CC49">
        <f>3655</f>
        <v>3655</v>
      </c>
      <c r="CD49">
        <f>3210</f>
        <v>3210</v>
      </c>
      <c r="CE49">
        <f>3213</f>
        <v>3213</v>
      </c>
      <c r="CF49">
        <f>3079</f>
        <v>3079</v>
      </c>
      <c r="CG49">
        <f>3310</f>
        <v>3310</v>
      </c>
      <c r="CH49">
        <f>2850</f>
        <v>2850</v>
      </c>
      <c r="CI49">
        <f>2874</f>
        <v>2874</v>
      </c>
      <c r="CJ49">
        <f>2626</f>
        <v>2626</v>
      </c>
      <c r="CK49">
        <f>2783</f>
        <v>2783</v>
      </c>
      <c r="CL49">
        <f>2354</f>
        <v>2354</v>
      </c>
      <c r="CM49">
        <f>2669</f>
        <v>2669</v>
      </c>
      <c r="CN49">
        <f>2533</f>
        <v>2533</v>
      </c>
      <c r="CO49">
        <f>2974</f>
        <v>2974</v>
      </c>
      <c r="CP49">
        <f>2488</f>
        <v>2488</v>
      </c>
      <c r="CQ49">
        <f>2658</f>
        <v>2658</v>
      </c>
      <c r="CR49">
        <f>2362</f>
        <v>2362</v>
      </c>
      <c r="CS49">
        <f>2098</f>
        <v>2098</v>
      </c>
      <c r="CT49">
        <f>1902</f>
        <v>1902</v>
      </c>
      <c r="CU49">
        <f>1467</f>
        <v>1467</v>
      </c>
      <c r="CV49">
        <f>1461</f>
        <v>1461</v>
      </c>
      <c r="CW49">
        <f>1227</f>
        <v>1227</v>
      </c>
      <c r="CX49">
        <f>821</f>
        <v>821</v>
      </c>
      <c r="CY49">
        <f>566</f>
        <v>566</v>
      </c>
      <c r="CZ49">
        <f>850</f>
        <v>850</v>
      </c>
      <c r="DA49">
        <f>1159</f>
        <v>1159</v>
      </c>
      <c r="DB49">
        <f>1309</f>
        <v>1309</v>
      </c>
      <c r="DC49">
        <f>3285</f>
        <v>3285</v>
      </c>
      <c r="DD49">
        <f>4699</f>
        <v>4699</v>
      </c>
      <c r="DE49">
        <f>5857</f>
        <v>5857</v>
      </c>
      <c r="DF49">
        <f>5990</f>
        <v>5990</v>
      </c>
      <c r="DG49">
        <f>7598</f>
        <v>7598</v>
      </c>
      <c r="DH49">
        <f>7853</f>
        <v>7853</v>
      </c>
      <c r="DI49">
        <f>9425</f>
        <v>9425</v>
      </c>
      <c r="DJ49">
        <f>7895</f>
        <v>7895</v>
      </c>
      <c r="DK49">
        <f>7920</f>
        <v>7920</v>
      </c>
      <c r="DL49">
        <f>6334</f>
        <v>6334</v>
      </c>
      <c r="DM49">
        <f>6762</f>
        <v>6762</v>
      </c>
      <c r="DN49">
        <f>4566</f>
        <v>4566</v>
      </c>
      <c r="DO49">
        <f>4885</f>
        <v>4885</v>
      </c>
      <c r="DP49">
        <f>4443</f>
        <v>4443</v>
      </c>
      <c r="DQ49">
        <f>4334</f>
        <v>4334</v>
      </c>
      <c r="DR49">
        <f>2940</f>
        <v>2940</v>
      </c>
      <c r="DS49">
        <f>3166</f>
        <v>3166</v>
      </c>
      <c r="DT49">
        <f>2779</f>
        <v>2779</v>
      </c>
      <c r="DU49">
        <f>2966</f>
        <v>2966</v>
      </c>
    </row>
    <row r="50" spans="1:125" x14ac:dyDescent="0.25">
      <c r="A50" t="str">
        <f>"            Lithuania"</f>
        <v xml:space="preserve">            Lithuania</v>
      </c>
      <c r="B50" t="str">
        <f>"WCARLI Index"</f>
        <v>WCARLI Index</v>
      </c>
      <c r="C50" t="str">
        <f t="shared" si="6"/>
        <v>PX385</v>
      </c>
      <c r="D50" t="str">
        <f t="shared" si="7"/>
        <v>INTERVAL_SUM</v>
      </c>
      <c r="E50" t="str">
        <f t="shared" si="8"/>
        <v>Dynamic</v>
      </c>
      <c r="F50">
        <f ca="1">IF(AND(ISNUMBER($F$201),$B$156=1),$F$201,HLOOKUP(INDIRECT(ADDRESS(2,COLUMN())),OFFSET($BN$2,0,0,ROW()-1,60),ROW()-1,FALSE))</f>
        <v>3145</v>
      </c>
      <c r="G50">
        <f ca="1">IF(AND(ISNUMBER($G$201),$B$156=1),$G$201,HLOOKUP(INDIRECT(ADDRESS(2,COLUMN())),OFFSET($BN$2,0,0,ROW()-1,60),ROW()-1,FALSE))</f>
        <v>8096</v>
      </c>
      <c r="H50">
        <f ca="1">IF(AND(ISNUMBER($H$201),$B$156=1),$H$201,HLOOKUP(INDIRECT(ADDRESS(2,COLUMN())),OFFSET($BN$2,0,0,ROW()-1,60),ROW()-1,FALSE))</f>
        <v>8362</v>
      </c>
      <c r="I50">
        <f ca="1">IF(AND(ISNUMBER($I$201),$B$156=1),$I$201,HLOOKUP(INDIRECT(ADDRESS(2,COLUMN())),OFFSET($BN$2,0,0,ROW()-1,60),ROW()-1,FALSE))</f>
        <v>9480</v>
      </c>
      <c r="J50">
        <f ca="1">IF(AND(ISNUMBER($J$201),$B$156=1),$J$201,HLOOKUP(INDIRECT(ADDRESS(2,COLUMN())),OFFSET($BN$2,0,0,ROW()-1,60),ROW()-1,FALSE))</f>
        <v>6477</v>
      </c>
      <c r="K50">
        <f ca="1">IF(AND(ISNUMBER($K$201),$B$156=1),$K$201,HLOOKUP(INDIRECT(ADDRESS(2,COLUMN())),OFFSET($BN$2,0,0,ROW()-1,60),ROW()-1,FALSE))</f>
        <v>6708</v>
      </c>
      <c r="L50">
        <f ca="1">IF(AND(ISNUMBER($L$201),$B$156=1),$L$201,HLOOKUP(INDIRECT(ADDRESS(2,COLUMN())),OFFSET($BN$2,0,0,ROW()-1,60),ROW()-1,FALSE))</f>
        <v>6345</v>
      </c>
      <c r="M50">
        <f ca="1">IF(AND(ISNUMBER($M$201),$B$156=1),$M$201,HLOOKUP(INDIRECT(ADDRESS(2,COLUMN())),OFFSET($BN$2,0,0,ROW()-1,60),ROW()-1,FALSE))</f>
        <v>7290</v>
      </c>
      <c r="N50">
        <f ca="1">IF(AND(ISNUMBER($N$201),$B$156=1),$N$201,HLOOKUP(INDIRECT(ADDRESS(2,COLUMN())),OFFSET($BN$2,0,0,ROW()-1,60),ROW()-1,FALSE))</f>
        <v>5524</v>
      </c>
      <c r="O50">
        <f ca="1">IF(AND(ISNUMBER($O$201),$B$156=1),$O$201,HLOOKUP(INDIRECT(ADDRESS(2,COLUMN())),OFFSET($BN$2,0,0,ROW()-1,60),ROW()-1,FALSE))</f>
        <v>4701</v>
      </c>
      <c r="P50">
        <f ca="1">IF(AND(ISNUMBER($P$201),$B$156=1),$P$201,HLOOKUP(INDIRECT(ADDRESS(2,COLUMN())),OFFSET($BN$2,0,0,ROW()-1,60),ROW()-1,FALSE))</f>
        <v>4913</v>
      </c>
      <c r="Q50">
        <f ca="1">IF(AND(ISNUMBER($Q$201),$B$156=1),$Q$201,HLOOKUP(INDIRECT(ADDRESS(2,COLUMN())),OFFSET($BN$2,0,0,ROW()-1,60),ROW()-1,FALSE))</f>
        <v>6104</v>
      </c>
      <c r="R50">
        <f ca="1">IF(AND(ISNUMBER($R$201),$B$156=1),$R$201,HLOOKUP(INDIRECT(ADDRESS(2,COLUMN())),OFFSET($BN$2,0,0,ROW()-1,60),ROW()-1,FALSE))</f>
        <v>4602</v>
      </c>
      <c r="S50">
        <f ca="1">IF(AND(ISNUMBER($S$201),$B$156=1),$S$201,HLOOKUP(INDIRECT(ADDRESS(2,COLUMN())),OFFSET($BN$2,0,0,ROW()-1,60),ROW()-1,FALSE))</f>
        <v>4221</v>
      </c>
      <c r="T50">
        <f ca="1">IF(AND(ISNUMBER($T$201),$B$156=1),$T$201,HLOOKUP(INDIRECT(ADDRESS(2,COLUMN())),OFFSET($BN$2,0,0,ROW()-1,60),ROW()-1,FALSE))</f>
        <v>4301</v>
      </c>
      <c r="U50">
        <f ca="1">IF(AND(ISNUMBER($U$201),$B$156=1),$U$201,HLOOKUP(INDIRECT(ADDRESS(2,COLUMN())),OFFSET($BN$2,0,0,ROW()-1,60),ROW()-1,FALSE))</f>
        <v>4805</v>
      </c>
      <c r="V50">
        <f ca="1">IF(AND(ISNUMBER($V$201),$B$156=1),$V$201,HLOOKUP(INDIRECT(ADDRESS(2,COLUMN())),OFFSET($BN$2,0,0,ROW()-1,60),ROW()-1,FALSE))</f>
        <v>3758</v>
      </c>
      <c r="W50">
        <f ca="1">IF(AND(ISNUMBER($W$201),$B$156=1),$W$201,HLOOKUP(INDIRECT(ADDRESS(2,COLUMN())),OFFSET($BN$2,0,0,ROW()-1,60),ROW()-1,FALSE))</f>
        <v>3432</v>
      </c>
      <c r="X50">
        <f ca="1">IF(AND(ISNUMBER($X$201),$B$156=1),$X$201,HLOOKUP(INDIRECT(ADDRESS(2,COLUMN())),OFFSET($BN$2,0,0,ROW()-1,60),ROW()-1,FALSE))</f>
        <v>3686</v>
      </c>
      <c r="Y50">
        <f ca="1">IF(AND(ISNUMBER($Y$201),$B$156=1),$Y$201,HLOOKUP(INDIRECT(ADDRESS(2,COLUMN())),OFFSET($BN$2,0,0,ROW()-1,60),ROW()-1,FALSE))</f>
        <v>3979</v>
      </c>
      <c r="Z50">
        <f ca="1">IF(AND(ISNUMBER($Z$201),$B$156=1),$Z$201,HLOOKUP(INDIRECT(ADDRESS(2,COLUMN())),OFFSET($BN$2,0,0,ROW()-1,60),ROW()-1,FALSE))</f>
        <v>3406</v>
      </c>
      <c r="AA50">
        <f ca="1">IF(AND(ISNUMBER($AA$201),$B$156=1),$AA$201,HLOOKUP(INDIRECT(ADDRESS(2,COLUMN())),OFFSET($BN$2,0,0,ROW()-1,60),ROW()-1,FALSE))</f>
        <v>3259</v>
      </c>
      <c r="AB50">
        <f ca="1">IF(AND(ISNUMBER($AB$201),$B$156=1),$AB$201,HLOOKUP(INDIRECT(ADDRESS(2,COLUMN())),OFFSET($BN$2,0,0,ROW()-1,60),ROW()-1,FALSE))</f>
        <v>2886</v>
      </c>
      <c r="AC50">
        <f ca="1">IF(AND(ISNUMBER($AC$201),$B$156=1),$AC$201,HLOOKUP(INDIRECT(ADDRESS(2,COLUMN())),OFFSET($BN$2,0,0,ROW()-1,60),ROW()-1,FALSE))</f>
        <v>3273</v>
      </c>
      <c r="AD50">
        <f ca="1">IF(AND(ISNUMBER($AD$201),$B$156=1),$AD$201,HLOOKUP(INDIRECT(ADDRESS(2,COLUMN())),OFFSET($BN$2,0,0,ROW()-1,60),ROW()-1,FALSE))</f>
        <v>2734</v>
      </c>
      <c r="AE50">
        <f ca="1">IF(AND(ISNUMBER($AE$201),$B$156=1),$AE$201,HLOOKUP(INDIRECT(ADDRESS(2,COLUMN())),OFFSET($BN$2,0,0,ROW()-1,60),ROW()-1,FALSE))</f>
        <v>2980</v>
      </c>
      <c r="AF50">
        <f ca="1">IF(AND(ISNUMBER($AF$201),$B$156=1),$AF$201,HLOOKUP(INDIRECT(ADDRESS(2,COLUMN())),OFFSET($BN$2,0,0,ROW()-1,60),ROW()-1,FALSE))</f>
        <v>2988</v>
      </c>
      <c r="AG50">
        <f ca="1">IF(AND(ISNUMBER($AG$201),$B$156=1),$AG$201,HLOOKUP(INDIRECT(ADDRESS(2,COLUMN())),OFFSET($BN$2,0,0,ROW()-1,60),ROW()-1,FALSE))</f>
        <v>3324</v>
      </c>
      <c r="AH50">
        <f ca="1">IF(AND(ISNUMBER($AH$201),$B$156=1),$AH$201,HLOOKUP(INDIRECT(ADDRESS(2,COLUMN())),OFFSET($BN$2,0,0,ROW()-1,60),ROW()-1,FALSE))</f>
        <v>2878</v>
      </c>
      <c r="AI50">
        <f ca="1">IF(AND(ISNUMBER($AI$201),$B$156=1),$AI$201,HLOOKUP(INDIRECT(ADDRESS(2,COLUMN())),OFFSET($BN$2,0,0,ROW()-1,60),ROW()-1,FALSE))</f>
        <v>3267</v>
      </c>
      <c r="AJ50">
        <f ca="1">IF(AND(ISNUMBER($AJ$201),$B$156=1),$AJ$201,HLOOKUP(INDIRECT(ADDRESS(2,COLUMN())),OFFSET($BN$2,0,0,ROW()-1,60),ROW()-1,FALSE))</f>
        <v>3333</v>
      </c>
      <c r="AK50">
        <f ca="1">IF(AND(ISNUMBER($AK$201),$B$156=1),$AK$201,HLOOKUP(INDIRECT(ADDRESS(2,COLUMN())),OFFSET($BN$2,0,0,ROW()-1,60),ROW()-1,FALSE))</f>
        <v>3756</v>
      </c>
      <c r="AL50">
        <f ca="1">IF(AND(ISNUMBER($AL$201),$B$156=1),$AL$201,HLOOKUP(INDIRECT(ADDRESS(2,COLUMN())),OFFSET($BN$2,0,0,ROW()-1,60),ROW()-1,FALSE))</f>
        <v>2867</v>
      </c>
      <c r="AM50">
        <f ca="1">IF(AND(ISNUMBER($AM$201),$B$156=1),$AM$201,HLOOKUP(INDIRECT(ADDRESS(2,COLUMN())),OFFSET($BN$2,0,0,ROW()-1,60),ROW()-1,FALSE))</f>
        <v>2643</v>
      </c>
      <c r="AN50">
        <f ca="1">IF(AND(ISNUMBER($AN$201),$B$156=1),$AN$201,HLOOKUP(INDIRECT(ADDRESS(2,COLUMN())),OFFSET($BN$2,0,0,ROW()-1,60),ROW()-1,FALSE))</f>
        <v>2050</v>
      </c>
      <c r="AO50">
        <f ca="1">IF(AND(ISNUMBER($AO$201),$B$156=1),$AO$201,HLOOKUP(INDIRECT(ADDRESS(2,COLUMN())),OFFSET($BN$2,0,0,ROW()-1,60),ROW()-1,FALSE))</f>
        <v>1902</v>
      </c>
      <c r="AP50">
        <f ca="1">IF(AND(ISNUMBER($AP$201),$B$156=1),$AP$201,HLOOKUP(INDIRECT(ADDRESS(2,COLUMN())),OFFSET($BN$2,0,0,ROW()-1,60),ROW()-1,FALSE))</f>
        <v>1375</v>
      </c>
      <c r="AQ50">
        <f ca="1">IF(AND(ISNUMBER($AQ$201),$B$156=1),$AQ$201,HLOOKUP(INDIRECT(ADDRESS(2,COLUMN())),OFFSET($BN$2,0,0,ROW()-1,60),ROW()-1,FALSE))</f>
        <v>1566</v>
      </c>
      <c r="AR50">
        <f ca="1">IF(AND(ISNUMBER($AR$201),$B$156=1),$AR$201,HLOOKUP(INDIRECT(ADDRESS(2,COLUMN())),OFFSET($BN$2,0,0,ROW()-1,60),ROW()-1,FALSE))</f>
        <v>1563</v>
      </c>
      <c r="AS50">
        <f ca="1">IF(AND(ISNUMBER($AS$201),$B$156=1),$AS$201,HLOOKUP(INDIRECT(ADDRESS(2,COLUMN())),OFFSET($BN$2,0,0,ROW()-1,60),ROW()-1,FALSE))</f>
        <v>1985</v>
      </c>
      <c r="AT50">
        <f ca="1">IF(AND(ISNUMBER($AT$201),$B$156=1),$AT$201,HLOOKUP(INDIRECT(ADDRESS(2,COLUMN())),OFFSET($BN$2,0,0,ROW()-1,60),ROW()-1,FALSE))</f>
        <v>1899</v>
      </c>
      <c r="AU50">
        <f ca="1">IF(AND(ISNUMBER($AU$201),$B$156=1),$AU$201,HLOOKUP(INDIRECT(ADDRESS(2,COLUMN())),OFFSET($BN$2,0,0,ROW()-1,60),ROW()-1,FALSE))</f>
        <v>3800</v>
      </c>
      <c r="AV50">
        <f ca="1">IF(AND(ISNUMBER($AV$201),$B$156=1),$AV$201,HLOOKUP(INDIRECT(ADDRESS(2,COLUMN())),OFFSET($BN$2,0,0,ROW()-1,60),ROW()-1,FALSE))</f>
        <v>5001</v>
      </c>
      <c r="AW50">
        <f ca="1">IF(AND(ISNUMBER($AW$201),$B$156=1),$AW$201,HLOOKUP(INDIRECT(ADDRESS(2,COLUMN())),OFFSET($BN$2,0,0,ROW()-1,60),ROW()-1,FALSE))</f>
        <v>6579</v>
      </c>
      <c r="AX50">
        <f ca="1">IF(AND(ISNUMBER($AX$201),$B$156=1),$AX$201,HLOOKUP(INDIRECT(ADDRESS(2,COLUMN())),OFFSET($BN$2,0,0,ROW()-1,60),ROW()-1,FALSE))</f>
        <v>6837</v>
      </c>
      <c r="AY50">
        <f ca="1">IF(AND(ISNUMBER($AY$201),$B$156=1),$AY$201,HLOOKUP(INDIRECT(ADDRESS(2,COLUMN())),OFFSET($BN$2,0,0,ROW()-1,60),ROW()-1,FALSE))</f>
        <v>6262</v>
      </c>
      <c r="AZ50">
        <f ca="1">IF(AND(ISNUMBER($AZ$201),$B$156=1),$AZ$201,HLOOKUP(INDIRECT(ADDRESS(2,COLUMN())),OFFSET($BN$2,0,0,ROW()-1,60),ROW()-1,FALSE))</f>
        <v>5500</v>
      </c>
      <c r="BA50">
        <f ca="1">IF(AND(ISNUMBER($BA$201),$B$156=1),$BA$201,HLOOKUP(INDIRECT(ADDRESS(2,COLUMN())),OFFSET($BN$2,0,0,ROW()-1,60),ROW()-1,FALSE))</f>
        <v>5764</v>
      </c>
      <c r="BB50">
        <f ca="1">IF(AND(ISNUMBER($BB$201),$B$156=1),$BB$201,HLOOKUP(INDIRECT(ADDRESS(2,COLUMN())),OFFSET($BN$2,0,0,ROW()-1,60),ROW()-1,FALSE))</f>
        <v>4080</v>
      </c>
      <c r="BC50">
        <f ca="1">IF(AND(ISNUMBER($BC$201),$B$156=1),$BC$201,HLOOKUP(INDIRECT(ADDRESS(2,COLUMN())),OFFSET($BN$2,0,0,ROW()-1,60),ROW()-1,FALSE))</f>
        <v>3921</v>
      </c>
      <c r="BD50">
        <f ca="1">IF(AND(ISNUMBER($BD$201),$B$156=1),$BD$201,HLOOKUP(INDIRECT(ADDRESS(2,COLUMN())),OFFSET($BN$2,0,0,ROW()-1,60),ROW()-1,FALSE))</f>
        <v>3558</v>
      </c>
      <c r="BE50">
        <f ca="1">IF(AND(ISNUMBER($BE$201),$B$156=1),$BE$201,HLOOKUP(INDIRECT(ADDRESS(2,COLUMN())),OFFSET($BN$2,0,0,ROW()-1,60),ROW()-1,FALSE))</f>
        <v>3765</v>
      </c>
      <c r="BF50">
        <f ca="1">IF(AND(ISNUMBER($BF$201),$B$156=1),$BF$201,HLOOKUP(INDIRECT(ADDRESS(2,COLUMN())),OFFSET($BN$2,0,0,ROW()-1,60),ROW()-1,FALSE))</f>
        <v>2990</v>
      </c>
      <c r="BG50">
        <f ca="1">IF(AND(ISNUMBER($BG$201),$B$156=1),$BG$201,HLOOKUP(INDIRECT(ADDRESS(2,COLUMN())),OFFSET($BN$2,0,0,ROW()-1,60),ROW()-1,FALSE))</f>
        <v>2733</v>
      </c>
      <c r="BH50">
        <f ca="1">IF(AND(ISNUMBER($BH$201),$B$156=1),$BH$201,HLOOKUP(INDIRECT(ADDRESS(2,COLUMN())),OFFSET($BN$2,0,0,ROW()-1,60),ROW()-1,FALSE))</f>
        <v>2425</v>
      </c>
      <c r="BI50">
        <f ca="1">IF(AND(ISNUMBER($BI$201),$B$156=1),$BI$201,HLOOKUP(INDIRECT(ADDRESS(2,COLUMN())),OFFSET($BN$2,0,0,ROW()-1,60),ROW()-1,FALSE))</f>
        <v>3007</v>
      </c>
      <c r="BJ50">
        <f ca="1">IF(AND(ISNUMBER($BJ$201),$B$156=1),$BJ$201,HLOOKUP(INDIRECT(ADDRESS(2,COLUMN())),OFFSET($BN$2,0,0,ROW()-1,60),ROW()-1,FALSE))</f>
        <v>2302</v>
      </c>
      <c r="BK50">
        <f ca="1">IF(AND(ISNUMBER($BK$201),$B$156=1),$BK$201,HLOOKUP(INDIRECT(ADDRESS(2,COLUMN())),OFFSET($BN$2,0,0,ROW()-1,60),ROW()-1,FALSE))</f>
        <v>2622</v>
      </c>
      <c r="BL50">
        <f ca="1">IF(AND(ISNUMBER($BL$201),$B$156=1),$BL$201,HLOOKUP(INDIRECT(ADDRESS(2,COLUMN())),OFFSET($BN$2,0,0,ROW()-1,60),ROW()-1,FALSE))</f>
        <v>2114</v>
      </c>
      <c r="BM50">
        <f ca="1">IF(AND(ISNUMBER($BM$201),$B$156=1),$BM$201,HLOOKUP(INDIRECT(ADDRESS(2,COLUMN())),OFFSET($BN$2,0,0,ROW()-1,60),ROW()-1,FALSE))</f>
        <v>2665</v>
      </c>
      <c r="BN50">
        <f>3145</f>
        <v>3145</v>
      </c>
      <c r="BO50">
        <f>8096</f>
        <v>8096</v>
      </c>
      <c r="BP50">
        <f>8362</f>
        <v>8362</v>
      </c>
      <c r="BQ50">
        <f>9480</f>
        <v>9480</v>
      </c>
      <c r="BR50">
        <f>6477</f>
        <v>6477</v>
      </c>
      <c r="BS50">
        <f>6708</f>
        <v>6708</v>
      </c>
      <c r="BT50">
        <f>6345</f>
        <v>6345</v>
      </c>
      <c r="BU50">
        <f>7290</f>
        <v>7290</v>
      </c>
      <c r="BV50">
        <f>5524</f>
        <v>5524</v>
      </c>
      <c r="BW50">
        <f>4701</f>
        <v>4701</v>
      </c>
      <c r="BX50">
        <f>4913</f>
        <v>4913</v>
      </c>
      <c r="BY50">
        <f>6104</f>
        <v>6104</v>
      </c>
      <c r="BZ50">
        <f>4602</f>
        <v>4602</v>
      </c>
      <c r="CA50">
        <f>4221</f>
        <v>4221</v>
      </c>
      <c r="CB50">
        <f>4301</f>
        <v>4301</v>
      </c>
      <c r="CC50">
        <f>4805</f>
        <v>4805</v>
      </c>
      <c r="CD50">
        <f>3758</f>
        <v>3758</v>
      </c>
      <c r="CE50">
        <f>3432</f>
        <v>3432</v>
      </c>
      <c r="CF50">
        <f>3686</f>
        <v>3686</v>
      </c>
      <c r="CG50">
        <f>3979</f>
        <v>3979</v>
      </c>
      <c r="CH50">
        <f>3406</f>
        <v>3406</v>
      </c>
      <c r="CI50">
        <f>3259</f>
        <v>3259</v>
      </c>
      <c r="CJ50">
        <f>2886</f>
        <v>2886</v>
      </c>
      <c r="CK50">
        <f>3273</f>
        <v>3273</v>
      </c>
      <c r="CL50">
        <f>2734</f>
        <v>2734</v>
      </c>
      <c r="CM50">
        <f>2980</f>
        <v>2980</v>
      </c>
      <c r="CN50">
        <f>2988</f>
        <v>2988</v>
      </c>
      <c r="CO50">
        <f>3324</f>
        <v>3324</v>
      </c>
      <c r="CP50">
        <f>2878</f>
        <v>2878</v>
      </c>
      <c r="CQ50">
        <f>3267</f>
        <v>3267</v>
      </c>
      <c r="CR50">
        <f>3333</f>
        <v>3333</v>
      </c>
      <c r="CS50">
        <f>3756</f>
        <v>3756</v>
      </c>
      <c r="CT50">
        <f>2867</f>
        <v>2867</v>
      </c>
      <c r="CU50">
        <f>2643</f>
        <v>2643</v>
      </c>
      <c r="CV50">
        <f>2050</f>
        <v>2050</v>
      </c>
      <c r="CW50">
        <f>1902</f>
        <v>1902</v>
      </c>
      <c r="CX50">
        <f>1375</f>
        <v>1375</v>
      </c>
      <c r="CY50">
        <f>1566</f>
        <v>1566</v>
      </c>
      <c r="CZ50">
        <f>1563</f>
        <v>1563</v>
      </c>
      <c r="DA50">
        <f>1985</f>
        <v>1985</v>
      </c>
      <c r="DB50">
        <f>1899</f>
        <v>1899</v>
      </c>
      <c r="DC50">
        <f>3800</f>
        <v>3800</v>
      </c>
      <c r="DD50">
        <f>5001</f>
        <v>5001</v>
      </c>
      <c r="DE50">
        <f>6579</f>
        <v>6579</v>
      </c>
      <c r="DF50">
        <f>6837</f>
        <v>6837</v>
      </c>
      <c r="DG50">
        <f>6262</f>
        <v>6262</v>
      </c>
      <c r="DH50">
        <f>5500</f>
        <v>5500</v>
      </c>
      <c r="DI50">
        <f>5764</f>
        <v>5764</v>
      </c>
      <c r="DJ50">
        <f>4080</f>
        <v>4080</v>
      </c>
      <c r="DK50">
        <f>3921</f>
        <v>3921</v>
      </c>
      <c r="DL50">
        <f>3558</f>
        <v>3558</v>
      </c>
      <c r="DM50">
        <f>3765</f>
        <v>3765</v>
      </c>
      <c r="DN50">
        <f>2990</f>
        <v>2990</v>
      </c>
      <c r="DO50">
        <f>2733</f>
        <v>2733</v>
      </c>
      <c r="DP50">
        <f>2425</f>
        <v>2425</v>
      </c>
      <c r="DQ50">
        <f>3007</f>
        <v>3007</v>
      </c>
      <c r="DR50">
        <f>2302</f>
        <v>2302</v>
      </c>
      <c r="DS50">
        <f>2622</f>
        <v>2622</v>
      </c>
      <c r="DT50">
        <f>2114</f>
        <v>2114</v>
      </c>
      <c r="DU50">
        <f>2665</f>
        <v>2665</v>
      </c>
    </row>
    <row r="51" spans="1:125" x14ac:dyDescent="0.25">
      <c r="A51" t="str">
        <f>"            Poland"</f>
        <v xml:space="preserve">            Poland</v>
      </c>
      <c r="B51" t="str">
        <f>"WCARPO Index"</f>
        <v>WCARPO Index</v>
      </c>
      <c r="C51" t="str">
        <f t="shared" si="6"/>
        <v>PX385</v>
      </c>
      <c r="D51" t="str">
        <f t="shared" si="7"/>
        <v>INTERVAL_SUM</v>
      </c>
      <c r="E51" t="str">
        <f t="shared" si="8"/>
        <v>Dynamic</v>
      </c>
      <c r="F51">
        <f ca="1">IF(AND(ISNUMBER($F$202),$B$156=1),$F$202,HLOOKUP(INDIRECT(ADDRESS(2,COLUMN())),OFFSET($BN$2,0,0,ROW()-1,60),ROW()-1,FALSE))</f>
        <v>45927</v>
      </c>
      <c r="G51">
        <f ca="1">IF(AND(ISNUMBER($G$202),$B$156=1),$G$202,HLOOKUP(INDIRECT(ADDRESS(2,COLUMN())),OFFSET($BN$2,0,0,ROW()-1,60),ROW()-1,FALSE))</f>
        <v>128546</v>
      </c>
      <c r="H51">
        <f ca="1">IF(AND(ISNUMBER($H$202),$B$156=1),$H$202,HLOOKUP(INDIRECT(ADDRESS(2,COLUMN())),OFFSET($BN$2,0,0,ROW()-1,60),ROW()-1,FALSE))</f>
        <v>130298</v>
      </c>
      <c r="I51">
        <f ca="1">IF(AND(ISNUMBER($I$202),$B$156=1),$I$202,HLOOKUP(INDIRECT(ADDRESS(2,COLUMN())),OFFSET($BN$2,0,0,ROW()-1,60),ROW()-1,FALSE))</f>
        <v>133160</v>
      </c>
      <c r="J51">
        <f ca="1">IF(AND(ISNUMBER($J$202),$B$156=1),$J$202,HLOOKUP(INDIRECT(ADDRESS(2,COLUMN())),OFFSET($BN$2,0,0,ROW()-1,60),ROW()-1,FALSE))</f>
        <v>139885</v>
      </c>
      <c r="K51">
        <f ca="1">IF(AND(ISNUMBER($K$202),$B$156=1),$K$202,HLOOKUP(INDIRECT(ADDRESS(2,COLUMN())),OFFSET($BN$2,0,0,ROW()-1,60),ROW()-1,FALSE))</f>
        <v>130891</v>
      </c>
      <c r="L51">
        <f ca="1">IF(AND(ISNUMBER($L$202),$B$156=1),$L$202,HLOOKUP(INDIRECT(ADDRESS(2,COLUMN())),OFFSET($BN$2,0,0,ROW()-1,60),ROW()-1,FALSE))</f>
        <v>108447</v>
      </c>
      <c r="M51">
        <f ca="1">IF(AND(ISNUMBER($M$202),$B$156=1),$M$202,HLOOKUP(INDIRECT(ADDRESS(2,COLUMN())),OFFSET($BN$2,0,0,ROW()-1,60),ROW()-1,FALSE))</f>
        <v>121082</v>
      </c>
      <c r="N51">
        <f ca="1">IF(AND(ISNUMBER($N$202),$B$156=1),$N$202,HLOOKUP(INDIRECT(ADDRESS(2,COLUMN())),OFFSET($BN$2,0,0,ROW()-1,60),ROW()-1,FALSE))</f>
        <v>125932</v>
      </c>
      <c r="O51">
        <f ca="1">IF(AND(ISNUMBER($O$202),$B$156=1),$O$202,HLOOKUP(INDIRECT(ADDRESS(2,COLUMN())),OFFSET($BN$2,0,0,ROW()-1,60),ROW()-1,FALSE))</f>
        <v>113157</v>
      </c>
      <c r="P51">
        <f ca="1">IF(AND(ISNUMBER($P$202),$B$156=1),$P$202,HLOOKUP(INDIRECT(ADDRESS(2,COLUMN())),OFFSET($BN$2,0,0,ROW()-1,60),ROW()-1,FALSE))</f>
        <v>92238</v>
      </c>
      <c r="Q51">
        <f ca="1">IF(AND(ISNUMBER($Q$202),$B$156=1),$Q$202,HLOOKUP(INDIRECT(ADDRESS(2,COLUMN())),OFFSET($BN$2,0,0,ROW()-1,60),ROW()-1,FALSE))</f>
        <v>106040</v>
      </c>
      <c r="R51">
        <f ca="1">IF(AND(ISNUMBER($R$202),$B$156=1),$R$202,HLOOKUP(INDIRECT(ADDRESS(2,COLUMN())),OFFSET($BN$2,0,0,ROW()-1,60),ROW()-1,FALSE))</f>
        <v>104688</v>
      </c>
      <c r="S51">
        <f ca="1">IF(AND(ISNUMBER($S$202),$B$156=1),$S$202,HLOOKUP(INDIRECT(ADDRESS(2,COLUMN())),OFFSET($BN$2,0,0,ROW()-1,60),ROW()-1,FALSE))</f>
        <v>96732</v>
      </c>
      <c r="T51">
        <f ca="1">IF(AND(ISNUMBER($T$202),$B$156=1),$T$202,HLOOKUP(INDIRECT(ADDRESS(2,COLUMN())),OFFSET($BN$2,0,0,ROW()-1,60),ROW()-1,FALSE))</f>
        <v>80468</v>
      </c>
      <c r="U51">
        <f ca="1">IF(AND(ISNUMBER($U$202),$B$156=1),$U$202,HLOOKUP(INDIRECT(ADDRESS(2,COLUMN())),OFFSET($BN$2,0,0,ROW()-1,60),ROW()-1,FALSE))</f>
        <v>86102</v>
      </c>
      <c r="V51">
        <f ca="1">IF(AND(ISNUMBER($V$202),$B$156=1),$V$202,HLOOKUP(INDIRECT(ADDRESS(2,COLUMN())),OFFSET($BN$2,0,0,ROW()-1,60),ROW()-1,FALSE))</f>
        <v>91670</v>
      </c>
      <c r="W51">
        <f ca="1">IF(AND(ISNUMBER($W$202),$B$156=1),$W$202,HLOOKUP(INDIRECT(ADDRESS(2,COLUMN())),OFFSET($BN$2,0,0,ROW()-1,60),ROW()-1,FALSE))</f>
        <v>82667</v>
      </c>
      <c r="X51">
        <f ca="1">IF(AND(ISNUMBER($X$202),$B$156=1),$X$202,HLOOKUP(INDIRECT(ADDRESS(2,COLUMN())),OFFSET($BN$2,0,0,ROW()-1,60),ROW()-1,FALSE))</f>
        <v>69134</v>
      </c>
      <c r="Y51">
        <f ca="1">IF(AND(ISNUMBER($Y$202),$B$156=1),$Y$202,HLOOKUP(INDIRECT(ADDRESS(2,COLUMN())),OFFSET($BN$2,0,0,ROW()-1,60),ROW()-1,FALSE))</f>
        <v>78287</v>
      </c>
      <c r="Z51">
        <f ca="1">IF(AND(ISNUMBER($Z$202),$B$156=1),$Z$202,HLOOKUP(INDIRECT(ADDRESS(2,COLUMN())),OFFSET($BN$2,0,0,ROW()-1,60),ROW()-1,FALSE))</f>
        <v>97621</v>
      </c>
      <c r="AA51">
        <f ca="1">IF(AND(ISNUMBER($AA$202),$B$156=1),$AA$202,HLOOKUP(INDIRECT(ADDRESS(2,COLUMN())),OFFSET($BN$2,0,0,ROW()-1,60),ROW()-1,FALSE))</f>
        <v>76896</v>
      </c>
      <c r="AB51">
        <f ca="1">IF(AND(ISNUMBER($AB$202),$B$156=1),$AB$202,HLOOKUP(INDIRECT(ADDRESS(2,COLUMN())),OFFSET($BN$2,0,0,ROW()-1,60),ROW()-1,FALSE))</f>
        <v>65530</v>
      </c>
      <c r="AC51">
        <f ca="1">IF(AND(ISNUMBER($AC$202),$B$156=1),$AC$202,HLOOKUP(INDIRECT(ADDRESS(2,COLUMN())),OFFSET($BN$2,0,0,ROW()-1,60),ROW()-1,FALSE))</f>
        <v>72008</v>
      </c>
      <c r="AD51">
        <f ca="1">IF(AND(ISNUMBER($AD$202),$B$156=1),$AD$202,HLOOKUP(INDIRECT(ADDRESS(2,COLUMN())),OFFSET($BN$2,0,0,ROW()-1,60),ROW()-1,FALSE))</f>
        <v>75989</v>
      </c>
      <c r="AE51">
        <f ca="1">IF(AND(ISNUMBER($AE$202),$B$156=1),$AE$202,HLOOKUP(INDIRECT(ADDRESS(2,COLUMN())),OFFSET($BN$2,0,0,ROW()-1,60),ROW()-1,FALSE))</f>
        <v>66320</v>
      </c>
      <c r="AF51">
        <f ca="1">IF(AND(ISNUMBER($AF$202),$B$156=1),$AF$202,HLOOKUP(INDIRECT(ADDRESS(2,COLUMN())),OFFSET($BN$2,0,0,ROW()-1,60),ROW()-1,FALSE))</f>
        <v>57689</v>
      </c>
      <c r="AG51">
        <f ca="1">IF(AND(ISNUMBER($AG$202),$B$156=1),$AG$202,HLOOKUP(INDIRECT(ADDRESS(2,COLUMN())),OFFSET($BN$2,0,0,ROW()-1,60),ROW()-1,FALSE))</f>
        <v>71296</v>
      </c>
      <c r="AH51">
        <f ca="1">IF(AND(ISNUMBER($AH$202),$B$156=1),$AH$202,HLOOKUP(INDIRECT(ADDRESS(2,COLUMN())),OFFSET($BN$2,0,0,ROW()-1,60),ROW()-1,FALSE))</f>
        <v>77832</v>
      </c>
      <c r="AI51">
        <f ca="1">IF(AND(ISNUMBER($AI$202),$B$156=1),$AI$202,HLOOKUP(INDIRECT(ADDRESS(2,COLUMN())),OFFSET($BN$2,0,0,ROW()-1,60),ROW()-1,FALSE))</f>
        <v>74870</v>
      </c>
      <c r="AJ51">
        <f ca="1">IF(AND(ISNUMBER($AJ$202),$B$156=1),$AJ$202,HLOOKUP(INDIRECT(ADDRESS(2,COLUMN())),OFFSET($BN$2,0,0,ROW()-1,60),ROW()-1,FALSE))</f>
        <v>63920</v>
      </c>
      <c r="AK51">
        <f ca="1">IF(AND(ISNUMBER($AK$202),$B$156=1),$AK$202,HLOOKUP(INDIRECT(ADDRESS(2,COLUMN())),OFFSET($BN$2,0,0,ROW()-1,60),ROW()-1,FALSE))</f>
        <v>69640</v>
      </c>
      <c r="AL51">
        <f ca="1">IF(AND(ISNUMBER($AL$202),$B$156=1),$AL$202,HLOOKUP(INDIRECT(ADDRESS(2,COLUMN())),OFFSET($BN$2,0,0,ROW()-1,60),ROW()-1,FALSE))</f>
        <v>69144</v>
      </c>
      <c r="AM51">
        <f ca="1">IF(AND(ISNUMBER($AM$202),$B$156=1),$AM$202,HLOOKUP(INDIRECT(ADDRESS(2,COLUMN())),OFFSET($BN$2,0,0,ROW()-1,60),ROW()-1,FALSE))</f>
        <v>100389</v>
      </c>
      <c r="AN51">
        <f ca="1">IF(AND(ISNUMBER($AN$202),$B$156=1),$AN$202,HLOOKUP(INDIRECT(ADDRESS(2,COLUMN())),OFFSET($BN$2,0,0,ROW()-1,60),ROW()-1,FALSE))</f>
        <v>68467</v>
      </c>
      <c r="AO51">
        <f ca="1">IF(AND(ISNUMBER($AO$202),$B$156=1),$AO$202,HLOOKUP(INDIRECT(ADDRESS(2,COLUMN())),OFFSET($BN$2,0,0,ROW()-1,60),ROW()-1,FALSE))</f>
        <v>74127</v>
      </c>
      <c r="AP51">
        <f ca="1">IF(AND(ISNUMBER($AP$202),$B$156=1),$AP$202,HLOOKUP(INDIRECT(ADDRESS(2,COLUMN())),OFFSET($BN$2,0,0,ROW()-1,60),ROW()-1,FALSE))</f>
        <v>73011</v>
      </c>
      <c r="AQ51">
        <f ca="1">IF(AND(ISNUMBER($AQ$202),$B$156=1),$AQ$202,HLOOKUP(INDIRECT(ADDRESS(2,COLUMN())),OFFSET($BN$2,0,0,ROW()-1,60),ROW()-1,FALSE))</f>
        <v>80698</v>
      </c>
      <c r="AR51">
        <f ca="1">IF(AND(ISNUMBER($AR$202),$B$156=1),$AR$202,HLOOKUP(INDIRECT(ADDRESS(2,COLUMN())),OFFSET($BN$2,0,0,ROW()-1,60),ROW()-1,FALSE))</f>
        <v>70624</v>
      </c>
      <c r="AS51">
        <f ca="1">IF(AND(ISNUMBER($AS$202),$B$156=1),$AS$202,HLOOKUP(INDIRECT(ADDRESS(2,COLUMN())),OFFSET($BN$2,0,0,ROW()-1,60),ROW()-1,FALSE))</f>
        <v>80918</v>
      </c>
      <c r="AT51">
        <f ca="1">IF(AND(ISNUMBER($AT$202),$B$156=1),$AT$202,HLOOKUP(INDIRECT(ADDRESS(2,COLUMN())),OFFSET($BN$2,0,0,ROW()-1,60),ROW()-1,FALSE))</f>
        <v>87966</v>
      </c>
      <c r="AU51">
        <f ca="1">IF(AND(ISNUMBER($AU$202),$B$156=1),$AU$202,HLOOKUP(INDIRECT(ADDRESS(2,COLUMN())),OFFSET($BN$2,0,0,ROW()-1,60),ROW()-1,FALSE))</f>
        <v>84418</v>
      </c>
      <c r="AV51">
        <f ca="1">IF(AND(ISNUMBER($AV$202),$B$156=1),$AV$202,HLOOKUP(INDIRECT(ADDRESS(2,COLUMN())),OFFSET($BN$2,0,0,ROW()-1,60),ROW()-1,FALSE))</f>
        <v>66977</v>
      </c>
      <c r="AW51">
        <f ca="1">IF(AND(ISNUMBER($AW$202),$B$156=1),$AW$202,HLOOKUP(INDIRECT(ADDRESS(2,COLUMN())),OFFSET($BN$2,0,0,ROW()-1,60),ROW()-1,FALSE))</f>
        <v>81721</v>
      </c>
      <c r="AX51">
        <f ca="1">IF(AND(ISNUMBER($AX$202),$B$156=1),$AX$202,HLOOKUP(INDIRECT(ADDRESS(2,COLUMN())),OFFSET($BN$2,0,0,ROW()-1,60),ROW()-1,FALSE))</f>
        <v>86924</v>
      </c>
      <c r="AY51">
        <f ca="1">IF(AND(ISNUMBER($AY$202),$B$156=1),$AY$202,HLOOKUP(INDIRECT(ADDRESS(2,COLUMN())),OFFSET($BN$2,0,0,ROW()-1,60),ROW()-1,FALSE))</f>
        <v>75922</v>
      </c>
      <c r="AZ51">
        <f ca="1">IF(AND(ISNUMBER($AZ$202),$B$156=1),$AZ$202,HLOOKUP(INDIRECT(ADDRESS(2,COLUMN())),OFFSET($BN$2,0,0,ROW()-1,60),ROW()-1,FALSE))</f>
        <v>67789</v>
      </c>
      <c r="BA51">
        <f ca="1">IF(AND(ISNUMBER($BA$202),$B$156=1),$BA$202,HLOOKUP(INDIRECT(ADDRESS(2,COLUMN())),OFFSET($BN$2,0,0,ROW()-1,60),ROW()-1,FALSE))</f>
        <v>76858</v>
      </c>
      <c r="BB51">
        <f ca="1">IF(AND(ISNUMBER($BB$202),$B$156=1),$BB$202,HLOOKUP(INDIRECT(ADDRESS(2,COLUMN())),OFFSET($BN$2,0,0,ROW()-1,60),ROW()-1,FALSE))</f>
        <v>72736</v>
      </c>
      <c r="BC51">
        <f ca="1">IF(AND(ISNUMBER($BC$202),$B$156=1),$BC$202,HLOOKUP(INDIRECT(ADDRESS(2,COLUMN())),OFFSET($BN$2,0,0,ROW()-1,60),ROW()-1,FALSE))</f>
        <v>63728</v>
      </c>
      <c r="BD51">
        <f ca="1">IF(AND(ISNUMBER($BD$202),$B$156=1),$BD$202,HLOOKUP(INDIRECT(ADDRESS(2,COLUMN())),OFFSET($BN$2,0,0,ROW()-1,60),ROW()-1,FALSE))</f>
        <v>55522</v>
      </c>
      <c r="BE51">
        <f ca="1">IF(AND(ISNUMBER($BE$202),$B$156=1),$BE$202,HLOOKUP(INDIRECT(ADDRESS(2,COLUMN())),OFFSET($BN$2,0,0,ROW()-1,60),ROW()-1,FALSE))</f>
        <v>61283</v>
      </c>
      <c r="BF51">
        <f ca="1">IF(AND(ISNUMBER($BF$202),$B$156=1),$BF$202,HLOOKUP(INDIRECT(ADDRESS(2,COLUMN())),OFFSET($BN$2,0,0,ROW()-1,60),ROW()-1,FALSE))</f>
        <v>58460</v>
      </c>
      <c r="BG51">
        <f ca="1">IF(AND(ISNUMBER($BG$202),$B$156=1),$BG$202,HLOOKUP(INDIRECT(ADDRESS(2,COLUMN())),OFFSET($BN$2,0,0,ROW()-1,60),ROW()-1,FALSE))</f>
        <v>51551</v>
      </c>
      <c r="BH51">
        <f ca="1">IF(AND(ISNUMBER($BH$202),$B$156=1),$BH$202,HLOOKUP(INDIRECT(ADDRESS(2,COLUMN())),OFFSET($BN$2,0,0,ROW()-1,60),ROW()-1,FALSE))</f>
        <v>54557</v>
      </c>
      <c r="BI51">
        <f ca="1">IF(AND(ISNUMBER($BI$202),$B$156=1),$BI$202,HLOOKUP(INDIRECT(ADDRESS(2,COLUMN())),OFFSET($BN$2,0,0,ROW()-1,60),ROW()-1,FALSE))</f>
        <v>63438</v>
      </c>
      <c r="BJ51">
        <f ca="1">IF(AND(ISNUMBER($BJ$202),$B$156=1),$BJ$202,HLOOKUP(INDIRECT(ADDRESS(2,COLUMN())),OFFSET($BN$2,0,0,ROW()-1,60),ROW()-1,FALSE))</f>
        <v>65976</v>
      </c>
      <c r="BK51">
        <f ca="1">IF(AND(ISNUMBER($BK$202),$B$156=1),$BK$202,HLOOKUP(INDIRECT(ADDRESS(2,COLUMN())),OFFSET($BN$2,0,0,ROW()-1,60),ROW()-1,FALSE))</f>
        <v>62467</v>
      </c>
      <c r="BL51">
        <f ca="1">IF(AND(ISNUMBER($BL$202),$B$156=1),$BL$202,HLOOKUP(INDIRECT(ADDRESS(2,COLUMN())),OFFSET($BN$2,0,0,ROW()-1,60),ROW()-1,FALSE))</f>
        <v>62914</v>
      </c>
      <c r="BM51">
        <f ca="1">IF(AND(ISNUMBER($BM$202),$B$156=1),$BM$202,HLOOKUP(INDIRECT(ADDRESS(2,COLUMN())),OFFSET($BN$2,0,0,ROW()-1,60),ROW()-1,FALSE))</f>
        <v>94270</v>
      </c>
      <c r="BN51">
        <f>45927</f>
        <v>45927</v>
      </c>
      <c r="BO51">
        <f>128546</f>
        <v>128546</v>
      </c>
      <c r="BP51">
        <f>130298</f>
        <v>130298</v>
      </c>
      <c r="BQ51">
        <f>133160</f>
        <v>133160</v>
      </c>
      <c r="BR51">
        <f>139885</f>
        <v>139885</v>
      </c>
      <c r="BS51">
        <f>130891</f>
        <v>130891</v>
      </c>
      <c r="BT51">
        <f>108447</f>
        <v>108447</v>
      </c>
      <c r="BU51">
        <f>121082</f>
        <v>121082</v>
      </c>
      <c r="BV51">
        <f>125932</f>
        <v>125932</v>
      </c>
      <c r="BW51">
        <f>113157</f>
        <v>113157</v>
      </c>
      <c r="BX51">
        <f>92238</f>
        <v>92238</v>
      </c>
      <c r="BY51">
        <f>106040</f>
        <v>106040</v>
      </c>
      <c r="BZ51">
        <f>104688</f>
        <v>104688</v>
      </c>
      <c r="CA51">
        <f>96732</f>
        <v>96732</v>
      </c>
      <c r="CB51">
        <f>80468</f>
        <v>80468</v>
      </c>
      <c r="CC51">
        <f>86102</f>
        <v>86102</v>
      </c>
      <c r="CD51">
        <f>91670</f>
        <v>91670</v>
      </c>
      <c r="CE51">
        <f>82667</f>
        <v>82667</v>
      </c>
      <c r="CF51">
        <f>69134</f>
        <v>69134</v>
      </c>
      <c r="CG51">
        <f>78287</f>
        <v>78287</v>
      </c>
      <c r="CH51">
        <f>97621</f>
        <v>97621</v>
      </c>
      <c r="CI51">
        <f>76896</f>
        <v>76896</v>
      </c>
      <c r="CJ51">
        <f>65530</f>
        <v>65530</v>
      </c>
      <c r="CK51">
        <f>72008</f>
        <v>72008</v>
      </c>
      <c r="CL51">
        <f>75989</f>
        <v>75989</v>
      </c>
      <c r="CM51">
        <f>66320</f>
        <v>66320</v>
      </c>
      <c r="CN51">
        <f>57689</f>
        <v>57689</v>
      </c>
      <c r="CO51">
        <f>71296</f>
        <v>71296</v>
      </c>
      <c r="CP51">
        <f>77832</f>
        <v>77832</v>
      </c>
      <c r="CQ51">
        <f>74870</f>
        <v>74870</v>
      </c>
      <c r="CR51">
        <f>63920</f>
        <v>63920</v>
      </c>
      <c r="CS51">
        <f>69640</f>
        <v>69640</v>
      </c>
      <c r="CT51">
        <f>69144</f>
        <v>69144</v>
      </c>
      <c r="CU51">
        <f>100389</f>
        <v>100389</v>
      </c>
      <c r="CV51">
        <f>68467</f>
        <v>68467</v>
      </c>
      <c r="CW51">
        <f>74127</f>
        <v>74127</v>
      </c>
      <c r="CX51">
        <f>73011</f>
        <v>73011</v>
      </c>
      <c r="CY51">
        <f>80698</f>
        <v>80698</v>
      </c>
      <c r="CZ51">
        <f>70624</f>
        <v>70624</v>
      </c>
      <c r="DA51">
        <f>80918</f>
        <v>80918</v>
      </c>
      <c r="DB51">
        <f>87966</f>
        <v>87966</v>
      </c>
      <c r="DC51">
        <f>84418</f>
        <v>84418</v>
      </c>
      <c r="DD51">
        <f>66977</f>
        <v>66977</v>
      </c>
      <c r="DE51">
        <f>81721</f>
        <v>81721</v>
      </c>
      <c r="DF51">
        <f>86924</f>
        <v>86924</v>
      </c>
      <c r="DG51">
        <f>75922</f>
        <v>75922</v>
      </c>
      <c r="DH51">
        <f>67789</f>
        <v>67789</v>
      </c>
      <c r="DI51">
        <f>76858</f>
        <v>76858</v>
      </c>
      <c r="DJ51">
        <f>72736</f>
        <v>72736</v>
      </c>
      <c r="DK51">
        <f>63728</f>
        <v>63728</v>
      </c>
      <c r="DL51">
        <f>55522</f>
        <v>55522</v>
      </c>
      <c r="DM51">
        <f>61283</f>
        <v>61283</v>
      </c>
      <c r="DN51">
        <f>58460</f>
        <v>58460</v>
      </c>
      <c r="DO51">
        <f>51551</f>
        <v>51551</v>
      </c>
      <c r="DP51">
        <f>54557</f>
        <v>54557</v>
      </c>
      <c r="DQ51">
        <f>63438</f>
        <v>63438</v>
      </c>
      <c r="DR51">
        <f>65976</f>
        <v>65976</v>
      </c>
      <c r="DS51">
        <f>62467</f>
        <v>62467</v>
      </c>
      <c r="DT51">
        <f>62914</f>
        <v>62914</v>
      </c>
      <c r="DU51">
        <f>94270</f>
        <v>94270</v>
      </c>
    </row>
    <row r="52" spans="1:125" x14ac:dyDescent="0.25">
      <c r="A52" t="str">
        <f>"            Romania"</f>
        <v xml:space="preserve">            Romania</v>
      </c>
      <c r="B52" t="str">
        <f>"WCARRO Index"</f>
        <v>WCARRO Index</v>
      </c>
      <c r="C52" t="str">
        <f t="shared" si="6"/>
        <v>PX385</v>
      </c>
      <c r="D52" t="str">
        <f t="shared" si="7"/>
        <v>INTERVAL_SUM</v>
      </c>
      <c r="E52" t="str">
        <f t="shared" si="8"/>
        <v>Dynamic</v>
      </c>
      <c r="F52">
        <f ca="1">IF(AND(ISNUMBER($F$203),$B$156=1),$F$203,HLOOKUP(INDIRECT(ADDRESS(2,COLUMN())),OFFSET($BN$2,0,0,ROW()-1,60),ROW()-1,FALSE))</f>
        <v>13952</v>
      </c>
      <c r="G52">
        <f ca="1">IF(AND(ISNUMBER($G$203),$B$156=1),$G$203,HLOOKUP(INDIRECT(ADDRESS(2,COLUMN())),OFFSET($BN$2,0,0,ROW()-1,60),ROW()-1,FALSE))</f>
        <v>24324</v>
      </c>
      <c r="H52">
        <f ca="1">IF(AND(ISNUMBER($H$203),$B$156=1),$H$203,HLOOKUP(INDIRECT(ADDRESS(2,COLUMN())),OFFSET($BN$2,0,0,ROW()-1,60),ROW()-1,FALSE))</f>
        <v>43527</v>
      </c>
      <c r="I52">
        <f ca="1">IF(AND(ISNUMBER($I$203),$B$156=1),$I$203,HLOOKUP(INDIRECT(ADDRESS(2,COLUMN())),OFFSET($BN$2,0,0,ROW()-1,60),ROW()-1,FALSE))</f>
        <v>31425</v>
      </c>
      <c r="J52">
        <f ca="1">IF(AND(ISNUMBER($J$203),$B$156=1),$J$203,HLOOKUP(INDIRECT(ADDRESS(2,COLUMN())),OFFSET($BN$2,0,0,ROW()-1,60),ROW()-1,FALSE))</f>
        <v>28643</v>
      </c>
      <c r="K52">
        <f ca="1">IF(AND(ISNUMBER($K$203),$B$156=1),$K$203,HLOOKUP(INDIRECT(ADDRESS(2,COLUMN())),OFFSET($BN$2,0,0,ROW()-1,60),ROW()-1,FALSE))</f>
        <v>27618</v>
      </c>
      <c r="L52">
        <f ca="1">IF(AND(ISNUMBER($L$203),$B$156=1),$L$203,HLOOKUP(INDIRECT(ADDRESS(2,COLUMN())),OFFSET($BN$2,0,0,ROW()-1,60),ROW()-1,FALSE))</f>
        <v>33761</v>
      </c>
      <c r="M52">
        <f ca="1">IF(AND(ISNUMBER($M$203),$B$156=1),$M$203,HLOOKUP(INDIRECT(ADDRESS(2,COLUMN())),OFFSET($BN$2,0,0,ROW()-1,60),ROW()-1,FALSE))</f>
        <v>22732</v>
      </c>
      <c r="N52">
        <f ca="1">IF(AND(ISNUMBER($N$203),$B$156=1),$N$203,HLOOKUP(INDIRECT(ADDRESS(2,COLUMN())),OFFSET($BN$2,0,0,ROW()-1,60),ROW()-1,FALSE))</f>
        <v>22276</v>
      </c>
      <c r="O52">
        <f ca="1">IF(AND(ISNUMBER($O$203),$B$156=1),$O$203,HLOOKUP(INDIRECT(ADDRESS(2,COLUMN())),OFFSET($BN$2,0,0,ROW()-1,60),ROW()-1,FALSE))</f>
        <v>26927</v>
      </c>
      <c r="P52">
        <f ca="1">IF(AND(ISNUMBER($P$203),$B$156=1),$P$203,HLOOKUP(INDIRECT(ADDRESS(2,COLUMN())),OFFSET($BN$2,0,0,ROW()-1,60),ROW()-1,FALSE))</f>
        <v>32540</v>
      </c>
      <c r="Q52">
        <f ca="1">IF(AND(ISNUMBER($Q$203),$B$156=1),$Q$203,HLOOKUP(INDIRECT(ADDRESS(2,COLUMN())),OFFSET($BN$2,0,0,ROW()-1,60),ROW()-1,FALSE))</f>
        <v>17981</v>
      </c>
      <c r="R52">
        <f ca="1">IF(AND(ISNUMBER($R$203),$B$156=1),$R$203,HLOOKUP(INDIRECT(ADDRESS(2,COLUMN())),OFFSET($BN$2,0,0,ROW()-1,60),ROW()-1,FALSE))</f>
        <v>17471</v>
      </c>
      <c r="S52">
        <f ca="1">IF(AND(ISNUMBER($S$203),$B$156=1),$S$203,HLOOKUP(INDIRECT(ADDRESS(2,COLUMN())),OFFSET($BN$2,0,0,ROW()-1,60),ROW()-1,FALSE))</f>
        <v>24323</v>
      </c>
      <c r="T52">
        <f ca="1">IF(AND(ISNUMBER($T$203),$B$156=1),$T$203,HLOOKUP(INDIRECT(ADDRESS(2,COLUMN())),OFFSET($BN$2,0,0,ROW()-1,60),ROW()-1,FALSE))</f>
        <v>22367</v>
      </c>
      <c r="U52">
        <f ca="1">IF(AND(ISNUMBER($U$203),$B$156=1),$U$203,HLOOKUP(INDIRECT(ADDRESS(2,COLUMN())),OFFSET($BN$2,0,0,ROW()-1,60),ROW()-1,FALSE))</f>
        <v>20039</v>
      </c>
      <c r="V52">
        <f ca="1">IF(AND(ISNUMBER($V$203),$B$156=1),$V$203,HLOOKUP(INDIRECT(ADDRESS(2,COLUMN())),OFFSET($BN$2,0,0,ROW()-1,60),ROW()-1,FALSE))</f>
        <v>14452</v>
      </c>
      <c r="W52">
        <f ca="1">IF(AND(ISNUMBER($W$203),$B$156=1),$W$203,HLOOKUP(INDIRECT(ADDRESS(2,COLUMN())),OFFSET($BN$2,0,0,ROW()-1,60),ROW()-1,FALSE))</f>
        <v>18608</v>
      </c>
      <c r="X52">
        <f ca="1">IF(AND(ISNUMBER($X$203),$B$156=1),$X$203,HLOOKUP(INDIRECT(ADDRESS(2,COLUMN())),OFFSET($BN$2,0,0,ROW()-1,60),ROW()-1,FALSE))</f>
        <v>20339</v>
      </c>
      <c r="Y52">
        <f ca="1">IF(AND(ISNUMBER($Y$203),$B$156=1),$Y$203,HLOOKUP(INDIRECT(ADDRESS(2,COLUMN())),OFFSET($BN$2,0,0,ROW()-1,60),ROW()-1,FALSE))</f>
        <v>17880</v>
      </c>
      <c r="Z52">
        <f ca="1">IF(AND(ISNUMBER($Z$203),$B$156=1),$Z$203,HLOOKUP(INDIRECT(ADDRESS(2,COLUMN())),OFFSET($BN$2,0,0,ROW()-1,60),ROW()-1,FALSE))</f>
        <v>13345</v>
      </c>
      <c r="AA52">
        <f ca="1">IF(AND(ISNUMBER($AA$203),$B$156=1),$AA$203,HLOOKUP(INDIRECT(ADDRESS(2,COLUMN())),OFFSET($BN$2,0,0,ROW()-1,60),ROW()-1,FALSE))</f>
        <v>16637</v>
      </c>
      <c r="AB52">
        <f ca="1">IF(AND(ISNUMBER($AB$203),$B$156=1),$AB$203,HLOOKUP(INDIRECT(ADDRESS(2,COLUMN())),OFFSET($BN$2,0,0,ROW()-1,60),ROW()-1,FALSE))</f>
        <v>16537</v>
      </c>
      <c r="AC52">
        <f ca="1">IF(AND(ISNUMBER($AC$203),$B$156=1),$AC$203,HLOOKUP(INDIRECT(ADDRESS(2,COLUMN())),OFFSET($BN$2,0,0,ROW()-1,60),ROW()-1,FALSE))</f>
        <v>13316</v>
      </c>
      <c r="AD52">
        <f ca="1">IF(AND(ISNUMBER($AD$203),$B$156=1),$AD$203,HLOOKUP(INDIRECT(ADDRESS(2,COLUMN())),OFFSET($BN$2,0,0,ROW()-1,60),ROW()-1,FALSE))</f>
        <v>11233</v>
      </c>
      <c r="AE52">
        <f ca="1">IF(AND(ISNUMBER($AE$203),$B$156=1),$AE$203,HLOOKUP(INDIRECT(ADDRESS(2,COLUMN())),OFFSET($BN$2,0,0,ROW()-1,60),ROW()-1,FALSE))</f>
        <v>17308</v>
      </c>
      <c r="AF52">
        <f ca="1">IF(AND(ISNUMBER($AF$203),$B$156=1),$AF$203,HLOOKUP(INDIRECT(ADDRESS(2,COLUMN())),OFFSET($BN$2,0,0,ROW()-1,60),ROW()-1,FALSE))</f>
        <v>15785</v>
      </c>
      <c r="AG52">
        <f ca="1">IF(AND(ISNUMBER($AG$203),$B$156=1),$AG$203,HLOOKUP(INDIRECT(ADDRESS(2,COLUMN())),OFFSET($BN$2,0,0,ROW()-1,60),ROW()-1,FALSE))</f>
        <v>19378</v>
      </c>
      <c r="AH52">
        <f ca="1">IF(AND(ISNUMBER($AH$203),$B$156=1),$AH$203,HLOOKUP(INDIRECT(ADDRESS(2,COLUMN())),OFFSET($BN$2,0,0,ROW()-1,60),ROW()-1,FALSE))</f>
        <v>13965</v>
      </c>
      <c r="AI52">
        <f ca="1">IF(AND(ISNUMBER($AI$203),$B$156=1),$AI$203,HLOOKUP(INDIRECT(ADDRESS(2,COLUMN())),OFFSET($BN$2,0,0,ROW()-1,60),ROW()-1,FALSE))</f>
        <v>25828</v>
      </c>
      <c r="AJ52">
        <f ca="1">IF(AND(ISNUMBER($AJ$203),$B$156=1),$AJ$203,HLOOKUP(INDIRECT(ADDRESS(2,COLUMN())),OFFSET($BN$2,0,0,ROW()-1,60),ROW()-1,FALSE))</f>
        <v>24123</v>
      </c>
      <c r="AK52">
        <f ca="1">IF(AND(ISNUMBER($AK$203),$B$156=1),$AK$203,HLOOKUP(INDIRECT(ADDRESS(2,COLUMN())),OFFSET($BN$2,0,0,ROW()-1,60),ROW()-1,FALSE))</f>
        <v>22079</v>
      </c>
      <c r="AL52">
        <f ca="1">IF(AND(ISNUMBER($AL$203),$B$156=1),$AL$203,HLOOKUP(INDIRECT(ADDRESS(2,COLUMN())),OFFSET($BN$2,0,0,ROW()-1,60),ROW()-1,FALSE))</f>
        <v>9679</v>
      </c>
      <c r="AM52">
        <f ca="1">IF(AND(ISNUMBER($AM$203),$B$156=1),$AM$203,HLOOKUP(INDIRECT(ADDRESS(2,COLUMN())),OFFSET($BN$2,0,0,ROW()-1,60),ROW()-1,FALSE))</f>
        <v>32193</v>
      </c>
      <c r="AN52">
        <f ca="1">IF(AND(ISNUMBER($AN$203),$B$156=1),$AN$203,HLOOKUP(INDIRECT(ADDRESS(2,COLUMN())),OFFSET($BN$2,0,0,ROW()-1,60),ROW()-1,FALSE))</f>
        <v>25712</v>
      </c>
      <c r="AO52">
        <f ca="1">IF(AND(ISNUMBER($AO$203),$B$156=1),$AO$203,HLOOKUP(INDIRECT(ADDRESS(2,COLUMN())),OFFSET($BN$2,0,0,ROW()-1,60),ROW()-1,FALSE))</f>
        <v>27817</v>
      </c>
      <c r="AP52">
        <f ca="1">IF(AND(ISNUMBER($AP$203),$B$156=1),$AP$203,HLOOKUP(INDIRECT(ADDRESS(2,COLUMN())),OFFSET($BN$2,0,0,ROW()-1,60),ROW()-1,FALSE))</f>
        <v>8818</v>
      </c>
      <c r="AQ52">
        <f ca="1">IF(AND(ISNUMBER($AQ$203),$B$156=1),$AQ$203,HLOOKUP(INDIRECT(ADDRESS(2,COLUMN())),OFFSET($BN$2,0,0,ROW()-1,60),ROW()-1,FALSE))</f>
        <v>27375</v>
      </c>
      <c r="AR52">
        <f ca="1">IF(AND(ISNUMBER($AR$203),$B$156=1),$AR$203,HLOOKUP(INDIRECT(ADDRESS(2,COLUMN())),OFFSET($BN$2,0,0,ROW()-1,60),ROW()-1,FALSE))</f>
        <v>27000</v>
      </c>
      <c r="AS52">
        <f ca="1">IF(AND(ISNUMBER($AS$203),$B$156=1),$AS$203,HLOOKUP(INDIRECT(ADDRESS(2,COLUMN())),OFFSET($BN$2,0,0,ROW()-1,60),ROW()-1,FALSE))</f>
        <v>33531</v>
      </c>
      <c r="AT52">
        <f ca="1">IF(AND(ISNUMBER($AT$203),$B$156=1),$AT$203,HLOOKUP(INDIRECT(ADDRESS(2,COLUMN())),OFFSET($BN$2,0,0,ROW()-1,60),ROW()-1,FALSE))</f>
        <v>29126</v>
      </c>
      <c r="AU52">
        <f ca="1">IF(AND(ISNUMBER($AU$203),$B$156=1),$AU$203,HLOOKUP(INDIRECT(ADDRESS(2,COLUMN())),OFFSET($BN$2,0,0,ROW()-1,60),ROW()-1,FALSE))</f>
        <v>47998</v>
      </c>
      <c r="AV52">
        <f ca="1">IF(AND(ISNUMBER($AV$203),$B$156=1),$AV$203,HLOOKUP(INDIRECT(ADDRESS(2,COLUMN())),OFFSET($BN$2,0,0,ROW()-1,60),ROW()-1,FALSE))</f>
        <v>78009</v>
      </c>
      <c r="AW52">
        <f ca="1">IF(AND(ISNUMBER($AW$203),$B$156=1),$AW$203,HLOOKUP(INDIRECT(ADDRESS(2,COLUMN())),OFFSET($BN$2,0,0,ROW()-1,60),ROW()-1,FALSE))</f>
        <v>77565</v>
      </c>
      <c r="AX52">
        <f ca="1">IF(AND(ISNUMBER($AX$203),$B$156=1),$AX$203,HLOOKUP(INDIRECT(ADDRESS(2,COLUMN())),OFFSET($BN$2,0,0,ROW()-1,60),ROW()-1,FALSE))</f>
        <v>67423</v>
      </c>
      <c r="AY52">
        <f ca="1">IF(AND(ISNUMBER($AY$203),$B$156=1),$AY$203,HLOOKUP(INDIRECT(ADDRESS(2,COLUMN())),OFFSET($BN$2,0,0,ROW()-1,60),ROW()-1,FALSE))</f>
        <v>86744</v>
      </c>
      <c r="AZ52">
        <f ca="1">IF(AND(ISNUMBER($AZ$203),$B$156=1),$AZ$203,HLOOKUP(INDIRECT(ADDRESS(2,COLUMN())),OFFSET($BN$2,0,0,ROW()-1,60),ROW()-1,FALSE))</f>
        <v>82585</v>
      </c>
      <c r="BA52">
        <f ca="1">IF(AND(ISNUMBER($BA$203),$B$156=1),$BA$203,HLOOKUP(INDIRECT(ADDRESS(2,COLUMN())),OFFSET($BN$2,0,0,ROW()-1,60),ROW()-1,FALSE))</f>
        <v>86293</v>
      </c>
      <c r="BB52">
        <f ca="1">IF(AND(ISNUMBER($BB$203),$B$156=1),$BB$203,HLOOKUP(INDIRECT(ADDRESS(2,COLUMN())),OFFSET($BN$2,0,0,ROW()-1,60),ROW()-1,FALSE))</f>
        <v>59999</v>
      </c>
      <c r="BC52">
        <f ca="1">IF(AND(ISNUMBER($BC$203),$B$156=1),$BC$203,HLOOKUP(INDIRECT(ADDRESS(2,COLUMN())),OFFSET($BN$2,0,0,ROW()-1,60),ROW()-1,FALSE))</f>
        <v>70386</v>
      </c>
      <c r="BD52">
        <f ca="1">IF(AND(ISNUMBER($BD$203),$B$156=1),$BD$203,HLOOKUP(INDIRECT(ADDRESS(2,COLUMN())),OFFSET($BN$2,0,0,ROW()-1,60),ROW()-1,FALSE))</f>
        <v>68522</v>
      </c>
      <c r="BE52">
        <f ca="1">IF(AND(ISNUMBER($BE$203),$B$156=1),$BE$203,HLOOKUP(INDIRECT(ADDRESS(2,COLUMN())),OFFSET($BN$2,0,0,ROW()-1,60),ROW()-1,FALSE))</f>
        <v>67196</v>
      </c>
      <c r="BF52">
        <f ca="1">IF(AND(ISNUMBER($BF$203),$B$156=1),$BF$203,HLOOKUP(INDIRECT(ADDRESS(2,COLUMN())),OFFSET($BN$2,0,0,ROW()-1,60),ROW()-1,FALSE))</f>
        <v>50260</v>
      </c>
      <c r="BG52" t="str">
        <f ca="1">IF(AND(ISNUMBER($BG$203),$B$156=1),$BG$203,HLOOKUP(INDIRECT(ADDRESS(2,COLUMN())),OFFSET($BN$2,0,0,ROW()-1,60),ROW()-1,FALSE))</f>
        <v/>
      </c>
      <c r="BH52" t="str">
        <f ca="1">IF(AND(ISNUMBER($BH$203),$B$156=1),$BH$203,HLOOKUP(INDIRECT(ADDRESS(2,COLUMN())),OFFSET($BN$2,0,0,ROW()-1,60),ROW()-1,FALSE))</f>
        <v/>
      </c>
      <c r="BI52" t="str">
        <f ca="1">IF(AND(ISNUMBER($BI$203),$B$156=1),$BI$203,HLOOKUP(INDIRECT(ADDRESS(2,COLUMN())),OFFSET($BN$2,0,0,ROW()-1,60),ROW()-1,FALSE))</f>
        <v/>
      </c>
      <c r="BJ52" t="str">
        <f ca="1">IF(AND(ISNUMBER($BJ$203),$B$156=1),$BJ$203,HLOOKUP(INDIRECT(ADDRESS(2,COLUMN())),OFFSET($BN$2,0,0,ROW()-1,60),ROW()-1,FALSE))</f>
        <v/>
      </c>
      <c r="BK52" t="str">
        <f ca="1">IF(AND(ISNUMBER($BK$203),$B$156=1),$BK$203,HLOOKUP(INDIRECT(ADDRESS(2,COLUMN())),OFFSET($BN$2,0,0,ROW()-1,60),ROW()-1,FALSE))</f>
        <v/>
      </c>
      <c r="BL52" t="str">
        <f ca="1">IF(AND(ISNUMBER($BL$203),$B$156=1),$BL$203,HLOOKUP(INDIRECT(ADDRESS(2,COLUMN())),OFFSET($BN$2,0,0,ROW()-1,60),ROW()-1,FALSE))</f>
        <v/>
      </c>
      <c r="BM52" t="str">
        <f ca="1">IF(AND(ISNUMBER($BM$203),$B$156=1),$BM$203,HLOOKUP(INDIRECT(ADDRESS(2,COLUMN())),OFFSET($BN$2,0,0,ROW()-1,60),ROW()-1,FALSE))</f>
        <v/>
      </c>
      <c r="BN52">
        <f>13952</f>
        <v>13952</v>
      </c>
      <c r="BO52">
        <f>24324</f>
        <v>24324</v>
      </c>
      <c r="BP52">
        <f>43527</f>
        <v>43527</v>
      </c>
      <c r="BQ52">
        <f>31425</f>
        <v>31425</v>
      </c>
      <c r="BR52">
        <f>28643</f>
        <v>28643</v>
      </c>
      <c r="BS52">
        <f>27618</f>
        <v>27618</v>
      </c>
      <c r="BT52">
        <f>33761</f>
        <v>33761</v>
      </c>
      <c r="BU52">
        <f>22732</f>
        <v>22732</v>
      </c>
      <c r="BV52">
        <f>22276</f>
        <v>22276</v>
      </c>
      <c r="BW52">
        <f>26927</f>
        <v>26927</v>
      </c>
      <c r="BX52">
        <f>32540</f>
        <v>32540</v>
      </c>
      <c r="BY52">
        <f>17981</f>
        <v>17981</v>
      </c>
      <c r="BZ52">
        <f>17471</f>
        <v>17471</v>
      </c>
      <c r="CA52">
        <f>24323</f>
        <v>24323</v>
      </c>
      <c r="CB52">
        <f>22367</f>
        <v>22367</v>
      </c>
      <c r="CC52">
        <f>20039</f>
        <v>20039</v>
      </c>
      <c r="CD52">
        <f>14452</f>
        <v>14452</v>
      </c>
      <c r="CE52">
        <f>18608</f>
        <v>18608</v>
      </c>
      <c r="CF52">
        <f>20339</f>
        <v>20339</v>
      </c>
      <c r="CG52">
        <f>17880</f>
        <v>17880</v>
      </c>
      <c r="CH52">
        <f>13345</f>
        <v>13345</v>
      </c>
      <c r="CI52">
        <f>16637</f>
        <v>16637</v>
      </c>
      <c r="CJ52">
        <f>16537</f>
        <v>16537</v>
      </c>
      <c r="CK52">
        <f>13316</f>
        <v>13316</v>
      </c>
      <c r="CL52">
        <f>11233</f>
        <v>11233</v>
      </c>
      <c r="CM52">
        <f>17308</f>
        <v>17308</v>
      </c>
      <c r="CN52">
        <f>15785</f>
        <v>15785</v>
      </c>
      <c r="CO52">
        <f>19378</f>
        <v>19378</v>
      </c>
      <c r="CP52">
        <f>13965</f>
        <v>13965</v>
      </c>
      <c r="CQ52">
        <f>25828</f>
        <v>25828</v>
      </c>
      <c r="CR52">
        <f>24123</f>
        <v>24123</v>
      </c>
      <c r="CS52">
        <f>22079</f>
        <v>22079</v>
      </c>
      <c r="CT52">
        <f>9679</f>
        <v>9679</v>
      </c>
      <c r="CU52">
        <f>32193</f>
        <v>32193</v>
      </c>
      <c r="CV52">
        <f>25712</f>
        <v>25712</v>
      </c>
      <c r="CW52">
        <f>27817</f>
        <v>27817</v>
      </c>
      <c r="CX52">
        <f>8818</f>
        <v>8818</v>
      </c>
      <c r="CY52">
        <f>27375</f>
        <v>27375</v>
      </c>
      <c r="CZ52">
        <f>27000</f>
        <v>27000</v>
      </c>
      <c r="DA52">
        <f>33531</f>
        <v>33531</v>
      </c>
      <c r="DB52">
        <f>29126</f>
        <v>29126</v>
      </c>
      <c r="DC52">
        <f>47998</f>
        <v>47998</v>
      </c>
      <c r="DD52">
        <f>78009</f>
        <v>78009</v>
      </c>
      <c r="DE52">
        <f>77565</f>
        <v>77565</v>
      </c>
      <c r="DF52">
        <f>67423</f>
        <v>67423</v>
      </c>
      <c r="DG52">
        <f>86744</f>
        <v>86744</v>
      </c>
      <c r="DH52">
        <f>82585</f>
        <v>82585</v>
      </c>
      <c r="DI52">
        <f>86293</f>
        <v>86293</v>
      </c>
      <c r="DJ52">
        <f>59999</f>
        <v>59999</v>
      </c>
      <c r="DK52">
        <f>70386</f>
        <v>70386</v>
      </c>
      <c r="DL52">
        <f>68522</f>
        <v>68522</v>
      </c>
      <c r="DM52">
        <f>67196</f>
        <v>67196</v>
      </c>
      <c r="DN52">
        <f>50260</f>
        <v>50260</v>
      </c>
      <c r="DO52" t="str">
        <f>""</f>
        <v/>
      </c>
      <c r="DP52" t="str">
        <f>""</f>
        <v/>
      </c>
      <c r="DQ52" t="str">
        <f>""</f>
        <v/>
      </c>
      <c r="DR52" t="str">
        <f>""</f>
        <v/>
      </c>
      <c r="DS52" t="str">
        <f>""</f>
        <v/>
      </c>
      <c r="DT52" t="str">
        <f>""</f>
        <v/>
      </c>
      <c r="DU52" t="str">
        <f>""</f>
        <v/>
      </c>
    </row>
    <row r="53" spans="1:125" x14ac:dyDescent="0.25">
      <c r="A53" t="str">
        <f>"            Russia"</f>
        <v xml:space="preserve">            Russia</v>
      </c>
      <c r="B53" t="str">
        <f>"RUAUTOTL Index"</f>
        <v>RUAUTOTL Index</v>
      </c>
      <c r="C53" t="str">
        <f t="shared" si="6"/>
        <v>PX385</v>
      </c>
      <c r="D53" t="str">
        <f t="shared" si="7"/>
        <v>INTERVAL_SUM</v>
      </c>
      <c r="E53" t="str">
        <f t="shared" si="8"/>
        <v>Dynamic</v>
      </c>
      <c r="F53">
        <f ca="1">IF(AND(ISNUMBER($F$204),$B$156=1),$F$204,HLOOKUP(INDIRECT(ADDRESS(2,COLUMN())),OFFSET($BN$2,0,0,ROW()-1,60),ROW()-1,FALSE))</f>
        <v>103064</v>
      </c>
      <c r="G53">
        <f ca="1">IF(AND(ISNUMBER($G$204),$B$156=1),$G$204,HLOOKUP(INDIRECT(ADDRESS(2,COLUMN())),OFFSET($BN$2,0,0,ROW()-1,60),ROW()-1,FALSE))</f>
        <v>503159</v>
      </c>
      <c r="H53">
        <f ca="1">IF(AND(ISNUMBER($H$204),$B$156=1),$H$204,HLOOKUP(INDIRECT(ADDRESS(2,COLUMN())),OFFSET($BN$2,0,0,ROW()-1,60),ROW()-1,FALSE))</f>
        <v>448211</v>
      </c>
      <c r="I53">
        <f ca="1">IF(AND(ISNUMBER($I$204),$B$156=1),$I$204,HLOOKUP(INDIRECT(ADDRESS(2,COLUMN())),OFFSET($BN$2,0,0,ROW()-1,60),ROW()-1,FALSE))</f>
        <v>456301</v>
      </c>
      <c r="J53">
        <f ca="1">IF(AND(ISNUMBER($J$204),$B$156=1),$J$204,HLOOKUP(INDIRECT(ADDRESS(2,COLUMN())),OFFSET($BN$2,0,0,ROW()-1,60),ROW()-1,FALSE))</f>
        <v>393520</v>
      </c>
      <c r="K53">
        <f ca="1">IF(AND(ISNUMBER($K$204),$B$156=1),$K$204,HLOOKUP(INDIRECT(ADDRESS(2,COLUMN())),OFFSET($BN$2,0,0,ROW()-1,60),ROW()-1,FALSE))</f>
        <v>466509</v>
      </c>
      <c r="L53">
        <f ca="1">IF(AND(ISNUMBER($L$204),$B$156=1),$L$204,HLOOKUP(INDIRECT(ADDRESS(2,COLUMN())),OFFSET($BN$2,0,0,ROW()-1,60),ROW()-1,FALSE))</f>
        <v>410609</v>
      </c>
      <c r="M53">
        <f ca="1">IF(AND(ISNUMBER($M$204),$B$156=1),$M$204,HLOOKUP(INDIRECT(ADDRESS(2,COLUMN())),OFFSET($BN$2,0,0,ROW()-1,60),ROW()-1,FALSE))</f>
        <v>395720</v>
      </c>
      <c r="N53">
        <f ca="1">IF(AND(ISNUMBER($N$204),$B$156=1),$N$204,HLOOKUP(INDIRECT(ADDRESS(2,COLUMN())),OFFSET($BN$2,0,0,ROW()-1,60),ROW()-1,FALSE))</f>
        <v>322880</v>
      </c>
      <c r="O53">
        <f ca="1">IF(AND(ISNUMBER($O$204),$B$156=1),$O$204,HLOOKUP(INDIRECT(ADDRESS(2,COLUMN())),OFFSET($BN$2,0,0,ROW()-1,60),ROW()-1,FALSE))</f>
        <v>404716</v>
      </c>
      <c r="P53">
        <f ca="1">IF(AND(ISNUMBER($P$204),$B$156=1),$P$204,HLOOKUP(INDIRECT(ADDRESS(2,COLUMN())),OFFSET($BN$2,0,0,ROW()-1,60),ROW()-1,FALSE))</f>
        <v>349020</v>
      </c>
      <c r="Q53">
        <f ca="1">IF(AND(ISNUMBER($Q$204),$B$156=1),$Q$204,HLOOKUP(INDIRECT(ADDRESS(2,COLUMN())),OFFSET($BN$2,0,0,ROW()-1,60),ROW()-1,FALSE))</f>
        <v>352830</v>
      </c>
      <c r="R53">
        <f ca="1">IF(AND(ISNUMBER($R$204),$B$156=1),$R$204,HLOOKUP(INDIRECT(ADDRESS(2,COLUMN())),OFFSET($BN$2,0,0,ROW()-1,60),ROW()-1,FALSE))</f>
        <v>319220</v>
      </c>
      <c r="S53">
        <f ca="1">IF(AND(ISNUMBER($S$204),$B$156=1),$S$204,HLOOKUP(INDIRECT(ADDRESS(2,COLUMN())),OFFSET($BN$2,0,0,ROW()-1,60),ROW()-1,FALSE))</f>
        <v>408866</v>
      </c>
      <c r="T53">
        <f ca="1">IF(AND(ISNUMBER($T$204),$B$156=1),$T$204,HLOOKUP(INDIRECT(ADDRESS(2,COLUMN())),OFFSET($BN$2,0,0,ROW()-1,60),ROW()-1,FALSE))</f>
        <v>410813</v>
      </c>
      <c r="U53">
        <f ca="1">IF(AND(ISNUMBER($U$204),$B$156=1),$U$204,HLOOKUP(INDIRECT(ADDRESS(2,COLUMN())),OFFSET($BN$2,0,0,ROW()-1,60),ROW()-1,FALSE))</f>
        <v>398519</v>
      </c>
      <c r="V53">
        <f ca="1">IF(AND(ISNUMBER($V$204),$B$156=1),$V$204,HLOOKUP(INDIRECT(ADDRESS(2,COLUMN())),OFFSET($BN$2,0,0,ROW()-1,60),ROW()-1,FALSE))</f>
        <v>383538</v>
      </c>
      <c r="W53">
        <f ca="1">IF(AND(ISNUMBER($W$204),$B$156=1),$W$204,HLOOKUP(INDIRECT(ADDRESS(2,COLUMN())),OFFSET($BN$2,0,0,ROW()-1,60),ROW()-1,FALSE))</f>
        <v>711457</v>
      </c>
      <c r="X53">
        <f ca="1">IF(AND(ISNUMBER($X$204),$B$156=1),$X$204,HLOOKUP(INDIRECT(ADDRESS(2,COLUMN())),OFFSET($BN$2,0,0,ROW()-1,60),ROW()-1,FALSE))</f>
        <v>550015</v>
      </c>
      <c r="Y53">
        <f ca="1">IF(AND(ISNUMBER($Y$204),$B$156=1),$Y$204,HLOOKUP(INDIRECT(ADDRESS(2,COLUMN())),OFFSET($BN$2,0,0,ROW()-1,60),ROW()-1,FALSE))</f>
        <v>627411</v>
      </c>
      <c r="Z53">
        <f ca="1">IF(AND(ISNUMBER($Z$204),$B$156=1),$Z$204,HLOOKUP(INDIRECT(ADDRESS(2,COLUMN())),OFFSET($BN$2,0,0,ROW()-1,60),ROW()-1,FALSE))</f>
        <v>602473</v>
      </c>
      <c r="AA53">
        <f ca="1">IF(AND(ISNUMBER($AA$204),$B$156=1),$AA$204,HLOOKUP(INDIRECT(ADDRESS(2,COLUMN())),OFFSET($BN$2,0,0,ROW()-1,60),ROW()-1,FALSE))</f>
        <v>730720</v>
      </c>
      <c r="AB53">
        <f ca="1">IF(AND(ISNUMBER($AB$204),$B$156=1),$AB$204,HLOOKUP(INDIRECT(ADDRESS(2,COLUMN())),OFFSET($BN$2,0,0,ROW()-1,60),ROW()-1,FALSE))</f>
        <v>713379</v>
      </c>
      <c r="AC53">
        <f ca="1">IF(AND(ISNUMBER($AC$204),$B$156=1),$AC$204,HLOOKUP(INDIRECT(ADDRESS(2,COLUMN())),OFFSET($BN$2,0,0,ROW()-1,60),ROW()-1,FALSE))</f>
        <v>716350</v>
      </c>
      <c r="AD53">
        <f ca="1">IF(AND(ISNUMBER($AD$204),$B$156=1),$AD$204,HLOOKUP(INDIRECT(ADDRESS(2,COLUMN())),OFFSET($BN$2,0,0,ROW()-1,60),ROW()-1,FALSE))</f>
        <v>616773</v>
      </c>
      <c r="AE53">
        <f ca="1">IF(AND(ISNUMBER($AE$204),$B$156=1),$AE$204,HLOOKUP(INDIRECT(ADDRESS(2,COLUMN())),OFFSET($BN$2,0,0,ROW()-1,60),ROW()-1,FALSE))</f>
        <v>747212</v>
      </c>
      <c r="AF53">
        <f ca="1">IF(AND(ISNUMBER($AF$204),$B$156=1),$AF$204,HLOOKUP(INDIRECT(ADDRESS(2,COLUMN())),OFFSET($BN$2,0,0,ROW()-1,60),ROW()-1,FALSE))</f>
        <v>773903</v>
      </c>
      <c r="AG53">
        <f ca="1">IF(AND(ISNUMBER($AG$204),$B$156=1),$AG$204,HLOOKUP(INDIRECT(ADDRESS(2,COLUMN())),OFFSET($BN$2,0,0,ROW()-1,60),ROW()-1,FALSE))</f>
        <v>799336</v>
      </c>
      <c r="AH53">
        <f ca="1">IF(AND(ISNUMBER($AH$204),$B$156=1),$AH$204,HLOOKUP(INDIRECT(ADDRESS(2,COLUMN())),OFFSET($BN$2,0,0,ROW()-1,60),ROW()-1,FALSE))</f>
        <v>614095</v>
      </c>
      <c r="AI53">
        <f ca="1">IF(AND(ISNUMBER($AI$204),$B$156=1),$AI$204,HLOOKUP(INDIRECT(ADDRESS(2,COLUMN())),OFFSET($BN$2,0,0,ROW()-1,60),ROW()-1,FALSE))</f>
        <v>731818</v>
      </c>
      <c r="AJ53">
        <f ca="1">IF(AND(ISNUMBER($AJ$204),$B$156=1),$AJ$204,HLOOKUP(INDIRECT(ADDRESS(2,COLUMN())),OFFSET($BN$2,0,0,ROW()-1,60),ROW()-1,FALSE))</f>
        <v>684936</v>
      </c>
      <c r="AK53">
        <f ca="1">IF(AND(ISNUMBER($AK$204),$B$156=1),$AK$204,HLOOKUP(INDIRECT(ADDRESS(2,COLUMN())),OFFSET($BN$2,0,0,ROW()-1,60),ROW()-1,FALSE))</f>
        <v>717310</v>
      </c>
      <c r="AL53">
        <f ca="1">IF(AND(ISNUMBER($AL$204),$B$156=1),$AL$204,HLOOKUP(INDIRECT(ADDRESS(2,COLUMN())),OFFSET($BN$2,0,0,ROW()-1,60),ROW()-1,FALSE))</f>
        <v>516511</v>
      </c>
      <c r="AM53">
        <f ca="1">IF(AND(ISNUMBER($AM$204),$B$156=1),$AM$204,HLOOKUP(INDIRECT(ADDRESS(2,COLUMN())),OFFSET($BN$2,0,0,ROW()-1,60),ROW()-1,FALSE))</f>
        <v>582966</v>
      </c>
      <c r="AN53">
        <f ca="1">IF(AND(ISNUMBER($AN$204),$B$156=1),$AN$204,HLOOKUP(INDIRECT(ADDRESS(2,COLUMN())),OFFSET($BN$2,0,0,ROW()-1,60),ROW()-1,FALSE))</f>
        <v>527751</v>
      </c>
      <c r="AO53">
        <f ca="1">IF(AND(ISNUMBER($AO$204),$B$156=1),$AO$204,HLOOKUP(INDIRECT(ADDRESS(2,COLUMN())),OFFSET($BN$2,0,0,ROW()-1,60),ROW()-1,FALSE))</f>
        <v>496074</v>
      </c>
      <c r="AP53">
        <f ca="1">IF(AND(ISNUMBER($AP$204),$B$156=1),$AP$204,HLOOKUP(INDIRECT(ADDRESS(2,COLUMN())),OFFSET($BN$2,0,0,ROW()-1,60),ROW()-1,FALSE))</f>
        <v>292709</v>
      </c>
      <c r="AQ53">
        <f ca="1">IF(AND(ISNUMBER($AQ$204),$B$156=1),$AQ$204,HLOOKUP(INDIRECT(ADDRESS(2,COLUMN())),OFFSET($BN$2,0,0,ROW()-1,60),ROW()-1,FALSE))</f>
        <v>350134</v>
      </c>
      <c r="AR53">
        <f ca="1">IF(AND(ISNUMBER($AR$204),$B$156=1),$AR$204,HLOOKUP(INDIRECT(ADDRESS(2,COLUMN())),OFFSET($BN$2,0,0,ROW()-1,60),ROW()-1,FALSE))</f>
        <v>344398</v>
      </c>
      <c r="AS53">
        <f ca="1">IF(AND(ISNUMBER($AS$204),$B$156=1),$AS$204,HLOOKUP(INDIRECT(ADDRESS(2,COLUMN())),OFFSET($BN$2,0,0,ROW()-1,60),ROW()-1,FALSE))</f>
        <v>373688</v>
      </c>
      <c r="AT53">
        <f ca="1">IF(AND(ISNUMBER($AT$204),$B$156=1),$AT$204,HLOOKUP(INDIRECT(ADDRESS(2,COLUMN())),OFFSET($BN$2,0,0,ROW()-1,60),ROW()-1,FALSE))</f>
        <v>387257</v>
      </c>
      <c r="AU53">
        <f ca="1">IF(AND(ISNUMBER($AU$204),$B$156=1),$AU$204,HLOOKUP(INDIRECT(ADDRESS(2,COLUMN())),OFFSET($BN$2,0,0,ROW()-1,60),ROW()-1,FALSE))</f>
        <v>328826</v>
      </c>
      <c r="AV53">
        <f ca="1">IF(AND(ISNUMBER($AV$204),$B$156=1),$AV$204,HLOOKUP(INDIRECT(ADDRESS(2,COLUMN())),OFFSET($BN$2,0,0,ROW()-1,60),ROW()-1,FALSE))</f>
        <v>554312</v>
      </c>
      <c r="AW53">
        <f ca="1">IF(AND(ISNUMBER($AW$204),$B$156=1),$AW$204,HLOOKUP(INDIRECT(ADDRESS(2,COLUMN())),OFFSET($BN$2,0,0,ROW()-1,60),ROW()-1,FALSE))</f>
        <v>602926</v>
      </c>
      <c r="AX53">
        <f ca="1">IF(AND(ISNUMBER($AX$204),$B$156=1),$AX$204,HLOOKUP(INDIRECT(ADDRESS(2,COLUMN())),OFFSET($BN$2,0,0,ROW()-1,60),ROW()-1,FALSE))</f>
        <v>298495</v>
      </c>
      <c r="AY53">
        <f ca="1">IF(AND(ISNUMBER($AY$204),$B$156=1),$AY$204,HLOOKUP(INDIRECT(ADDRESS(2,COLUMN())),OFFSET($BN$2,0,0,ROW()-1,60),ROW()-1,FALSE))</f>
        <v>493046</v>
      </c>
      <c r="AZ53">
        <f ca="1">IF(AND(ISNUMBER($AZ$204),$B$156=1),$AZ$204,HLOOKUP(INDIRECT(ADDRESS(2,COLUMN())),OFFSET($BN$2,0,0,ROW()-1,60),ROW()-1,FALSE))</f>
        <v>431602</v>
      </c>
      <c r="BA53">
        <f ca="1">IF(AND(ISNUMBER($BA$204),$B$156=1),$BA$204,HLOOKUP(INDIRECT(ADDRESS(2,COLUMN())),OFFSET($BN$2,0,0,ROW()-1,60),ROW()-1,FALSE))</f>
        <v>416738</v>
      </c>
      <c r="BB53">
        <f ca="1">IF(AND(ISNUMBER($BB$204),$B$156=1),$BB$204,HLOOKUP(INDIRECT(ADDRESS(2,COLUMN())),OFFSET($BN$2,0,0,ROW()-1,60),ROW()-1,FALSE))</f>
        <v>202884</v>
      </c>
      <c r="BC53">
        <f ca="1">IF(AND(ISNUMBER($BC$204),$B$156=1),$BC$204,HLOOKUP(INDIRECT(ADDRESS(2,COLUMN())),OFFSET($BN$2,0,0,ROW()-1,60),ROW()-1,FALSE))</f>
        <v>116503</v>
      </c>
      <c r="BD53">
        <f ca="1">IF(AND(ISNUMBER($BD$204),$B$156=1),$BD$204,HLOOKUP(INDIRECT(ADDRESS(2,COLUMN())),OFFSET($BN$2,0,0,ROW()-1,60),ROW()-1,FALSE))</f>
        <v>180719</v>
      </c>
      <c r="BE53">
        <f ca="1">IF(AND(ISNUMBER($BE$204),$B$156=1),$BE$204,HLOOKUP(INDIRECT(ADDRESS(2,COLUMN())),OFFSET($BN$2,0,0,ROW()-1,60),ROW()-1,FALSE))</f>
        <v>79235</v>
      </c>
      <c r="BF53" t="str">
        <f ca="1">IF(AND(ISNUMBER($BF$204),$B$156=1),$BF$204,HLOOKUP(INDIRECT(ADDRESS(2,COLUMN())),OFFSET($BN$2,0,0,ROW()-1,60),ROW()-1,FALSE))</f>
        <v/>
      </c>
      <c r="BG53" t="str">
        <f ca="1">IF(AND(ISNUMBER($BG$204),$B$156=1),$BG$204,HLOOKUP(INDIRECT(ADDRESS(2,COLUMN())),OFFSET($BN$2,0,0,ROW()-1,60),ROW()-1,FALSE))</f>
        <v/>
      </c>
      <c r="BH53" t="str">
        <f ca="1">IF(AND(ISNUMBER($BH$204),$B$156=1),$BH$204,HLOOKUP(INDIRECT(ADDRESS(2,COLUMN())),OFFSET($BN$2,0,0,ROW()-1,60),ROW()-1,FALSE))</f>
        <v/>
      </c>
      <c r="BI53" t="str">
        <f ca="1">IF(AND(ISNUMBER($BI$204),$B$156=1),$BI$204,HLOOKUP(INDIRECT(ADDRESS(2,COLUMN())),OFFSET($BN$2,0,0,ROW()-1,60),ROW()-1,FALSE))</f>
        <v/>
      </c>
      <c r="BJ53" t="str">
        <f ca="1">IF(AND(ISNUMBER($BJ$204),$B$156=1),$BJ$204,HLOOKUP(INDIRECT(ADDRESS(2,COLUMN())),OFFSET($BN$2,0,0,ROW()-1,60),ROW()-1,FALSE))</f>
        <v/>
      </c>
      <c r="BK53" t="str">
        <f ca="1">IF(AND(ISNUMBER($BK$204),$B$156=1),$BK$204,HLOOKUP(INDIRECT(ADDRESS(2,COLUMN())),OFFSET($BN$2,0,0,ROW()-1,60),ROW()-1,FALSE))</f>
        <v/>
      </c>
      <c r="BL53" t="str">
        <f ca="1">IF(AND(ISNUMBER($BL$204),$B$156=1),$BL$204,HLOOKUP(INDIRECT(ADDRESS(2,COLUMN())),OFFSET($BN$2,0,0,ROW()-1,60),ROW()-1,FALSE))</f>
        <v/>
      </c>
      <c r="BM53" t="str">
        <f ca="1">IF(AND(ISNUMBER($BM$204),$B$156=1),$BM$204,HLOOKUP(INDIRECT(ADDRESS(2,COLUMN())),OFFSET($BN$2,0,0,ROW()-1,60),ROW()-1,FALSE))</f>
        <v/>
      </c>
      <c r="BN53">
        <f>103064</f>
        <v>103064</v>
      </c>
      <c r="BO53">
        <f>503159</f>
        <v>503159</v>
      </c>
      <c r="BP53">
        <f>448211</f>
        <v>448211</v>
      </c>
      <c r="BQ53">
        <f>456301</f>
        <v>456301</v>
      </c>
      <c r="BR53">
        <f>393520</f>
        <v>393520</v>
      </c>
      <c r="BS53">
        <f>466509</f>
        <v>466509</v>
      </c>
      <c r="BT53">
        <f>410609</f>
        <v>410609</v>
      </c>
      <c r="BU53">
        <f>395720</f>
        <v>395720</v>
      </c>
      <c r="BV53">
        <f>322880</f>
        <v>322880</v>
      </c>
      <c r="BW53">
        <f>404716</f>
        <v>404716</v>
      </c>
      <c r="BX53">
        <f>349020</f>
        <v>349020</v>
      </c>
      <c r="BY53">
        <f>352830</f>
        <v>352830</v>
      </c>
      <c r="BZ53">
        <f>319220</f>
        <v>319220</v>
      </c>
      <c r="CA53">
        <f>408866</f>
        <v>408866</v>
      </c>
      <c r="CB53">
        <f>410813</f>
        <v>410813</v>
      </c>
      <c r="CC53">
        <f>398519</f>
        <v>398519</v>
      </c>
      <c r="CD53">
        <f>383538</f>
        <v>383538</v>
      </c>
      <c r="CE53">
        <f>711457</f>
        <v>711457</v>
      </c>
      <c r="CF53">
        <f>550015</f>
        <v>550015</v>
      </c>
      <c r="CG53">
        <f>627411</f>
        <v>627411</v>
      </c>
      <c r="CH53">
        <f>602473</f>
        <v>602473</v>
      </c>
      <c r="CI53">
        <f>730720</f>
        <v>730720</v>
      </c>
      <c r="CJ53">
        <f>713379</f>
        <v>713379</v>
      </c>
      <c r="CK53">
        <f>716350</f>
        <v>716350</v>
      </c>
      <c r="CL53">
        <f>616773</f>
        <v>616773</v>
      </c>
      <c r="CM53">
        <f>747212</f>
        <v>747212</v>
      </c>
      <c r="CN53">
        <f>773903</f>
        <v>773903</v>
      </c>
      <c r="CO53">
        <f>799336</f>
        <v>799336</v>
      </c>
      <c r="CP53">
        <f>614095</f>
        <v>614095</v>
      </c>
      <c r="CQ53">
        <f>731818</f>
        <v>731818</v>
      </c>
      <c r="CR53">
        <f>684936</f>
        <v>684936</v>
      </c>
      <c r="CS53">
        <f>717310</f>
        <v>717310</v>
      </c>
      <c r="CT53">
        <f>516511</f>
        <v>516511</v>
      </c>
      <c r="CU53">
        <f>582966</f>
        <v>582966</v>
      </c>
      <c r="CV53">
        <f>527751</f>
        <v>527751</v>
      </c>
      <c r="CW53">
        <f>496074</f>
        <v>496074</v>
      </c>
      <c r="CX53">
        <f>292709</f>
        <v>292709</v>
      </c>
      <c r="CY53">
        <f>350134</f>
        <v>350134</v>
      </c>
      <c r="CZ53">
        <f>344398</f>
        <v>344398</v>
      </c>
      <c r="DA53">
        <f>373688</f>
        <v>373688</v>
      </c>
      <c r="DB53">
        <f>387257</f>
        <v>387257</v>
      </c>
      <c r="DC53">
        <f>328826</f>
        <v>328826</v>
      </c>
      <c r="DD53">
        <f>554312</f>
        <v>554312</v>
      </c>
      <c r="DE53">
        <f>602926</f>
        <v>602926</v>
      </c>
      <c r="DF53">
        <f>298495</f>
        <v>298495</v>
      </c>
      <c r="DG53">
        <f>493046</f>
        <v>493046</v>
      </c>
      <c r="DH53">
        <f>431602</f>
        <v>431602</v>
      </c>
      <c r="DI53">
        <f>416738</f>
        <v>416738</v>
      </c>
      <c r="DJ53">
        <f>202884</f>
        <v>202884</v>
      </c>
      <c r="DK53">
        <f>116503</f>
        <v>116503</v>
      </c>
      <c r="DL53">
        <f>180719</f>
        <v>180719</v>
      </c>
      <c r="DM53">
        <f>79235</f>
        <v>79235</v>
      </c>
      <c r="DN53" t="str">
        <f>""</f>
        <v/>
      </c>
      <c r="DO53" t="str">
        <f>""</f>
        <v/>
      </c>
      <c r="DP53" t="str">
        <f>""</f>
        <v/>
      </c>
      <c r="DQ53" t="str">
        <f>""</f>
        <v/>
      </c>
      <c r="DR53" t="str">
        <f>""</f>
        <v/>
      </c>
      <c r="DS53" t="str">
        <f>""</f>
        <v/>
      </c>
      <c r="DT53" t="str">
        <f>""</f>
        <v/>
      </c>
      <c r="DU53" t="str">
        <f>""</f>
        <v/>
      </c>
    </row>
    <row r="54" spans="1:125" x14ac:dyDescent="0.25">
      <c r="A54" t="str">
        <f>"            Slovakia"</f>
        <v xml:space="preserve">            Slovakia</v>
      </c>
      <c r="B54" t="str">
        <f>"WCARSK Index"</f>
        <v>WCARSK Index</v>
      </c>
      <c r="C54" t="str">
        <f t="shared" si="6"/>
        <v>PX385</v>
      </c>
      <c r="D54" t="str">
        <f t="shared" si="7"/>
        <v>INTERVAL_SUM</v>
      </c>
      <c r="E54" t="str">
        <f t="shared" si="8"/>
        <v>Dynamic</v>
      </c>
      <c r="F54">
        <f ca="1">IF(AND(ISNUMBER($F$205),$B$156=1),$F$205,HLOOKUP(INDIRECT(ADDRESS(2,COLUMN())),OFFSET($BN$2,0,0,ROW()-1,60),ROW()-1,FALSE))</f>
        <v>7230</v>
      </c>
      <c r="G54">
        <f ca="1">IF(AND(ISNUMBER($G$205),$B$156=1),$G$205,HLOOKUP(INDIRECT(ADDRESS(2,COLUMN())),OFFSET($BN$2,0,0,ROW()-1,60),ROW()-1,FALSE))</f>
        <v>22359</v>
      </c>
      <c r="H54">
        <f ca="1">IF(AND(ISNUMBER($H$205),$B$156=1),$H$205,HLOOKUP(INDIRECT(ADDRESS(2,COLUMN())),OFFSET($BN$2,0,0,ROW()-1,60),ROW()-1,FALSE))</f>
        <v>23830</v>
      </c>
      <c r="I54">
        <f ca="1">IF(AND(ISNUMBER($I$205),$B$156=1),$I$205,HLOOKUP(INDIRECT(ADDRESS(2,COLUMN())),OFFSET($BN$2,0,0,ROW()-1,60),ROW()-1,FALSE))</f>
        <v>27548</v>
      </c>
      <c r="J54">
        <f ca="1">IF(AND(ISNUMBER($J$205),$B$156=1),$J$205,HLOOKUP(INDIRECT(ADDRESS(2,COLUMN())),OFFSET($BN$2,0,0,ROW()-1,60),ROW()-1,FALSE))</f>
        <v>24343</v>
      </c>
      <c r="K54">
        <f ca="1">IF(AND(ISNUMBER($K$205),$B$156=1),$K$205,HLOOKUP(INDIRECT(ADDRESS(2,COLUMN())),OFFSET($BN$2,0,0,ROW()-1,60),ROW()-1,FALSE))</f>
        <v>24750</v>
      </c>
      <c r="L54">
        <f ca="1">IF(AND(ISNUMBER($L$205),$B$156=1),$L$205,HLOOKUP(INDIRECT(ADDRESS(2,COLUMN())),OFFSET($BN$2,0,0,ROW()-1,60),ROW()-1,FALSE))</f>
        <v>22464</v>
      </c>
      <c r="M54">
        <f ca="1">IF(AND(ISNUMBER($M$205),$B$156=1),$M$205,HLOOKUP(INDIRECT(ADDRESS(2,COLUMN())),OFFSET($BN$2,0,0,ROW()-1,60),ROW()-1,FALSE))</f>
        <v>26057</v>
      </c>
      <c r="N54">
        <f ca="1">IF(AND(ISNUMBER($N$205),$B$156=1),$N$205,HLOOKUP(INDIRECT(ADDRESS(2,COLUMN())),OFFSET($BN$2,0,0,ROW()-1,60),ROW()-1,FALSE))</f>
        <v>22814</v>
      </c>
      <c r="O54">
        <f ca="1">IF(AND(ISNUMBER($O$205),$B$156=1),$O$205,HLOOKUP(INDIRECT(ADDRESS(2,COLUMN())),OFFSET($BN$2,0,0,ROW()-1,60),ROW()-1,FALSE))</f>
        <v>23351</v>
      </c>
      <c r="P54">
        <f ca="1">IF(AND(ISNUMBER($P$205),$B$156=1),$P$205,HLOOKUP(INDIRECT(ADDRESS(2,COLUMN())),OFFSET($BN$2,0,0,ROW()-1,60),ROW()-1,FALSE))</f>
        <v>20858</v>
      </c>
      <c r="Q54">
        <f ca="1">IF(AND(ISNUMBER($Q$205),$B$156=1),$Q$205,HLOOKUP(INDIRECT(ADDRESS(2,COLUMN())),OFFSET($BN$2,0,0,ROW()-1,60),ROW()-1,FALSE))</f>
        <v>23931</v>
      </c>
      <c r="R54">
        <f ca="1">IF(AND(ISNUMBER($R$205),$B$156=1),$R$205,HLOOKUP(INDIRECT(ADDRESS(2,COLUMN())),OFFSET($BN$2,0,0,ROW()-1,60),ROW()-1,FALSE))</f>
        <v>20023</v>
      </c>
      <c r="S54">
        <f ca="1">IF(AND(ISNUMBER($S$205),$B$156=1),$S$205,HLOOKUP(INDIRECT(ADDRESS(2,COLUMN())),OFFSET($BN$2,0,0,ROW()-1,60),ROW()-1,FALSE))</f>
        <v>20960</v>
      </c>
      <c r="T54">
        <f ca="1">IF(AND(ISNUMBER($T$205),$B$156=1),$T$205,HLOOKUP(INDIRECT(ADDRESS(2,COLUMN())),OFFSET($BN$2,0,0,ROW()-1,60),ROW()-1,FALSE))</f>
        <v>19834</v>
      </c>
      <c r="U54">
        <f ca="1">IF(AND(ISNUMBER($U$205),$B$156=1),$U$205,HLOOKUP(INDIRECT(ADDRESS(2,COLUMN())),OFFSET($BN$2,0,0,ROW()-1,60),ROW()-1,FALSE))</f>
        <v>20583</v>
      </c>
      <c r="V54">
        <f ca="1">IF(AND(ISNUMBER($V$205),$B$156=1),$V$205,HLOOKUP(INDIRECT(ADDRESS(2,COLUMN())),OFFSET($BN$2,0,0,ROW()-1,60),ROW()-1,FALSE))</f>
        <v>16594</v>
      </c>
      <c r="W54">
        <f ca="1">IF(AND(ISNUMBER($W$205),$B$156=1),$W$205,HLOOKUP(INDIRECT(ADDRESS(2,COLUMN())),OFFSET($BN$2,0,0,ROW()-1,60),ROW()-1,FALSE))</f>
        <v>18985</v>
      </c>
      <c r="X54">
        <f ca="1">IF(AND(ISNUMBER($X$205),$B$156=1),$X$205,HLOOKUP(INDIRECT(ADDRESS(2,COLUMN())),OFFSET($BN$2,0,0,ROW()-1,60),ROW()-1,FALSE))</f>
        <v>17272</v>
      </c>
      <c r="Y54">
        <f ca="1">IF(AND(ISNUMBER($Y$205),$B$156=1),$Y$205,HLOOKUP(INDIRECT(ADDRESS(2,COLUMN())),OFFSET($BN$2,0,0,ROW()-1,60),ROW()-1,FALSE))</f>
        <v>19137</v>
      </c>
      <c r="Z54">
        <f ca="1">IF(AND(ISNUMBER($Z$205),$B$156=1),$Z$205,HLOOKUP(INDIRECT(ADDRESS(2,COLUMN())),OFFSET($BN$2,0,0,ROW()-1,60),ROW()-1,FALSE))</f>
        <v>16855</v>
      </c>
      <c r="AA54">
        <f ca="1">IF(AND(ISNUMBER($AA$205),$B$156=1),$AA$205,HLOOKUP(INDIRECT(ADDRESS(2,COLUMN())),OFFSET($BN$2,0,0,ROW()-1,60),ROW()-1,FALSE))</f>
        <v>18920</v>
      </c>
      <c r="AB54">
        <f ca="1">IF(AND(ISNUMBER($AB$205),$B$156=1),$AB$205,HLOOKUP(INDIRECT(ADDRESS(2,COLUMN())),OFFSET($BN$2,0,0,ROW()-1,60),ROW()-1,FALSE))</f>
        <v>15036</v>
      </c>
      <c r="AC54">
        <f ca="1">IF(AND(ISNUMBER($AC$205),$B$156=1),$AC$205,HLOOKUP(INDIRECT(ADDRESS(2,COLUMN())),OFFSET($BN$2,0,0,ROW()-1,60),ROW()-1,FALSE))</f>
        <v>17543</v>
      </c>
      <c r="AD54">
        <f ca="1">IF(AND(ISNUMBER($AD$205),$B$156=1),$AD$205,HLOOKUP(INDIRECT(ADDRESS(2,COLUMN())),OFFSET($BN$2,0,0,ROW()-1,60),ROW()-1,FALSE))</f>
        <v>14501</v>
      </c>
      <c r="AE54">
        <f ca="1">IF(AND(ISNUMBER($AE$205),$B$156=1),$AE$205,HLOOKUP(INDIRECT(ADDRESS(2,COLUMN())),OFFSET($BN$2,0,0,ROW()-1,60),ROW()-1,FALSE))</f>
        <v>15423</v>
      </c>
      <c r="AF54">
        <f ca="1">IF(AND(ISNUMBER($AF$205),$B$156=1),$AF$205,HLOOKUP(INDIRECT(ADDRESS(2,COLUMN())),OFFSET($BN$2,0,0,ROW()-1,60),ROW()-1,FALSE))</f>
        <v>19529</v>
      </c>
      <c r="AG54">
        <f ca="1">IF(AND(ISNUMBER($AG$205),$B$156=1),$AG$205,HLOOKUP(INDIRECT(ADDRESS(2,COLUMN())),OFFSET($BN$2,0,0,ROW()-1,60),ROW()-1,FALSE))</f>
        <v>17718</v>
      </c>
      <c r="AH54">
        <f ca="1">IF(AND(ISNUMBER($AH$205),$B$156=1),$AH$205,HLOOKUP(INDIRECT(ADDRESS(2,COLUMN())),OFFSET($BN$2,0,0,ROW()-1,60),ROW()-1,FALSE))</f>
        <v>16598</v>
      </c>
      <c r="AI54">
        <f ca="1">IF(AND(ISNUMBER($AI$205),$B$156=1),$AI$205,HLOOKUP(INDIRECT(ADDRESS(2,COLUMN())),OFFSET($BN$2,0,0,ROW()-1,60),ROW()-1,FALSE))</f>
        <v>18249</v>
      </c>
      <c r="AJ54">
        <f ca="1">IF(AND(ISNUMBER($AJ$205),$B$156=1),$AJ$205,HLOOKUP(INDIRECT(ADDRESS(2,COLUMN())),OFFSET($BN$2,0,0,ROW()-1,60),ROW()-1,FALSE))</f>
        <v>15771</v>
      </c>
      <c r="AK54">
        <f ca="1">IF(AND(ISNUMBER($AK$205),$B$156=1),$AK$205,HLOOKUP(INDIRECT(ADDRESS(2,COLUMN())),OFFSET($BN$2,0,0,ROW()-1,60),ROW()-1,FALSE))</f>
        <v>18486</v>
      </c>
      <c r="AL54">
        <f ca="1">IF(AND(ISNUMBER($AL$205),$B$156=1),$AL$205,HLOOKUP(INDIRECT(ADDRESS(2,COLUMN())),OFFSET($BN$2,0,0,ROW()-1,60),ROW()-1,FALSE))</f>
        <v>15697</v>
      </c>
      <c r="AM54">
        <f ca="1">IF(AND(ISNUMBER($AM$205),$B$156=1),$AM$205,HLOOKUP(INDIRECT(ADDRESS(2,COLUMN())),OFFSET($BN$2,0,0,ROW()-1,60),ROW()-1,FALSE))</f>
        <v>20296</v>
      </c>
      <c r="AN54">
        <f ca="1">IF(AND(ISNUMBER($AN$205),$B$156=1),$AN$205,HLOOKUP(INDIRECT(ADDRESS(2,COLUMN())),OFFSET($BN$2,0,0,ROW()-1,60),ROW()-1,FALSE))</f>
        <v>16027</v>
      </c>
      <c r="AO54">
        <f ca="1">IF(AND(ISNUMBER($AO$205),$B$156=1),$AO$205,HLOOKUP(INDIRECT(ADDRESS(2,COLUMN())),OFFSET($BN$2,0,0,ROW()-1,60),ROW()-1,FALSE))</f>
        <v>15920</v>
      </c>
      <c r="AP54">
        <f ca="1">IF(AND(ISNUMBER($AP$205),$B$156=1),$AP$205,HLOOKUP(INDIRECT(ADDRESS(2,COLUMN())),OFFSET($BN$2,0,0,ROW()-1,60),ROW()-1,FALSE))</f>
        <v>11790</v>
      </c>
      <c r="AQ54">
        <f ca="1">IF(AND(ISNUMBER($AQ$205),$B$156=1),$AQ$205,HLOOKUP(INDIRECT(ADDRESS(2,COLUMN())),OFFSET($BN$2,0,0,ROW()-1,60),ROW()-1,FALSE))</f>
        <v>12363</v>
      </c>
      <c r="AR54">
        <f ca="1">IF(AND(ISNUMBER($AR$205),$B$156=1),$AR$205,HLOOKUP(INDIRECT(ADDRESS(2,COLUMN())),OFFSET($BN$2,0,0,ROW()-1,60),ROW()-1,FALSE))</f>
        <v>21056</v>
      </c>
      <c r="AS54">
        <f ca="1">IF(AND(ISNUMBER($AS$205),$B$156=1),$AS$205,HLOOKUP(INDIRECT(ADDRESS(2,COLUMN())),OFFSET($BN$2,0,0,ROW()-1,60),ROW()-1,FALSE))</f>
        <v>28602</v>
      </c>
      <c r="AT54">
        <f ca="1">IF(AND(ISNUMBER($AT$205),$B$156=1),$AT$205,HLOOKUP(INDIRECT(ADDRESS(2,COLUMN())),OFFSET($BN$2,0,0,ROW()-1,60),ROW()-1,FALSE))</f>
        <v>12696</v>
      </c>
      <c r="AU54">
        <f ca="1">IF(AND(ISNUMBER($AU$205),$B$156=1),$AU$205,HLOOKUP(INDIRECT(ADDRESS(2,COLUMN())),OFFSET($BN$2,0,0,ROW()-1,60),ROW()-1,FALSE))</f>
        <v>17957</v>
      </c>
      <c r="AV54">
        <f ca="1">IF(AND(ISNUMBER($AV$205),$B$156=1),$AV$205,HLOOKUP(INDIRECT(ADDRESS(2,COLUMN())),OFFSET($BN$2,0,0,ROW()-1,60),ROW()-1,FALSE))</f>
        <v>17200</v>
      </c>
      <c r="AW54">
        <f ca="1">IF(AND(ISNUMBER($AW$205),$B$156=1),$AW$205,HLOOKUP(INDIRECT(ADDRESS(2,COLUMN())),OFFSET($BN$2,0,0,ROW()-1,60),ROW()-1,FALSE))</f>
        <v>19297</v>
      </c>
      <c r="AX54">
        <f ca="1">IF(AND(ISNUMBER($AX$205),$B$156=1),$AX$205,HLOOKUP(INDIRECT(ADDRESS(2,COLUMN())),OFFSET($BN$2,0,0,ROW()-1,60),ROW()-1,FALSE))</f>
        <v>15586</v>
      </c>
      <c r="AY54">
        <f ca="1">IF(AND(ISNUMBER($AY$205),$B$156=1),$AY$205,HLOOKUP(INDIRECT(ADDRESS(2,COLUMN())),OFFSET($BN$2,0,0,ROW()-1,60),ROW()-1,FALSE))</f>
        <v>16221</v>
      </c>
      <c r="AZ54">
        <f ca="1">IF(AND(ISNUMBER($AZ$205),$B$156=1),$AZ$205,HLOOKUP(INDIRECT(ADDRESS(2,COLUMN())),OFFSET($BN$2,0,0,ROW()-1,60),ROW()-1,FALSE))</f>
        <v>14232</v>
      </c>
      <c r="BA54">
        <f ca="1">IF(AND(ISNUMBER($BA$205),$B$156=1),$BA$205,HLOOKUP(INDIRECT(ADDRESS(2,COLUMN())),OFFSET($BN$2,0,0,ROW()-1,60),ROW()-1,FALSE))</f>
        <v>16058</v>
      </c>
      <c r="BB54">
        <f ca="1">IF(AND(ISNUMBER($BB$205),$B$156=1),$BB$205,HLOOKUP(INDIRECT(ADDRESS(2,COLUMN())),OFFSET($BN$2,0,0,ROW()-1,60),ROW()-1,FALSE))</f>
        <v>13189</v>
      </c>
      <c r="BC54">
        <f ca="1">IF(AND(ISNUMBER($BC$205),$B$156=1),$BC$205,HLOOKUP(INDIRECT(ADDRESS(2,COLUMN())),OFFSET($BN$2,0,0,ROW()-1,60),ROW()-1,FALSE))</f>
        <v>15869</v>
      </c>
      <c r="BD54">
        <f ca="1">IF(AND(ISNUMBER($BD$205),$B$156=1),$BD$205,HLOOKUP(INDIRECT(ADDRESS(2,COLUMN())),OFFSET($BN$2,0,0,ROW()-1,60),ROW()-1,FALSE))</f>
        <v>13523</v>
      </c>
      <c r="BE54">
        <f ca="1">IF(AND(ISNUMBER($BE$205),$B$156=1),$BE$205,HLOOKUP(INDIRECT(ADDRESS(2,COLUMN())),OFFSET($BN$2,0,0,ROW()-1,60),ROW()-1,FALSE))</f>
        <v>16840</v>
      </c>
      <c r="BF54">
        <f ca="1">IF(AND(ISNUMBER($BF$205),$B$156=1),$BF$205,HLOOKUP(INDIRECT(ADDRESS(2,COLUMN())),OFFSET($BN$2,0,0,ROW()-1,60),ROW()-1,FALSE))</f>
        <v>12852</v>
      </c>
      <c r="BG54">
        <f ca="1">IF(AND(ISNUMBER($BG$205),$B$156=1),$BG$205,HLOOKUP(INDIRECT(ADDRESS(2,COLUMN())),OFFSET($BN$2,0,0,ROW()-1,60),ROW()-1,FALSE))</f>
        <v>14872</v>
      </c>
      <c r="BH54">
        <f ca="1">IF(AND(ISNUMBER($BH$205),$B$156=1),$BH$205,HLOOKUP(INDIRECT(ADDRESS(2,COLUMN())),OFFSET($BN$2,0,0,ROW()-1,60),ROW()-1,FALSE))</f>
        <v>14086</v>
      </c>
      <c r="BI54">
        <f ca="1">IF(AND(ISNUMBER($BI$205),$B$156=1),$BI$205,HLOOKUP(INDIRECT(ADDRESS(2,COLUMN())),OFFSET($BN$2,0,0,ROW()-1,60),ROW()-1,FALSE))</f>
        <v>16345</v>
      </c>
      <c r="BJ54">
        <f ca="1">IF(AND(ISNUMBER($BJ$205),$B$156=1),$BJ$205,HLOOKUP(INDIRECT(ADDRESS(2,COLUMN())),OFFSET($BN$2,0,0,ROW()-1,60),ROW()-1,FALSE))</f>
        <v>11822</v>
      </c>
      <c r="BK54">
        <f ca="1">IF(AND(ISNUMBER($BK$205),$B$156=1),$BK$205,HLOOKUP(INDIRECT(ADDRESS(2,COLUMN())),OFFSET($BN$2,0,0,ROW()-1,60),ROW()-1,FALSE))</f>
        <v>16318</v>
      </c>
      <c r="BL54">
        <f ca="1">IF(AND(ISNUMBER($BL$205),$B$156=1),$BL$205,HLOOKUP(INDIRECT(ADDRESS(2,COLUMN())),OFFSET($BN$2,0,0,ROW()-1,60),ROW()-1,FALSE))</f>
        <v>13206</v>
      </c>
      <c r="BM54">
        <f ca="1">IF(AND(ISNUMBER($BM$205),$B$156=1),$BM$205,HLOOKUP(INDIRECT(ADDRESS(2,COLUMN())),OFFSET($BN$2,0,0,ROW()-1,60),ROW()-1,FALSE))</f>
        <v>15983</v>
      </c>
      <c r="BN54">
        <f>7230</f>
        <v>7230</v>
      </c>
      <c r="BO54">
        <f>22359</f>
        <v>22359</v>
      </c>
      <c r="BP54">
        <f>23830</f>
        <v>23830</v>
      </c>
      <c r="BQ54">
        <f>27548</f>
        <v>27548</v>
      </c>
      <c r="BR54">
        <f>24343</f>
        <v>24343</v>
      </c>
      <c r="BS54">
        <f>24750</f>
        <v>24750</v>
      </c>
      <c r="BT54">
        <f>22464</f>
        <v>22464</v>
      </c>
      <c r="BU54">
        <f>26057</f>
        <v>26057</v>
      </c>
      <c r="BV54">
        <f>22814</f>
        <v>22814</v>
      </c>
      <c r="BW54">
        <f>23351</f>
        <v>23351</v>
      </c>
      <c r="BX54">
        <f>20858</f>
        <v>20858</v>
      </c>
      <c r="BY54">
        <f>23931</f>
        <v>23931</v>
      </c>
      <c r="BZ54">
        <f>20023</f>
        <v>20023</v>
      </c>
      <c r="CA54">
        <f>20960</f>
        <v>20960</v>
      </c>
      <c r="CB54">
        <f>19834</f>
        <v>19834</v>
      </c>
      <c r="CC54">
        <f>20583</f>
        <v>20583</v>
      </c>
      <c r="CD54">
        <f>16594</f>
        <v>16594</v>
      </c>
      <c r="CE54">
        <f>18985</f>
        <v>18985</v>
      </c>
      <c r="CF54">
        <f>17272</f>
        <v>17272</v>
      </c>
      <c r="CG54">
        <f>19137</f>
        <v>19137</v>
      </c>
      <c r="CH54">
        <f>16855</f>
        <v>16855</v>
      </c>
      <c r="CI54">
        <f>18920</f>
        <v>18920</v>
      </c>
      <c r="CJ54">
        <f>15036</f>
        <v>15036</v>
      </c>
      <c r="CK54">
        <f>17543</f>
        <v>17543</v>
      </c>
      <c r="CL54">
        <f>14501</f>
        <v>14501</v>
      </c>
      <c r="CM54">
        <f>15423</f>
        <v>15423</v>
      </c>
      <c r="CN54">
        <f>19529</f>
        <v>19529</v>
      </c>
      <c r="CO54">
        <f>17718</f>
        <v>17718</v>
      </c>
      <c r="CP54">
        <f>16598</f>
        <v>16598</v>
      </c>
      <c r="CQ54">
        <f>18249</f>
        <v>18249</v>
      </c>
      <c r="CR54">
        <f>15771</f>
        <v>15771</v>
      </c>
      <c r="CS54">
        <f>18486</f>
        <v>18486</v>
      </c>
      <c r="CT54">
        <f>15697</f>
        <v>15697</v>
      </c>
      <c r="CU54">
        <f>20296</f>
        <v>20296</v>
      </c>
      <c r="CV54">
        <f>16027</f>
        <v>16027</v>
      </c>
      <c r="CW54">
        <f>15920</f>
        <v>15920</v>
      </c>
      <c r="CX54">
        <f>11790</f>
        <v>11790</v>
      </c>
      <c r="CY54">
        <f>12363</f>
        <v>12363</v>
      </c>
      <c r="CZ54">
        <f>21056</f>
        <v>21056</v>
      </c>
      <c r="DA54">
        <f>28602</f>
        <v>28602</v>
      </c>
      <c r="DB54">
        <f>12696</f>
        <v>12696</v>
      </c>
      <c r="DC54">
        <f>17957</f>
        <v>17957</v>
      </c>
      <c r="DD54">
        <f>17200</f>
        <v>17200</v>
      </c>
      <c r="DE54">
        <f>19297</f>
        <v>19297</v>
      </c>
      <c r="DF54">
        <f>15586</f>
        <v>15586</v>
      </c>
      <c r="DG54">
        <f>16221</f>
        <v>16221</v>
      </c>
      <c r="DH54">
        <f>14232</f>
        <v>14232</v>
      </c>
      <c r="DI54">
        <f>16058</f>
        <v>16058</v>
      </c>
      <c r="DJ54">
        <f>13189</f>
        <v>13189</v>
      </c>
      <c r="DK54">
        <f>15869</f>
        <v>15869</v>
      </c>
      <c r="DL54">
        <f>13523</f>
        <v>13523</v>
      </c>
      <c r="DM54">
        <f>16840</f>
        <v>16840</v>
      </c>
      <c r="DN54">
        <f>12852</f>
        <v>12852</v>
      </c>
      <c r="DO54">
        <f>14872</f>
        <v>14872</v>
      </c>
      <c r="DP54">
        <f>14086</f>
        <v>14086</v>
      </c>
      <c r="DQ54">
        <f>16345</f>
        <v>16345</v>
      </c>
      <c r="DR54">
        <f>11822</f>
        <v>11822</v>
      </c>
      <c r="DS54">
        <f>16318</f>
        <v>16318</v>
      </c>
      <c r="DT54">
        <f>13206</f>
        <v>13206</v>
      </c>
      <c r="DU54">
        <f>15983</f>
        <v>15983</v>
      </c>
    </row>
    <row r="55" spans="1:125" x14ac:dyDescent="0.25">
      <c r="A55" t="str">
        <f>"            Slovenia"</f>
        <v xml:space="preserve">            Slovenia</v>
      </c>
      <c r="B55" t="str">
        <f>"WCARSI Index"</f>
        <v>WCARSI Index</v>
      </c>
      <c r="C55" t="str">
        <f t="shared" si="6"/>
        <v>PX385</v>
      </c>
      <c r="D55" t="str">
        <f t="shared" si="7"/>
        <v>INTERVAL_SUM</v>
      </c>
      <c r="E55" t="str">
        <f t="shared" si="8"/>
        <v>Dynamic</v>
      </c>
      <c r="F55">
        <f ca="1">IF(AND(ISNUMBER($F$206),$B$156=1),$F$206,HLOOKUP(INDIRECT(ADDRESS(2,COLUMN())),OFFSET($BN$2,0,0,ROW()-1,60),ROW()-1,FALSE))</f>
        <v>6563</v>
      </c>
      <c r="G55">
        <f ca="1">IF(AND(ISNUMBER($G$206),$B$156=1),$G$206,HLOOKUP(INDIRECT(ADDRESS(2,COLUMN())),OFFSET($BN$2,0,0,ROW()-1,60),ROW()-1,FALSE))</f>
        <v>14383</v>
      </c>
      <c r="H55">
        <f ca="1">IF(AND(ISNUMBER($H$206),$B$156=1),$H$206,HLOOKUP(INDIRECT(ADDRESS(2,COLUMN())),OFFSET($BN$2,0,0,ROW()-1,60),ROW()-1,FALSE))</f>
        <v>16775</v>
      </c>
      <c r="I55">
        <f ca="1">IF(AND(ISNUMBER($I$206),$B$156=1),$I$206,HLOOKUP(INDIRECT(ADDRESS(2,COLUMN())),OFFSET($BN$2,0,0,ROW()-1,60),ROW()-1,FALSE))</f>
        <v>21271</v>
      </c>
      <c r="J55">
        <f ca="1">IF(AND(ISNUMBER($J$206),$B$156=1),$J$206,HLOOKUP(INDIRECT(ADDRESS(2,COLUMN())),OFFSET($BN$2,0,0,ROW()-1,60),ROW()-1,FALSE))</f>
        <v>20359</v>
      </c>
      <c r="K55">
        <f ca="1">IF(AND(ISNUMBER($K$206),$B$156=1),$K$206,HLOOKUP(INDIRECT(ADDRESS(2,COLUMN())),OFFSET($BN$2,0,0,ROW()-1,60),ROW()-1,FALSE))</f>
        <v>16777</v>
      </c>
      <c r="L55">
        <f ca="1">IF(AND(ISNUMBER($L$206),$B$156=1),$L$206,HLOOKUP(INDIRECT(ADDRESS(2,COLUMN())),OFFSET($BN$2,0,0,ROW()-1,60),ROW()-1,FALSE))</f>
        <v>15083</v>
      </c>
      <c r="M55">
        <f ca="1">IF(AND(ISNUMBER($M$206),$B$156=1),$M$206,HLOOKUP(INDIRECT(ADDRESS(2,COLUMN())),OFFSET($BN$2,0,0,ROW()-1,60),ROW()-1,FALSE))</f>
        <v>20342</v>
      </c>
      <c r="N55">
        <f ca="1">IF(AND(ISNUMBER($N$206),$B$156=1),$N$206,HLOOKUP(INDIRECT(ADDRESS(2,COLUMN())),OFFSET($BN$2,0,0,ROW()-1,60),ROW()-1,FALSE))</f>
        <v>18690</v>
      </c>
      <c r="O55">
        <f ca="1">IF(AND(ISNUMBER($O$206),$B$156=1),$O$206,HLOOKUP(INDIRECT(ADDRESS(2,COLUMN())),OFFSET($BN$2,0,0,ROW()-1,60),ROW()-1,FALSE))</f>
        <v>14654</v>
      </c>
      <c r="P55">
        <f ca="1">IF(AND(ISNUMBER($P$206),$B$156=1),$P$206,HLOOKUP(INDIRECT(ADDRESS(2,COLUMN())),OFFSET($BN$2,0,0,ROW()-1,60),ROW()-1,FALSE))</f>
        <v>14040</v>
      </c>
      <c r="Q55">
        <f ca="1">IF(AND(ISNUMBER($Q$206),$B$156=1),$Q$206,HLOOKUP(INDIRECT(ADDRESS(2,COLUMN())),OFFSET($BN$2,0,0,ROW()-1,60),ROW()-1,FALSE))</f>
        <v>18289</v>
      </c>
      <c r="R55">
        <f ca="1">IF(AND(ISNUMBER($R$206),$B$156=1),$R$206,HLOOKUP(INDIRECT(ADDRESS(2,COLUMN())),OFFSET($BN$2,0,0,ROW()-1,60),ROW()-1,FALSE))</f>
        <v>16691</v>
      </c>
      <c r="S55">
        <f ca="1">IF(AND(ISNUMBER($S$206),$B$156=1),$S$206,HLOOKUP(INDIRECT(ADDRESS(2,COLUMN())),OFFSET($BN$2,0,0,ROW()-1,60),ROW()-1,FALSE))</f>
        <v>14651</v>
      </c>
      <c r="T55">
        <f ca="1">IF(AND(ISNUMBER($T$206),$B$156=1),$T$206,HLOOKUP(INDIRECT(ADDRESS(2,COLUMN())),OFFSET($BN$2,0,0,ROW()-1,60),ROW()-1,FALSE))</f>
        <v>13618</v>
      </c>
      <c r="U55">
        <f ca="1">IF(AND(ISNUMBER($U$206),$B$156=1),$U$206,HLOOKUP(INDIRECT(ADDRESS(2,COLUMN())),OFFSET($BN$2,0,0,ROW()-1,60),ROW()-1,FALSE))</f>
        <v>16182</v>
      </c>
      <c r="V55">
        <f ca="1">IF(AND(ISNUMBER($V$206),$B$156=1),$V$206,HLOOKUP(INDIRECT(ADDRESS(2,COLUMN())),OFFSET($BN$2,0,0,ROW()-1,60),ROW()-1,FALSE))</f>
        <v>15647</v>
      </c>
      <c r="W55">
        <f ca="1">IF(AND(ISNUMBER($W$206),$B$156=1),$W$206,HLOOKUP(INDIRECT(ADDRESS(2,COLUMN())),OFFSET($BN$2,0,0,ROW()-1,60),ROW()-1,FALSE))</f>
        <v>13290</v>
      </c>
      <c r="X55">
        <f ca="1">IF(AND(ISNUMBER($X$206),$B$156=1),$X$206,HLOOKUP(INDIRECT(ADDRESS(2,COLUMN())),OFFSET($BN$2,0,0,ROW()-1,60),ROW()-1,FALSE))</f>
        <v>12331</v>
      </c>
      <c r="Y55">
        <f ca="1">IF(AND(ISNUMBER($Y$206),$B$156=1),$Y$206,HLOOKUP(INDIRECT(ADDRESS(2,COLUMN())),OFFSET($BN$2,0,0,ROW()-1,60),ROW()-1,FALSE))</f>
        <v>14439</v>
      </c>
      <c r="Z55">
        <f ca="1">IF(AND(ISNUMBER($Z$206),$B$156=1),$Z$206,HLOOKUP(INDIRECT(ADDRESS(2,COLUMN())),OFFSET($BN$2,0,0,ROW()-1,60),ROW()-1,FALSE))</f>
        <v>13799</v>
      </c>
      <c r="AA55">
        <f ca="1">IF(AND(ISNUMBER($AA$206),$B$156=1),$AA$206,HLOOKUP(INDIRECT(ADDRESS(2,COLUMN())),OFFSET($BN$2,0,0,ROW()-1,60),ROW()-1,FALSE))</f>
        <v>11125</v>
      </c>
      <c r="AB55">
        <f ca="1">IF(AND(ISNUMBER($AB$206),$B$156=1),$AB$206,HLOOKUP(INDIRECT(ADDRESS(2,COLUMN())),OFFSET($BN$2,0,0,ROW()-1,60),ROW()-1,FALSE))</f>
        <v>11592</v>
      </c>
      <c r="AC55">
        <f ca="1">IF(AND(ISNUMBER($AC$206),$B$156=1),$AC$206,HLOOKUP(INDIRECT(ADDRESS(2,COLUMN())),OFFSET($BN$2,0,0,ROW()-1,60),ROW()-1,FALSE))</f>
        <v>15461</v>
      </c>
      <c r="AD55">
        <f ca="1">IF(AND(ISNUMBER($AD$206),$B$156=1),$AD$206,HLOOKUP(INDIRECT(ADDRESS(2,COLUMN())),OFFSET($BN$2,0,0,ROW()-1,60),ROW()-1,FALSE))</f>
        <v>12768</v>
      </c>
      <c r="AE55">
        <f ca="1">IF(AND(ISNUMBER($AE$206),$B$156=1),$AE$206,HLOOKUP(INDIRECT(ADDRESS(2,COLUMN())),OFFSET($BN$2,0,0,ROW()-1,60),ROW()-1,FALSE))</f>
        <v>9941</v>
      </c>
      <c r="AF55">
        <f ca="1">IF(AND(ISNUMBER($AF$206),$B$156=1),$AF$206,HLOOKUP(INDIRECT(ADDRESS(2,COLUMN())),OFFSET($BN$2,0,0,ROW()-1,60),ROW()-1,FALSE))</f>
        <v>10380</v>
      </c>
      <c r="AG55">
        <f ca="1">IF(AND(ISNUMBER($AG$206),$B$156=1),$AG$206,HLOOKUP(INDIRECT(ADDRESS(2,COLUMN())),OFFSET($BN$2,0,0,ROW()-1,60),ROW()-1,FALSE))</f>
        <v>14002</v>
      </c>
      <c r="AH55">
        <f ca="1">IF(AND(ISNUMBER($AH$206),$B$156=1),$AH$206,HLOOKUP(INDIRECT(ADDRESS(2,COLUMN())),OFFSET($BN$2,0,0,ROW()-1,60),ROW()-1,FALSE))</f>
        <v>14325</v>
      </c>
      <c r="AI55">
        <f ca="1">IF(AND(ISNUMBER($AI$206),$B$156=1),$AI$206,HLOOKUP(INDIRECT(ADDRESS(2,COLUMN())),OFFSET($BN$2,0,0,ROW()-1,60),ROW()-1,FALSE))</f>
        <v>12039</v>
      </c>
      <c r="AJ55">
        <f ca="1">IF(AND(ISNUMBER($AJ$206),$B$156=1),$AJ$206,HLOOKUP(INDIRECT(ADDRESS(2,COLUMN())),OFFSET($BN$2,0,0,ROW()-1,60),ROW()-1,FALSE))</f>
        <v>13436</v>
      </c>
      <c r="AK55">
        <f ca="1">IF(AND(ISNUMBER($AK$206),$B$156=1),$AK$206,HLOOKUP(INDIRECT(ADDRESS(2,COLUMN())),OFFSET($BN$2,0,0,ROW()-1,60),ROW()-1,FALSE))</f>
        <v>16289</v>
      </c>
      <c r="AL55">
        <f ca="1">IF(AND(ISNUMBER($AL$206),$B$156=1),$AL$206,HLOOKUP(INDIRECT(ADDRESS(2,COLUMN())),OFFSET($BN$2,0,0,ROW()-1,60),ROW()-1,FALSE))</f>
        <v>16653</v>
      </c>
      <c r="AM55">
        <f ca="1">IF(AND(ISNUMBER($AM$206),$B$156=1),$AM$206,HLOOKUP(INDIRECT(ADDRESS(2,COLUMN())),OFFSET($BN$2,0,0,ROW()-1,60),ROW()-1,FALSE))</f>
        <v>12752</v>
      </c>
      <c r="AN55">
        <f ca="1">IF(AND(ISNUMBER($AN$206),$B$156=1),$AN$206,HLOOKUP(INDIRECT(ADDRESS(2,COLUMN())),OFFSET($BN$2,0,0,ROW()-1,60),ROW()-1,FALSE))</f>
        <v>14071</v>
      </c>
      <c r="AO55">
        <f ca="1">IF(AND(ISNUMBER($AO$206),$B$156=1),$AO$206,HLOOKUP(INDIRECT(ADDRESS(2,COLUMN())),OFFSET($BN$2,0,0,ROW()-1,60),ROW()-1,FALSE))</f>
        <v>16655</v>
      </c>
      <c r="AP55">
        <f ca="1">IF(AND(ISNUMBER($AP$206),$B$156=1),$AP$206,HLOOKUP(INDIRECT(ADDRESS(2,COLUMN())),OFFSET($BN$2,0,0,ROW()-1,60),ROW()-1,FALSE))</f>
        <v>15748</v>
      </c>
      <c r="AQ55">
        <f ca="1">IF(AND(ISNUMBER($AQ$206),$B$156=1),$AQ$206,HLOOKUP(INDIRECT(ADDRESS(2,COLUMN())),OFFSET($BN$2,0,0,ROW()-1,60),ROW()-1,FALSE))</f>
        <v>12726</v>
      </c>
      <c r="AR55">
        <f ca="1">IF(AND(ISNUMBER($AR$206),$B$156=1),$AR$206,HLOOKUP(INDIRECT(ADDRESS(2,COLUMN())),OFFSET($BN$2,0,0,ROW()-1,60),ROW()-1,FALSE))</f>
        <v>13708</v>
      </c>
      <c r="AS55">
        <f ca="1">IF(AND(ISNUMBER($AS$206),$B$156=1),$AS$206,HLOOKUP(INDIRECT(ADDRESS(2,COLUMN())),OFFSET($BN$2,0,0,ROW()-1,60),ROW()-1,FALSE))</f>
        <v>14798</v>
      </c>
      <c r="AT55">
        <f ca="1">IF(AND(ISNUMBER($AT$206),$B$156=1),$AT$206,HLOOKUP(INDIRECT(ADDRESS(2,COLUMN())),OFFSET($BN$2,0,0,ROW()-1,60),ROW()-1,FALSE))</f>
        <v>14648</v>
      </c>
      <c r="AU55">
        <f ca="1">IF(AND(ISNUMBER($AU$206),$B$156=1),$AU$206,HLOOKUP(INDIRECT(ADDRESS(2,COLUMN())),OFFSET($BN$2,0,0,ROW()-1,60),ROW()-1,FALSE))</f>
        <v>13560</v>
      </c>
      <c r="AV55">
        <f ca="1">IF(AND(ISNUMBER($AV$206),$B$156=1),$AV$206,HLOOKUP(INDIRECT(ADDRESS(2,COLUMN())),OFFSET($BN$2,0,0,ROW()-1,60),ROW()-1,FALSE))</f>
        <v>16987</v>
      </c>
      <c r="AW55">
        <f ca="1">IF(AND(ISNUMBER($AW$206),$B$156=1),$AW$206,HLOOKUP(INDIRECT(ADDRESS(2,COLUMN())),OFFSET($BN$2,0,0,ROW()-1,60),ROW()-1,FALSE))</f>
        <v>21460</v>
      </c>
      <c r="AX55">
        <f ca="1">IF(AND(ISNUMBER($AX$206),$B$156=1),$AX$206,HLOOKUP(INDIRECT(ADDRESS(2,COLUMN())),OFFSET($BN$2,0,0,ROW()-1,60),ROW()-1,FALSE))</f>
        <v>19568</v>
      </c>
      <c r="AY55">
        <f ca="1">IF(AND(ISNUMBER($AY$206),$B$156=1),$AY$206,HLOOKUP(INDIRECT(ADDRESS(2,COLUMN())),OFFSET($BN$2,0,0,ROW()-1,60),ROW()-1,FALSE))</f>
        <v>16212</v>
      </c>
      <c r="AZ55">
        <f ca="1">IF(AND(ISNUMBER($AZ$206),$B$156=1),$AZ$206,HLOOKUP(INDIRECT(ADDRESS(2,COLUMN())),OFFSET($BN$2,0,0,ROW()-1,60),ROW()-1,FALSE))</f>
        <v>15948</v>
      </c>
      <c r="BA55">
        <f ca="1">IF(AND(ISNUMBER($BA$206),$B$156=1),$BA$206,HLOOKUP(INDIRECT(ADDRESS(2,COLUMN())),OFFSET($BN$2,0,0,ROW()-1,60),ROW()-1,FALSE))</f>
        <v>19478</v>
      </c>
      <c r="BB55">
        <f ca="1">IF(AND(ISNUMBER($BB$206),$B$156=1),$BB$206,HLOOKUP(INDIRECT(ADDRESS(2,COLUMN())),OFFSET($BN$2,0,0,ROW()-1,60),ROW()-1,FALSE))</f>
        <v>17081</v>
      </c>
      <c r="BC55">
        <f ca="1">IF(AND(ISNUMBER($BC$206),$B$156=1),$BC$206,HLOOKUP(INDIRECT(ADDRESS(2,COLUMN())),OFFSET($BN$2,0,0,ROW()-1,60),ROW()-1,FALSE))</f>
        <v>13017</v>
      </c>
      <c r="BD55">
        <f ca="1">IF(AND(ISNUMBER($BD$206),$B$156=1),$BD$206,HLOOKUP(INDIRECT(ADDRESS(2,COLUMN())),OFFSET($BN$2,0,0,ROW()-1,60),ROW()-1,FALSE))</f>
        <v>13652</v>
      </c>
      <c r="BE55">
        <f ca="1">IF(AND(ISNUMBER($BE$206),$B$156=1),$BE$206,HLOOKUP(INDIRECT(ADDRESS(2,COLUMN())),OFFSET($BN$2,0,0,ROW()-1,60),ROW()-1,FALSE))</f>
        <v>16780</v>
      </c>
      <c r="BF55">
        <f ca="1">IF(AND(ISNUMBER($BF$206),$B$156=1),$BF$206,HLOOKUP(INDIRECT(ADDRESS(2,COLUMN())),OFFSET($BN$2,0,0,ROW()-1,60),ROW()-1,FALSE))</f>
        <v>16129</v>
      </c>
      <c r="BG55">
        <f ca="1">IF(AND(ISNUMBER($BG$206),$B$156=1),$BG$206,HLOOKUP(INDIRECT(ADDRESS(2,COLUMN())),OFFSET($BN$2,0,0,ROW()-1,60),ROW()-1,FALSE))</f>
        <v>12554</v>
      </c>
      <c r="BH55">
        <f ca="1">IF(AND(ISNUMBER($BH$206),$B$156=1),$BH$206,HLOOKUP(INDIRECT(ADDRESS(2,COLUMN())),OFFSET($BN$2,0,0,ROW()-1,60),ROW()-1,FALSE))</f>
        <v>13202</v>
      </c>
      <c r="BI55">
        <f ca="1">IF(AND(ISNUMBER($BI$206),$B$156=1),$BI$206,HLOOKUP(INDIRECT(ADDRESS(2,COLUMN())),OFFSET($BN$2,0,0,ROW()-1,60),ROW()-1,FALSE))</f>
        <v>17632</v>
      </c>
      <c r="BJ55">
        <f ca="1">IF(AND(ISNUMBER($BJ$206),$B$156=1),$BJ$206,HLOOKUP(INDIRECT(ADDRESS(2,COLUMN())),OFFSET($BN$2,0,0,ROW()-1,60),ROW()-1,FALSE))</f>
        <v>15936</v>
      </c>
      <c r="BK55">
        <f ca="1">IF(AND(ISNUMBER($BK$206),$B$156=1),$BK$206,HLOOKUP(INDIRECT(ADDRESS(2,COLUMN())),OFFSET($BN$2,0,0,ROW()-1,60),ROW()-1,FALSE))</f>
        <v>12900</v>
      </c>
      <c r="BL55">
        <f ca="1">IF(AND(ISNUMBER($BL$206),$B$156=1),$BL$206,HLOOKUP(INDIRECT(ADDRESS(2,COLUMN())),OFFSET($BN$2,0,0,ROW()-1,60),ROW()-1,FALSE))</f>
        <v>13650</v>
      </c>
      <c r="BM55">
        <f ca="1">IF(AND(ISNUMBER($BM$206),$B$156=1),$BM$206,HLOOKUP(INDIRECT(ADDRESS(2,COLUMN())),OFFSET($BN$2,0,0,ROW()-1,60),ROW()-1,FALSE))</f>
        <v>18161</v>
      </c>
      <c r="BN55">
        <f>6563</f>
        <v>6563</v>
      </c>
      <c r="BO55">
        <f>14383</f>
        <v>14383</v>
      </c>
      <c r="BP55">
        <f>16775</f>
        <v>16775</v>
      </c>
      <c r="BQ55">
        <f>21271</f>
        <v>21271</v>
      </c>
      <c r="BR55">
        <f>20359</f>
        <v>20359</v>
      </c>
      <c r="BS55">
        <f>16777</f>
        <v>16777</v>
      </c>
      <c r="BT55">
        <f>15083</f>
        <v>15083</v>
      </c>
      <c r="BU55">
        <f>20342</f>
        <v>20342</v>
      </c>
      <c r="BV55">
        <f>18690</f>
        <v>18690</v>
      </c>
      <c r="BW55">
        <f>14654</f>
        <v>14654</v>
      </c>
      <c r="BX55">
        <f>14040</f>
        <v>14040</v>
      </c>
      <c r="BY55">
        <f>18289</f>
        <v>18289</v>
      </c>
      <c r="BZ55">
        <f>16691</f>
        <v>16691</v>
      </c>
      <c r="CA55">
        <f>14651</f>
        <v>14651</v>
      </c>
      <c r="CB55">
        <f>13618</f>
        <v>13618</v>
      </c>
      <c r="CC55">
        <f>16182</f>
        <v>16182</v>
      </c>
      <c r="CD55">
        <f>15647</f>
        <v>15647</v>
      </c>
      <c r="CE55">
        <f>13290</f>
        <v>13290</v>
      </c>
      <c r="CF55">
        <f>12331</f>
        <v>12331</v>
      </c>
      <c r="CG55">
        <f>14439</f>
        <v>14439</v>
      </c>
      <c r="CH55">
        <f>13799</f>
        <v>13799</v>
      </c>
      <c r="CI55">
        <f>11125</f>
        <v>11125</v>
      </c>
      <c r="CJ55">
        <f>11592</f>
        <v>11592</v>
      </c>
      <c r="CK55">
        <f>15461</f>
        <v>15461</v>
      </c>
      <c r="CL55">
        <f>12768</f>
        <v>12768</v>
      </c>
      <c r="CM55">
        <f>9941</f>
        <v>9941</v>
      </c>
      <c r="CN55">
        <f>10380</f>
        <v>10380</v>
      </c>
      <c r="CO55">
        <f>14002</f>
        <v>14002</v>
      </c>
      <c r="CP55">
        <f>14325</f>
        <v>14325</v>
      </c>
      <c r="CQ55">
        <f>12039</f>
        <v>12039</v>
      </c>
      <c r="CR55">
        <f>13436</f>
        <v>13436</v>
      </c>
      <c r="CS55">
        <f>16289</f>
        <v>16289</v>
      </c>
      <c r="CT55">
        <f>16653</f>
        <v>16653</v>
      </c>
      <c r="CU55">
        <f>12752</f>
        <v>12752</v>
      </c>
      <c r="CV55">
        <f>14071</f>
        <v>14071</v>
      </c>
      <c r="CW55">
        <f>16655</f>
        <v>16655</v>
      </c>
      <c r="CX55">
        <f>15748</f>
        <v>15748</v>
      </c>
      <c r="CY55">
        <f>12726</f>
        <v>12726</v>
      </c>
      <c r="CZ55">
        <f>13708</f>
        <v>13708</v>
      </c>
      <c r="DA55">
        <f>14798</f>
        <v>14798</v>
      </c>
      <c r="DB55">
        <f>14648</f>
        <v>14648</v>
      </c>
      <c r="DC55">
        <f>13560</f>
        <v>13560</v>
      </c>
      <c r="DD55">
        <f>16987</f>
        <v>16987</v>
      </c>
      <c r="DE55">
        <f>21460</f>
        <v>21460</v>
      </c>
      <c r="DF55">
        <f>19568</f>
        <v>19568</v>
      </c>
      <c r="DG55">
        <f>16212</f>
        <v>16212</v>
      </c>
      <c r="DH55">
        <f>15948</f>
        <v>15948</v>
      </c>
      <c r="DI55">
        <f>19478</f>
        <v>19478</v>
      </c>
      <c r="DJ55">
        <f>17081</f>
        <v>17081</v>
      </c>
      <c r="DK55">
        <f>13017</f>
        <v>13017</v>
      </c>
      <c r="DL55">
        <f>13652</f>
        <v>13652</v>
      </c>
      <c r="DM55">
        <f>16780</f>
        <v>16780</v>
      </c>
      <c r="DN55">
        <f>16129</f>
        <v>16129</v>
      </c>
      <c r="DO55">
        <f>12554</f>
        <v>12554</v>
      </c>
      <c r="DP55">
        <f>13202</f>
        <v>13202</v>
      </c>
      <c r="DQ55">
        <f>17632</f>
        <v>17632</v>
      </c>
      <c r="DR55">
        <f>15936</f>
        <v>15936</v>
      </c>
      <c r="DS55">
        <f>12900</f>
        <v>12900</v>
      </c>
      <c r="DT55">
        <f>13650</f>
        <v>13650</v>
      </c>
      <c r="DU55">
        <f>18161</f>
        <v>18161</v>
      </c>
    </row>
    <row r="56" spans="1:125" x14ac:dyDescent="0.25">
      <c r="A56" t="str">
        <f>"    North America"</f>
        <v xml:space="preserve">    North America</v>
      </c>
      <c r="B56" t="str">
        <f>"AUTMNAVS Index"</f>
        <v>AUTMNAVS Index</v>
      </c>
      <c r="E56" t="str">
        <f>"Sum"</f>
        <v>Sum</v>
      </c>
      <c r="F56">
        <f ca="1">IF(ISERROR(IF(SUM($F$57:$F$59) = 0, "", SUM($F$57:$F$59))), "", (IF(SUM($F$57:$F$59) = 0, "", SUM($F$57:$F$59))))</f>
        <v>220012</v>
      </c>
      <c r="G56">
        <f ca="1">IF(ISERROR(IF(SUM($G$57:$G$59) = 0, "", SUM($G$57:$G$59))), "", (IF(SUM($G$57:$G$59) = 0, "", SUM($G$57:$G$59))))</f>
        <v>812179</v>
      </c>
      <c r="H56">
        <f ca="1">IF(ISERROR(IF(SUM($H$57:$H$59) = 0, "", SUM($H$57:$H$59))), "", (IF(SUM($H$57:$H$59) = 0, "", SUM($H$57:$H$59))))</f>
        <v>876880</v>
      </c>
      <c r="I56">
        <f ca="1">IF(ISERROR(IF(SUM($I$57:$I$59) = 0, "", SUM($I$57:$I$59))), "", (IF(SUM($I$57:$I$59) = 0, "", SUM($I$57:$I$59))))</f>
        <v>950970</v>
      </c>
      <c r="J56">
        <f ca="1">IF(ISERROR(IF(SUM($J$57:$J$59) = 0, "", SUM($J$57:$J$59))), "", (IF(SUM($J$57:$J$59) = 0, "", SUM($J$57:$J$59))))</f>
        <v>4857333</v>
      </c>
      <c r="K56">
        <f ca="1">IF(ISERROR(IF(SUM($K$57:$K$59) = 0, "", SUM($K$57:$K$59))), "", (IF(SUM($K$57:$K$59) = 0, "", SUM($K$57:$K$59))))</f>
        <v>5201823</v>
      </c>
      <c r="L56">
        <f ca="1">IF(ISERROR(IF(SUM($L$57:$L$59) = 0, "", SUM($L$57:$L$59))), "", (IF(SUM($L$57:$L$59) = 0, "", SUM($L$57:$L$59))))</f>
        <v>5315570</v>
      </c>
      <c r="M56">
        <f ca="1">IF(ISERROR(IF(SUM($M$57:$M$59) = 0, "", SUM($M$57:$M$59))), "", (IF(SUM($M$57:$M$59) = 0, "", SUM($M$57:$M$59))))</f>
        <v>5373675</v>
      </c>
      <c r="N56">
        <f ca="1">IF(ISERROR(IF(SUM($N$57:$N$59) = 0, "", SUM($N$57:$N$59))), "", (IF(SUM($N$57:$N$59) = 0, "", SUM($N$57:$N$59))))</f>
        <v>4809872</v>
      </c>
      <c r="O56">
        <f ca="1">IF(ISERROR(IF(SUM($O$57:$O$59) = 0, "", SUM($O$57:$O$59))), "", (IF(SUM($O$57:$O$59) = 0, "", SUM($O$57:$O$59))))</f>
        <v>5343629</v>
      </c>
      <c r="P56">
        <f ca="1">IF(ISERROR(IF(SUM($P$57:$P$59) = 0, "", SUM($P$57:$P$59))), "", (IF(SUM($P$57:$P$59) = 0, "", SUM($P$57:$P$59))))</f>
        <v>5368664</v>
      </c>
      <c r="Q56">
        <f ca="1">IF(ISERROR(IF(SUM($Q$57:$Q$59) = 0, "", SUM($Q$57:$Q$59))), "", (IF(SUM($Q$57:$Q$59) = 0, "", SUM($Q$57:$Q$59))))</f>
        <v>5482473</v>
      </c>
      <c r="R56">
        <f ca="1">IF(ISERROR(IF(SUM($R$57:$R$59) = 0, "", SUM($R$57:$R$59))), "", (IF(SUM($R$57:$R$59) = 0, "", SUM($R$57:$R$59))))</f>
        <v>4822583</v>
      </c>
      <c r="S56">
        <f ca="1">IF(ISERROR(IF(SUM($S$57:$S$59) = 0, "", SUM($S$57:$S$59))), "", (IF(SUM($S$57:$S$59) = 0, "", SUM($S$57:$S$59))))</f>
        <v>5245397</v>
      </c>
      <c r="T56">
        <f ca="1">IF(ISERROR(IF(SUM($T$57:$T$59) = 0, "", SUM($T$57:$T$59))), "", (IF(SUM($T$57:$T$59) = 0, "", SUM($T$57:$T$59))))</f>
        <v>5366644</v>
      </c>
      <c r="U56">
        <f ca="1">IF(ISERROR(IF(SUM($U$57:$U$59) = 0, "", SUM($U$57:$U$59))), "", (IF(SUM($U$57:$U$59) = 0, "", SUM($U$57:$U$59))))</f>
        <v>5415829</v>
      </c>
      <c r="V56">
        <f ca="1">IF(ISERROR(IF(SUM($V$57:$V$59) = 0, "", SUM($V$57:$V$59))), "", (IF(SUM($V$57:$V$59) = 0, "", SUM($V$57:$V$59))))</f>
        <v>4614009</v>
      </c>
      <c r="W56">
        <f ca="1">IF(ISERROR(IF(SUM($W$57:$W$59) = 0, "", SUM($W$57:$W$59))), "", (IF(SUM($W$57:$W$59) = 0, "", SUM($W$57:$W$59))))</f>
        <v>4836466</v>
      </c>
      <c r="X56">
        <f ca="1">IF(ISERROR(IF(SUM($X$57:$X$59) = 0, "", SUM($X$57:$X$59))), "", (IF(SUM($X$57:$X$59) = 0, "", SUM($X$57:$X$59))))</f>
        <v>5052482</v>
      </c>
      <c r="Y56">
        <f ca="1">IF(ISERROR(IF(SUM($Y$57:$Y$59) = 0, "", SUM($Y$57:$Y$59))), "", (IF(SUM($Y$57:$Y$59) = 0, "", SUM($Y$57:$Y$59))))</f>
        <v>5198348</v>
      </c>
      <c r="Z56">
        <f ca="1">IF(ISERROR(IF(SUM($Z$57:$Z$59) = 0, "", SUM($Z$57:$Z$59))), "", (IF(SUM($Z$57:$Z$59) = 0, "", SUM($Z$57:$Z$59))))</f>
        <v>4337744</v>
      </c>
      <c r="AA56">
        <f ca="1">IF(ISERROR(IF(SUM($AA$57:$AA$59) = 0, "", SUM($AA$57:$AA$59))), "", (IF(SUM($AA$57:$AA$59) = 0, "", SUM($AA$57:$AA$59))))</f>
        <v>4493463</v>
      </c>
      <c r="AB56">
        <f ca="1">IF(ISERROR(IF(SUM($AB$57:$AB$59) = 0, "", SUM($AB$57:$AB$59))), "", (IF(SUM($AB$57:$AB$59) = 0, "", SUM($AB$57:$AB$59))))</f>
        <v>4661604</v>
      </c>
      <c r="AC56">
        <f ca="1">IF(ISERROR(IF(SUM($AC$57:$AC$59) = 0, "", SUM($AC$57:$AC$59))), "", (IF(SUM($AC$57:$AC$59) = 0, "", SUM($AC$57:$AC$59))))</f>
        <v>4898063</v>
      </c>
      <c r="AD56">
        <f ca="1">IF(ISERROR(IF(SUM($AD$57:$AD$59) = 0, "", SUM($AD$57:$AD$59))), "", (IF(SUM($AD$57:$AD$59) = 0, "", SUM($AD$57:$AD$59))))</f>
        <v>4278289</v>
      </c>
      <c r="AE56">
        <f ca="1">IF(ISERROR(IF(SUM($AE$57:$AE$59) = 0, "", SUM($AE$57:$AE$59))), "", (IF(SUM($AE$57:$AE$59) = 0, "", SUM($AE$57:$AE$59))))</f>
        <v>4233031</v>
      </c>
      <c r="AF56">
        <f ca="1">IF(ISERROR(IF(SUM($AF$57:$AF$59) = 0, "", SUM($AF$57:$AF$59))), "", (IF(SUM($AF$57:$AF$59) = 0, "", SUM($AF$57:$AF$59))))</f>
        <v>4294423</v>
      </c>
      <c r="AG56">
        <f ca="1">IF(ISERROR(IF(SUM($AG$57:$AG$59) = 0, "", SUM($AG$57:$AG$59))), "", (IF(SUM($AG$57:$AG$59) = 0, "", SUM($AG$57:$AG$59))))</f>
        <v>4524465</v>
      </c>
      <c r="AH56">
        <f ca="1">IF(ISERROR(IF(SUM($AH$57:$AH$59) = 0, "", SUM($AH$57:$AH$59))), "", (IF(SUM($AH$57:$AH$59) = 0, "", SUM($AH$57:$AH$59))))</f>
        <v>4052002</v>
      </c>
      <c r="AI56">
        <f ca="1">IF(ISERROR(IF(SUM($AI$57:$AI$59) = 0, "", SUM($AI$57:$AI$59))), "", (IF(SUM($AI$57:$AI$59) = 0, "", SUM($AI$57:$AI$59))))</f>
        <v>3883884</v>
      </c>
      <c r="AJ56">
        <f ca="1">IF(ISERROR(IF(SUM($AJ$57:$AJ$59) = 0, "", SUM($AJ$57:$AJ$59))), "", (IF(SUM($AJ$57:$AJ$59) = 0, "", SUM($AJ$57:$AJ$59))))</f>
        <v>3809496</v>
      </c>
      <c r="AK56">
        <f ca="1">IF(ISERROR(IF(SUM($AK$57:$AK$59) = 0, "", SUM($AK$57:$AK$59))), "", (IF(SUM($AK$57:$AK$59) = 0, "", SUM($AK$57:$AK$59))))</f>
        <v>3937283</v>
      </c>
      <c r="AL56">
        <f ca="1">IF(ISERROR(IF(SUM($AL$57:$AL$59) = 0, "", SUM($AL$57:$AL$59))), "", (IF(SUM($AL$57:$AL$59) = 0, "", SUM($AL$57:$AL$59))))</f>
        <v>3593738</v>
      </c>
      <c r="AM56">
        <f ca="1">IF(ISERROR(IF(SUM($AM$57:$AM$59) = 0, "", SUM($AM$57:$AM$59))), "", (IF(SUM($AM$57:$AM$59) = 0, "", SUM($AM$57:$AM$59))))</f>
        <v>3572324</v>
      </c>
      <c r="AN56">
        <f ca="1">IF(ISERROR(IF(SUM($AN$57:$AN$59) = 0, "", SUM($AN$57:$AN$59))), "", (IF(SUM($AN$57:$AN$59) = 0, "", SUM($AN$57:$AN$59))))</f>
        <v>3614267</v>
      </c>
      <c r="AO56">
        <f ca="1">IF(ISERROR(IF(SUM($AO$57:$AO$59) = 0, "", SUM($AO$57:$AO$59))), "", (IF(SUM($AO$57:$AO$59) = 0, "", SUM($AO$57:$AO$59))))</f>
        <v>3707888</v>
      </c>
      <c r="AP56">
        <f ca="1">IF(ISERROR(IF(SUM($AP$57:$AP$59) = 0, "", SUM($AP$57:$AP$59))), "", (IF(SUM($AP$57:$AP$59) = 0, "", SUM($AP$57:$AP$59))))</f>
        <v>3060227</v>
      </c>
      <c r="AQ56">
        <f ca="1">IF(ISERROR(IF(SUM($AQ$57:$AQ$59) = 0, "", SUM($AQ$57:$AQ$59))), "", (IF(SUM($AQ$57:$AQ$59) = 0, "", SUM($AQ$57:$AQ$59))))</f>
        <v>3173422</v>
      </c>
      <c r="AR56">
        <f ca="1">IF(ISERROR(IF(SUM($AR$57:$AR$59) = 0, "", SUM($AR$57:$AR$59))), "", (IF(SUM($AR$57:$AR$59) = 0, "", SUM($AR$57:$AR$59))))</f>
        <v>3583206</v>
      </c>
      <c r="AS56">
        <f ca="1">IF(ISERROR(IF(SUM($AS$57:$AS$59) = 0, "", SUM($AS$57:$AS$59))), "", (IF(SUM($AS$57:$AS$59) = 0, "", SUM($AS$57:$AS$59))))</f>
        <v>3201243</v>
      </c>
      <c r="AT56">
        <f ca="1">IF(ISERROR(IF(SUM($AT$57:$AT$59) = 0, "", SUM($AT$57:$AT$59))), "", (IF(SUM($AT$57:$AT$59) = 0, "", SUM($AT$57:$AT$59))))</f>
        <v>2682733</v>
      </c>
      <c r="AU56">
        <f ca="1">IF(ISERROR(IF(SUM($AU$57:$AU$59) = 0, "", SUM($AU$57:$AU$59))), "", (IF(SUM($AU$57:$AU$59) = 0, "", SUM($AU$57:$AU$59))))</f>
        <v>3063680</v>
      </c>
      <c r="AV56">
        <f ca="1">IF(ISERROR(IF(SUM($AV$57:$AV$59) = 0, "", SUM($AV$57:$AV$59))), "", (IF(SUM($AV$57:$AV$59) = 0, "", SUM($AV$57:$AV$59))))</f>
        <v>4021074</v>
      </c>
      <c r="AW56">
        <f ca="1">IF(ISERROR(IF(SUM($AW$57:$AW$59) = 0, "", SUM($AW$57:$AW$59))), "", (IF(SUM($AW$57:$AW$59) = 0, "", SUM($AW$57:$AW$59))))</f>
        <v>4594231</v>
      </c>
      <c r="AX56">
        <f ca="1">IF(ISERROR(IF(SUM($AX$57:$AX$59) = 0, "", SUM($AX$57:$AX$59))), "", (IF(SUM($AX$57:$AX$59) = 0, "", SUM($AX$57:$AX$59))))</f>
        <v>4199749</v>
      </c>
      <c r="AY56">
        <f ca="1">IF(ISERROR(IF(SUM($AY$57:$AY$59) = 0, "", SUM($AY$57:$AY$59))), "", (IF(SUM($AY$57:$AY$59) = 0, "", SUM($AY$57:$AY$59))))</f>
        <v>4479273</v>
      </c>
      <c r="AZ56">
        <f ca="1">IF(ISERROR(IF(SUM($AZ$57:$AZ$59) = 0, "", SUM($AZ$57:$AZ$59))), "", (IF(SUM($AZ$57:$AZ$59) = 0, "", SUM($AZ$57:$AZ$59))))</f>
        <v>4792736</v>
      </c>
      <c r="BA56">
        <f ca="1">IF(ISERROR(IF(SUM($BA$57:$BA$59) = 0, "", SUM($BA$57:$BA$59))), "", (IF(SUM($BA$57:$BA$59) = 0, "", SUM($BA$57:$BA$59))))</f>
        <v>5121513</v>
      </c>
      <c r="BB56">
        <f ca="1">IF(ISERROR(IF(SUM($BB$57:$BB$59) = 0, "", SUM($BB$57:$BB$59))), "", (IF(SUM($BB$57:$BB$59) = 0, "", SUM($BB$57:$BB$59))))</f>
        <v>4506813</v>
      </c>
      <c r="BC56">
        <f ca="1">IF(ISERROR(IF(SUM($BC$57:$BC$59) = 0, "", SUM($BC$57:$BC$59))), "", (IF(SUM($BC$57:$BC$59) = 0, "", SUM($BC$57:$BC$59))))</f>
        <v>4555943</v>
      </c>
      <c r="BD56">
        <f ca="1">IF(ISERROR(IF(SUM($BD$57:$BD$59) = 0, "", SUM($BD$57:$BD$59))), "", (IF(SUM($BD$57:$BD$59) = 0, "", SUM($BD$57:$BD$59))))</f>
        <v>5032554</v>
      </c>
      <c r="BE56">
        <f ca="1">IF(ISERROR(IF(SUM($BE$57:$BE$59) = 0, "", SUM($BE$57:$BE$59))), "", (IF(SUM($BE$57:$BE$59) = 0, "", SUM($BE$57:$BE$59))))</f>
        <v>5170877</v>
      </c>
      <c r="BF56">
        <f ca="1">IF(ISERROR(IF(SUM($BF$57:$BF$59) = 0, "", SUM($BF$57:$BF$59))), "", (IF(SUM($BF$57:$BF$59) = 0, "", SUM($BF$57:$BF$59))))</f>
        <v>4552381</v>
      </c>
      <c r="BG56">
        <f ca="1">IF(ISERROR(IF(SUM($BG$57:$BG$59) = 0, "", SUM($BG$57:$BG$59))), "", (IF(SUM($BG$57:$BG$59) = 0, "", SUM($BG$57:$BG$59))))</f>
        <v>4486603</v>
      </c>
      <c r="BH56">
        <f ca="1">IF(ISERROR(IF(SUM($BH$57:$BH$59) = 0, "", SUM($BH$57:$BH$59))), "", (IF(SUM($BH$57:$BH$59) = 0, "", SUM($BH$57:$BH$59))))</f>
        <v>5309326</v>
      </c>
      <c r="BI56">
        <f ca="1">IF(ISERROR(IF(SUM($BI$57:$BI$59) = 0, "", SUM($BI$57:$BI$59))), "", (IF(SUM($BI$57:$BI$59) = 0, "", SUM($BI$57:$BI$59))))</f>
        <v>5417107</v>
      </c>
      <c r="BJ56">
        <f ca="1">IF(ISERROR(IF(SUM($BJ$57:$BJ$59) = 0, "", SUM($BJ$57:$BJ$59))), "", (IF(SUM($BJ$57:$BJ$59) = 0, "", SUM($BJ$57:$BJ$59))))</f>
        <v>4490824</v>
      </c>
      <c r="BK56">
        <f ca="1">IF(ISERROR(IF(SUM($BK$57:$BK$59) = 0, "", SUM($BK$57:$BK$59))), "", (IF(SUM($BK$57:$BK$59) = 0, "", SUM($BK$57:$BK$59))))</f>
        <v>4763144</v>
      </c>
      <c r="BL56">
        <f ca="1">IF(ISERROR(IF(SUM($BL$57:$BL$59) = 0, "", SUM($BL$57:$BL$59))), "", (IF(SUM($BL$57:$BL$59) = 0, "", SUM($BL$57:$BL$59))))</f>
        <v>5062522</v>
      </c>
      <c r="BM56">
        <f ca="1">IF(ISERROR(IF(SUM($BM$57:$BM$59) = 0, "", SUM($BM$57:$BM$59))), "", (IF(SUM($BM$57:$BM$59) = 0, "", SUM($BM$57:$BM$59))))</f>
        <v>5213439</v>
      </c>
      <c r="BN56">
        <f>220012</f>
        <v>220012</v>
      </c>
      <c r="BO56">
        <f>812179</f>
        <v>812179</v>
      </c>
      <c r="BP56">
        <f>876880</f>
        <v>876880</v>
      </c>
      <c r="BQ56">
        <f>950970</f>
        <v>950970</v>
      </c>
      <c r="BR56">
        <f>4857333</f>
        <v>4857333</v>
      </c>
      <c r="BS56">
        <f>5201823</f>
        <v>5201823</v>
      </c>
      <c r="BT56">
        <f>5315570</f>
        <v>5315570</v>
      </c>
      <c r="BU56">
        <f>5373675</f>
        <v>5373675</v>
      </c>
      <c r="BV56">
        <f>4809872</f>
        <v>4809872</v>
      </c>
      <c r="BW56">
        <f>5343629</f>
        <v>5343629</v>
      </c>
      <c r="BX56">
        <f>5368664</f>
        <v>5368664</v>
      </c>
      <c r="BY56">
        <f>5482473</f>
        <v>5482473</v>
      </c>
      <c r="BZ56">
        <f>4822583</f>
        <v>4822583</v>
      </c>
      <c r="CA56">
        <f>5245397</f>
        <v>5245397</v>
      </c>
      <c r="CB56">
        <f>5366644</f>
        <v>5366644</v>
      </c>
      <c r="CC56">
        <f>5415829</f>
        <v>5415829</v>
      </c>
      <c r="CD56">
        <f>4614009</f>
        <v>4614009</v>
      </c>
      <c r="CE56">
        <f>4836466</f>
        <v>4836466</v>
      </c>
      <c r="CF56">
        <f>5052482</f>
        <v>5052482</v>
      </c>
      <c r="CG56">
        <f>5198348</f>
        <v>5198348</v>
      </c>
      <c r="CH56">
        <f>4337744</f>
        <v>4337744</v>
      </c>
      <c r="CI56">
        <f>4493463</f>
        <v>4493463</v>
      </c>
      <c r="CJ56">
        <f>4661604</f>
        <v>4661604</v>
      </c>
      <c r="CK56">
        <f>4898063</f>
        <v>4898063</v>
      </c>
      <c r="CL56">
        <f>4278289</f>
        <v>4278289</v>
      </c>
      <c r="CM56">
        <f>4233031</f>
        <v>4233031</v>
      </c>
      <c r="CN56">
        <f>4294423</f>
        <v>4294423</v>
      </c>
      <c r="CO56">
        <f>4524465</f>
        <v>4524465</v>
      </c>
      <c r="CP56">
        <f>4052002</f>
        <v>4052002</v>
      </c>
      <c r="CQ56">
        <f>3883884</f>
        <v>3883884</v>
      </c>
      <c r="CR56">
        <f>3809496</f>
        <v>3809496</v>
      </c>
      <c r="CS56">
        <f>3937283</f>
        <v>3937283</v>
      </c>
      <c r="CT56">
        <f>3593738</f>
        <v>3593738</v>
      </c>
      <c r="CU56">
        <f>3572324</f>
        <v>3572324</v>
      </c>
      <c r="CV56">
        <f>3614267</f>
        <v>3614267</v>
      </c>
      <c r="CW56">
        <f>3707888</f>
        <v>3707888</v>
      </c>
      <c r="CX56">
        <f>3060227</f>
        <v>3060227</v>
      </c>
      <c r="CY56">
        <f>3173422</f>
        <v>3173422</v>
      </c>
      <c r="CZ56">
        <f>3583206</f>
        <v>3583206</v>
      </c>
      <c r="DA56">
        <f>3201243</f>
        <v>3201243</v>
      </c>
      <c r="DB56">
        <f>2682733</f>
        <v>2682733</v>
      </c>
      <c r="DC56">
        <f>3063680</f>
        <v>3063680</v>
      </c>
      <c r="DD56">
        <f>4021074</f>
        <v>4021074</v>
      </c>
      <c r="DE56">
        <f>4594231</f>
        <v>4594231</v>
      </c>
      <c r="DF56">
        <f>4199749</f>
        <v>4199749</v>
      </c>
      <c r="DG56">
        <f>4479273</f>
        <v>4479273</v>
      </c>
      <c r="DH56">
        <f>4792736</f>
        <v>4792736</v>
      </c>
      <c r="DI56">
        <f>5121513</f>
        <v>5121513</v>
      </c>
      <c r="DJ56">
        <f>4506813</f>
        <v>4506813</v>
      </c>
      <c r="DK56">
        <f>4555943</f>
        <v>4555943</v>
      </c>
      <c r="DL56">
        <f>5032554</f>
        <v>5032554</v>
      </c>
      <c r="DM56">
        <f>5170877</f>
        <v>5170877</v>
      </c>
      <c r="DN56">
        <f>4552381</f>
        <v>4552381</v>
      </c>
      <c r="DO56">
        <f>4486603</f>
        <v>4486603</v>
      </c>
      <c r="DP56">
        <f>5309326</f>
        <v>5309326</v>
      </c>
      <c r="DQ56">
        <f>5417107</f>
        <v>5417107</v>
      </c>
      <c r="DR56">
        <f>4490824</f>
        <v>4490824</v>
      </c>
      <c r="DS56">
        <f>4763144</f>
        <v>4763144</v>
      </c>
      <c r="DT56">
        <f>5062522</f>
        <v>5062522</v>
      </c>
      <c r="DU56">
        <f>5213439</f>
        <v>5213439</v>
      </c>
    </row>
    <row r="57" spans="1:125" x14ac:dyDescent="0.25">
      <c r="A57" t="str">
        <f>"        Canada"</f>
        <v xml:space="preserve">        Canada</v>
      </c>
      <c r="B57" t="str">
        <f>"CAUTSALE Index"</f>
        <v>CAUTSALE Index</v>
      </c>
      <c r="E57" t="str">
        <f>"Expression"</f>
        <v>Expression</v>
      </c>
      <c r="F57">
        <f ca="1">IF(AND($B$156=1,LEN($F$160)&gt;0),$F$160*1000,HLOOKUP(INDIRECT(ADDRESS(2,COLUMN())),OFFSET($BN$2,0,0,ROW()-1,60),ROW()-1,FALSE))</f>
        <v>108800</v>
      </c>
      <c r="G57">
        <f ca="1">IF(AND($B$156=1,LEN($G$160)&gt;0),$G$160*1000,HLOOKUP(INDIRECT(ADDRESS(2,COLUMN())),OFFSET($BN$2,0,0,ROW()-1,60),ROW()-1,FALSE))</f>
        <v>419100</v>
      </c>
      <c r="H57">
        <f ca="1">IF(AND($B$156=1,LEN($H$160)&gt;0),$H$160*1000,HLOOKUP(INDIRECT(ADDRESS(2,COLUMN())),OFFSET($BN$2,0,0,ROW()-1,60),ROW()-1,FALSE))</f>
        <v>529200</v>
      </c>
      <c r="I57">
        <f ca="1">IF(AND($B$156=1,LEN($I$160)&gt;0),$I$160*1000,HLOOKUP(INDIRECT(ADDRESS(2,COLUMN())),OFFSET($BN$2,0,0,ROW()-1,60),ROW()-1,FALSE))</f>
        <v>607500</v>
      </c>
      <c r="J57">
        <f ca="1">IF(AND($B$156=1,LEN($J$160)&gt;0),$J$160*1000,HLOOKUP(INDIRECT(ADDRESS(2,COLUMN())),OFFSET($BN$2,0,0,ROW()-1,60),ROW()-1,FALSE))</f>
        <v>429200</v>
      </c>
      <c r="K57">
        <f ca="1">IF(AND($B$156=1,LEN($K$160)&gt;0),$K$160*1000,HLOOKUP(INDIRECT(ADDRESS(2,COLUMN())),OFFSET($BN$2,0,0,ROW()-1,60),ROW()-1,FALSE))</f>
        <v>447100</v>
      </c>
      <c r="L57">
        <f ca="1">IF(AND($B$156=1,LEN($L$160)&gt;0),$L$160*1000,HLOOKUP(INDIRECT(ADDRESS(2,COLUMN())),OFFSET($BN$2,0,0,ROW()-1,60),ROW()-1,FALSE))</f>
        <v>552500</v>
      </c>
      <c r="M57">
        <f ca="1">IF(AND($B$156=1,LEN($M$160)&gt;0),$M$160*1000,HLOOKUP(INDIRECT(ADDRESS(2,COLUMN())),OFFSET($BN$2,0,0,ROW()-1,60),ROW()-1,FALSE))</f>
        <v>617600</v>
      </c>
      <c r="N57">
        <f ca="1">IF(AND($B$156=1,LEN($N$160)&gt;0),$N$160*1000,HLOOKUP(INDIRECT(ADDRESS(2,COLUMN())),OFFSET($BN$2,0,0,ROW()-1,60),ROW()-1,FALSE))</f>
        <v>421400</v>
      </c>
      <c r="O57">
        <f ca="1">IF(AND($B$156=1,LEN($O$160)&gt;0),$O$160*1000,HLOOKUP(INDIRECT(ADDRESS(2,COLUMN())),OFFSET($BN$2,0,0,ROW()-1,60),ROW()-1,FALSE))</f>
        <v>440700</v>
      </c>
      <c r="P57">
        <f ca="1">IF(AND($B$156=1,LEN($P$160)&gt;0),$P$160*1000,HLOOKUP(INDIRECT(ADDRESS(2,COLUMN())),OFFSET($BN$2,0,0,ROW()-1,60),ROW()-1,FALSE))</f>
        <v>518800</v>
      </c>
      <c r="Q57">
        <f ca="1">IF(AND($B$156=1,LEN($Q$160)&gt;0),$Q$160*1000,HLOOKUP(INDIRECT(ADDRESS(2,COLUMN())),OFFSET($BN$2,0,0,ROW()-1,60),ROW()-1,FALSE))</f>
        <v>586400</v>
      </c>
      <c r="R57">
        <f ca="1">IF(AND($B$156=1,LEN($R$160)&gt;0),$R$160*1000,HLOOKUP(INDIRECT(ADDRESS(2,COLUMN())),OFFSET($BN$2,0,0,ROW()-1,60),ROW()-1,FALSE))</f>
        <v>403000</v>
      </c>
      <c r="S57">
        <f ca="1">IF(AND($B$156=1,LEN($S$160)&gt;0),$S$160*1000,HLOOKUP(INDIRECT(ADDRESS(2,COLUMN())),OFFSET($BN$2,0,0,ROW()-1,60),ROW()-1,FALSE))</f>
        <v>437500</v>
      </c>
      <c r="T57">
        <f ca="1">IF(AND($B$156=1,LEN($T$160)&gt;0),$T$160*1000,HLOOKUP(INDIRECT(ADDRESS(2,COLUMN())),OFFSET($BN$2,0,0,ROW()-1,60),ROW()-1,FALSE))</f>
        <v>527900</v>
      </c>
      <c r="U57">
        <f ca="1">IF(AND($B$156=1,LEN($U$160)&gt;0),$U$160*1000,HLOOKUP(INDIRECT(ADDRESS(2,COLUMN())),OFFSET($BN$2,0,0,ROW()-1,60),ROW()-1,FALSE))</f>
        <v>565000</v>
      </c>
      <c r="V57">
        <f ca="1">IF(AND($B$156=1,LEN($V$160)&gt;0),$V$160*1000,HLOOKUP(INDIRECT(ADDRESS(2,COLUMN())),OFFSET($BN$2,0,0,ROW()-1,60),ROW()-1,FALSE))</f>
        <v>368700</v>
      </c>
      <c r="W57">
        <f ca="1">IF(AND($B$156=1,LEN($W$160)&gt;0),$W$160*1000,HLOOKUP(INDIRECT(ADDRESS(2,COLUMN())),OFFSET($BN$2,0,0,ROW()-1,60),ROW()-1,FALSE))</f>
        <v>425400</v>
      </c>
      <c r="X57">
        <f ca="1">IF(AND($B$156=1,LEN($X$160)&gt;0),$X$160*1000,HLOOKUP(INDIRECT(ADDRESS(2,COLUMN())),OFFSET($BN$2,0,0,ROW()-1,60),ROW()-1,FALSE))</f>
        <v>516800</v>
      </c>
      <c r="Y57">
        <f ca="1">IF(AND($B$156=1,LEN($Y$160)&gt;0),$Y$160*1000,HLOOKUP(INDIRECT(ADDRESS(2,COLUMN())),OFFSET($BN$2,0,0,ROW()-1,60),ROW()-1,FALSE))</f>
        <v>550400</v>
      </c>
      <c r="Z57">
        <f ca="1">IF(AND($B$156=1,LEN($Z$160)&gt;0),$Z$160*1000,HLOOKUP(INDIRECT(ADDRESS(2,COLUMN())),OFFSET($BN$2,0,0,ROW()-1,60),ROW()-1,FALSE))</f>
        <v>358800</v>
      </c>
      <c r="AA57">
        <f ca="1">IF(AND($B$156=1,LEN($AA$160)&gt;0),$AA$160*1000,HLOOKUP(INDIRECT(ADDRESS(2,COLUMN())),OFFSET($BN$2,0,0,ROW()-1,60),ROW()-1,FALSE))</f>
        <v>392700</v>
      </c>
      <c r="AB57">
        <f ca="1">IF(AND($B$156=1,LEN($AB$160)&gt;0),$AB$160*1000,HLOOKUP(INDIRECT(ADDRESS(2,COLUMN())),OFFSET($BN$2,0,0,ROW()-1,60),ROW()-1,FALSE))</f>
        <v>467400</v>
      </c>
      <c r="AC57">
        <f ca="1">IF(AND($B$156=1,LEN($AC$160)&gt;0),$AC$160*1000,HLOOKUP(INDIRECT(ADDRESS(2,COLUMN())),OFFSET($BN$2,0,0,ROW()-1,60),ROW()-1,FALSE))</f>
        <v>529000</v>
      </c>
      <c r="AD57">
        <f ca="1">IF(AND($B$156=1,LEN($AD$160)&gt;0),$AD$160*1000,HLOOKUP(INDIRECT(ADDRESS(2,COLUMN())),OFFSET($BN$2,0,0,ROW()-1,60),ROW()-1,FALSE))</f>
        <v>355400</v>
      </c>
      <c r="AE57">
        <f ca="1">IF(AND($B$156=1,LEN($AE$160)&gt;0),$AE$160*1000,HLOOKUP(INDIRECT(ADDRESS(2,COLUMN())),OFFSET($BN$2,0,0,ROW()-1,60),ROW()-1,FALSE))</f>
        <v>370100</v>
      </c>
      <c r="AF57">
        <f ca="1">IF(AND($B$156=1,LEN($AF$160)&gt;0),$AF$160*1000,HLOOKUP(INDIRECT(ADDRESS(2,COLUMN())),OFFSET($BN$2,0,0,ROW()-1,60),ROW()-1,FALSE))</f>
        <v>440600</v>
      </c>
      <c r="AG57">
        <f ca="1">IF(AND($B$156=1,LEN($AG$160)&gt;0),$AG$160*1000,HLOOKUP(INDIRECT(ADDRESS(2,COLUMN())),OFFSET($BN$2,0,0,ROW()-1,60),ROW()-1,FALSE))</f>
        <v>503000</v>
      </c>
      <c r="AH57">
        <f ca="1">IF(AND($B$156=1,LEN($AH$160)&gt;0),$AH$160*1000,HLOOKUP(INDIRECT(ADDRESS(2,COLUMN())),OFFSET($BN$2,0,0,ROW()-1,60),ROW()-1,FALSE))</f>
        <v>361900</v>
      </c>
      <c r="AI57">
        <f ca="1">IF(AND($B$156=1,LEN($AI$160)&gt;0),$AI$160*1000,HLOOKUP(INDIRECT(ADDRESS(2,COLUMN())),OFFSET($BN$2,0,0,ROW()-1,60),ROW()-1,FALSE))</f>
        <v>361400</v>
      </c>
      <c r="AJ57">
        <f ca="1">IF(AND($B$156=1,LEN($AJ$160)&gt;0),$AJ$160*1000,HLOOKUP(INDIRECT(ADDRESS(2,COLUMN())),OFFSET($BN$2,0,0,ROW()-1,60),ROW()-1,FALSE))</f>
        <v>416400</v>
      </c>
      <c r="AK57">
        <f ca="1">IF(AND($B$156=1,LEN($AK$160)&gt;0),$AK$160*1000,HLOOKUP(INDIRECT(ADDRESS(2,COLUMN())),OFFSET($BN$2,0,0,ROW()-1,60),ROW()-1,FALSE))</f>
        <v>473700</v>
      </c>
      <c r="AL57">
        <f ca="1">IF(AND($B$156=1,LEN($AL$160)&gt;0),$AL$160*1000,HLOOKUP(INDIRECT(ADDRESS(2,COLUMN())),OFFSET($BN$2,0,0,ROW()-1,60),ROW()-1,FALSE))</f>
        <v>334000</v>
      </c>
      <c r="AM57">
        <f ca="1">IF(AND($B$156=1,LEN($AM$160)&gt;0),$AM$160*1000,HLOOKUP(INDIRECT(ADDRESS(2,COLUMN())),OFFSET($BN$2,0,0,ROW()-1,60),ROW()-1,FALSE))</f>
        <v>350900</v>
      </c>
      <c r="AN57">
        <f ca="1">IF(AND($B$156=1,LEN($AN$160)&gt;0),$AN$160*1000,HLOOKUP(INDIRECT(ADDRESS(2,COLUMN())),OFFSET($BN$2,0,0,ROW()-1,60),ROW()-1,FALSE))</f>
        <v>420000</v>
      </c>
      <c r="AO57">
        <f ca="1">IF(AND($B$156=1,LEN($AO$160)&gt;0),$AO$160*1000,HLOOKUP(INDIRECT(ADDRESS(2,COLUMN())),OFFSET($BN$2,0,0,ROW()-1,60),ROW()-1,FALSE))</f>
        <v>459200</v>
      </c>
      <c r="AP57">
        <f ca="1">IF(AND($B$156=1,LEN($AP$160)&gt;0),$AP$160*1000,HLOOKUP(INDIRECT(ADDRESS(2,COLUMN())),OFFSET($BN$2,0,0,ROW()-1,60),ROW()-1,FALSE))</f>
        <v>327200</v>
      </c>
      <c r="AQ57">
        <f ca="1">IF(AND($B$156=1,LEN($AQ$160)&gt;0),$AQ$160*1000,HLOOKUP(INDIRECT(ADDRESS(2,COLUMN())),OFFSET($BN$2,0,0,ROW()-1,60),ROW()-1,FALSE))</f>
        <v>334800</v>
      </c>
      <c r="AR57">
        <f ca="1">IF(AND($B$156=1,LEN($AR$160)&gt;0),$AR$160*1000,HLOOKUP(INDIRECT(ADDRESS(2,COLUMN())),OFFSET($BN$2,0,0,ROW()-1,60),ROW()-1,FALSE))</f>
        <v>404800</v>
      </c>
      <c r="AS57">
        <f ca="1">IF(AND($B$156=1,LEN($AS$160)&gt;0),$AS$160*1000,HLOOKUP(INDIRECT(ADDRESS(2,COLUMN())),OFFSET($BN$2,0,0,ROW()-1,60),ROW()-1,FALSE))</f>
        <v>436400</v>
      </c>
      <c r="AT57">
        <f ca="1">IF(AND($B$156=1,LEN($AT$160)&gt;0),$AT$160*1000,HLOOKUP(INDIRECT(ADDRESS(2,COLUMN())),OFFSET($BN$2,0,0,ROW()-1,60),ROW()-1,FALSE))</f>
        <v>284600</v>
      </c>
      <c r="AU57">
        <f ca="1">IF(AND($B$156=1,LEN($AU$160)&gt;0),$AU$160*1000,HLOOKUP(INDIRECT(ADDRESS(2,COLUMN())),OFFSET($BN$2,0,0,ROW()-1,60),ROW()-1,FALSE))</f>
        <v>322300</v>
      </c>
      <c r="AV57">
        <f ca="1">IF(AND($B$156=1,LEN($AV$160)&gt;0),$AV$160*1000,HLOOKUP(INDIRECT(ADDRESS(2,COLUMN())),OFFSET($BN$2,0,0,ROW()-1,60),ROW()-1,FALSE))</f>
        <v>430600</v>
      </c>
      <c r="AW57">
        <f ca="1">IF(AND($B$156=1,LEN($AW$160)&gt;0),$AW$160*1000,HLOOKUP(INDIRECT(ADDRESS(2,COLUMN())),OFFSET($BN$2,0,0,ROW()-1,60),ROW()-1,FALSE))</f>
        <v>519200</v>
      </c>
      <c r="AX57">
        <f ca="1">IF(AND($B$156=1,LEN($AX$160)&gt;0),$AX$160*1000,HLOOKUP(INDIRECT(ADDRESS(2,COLUMN())),OFFSET($BN$2,0,0,ROW()-1,60),ROW()-1,FALSE))</f>
        <v>363800</v>
      </c>
      <c r="AY57">
        <f ca="1">IF(AND($B$156=1,LEN($AY$160)&gt;0),$AY$160*1000,HLOOKUP(INDIRECT(ADDRESS(2,COLUMN())),OFFSET($BN$2,0,0,ROW()-1,60),ROW()-1,FALSE))</f>
        <v>358100</v>
      </c>
      <c r="AZ57">
        <f ca="1">IF(AND($B$156=1,LEN($AZ$160)&gt;0),$AZ$160*1000,HLOOKUP(INDIRECT(ADDRESS(2,COLUMN())),OFFSET($BN$2,0,0,ROW()-1,60),ROW()-1,FALSE))</f>
        <v>432600</v>
      </c>
      <c r="BA57">
        <f ca="1">IF(AND($B$156=1,LEN($BA$160)&gt;0),$BA$160*1000,HLOOKUP(INDIRECT(ADDRESS(2,COLUMN())),OFFSET($BN$2,0,0,ROW()-1,60),ROW()-1,FALSE))</f>
        <v>523700</v>
      </c>
      <c r="BB57">
        <f ca="1">IF(AND($B$156=1,LEN($BB$160)&gt;0),$BB$160*1000,HLOOKUP(INDIRECT(ADDRESS(2,COLUMN())),OFFSET($BN$2,0,0,ROW()-1,60),ROW()-1,FALSE))</f>
        <v>338900</v>
      </c>
      <c r="BC57">
        <f ca="1">IF(AND($B$156=1,LEN($BC$160)&gt;0),$BC$160*1000,HLOOKUP(INDIRECT(ADDRESS(2,COLUMN())),OFFSET($BN$2,0,0,ROW()-1,60),ROW()-1,FALSE))</f>
        <v>368200</v>
      </c>
      <c r="BD57">
        <f ca="1">IF(AND($B$156=1,LEN($BD$160)&gt;0),$BD$160*1000,HLOOKUP(INDIRECT(ADDRESS(2,COLUMN())),OFFSET($BN$2,0,0,ROW()-1,60),ROW()-1,FALSE))</f>
        <v>431000</v>
      </c>
      <c r="BE57">
        <f ca="1">IF(AND($B$156=1,LEN($BE$160)&gt;0),$BE$160*1000,HLOOKUP(INDIRECT(ADDRESS(2,COLUMN())),OFFSET($BN$2,0,0,ROW()-1,60),ROW()-1,FALSE))</f>
        <v>480600</v>
      </c>
      <c r="BF57">
        <f ca="1">IF(AND($B$156=1,LEN($BF$160)&gt;0),$BF$160*1000,HLOOKUP(INDIRECT(ADDRESS(2,COLUMN())),OFFSET($BN$2,0,0,ROW()-1,60),ROW()-1,FALSE))</f>
        <v>334900</v>
      </c>
      <c r="BG57">
        <f ca="1">IF(AND($B$156=1,LEN($BG$160)&gt;0),$BG$160*1000,HLOOKUP(INDIRECT(ADDRESS(2,COLUMN())),OFFSET($BN$2,0,0,ROW()-1,60),ROW()-1,FALSE))</f>
        <v>353200</v>
      </c>
      <c r="BH57">
        <f ca="1">IF(AND($B$156=1,LEN($BH$160)&gt;0),$BH$160*1000,HLOOKUP(INDIRECT(ADDRESS(2,COLUMN())),OFFSET($BN$2,0,0,ROW()-1,60),ROW()-1,FALSE))</f>
        <v>421500</v>
      </c>
      <c r="BI57">
        <f ca="1">IF(AND($B$156=1,LEN($BI$160)&gt;0),$BI$160*1000,HLOOKUP(INDIRECT(ADDRESS(2,COLUMN())),OFFSET($BN$2,0,0,ROW()-1,60),ROW()-1,FALSE))</f>
        <v>482100</v>
      </c>
      <c r="BJ57">
        <f ca="1">IF(AND($B$156=1,LEN($BJ$160)&gt;0),$BJ$160*1000,HLOOKUP(INDIRECT(ADDRESS(2,COLUMN())),OFFSET($BN$2,0,0,ROW()-1,60),ROW()-1,FALSE))</f>
        <v>326400</v>
      </c>
      <c r="BK57">
        <f ca="1">IF(AND($B$156=1,LEN($BK$160)&gt;0),$BK$160*1000,HLOOKUP(INDIRECT(ADDRESS(2,COLUMN())),OFFSET($BN$2,0,0,ROW()-1,60),ROW()-1,FALSE))</f>
        <v>351000</v>
      </c>
      <c r="BL57">
        <f ca="1">IF(AND($B$156=1,LEN($BL$160)&gt;0),$BL$160*1000,HLOOKUP(INDIRECT(ADDRESS(2,COLUMN())),OFFSET($BN$2,0,0,ROW()-1,60),ROW()-1,FALSE))</f>
        <v>392500</v>
      </c>
      <c r="BM57">
        <f ca="1">IF(AND($B$156=1,LEN($BM$160)&gt;0),$BM$160*1000,HLOOKUP(INDIRECT(ADDRESS(2,COLUMN())),OFFSET($BN$2,0,0,ROW()-1,60),ROW()-1,FALSE))</f>
        <v>469800</v>
      </c>
      <c r="BN57">
        <f>108800</f>
        <v>108800</v>
      </c>
      <c r="BO57">
        <f>419100</f>
        <v>419100</v>
      </c>
      <c r="BP57">
        <f>529200</f>
        <v>529200</v>
      </c>
      <c r="BQ57">
        <f>607500</f>
        <v>607500</v>
      </c>
      <c r="BR57">
        <f>429200</f>
        <v>429200</v>
      </c>
      <c r="BS57">
        <f>447100</f>
        <v>447100</v>
      </c>
      <c r="BT57">
        <f>552500</f>
        <v>552500</v>
      </c>
      <c r="BU57">
        <f>617600</f>
        <v>617600</v>
      </c>
      <c r="BV57">
        <f>421400</f>
        <v>421400</v>
      </c>
      <c r="BW57">
        <f>440700</f>
        <v>440700</v>
      </c>
      <c r="BX57">
        <f>518800</f>
        <v>518800</v>
      </c>
      <c r="BY57">
        <f>586400</f>
        <v>586400</v>
      </c>
      <c r="BZ57">
        <f>403000</f>
        <v>403000</v>
      </c>
      <c r="CA57">
        <f>437500</f>
        <v>437500</v>
      </c>
      <c r="CB57">
        <f>527900</f>
        <v>527900</v>
      </c>
      <c r="CC57">
        <f>565000</f>
        <v>565000</v>
      </c>
      <c r="CD57">
        <f>368700</f>
        <v>368700</v>
      </c>
      <c r="CE57">
        <f>425400</f>
        <v>425400</v>
      </c>
      <c r="CF57">
        <f>516800</f>
        <v>516800</v>
      </c>
      <c r="CG57">
        <f>550400</f>
        <v>550400</v>
      </c>
      <c r="CH57">
        <f>358800</f>
        <v>358800</v>
      </c>
      <c r="CI57">
        <f>392700</f>
        <v>392700</v>
      </c>
      <c r="CJ57">
        <f>467400</f>
        <v>467400</v>
      </c>
      <c r="CK57">
        <f>529000</f>
        <v>529000</v>
      </c>
      <c r="CL57">
        <f>355400</f>
        <v>355400</v>
      </c>
      <c r="CM57">
        <f>370100</f>
        <v>370100</v>
      </c>
      <c r="CN57">
        <f>440600</f>
        <v>440600</v>
      </c>
      <c r="CO57">
        <f>503000</f>
        <v>503000</v>
      </c>
      <c r="CP57">
        <f>361900</f>
        <v>361900</v>
      </c>
      <c r="CQ57">
        <f>361400</f>
        <v>361400</v>
      </c>
      <c r="CR57">
        <f>416400</f>
        <v>416400</v>
      </c>
      <c r="CS57">
        <f>473700</f>
        <v>473700</v>
      </c>
      <c r="CT57">
        <f>334000</f>
        <v>334000</v>
      </c>
      <c r="CU57">
        <f>350900</f>
        <v>350900</v>
      </c>
      <c r="CV57">
        <f>420000</f>
        <v>420000</v>
      </c>
      <c r="CW57">
        <f>459200</f>
        <v>459200</v>
      </c>
      <c r="CX57">
        <f>327200</f>
        <v>327200</v>
      </c>
      <c r="CY57">
        <f>334800</f>
        <v>334800</v>
      </c>
      <c r="CZ57">
        <f>404800</f>
        <v>404800</v>
      </c>
      <c r="DA57">
        <f>436400</f>
        <v>436400</v>
      </c>
      <c r="DB57">
        <f>284600</f>
        <v>284600</v>
      </c>
      <c r="DC57">
        <f>322300</f>
        <v>322300</v>
      </c>
      <c r="DD57">
        <f>430600</f>
        <v>430600</v>
      </c>
      <c r="DE57">
        <f>519200</f>
        <v>519200</v>
      </c>
      <c r="DF57">
        <f>363800</f>
        <v>363800</v>
      </c>
      <c r="DG57">
        <f>358100</f>
        <v>358100</v>
      </c>
      <c r="DH57">
        <f>432600</f>
        <v>432600</v>
      </c>
      <c r="DI57">
        <f>523700</f>
        <v>523700</v>
      </c>
      <c r="DJ57">
        <f>338900</f>
        <v>338900</v>
      </c>
      <c r="DK57">
        <f>368200</f>
        <v>368200</v>
      </c>
      <c r="DL57">
        <f>431000</f>
        <v>431000</v>
      </c>
      <c r="DM57">
        <f>480600</f>
        <v>480600</v>
      </c>
      <c r="DN57">
        <f>334900</f>
        <v>334900</v>
      </c>
      <c r="DO57">
        <f>353200</f>
        <v>353200</v>
      </c>
      <c r="DP57">
        <f>421500</f>
        <v>421500</v>
      </c>
      <c r="DQ57">
        <f>482100</f>
        <v>482100</v>
      </c>
      <c r="DR57">
        <f>326400</f>
        <v>326400</v>
      </c>
      <c r="DS57">
        <f>351000</f>
        <v>351000</v>
      </c>
      <c r="DT57">
        <f>392500</f>
        <v>392500</v>
      </c>
      <c r="DU57">
        <f>469800</f>
        <v>469800</v>
      </c>
    </row>
    <row r="58" spans="1:125" x14ac:dyDescent="0.25">
      <c r="A58" t="str">
        <f>"        Mexico"</f>
        <v xml:space="preserve">        Mexico</v>
      </c>
      <c r="B58" t="str">
        <f>"MXVHTOTL Index"</f>
        <v>MXVHTOTL Index</v>
      </c>
      <c r="C58" t="str">
        <f>"PX385"</f>
        <v>PX385</v>
      </c>
      <c r="D58" t="str">
        <f>"INTERVAL_SUM"</f>
        <v>INTERVAL_SUM</v>
      </c>
      <c r="E58" t="str">
        <f>"Dynamic"</f>
        <v>Dynamic</v>
      </c>
      <c r="F58">
        <f ca="1">IF(AND(ISNUMBER($F$207),$B$156=1),$F$207,HLOOKUP(INDIRECT(ADDRESS(2,COLUMN())),OFFSET($BN$2,0,0,ROW()-1,60),ROW()-1,FALSE))</f>
        <v>111212</v>
      </c>
      <c r="G58">
        <f ca="1">IF(AND(ISNUMBER($G$207),$B$156=1),$G$207,HLOOKUP(INDIRECT(ADDRESS(2,COLUMN())),OFFSET($BN$2,0,0,ROW()-1,60),ROW()-1,FALSE))</f>
        <v>393079</v>
      </c>
      <c r="H58">
        <f ca="1">IF(AND(ISNUMBER($H$207),$B$156=1),$H$207,HLOOKUP(INDIRECT(ADDRESS(2,COLUMN())),OFFSET($BN$2,0,0,ROW()-1,60),ROW()-1,FALSE))</f>
        <v>347680</v>
      </c>
      <c r="I58">
        <f ca="1">IF(AND(ISNUMBER($I$207),$B$156=1),$I$207,HLOOKUP(INDIRECT(ADDRESS(2,COLUMN())),OFFSET($BN$2,0,0,ROW()-1,60),ROW()-1,FALSE))</f>
        <v>343470</v>
      </c>
      <c r="J58">
        <f ca="1">IF(AND(ISNUMBER($J$207),$B$156=1),$J$207,HLOOKUP(INDIRECT(ADDRESS(2,COLUMN())),OFFSET($BN$2,0,0,ROW()-1,60),ROW()-1,FALSE))</f>
        <v>337229</v>
      </c>
      <c r="K58">
        <f ca="1">IF(AND(ISNUMBER($K$207),$B$156=1),$K$207,HLOOKUP(INDIRECT(ADDRESS(2,COLUMN())),OFFSET($BN$2,0,0,ROW()-1,60),ROW()-1,FALSE))</f>
        <v>423469</v>
      </c>
      <c r="L58">
        <f ca="1">IF(AND(ISNUMBER($L$207),$B$156=1),$L$207,HLOOKUP(INDIRECT(ADDRESS(2,COLUMN())),OFFSET($BN$2,0,0,ROW()-1,60),ROW()-1,FALSE))</f>
        <v>363797</v>
      </c>
      <c r="M58">
        <f ca="1">IF(AND(ISNUMBER($M$207),$B$156=1),$M$207,HLOOKUP(INDIRECT(ADDRESS(2,COLUMN())),OFFSET($BN$2,0,0,ROW()-1,60),ROW()-1,FALSE))</f>
        <v>364803</v>
      </c>
      <c r="N58">
        <f ca="1">IF(AND(ISNUMBER($N$207),$B$156=1),$N$207,HLOOKUP(INDIRECT(ADDRESS(2,COLUMN())),OFFSET($BN$2,0,0,ROW()-1,60),ROW()-1,FALSE))</f>
        <v>378248</v>
      </c>
      <c r="O58">
        <f ca="1">IF(AND(ISNUMBER($O$207),$B$156=1),$O$207,HLOOKUP(INDIRECT(ADDRESS(2,COLUMN())),OFFSET($BN$2,0,0,ROW()-1,60),ROW()-1,FALSE))</f>
        <v>484566</v>
      </c>
      <c r="P58">
        <f ca="1">IF(AND(ISNUMBER($P$207),$B$156=1),$P$207,HLOOKUP(INDIRECT(ADDRESS(2,COLUMN())),OFFSET($BN$2,0,0,ROW()-1,60),ROW()-1,FALSE))</f>
        <v>397250</v>
      </c>
      <c r="Q58">
        <f ca="1">IF(AND(ISNUMBER($Q$207),$B$156=1),$Q$207,HLOOKUP(INDIRECT(ADDRESS(2,COLUMN())),OFFSET($BN$2,0,0,ROW()-1,60),ROW()-1,FALSE))</f>
        <v>374530</v>
      </c>
      <c r="R58">
        <f ca="1">IF(AND(ISNUMBER($R$207),$B$156=1),$R$207,HLOOKUP(INDIRECT(ADDRESS(2,COLUMN())),OFFSET($BN$2,0,0,ROW()-1,60),ROW()-1,FALSE))</f>
        <v>347326</v>
      </c>
      <c r="S58">
        <f ca="1">IF(AND(ISNUMBER($S$207),$B$156=1),$S$207,HLOOKUP(INDIRECT(ADDRESS(2,COLUMN())),OFFSET($BN$2,0,0,ROW()-1,60),ROW()-1,FALSE))</f>
        <v>406741</v>
      </c>
      <c r="T58">
        <f ca="1">IF(AND(ISNUMBER($T$207),$B$156=1),$T$207,HLOOKUP(INDIRECT(ADDRESS(2,COLUMN())),OFFSET($BN$2,0,0,ROW()-1,60),ROW()-1,FALSE))</f>
        <v>335082</v>
      </c>
      <c r="U58">
        <f ca="1">IF(AND(ISNUMBER($U$207),$B$156=1),$U$207,HLOOKUP(INDIRECT(ADDRESS(2,COLUMN())),OFFSET($BN$2,0,0,ROW()-1,60),ROW()-1,FALSE))</f>
        <v>303668</v>
      </c>
      <c r="V58">
        <f ca="1">IF(AND(ISNUMBER($V$207),$B$156=1),$V$207,HLOOKUP(INDIRECT(ADDRESS(2,COLUMN())),OFFSET($BN$2,0,0,ROW()-1,60),ROW()-1,FALSE))</f>
        <v>306157</v>
      </c>
      <c r="W58">
        <f ca="1">IF(AND(ISNUMBER($W$207),$B$156=1),$W$207,HLOOKUP(INDIRECT(ADDRESS(2,COLUMN())),OFFSET($BN$2,0,0,ROW()-1,60),ROW()-1,FALSE))</f>
        <v>345841</v>
      </c>
      <c r="X58">
        <f ca="1">IF(AND(ISNUMBER($X$207),$B$156=1),$X$207,HLOOKUP(INDIRECT(ADDRESS(2,COLUMN())),OFFSET($BN$2,0,0,ROW()-1,60),ROW()-1,FALSE))</f>
        <v>289208</v>
      </c>
      <c r="Y58">
        <f ca="1">IF(AND(ISNUMBER($Y$207),$B$156=1),$Y$207,HLOOKUP(INDIRECT(ADDRESS(2,COLUMN())),OFFSET($BN$2,0,0,ROW()-1,60),ROW()-1,FALSE))</f>
        <v>249236</v>
      </c>
      <c r="Z58">
        <f ca="1">IF(AND(ISNUMBER($Z$207),$B$156=1),$Z$207,HLOOKUP(INDIRECT(ADDRESS(2,COLUMN())),OFFSET($BN$2,0,0,ROW()-1,60),ROW()-1,FALSE))</f>
        <v>251124</v>
      </c>
      <c r="AA58">
        <f ca="1">IF(AND(ISNUMBER($AA$207),$B$156=1),$AA$207,HLOOKUP(INDIRECT(ADDRESS(2,COLUMN())),OFFSET($BN$2,0,0,ROW()-1,60),ROW()-1,FALSE))</f>
        <v>308048</v>
      </c>
      <c r="AB58">
        <f ca="1">IF(AND(ISNUMBER($AB$207),$B$156=1),$AB$207,HLOOKUP(INDIRECT(ADDRESS(2,COLUMN())),OFFSET($BN$2,0,0,ROW()-1,60),ROW()-1,FALSE))</f>
        <v>253328</v>
      </c>
      <c r="AC58">
        <f ca="1">IF(AND(ISNUMBER($AC$207),$B$156=1),$AC$207,HLOOKUP(INDIRECT(ADDRESS(2,COLUMN())),OFFSET($BN$2,0,0,ROW()-1,60),ROW()-1,FALSE))</f>
        <v>254758</v>
      </c>
      <c r="AD58">
        <f ca="1">IF(AND(ISNUMBER($AD$207),$B$156=1),$AD$207,HLOOKUP(INDIRECT(ADDRESS(2,COLUMN())),OFFSET($BN$2,0,0,ROW()-1,60),ROW()-1,FALSE))</f>
        <v>247229</v>
      </c>
      <c r="AE58">
        <f ca="1">IF(AND(ISNUMBER($AE$207),$B$156=1),$AE$207,HLOOKUP(INDIRECT(ADDRESS(2,COLUMN())),OFFSET($BN$2,0,0,ROW()-1,60),ROW()-1,FALSE))</f>
        <v>285846</v>
      </c>
      <c r="AF58">
        <f ca="1">IF(AND(ISNUMBER($AF$207),$B$156=1),$AF$207,HLOOKUP(INDIRECT(ADDRESS(2,COLUMN())),OFFSET($BN$2,0,0,ROW()-1,60),ROW()-1,FALSE))</f>
        <v>239662</v>
      </c>
      <c r="AG58">
        <f ca="1">IF(AND(ISNUMBER($AG$207),$B$156=1),$AG$207,HLOOKUP(INDIRECT(ADDRESS(2,COLUMN())),OFFSET($BN$2,0,0,ROW()-1,60),ROW()-1,FALSE))</f>
        <v>228665</v>
      </c>
      <c r="AH58">
        <f ca="1">IF(AND(ISNUMBER($AH$207),$B$156=1),$AH$207,HLOOKUP(INDIRECT(ADDRESS(2,COLUMN())),OFFSET($BN$2,0,0,ROW()-1,60),ROW()-1,FALSE))</f>
        <v>233574</v>
      </c>
      <c r="AI58">
        <f ca="1">IF(AND(ISNUMBER($AI$207),$B$156=1),$AI$207,HLOOKUP(INDIRECT(ADDRESS(2,COLUMN())),OFFSET($BN$2,0,0,ROW()-1,60),ROW()-1,FALSE))</f>
        <v>274550</v>
      </c>
      <c r="AJ58">
        <f ca="1">IF(AND(ISNUMBER($AJ$207),$B$156=1),$AJ$207,HLOOKUP(INDIRECT(ADDRESS(2,COLUMN())),OFFSET($BN$2,0,0,ROW()-1,60),ROW()-1,FALSE))</f>
        <v>218210</v>
      </c>
      <c r="AK58">
        <f ca="1">IF(AND(ISNUMBER($AK$207),$B$156=1),$AK$207,HLOOKUP(INDIRECT(ADDRESS(2,COLUMN())),OFFSET($BN$2,0,0,ROW()-1,60),ROW()-1,FALSE))</f>
        <v>202245</v>
      </c>
      <c r="AL58">
        <f ca="1">IF(AND(ISNUMBER($AL$207),$B$156=1),$AL$207,HLOOKUP(INDIRECT(ADDRESS(2,COLUMN())),OFFSET($BN$2,0,0,ROW()-1,60),ROW()-1,FALSE))</f>
        <v>210881</v>
      </c>
      <c r="AM58">
        <f ca="1">IF(AND(ISNUMBER($AM$207),$B$156=1),$AM$207,HLOOKUP(INDIRECT(ADDRESS(2,COLUMN())),OFFSET($BN$2,0,0,ROW()-1,60),ROW()-1,FALSE))</f>
        <v>254617</v>
      </c>
      <c r="AN58">
        <f ca="1">IF(AND(ISNUMBER($AN$207),$B$156=1),$AN$207,HLOOKUP(INDIRECT(ADDRESS(2,COLUMN())),OFFSET($BN$2,0,0,ROW()-1,60),ROW()-1,FALSE))</f>
        <v>194822</v>
      </c>
      <c r="AO58">
        <f ca="1">IF(AND(ISNUMBER($AO$207),$B$156=1),$AO$207,HLOOKUP(INDIRECT(ADDRESS(2,COLUMN())),OFFSET($BN$2,0,0,ROW()-1,60),ROW()-1,FALSE))</f>
        <v>181973</v>
      </c>
      <c r="AP58">
        <f ca="1">IF(AND(ISNUMBER($AP$207),$B$156=1),$AP$207,HLOOKUP(INDIRECT(ADDRESS(2,COLUMN())),OFFSET($BN$2,0,0,ROW()-1,60),ROW()-1,FALSE))</f>
        <v>188994</v>
      </c>
      <c r="AQ58">
        <f ca="1">IF(AND(ISNUMBER($AQ$207),$B$156=1),$AQ$207,HLOOKUP(INDIRECT(ADDRESS(2,COLUMN())),OFFSET($BN$2,0,0,ROW()-1,60),ROW()-1,FALSE))</f>
        <v>224755</v>
      </c>
      <c r="AR58">
        <f ca="1">IF(AND(ISNUMBER($AR$207),$B$156=1),$AR$207,HLOOKUP(INDIRECT(ADDRESS(2,COLUMN())),OFFSET($BN$2,0,0,ROW()-1,60),ROW()-1,FALSE))</f>
        <v>173874</v>
      </c>
      <c r="AS58">
        <f ca="1">IF(AND(ISNUMBER($AS$207),$B$156=1),$AS$207,HLOOKUP(INDIRECT(ADDRESS(2,COLUMN())),OFFSET($BN$2,0,0,ROW()-1,60),ROW()-1,FALSE))</f>
        <v>160805</v>
      </c>
      <c r="AT58">
        <f ca="1">IF(AND(ISNUMBER($AT$207),$B$156=1),$AT$207,HLOOKUP(INDIRECT(ADDRESS(2,COLUMN())),OFFSET($BN$2,0,0,ROW()-1,60),ROW()-1,FALSE))</f>
        <v>195484</v>
      </c>
      <c r="AU58">
        <f ca="1">IF(AND(ISNUMBER($AU$207),$B$156=1),$AU$207,HLOOKUP(INDIRECT(ADDRESS(2,COLUMN())),OFFSET($BN$2,0,0,ROW()-1,60),ROW()-1,FALSE))</f>
        <v>263156</v>
      </c>
      <c r="AV58">
        <f ca="1">IF(AND(ISNUMBER($AV$207),$B$156=1),$AV$207,HLOOKUP(INDIRECT(ADDRESS(2,COLUMN())),OFFSET($BN$2,0,0,ROW()-1,60),ROW()-1,FALSE))</f>
        <v>248060</v>
      </c>
      <c r="AW58">
        <f ca="1">IF(AND(ISNUMBER($AW$207),$B$156=1),$AW$207,HLOOKUP(INDIRECT(ADDRESS(2,COLUMN())),OFFSET($BN$2,0,0,ROW()-1,60),ROW()-1,FALSE))</f>
        <v>250347</v>
      </c>
      <c r="AX58">
        <f ca="1">IF(AND(ISNUMBER($AX$207),$B$156=1),$AX$207,HLOOKUP(INDIRECT(ADDRESS(2,COLUMN())),OFFSET($BN$2,0,0,ROW()-1,60),ROW()-1,FALSE))</f>
        <v>263957</v>
      </c>
      <c r="AY58">
        <f ca="1">IF(AND(ISNUMBER($AY$207),$B$156=1),$AY$207,HLOOKUP(INDIRECT(ADDRESS(2,COLUMN())),OFFSET($BN$2,0,0,ROW()-1,60),ROW()-1,FALSE))</f>
        <v>321200</v>
      </c>
      <c r="AZ58">
        <f ca="1">IF(AND(ISNUMBER($AZ$207),$B$156=1),$AZ$207,HLOOKUP(INDIRECT(ADDRESS(2,COLUMN())),OFFSET($BN$2,0,0,ROW()-1,60),ROW()-1,FALSE))</f>
        <v>258219</v>
      </c>
      <c r="BA58">
        <f ca="1">IF(AND(ISNUMBER($BA$207),$B$156=1),$BA$207,HLOOKUP(INDIRECT(ADDRESS(2,COLUMN())),OFFSET($BN$2,0,0,ROW()-1,60),ROW()-1,FALSE))</f>
        <v>240232</v>
      </c>
      <c r="BB58">
        <f ca="1">IF(AND(ISNUMBER($BB$207),$B$156=1),$BB$207,HLOOKUP(INDIRECT(ADDRESS(2,COLUMN())),OFFSET($BN$2,0,0,ROW()-1,60),ROW()-1,FALSE))</f>
        <v>280215</v>
      </c>
      <c r="BC58">
        <f ca="1">IF(AND(ISNUMBER($BC$207),$B$156=1),$BC$207,HLOOKUP(INDIRECT(ADDRESS(2,COLUMN())),OFFSET($BN$2,0,0,ROW()-1,60),ROW()-1,FALSE))</f>
        <v>340042</v>
      </c>
      <c r="BD58">
        <f ca="1">IF(AND(ISNUMBER($BD$207),$B$156=1),$BD$207,HLOOKUP(INDIRECT(ADDRESS(2,COLUMN())),OFFSET($BN$2,0,0,ROW()-1,60),ROW()-1,FALSE))</f>
        <v>266080</v>
      </c>
      <c r="BE58">
        <f ca="1">IF(AND(ISNUMBER($BE$207),$B$156=1),$BE$207,HLOOKUP(INDIRECT(ADDRESS(2,COLUMN())),OFFSET($BN$2,0,0,ROW()-1,60),ROW()-1,FALSE))</f>
        <v>251419</v>
      </c>
      <c r="BF58">
        <f ca="1">IF(AND(ISNUMBER($BF$207),$B$156=1),$BF$207,HLOOKUP(INDIRECT(ADDRESS(2,COLUMN())),OFFSET($BN$2,0,0,ROW()-1,60),ROW()-1,FALSE))</f>
        <v>282177</v>
      </c>
      <c r="BG58">
        <f ca="1">IF(AND(ISNUMBER($BG$207),$B$156=1),$BG$207,HLOOKUP(INDIRECT(ADDRESS(2,COLUMN())),OFFSET($BN$2,0,0,ROW()-1,60),ROW()-1,FALSE))</f>
        <v>337553</v>
      </c>
      <c r="BH58">
        <f ca="1">IF(AND(ISNUMBER($BH$207),$B$156=1),$BH$207,HLOOKUP(INDIRECT(ADDRESS(2,COLUMN())),OFFSET($BN$2,0,0,ROW()-1,60),ROW()-1,FALSE))</f>
        <v>266704</v>
      </c>
      <c r="BI58">
        <f ca="1">IF(AND(ISNUMBER($BI$207),$B$156=1),$BI$207,HLOOKUP(INDIRECT(ADDRESS(2,COLUMN())),OFFSET($BN$2,0,0,ROW()-1,60),ROW()-1,FALSE))</f>
        <v>255285</v>
      </c>
      <c r="BJ58">
        <f ca="1">IF(AND(ISNUMBER($BJ$207),$B$156=1),$BJ$207,HLOOKUP(INDIRECT(ADDRESS(2,COLUMN())),OFFSET($BN$2,0,0,ROW()-1,60),ROW()-1,FALSE))</f>
        <v>272226</v>
      </c>
      <c r="BK58">
        <f ca="1">IF(AND(ISNUMBER($BK$207),$B$156=1),$BK$207,HLOOKUP(INDIRECT(ADDRESS(2,COLUMN())),OFFSET($BN$2,0,0,ROW()-1,60),ROW()-1,FALSE))</f>
        <v>337366</v>
      </c>
      <c r="BL58">
        <f ca="1">IF(AND(ISNUMBER($BL$207),$B$156=1),$BL$207,HLOOKUP(INDIRECT(ADDRESS(2,COLUMN())),OFFSET($BN$2,0,0,ROW()-1,60),ROW()-1,FALSE))</f>
        <v>248609</v>
      </c>
      <c r="BM58">
        <f ca="1">IF(AND(ISNUMBER($BM$207),$B$156=1),$BM$207,HLOOKUP(INDIRECT(ADDRESS(2,COLUMN())),OFFSET($BN$2,0,0,ROW()-1,60),ROW()-1,FALSE))</f>
        <v>243505</v>
      </c>
      <c r="BN58">
        <f>111212</f>
        <v>111212</v>
      </c>
      <c r="BO58">
        <f>393079</f>
        <v>393079</v>
      </c>
      <c r="BP58">
        <f>347680</f>
        <v>347680</v>
      </c>
      <c r="BQ58">
        <f>343470</f>
        <v>343470</v>
      </c>
      <c r="BR58">
        <f>337229</f>
        <v>337229</v>
      </c>
      <c r="BS58">
        <f>423469</f>
        <v>423469</v>
      </c>
      <c r="BT58">
        <f>363797</f>
        <v>363797</v>
      </c>
      <c r="BU58">
        <f>364803</f>
        <v>364803</v>
      </c>
      <c r="BV58">
        <f>378248</f>
        <v>378248</v>
      </c>
      <c r="BW58">
        <f>484566</f>
        <v>484566</v>
      </c>
      <c r="BX58">
        <f>397250</f>
        <v>397250</v>
      </c>
      <c r="BY58">
        <f>374530</f>
        <v>374530</v>
      </c>
      <c r="BZ58">
        <f>347326</f>
        <v>347326</v>
      </c>
      <c r="CA58">
        <f>406741</f>
        <v>406741</v>
      </c>
      <c r="CB58">
        <f>335082</f>
        <v>335082</v>
      </c>
      <c r="CC58">
        <f>303668</f>
        <v>303668</v>
      </c>
      <c r="CD58">
        <f>306157</f>
        <v>306157</v>
      </c>
      <c r="CE58">
        <f>345841</f>
        <v>345841</v>
      </c>
      <c r="CF58">
        <f>289208</f>
        <v>289208</v>
      </c>
      <c r="CG58">
        <f>249236</f>
        <v>249236</v>
      </c>
      <c r="CH58">
        <f>251124</f>
        <v>251124</v>
      </c>
      <c r="CI58">
        <f>308048</f>
        <v>308048</v>
      </c>
      <c r="CJ58">
        <f>253328</f>
        <v>253328</v>
      </c>
      <c r="CK58">
        <f>254758</f>
        <v>254758</v>
      </c>
      <c r="CL58">
        <f>247229</f>
        <v>247229</v>
      </c>
      <c r="CM58">
        <f>285846</f>
        <v>285846</v>
      </c>
      <c r="CN58">
        <f>239662</f>
        <v>239662</v>
      </c>
      <c r="CO58">
        <f>228665</f>
        <v>228665</v>
      </c>
      <c r="CP58">
        <f>233574</f>
        <v>233574</v>
      </c>
      <c r="CQ58">
        <f>274550</f>
        <v>274550</v>
      </c>
      <c r="CR58">
        <f>218210</f>
        <v>218210</v>
      </c>
      <c r="CS58">
        <f>202245</f>
        <v>202245</v>
      </c>
      <c r="CT58">
        <f>210881</f>
        <v>210881</v>
      </c>
      <c r="CU58">
        <f>254617</f>
        <v>254617</v>
      </c>
      <c r="CV58">
        <f>194822</f>
        <v>194822</v>
      </c>
      <c r="CW58">
        <f>181973</f>
        <v>181973</v>
      </c>
      <c r="CX58">
        <f>188994</f>
        <v>188994</v>
      </c>
      <c r="CY58">
        <f>224755</f>
        <v>224755</v>
      </c>
      <c r="CZ58">
        <f>173874</f>
        <v>173874</v>
      </c>
      <c r="DA58">
        <f>160805</f>
        <v>160805</v>
      </c>
      <c r="DB58">
        <f>195484</f>
        <v>195484</v>
      </c>
      <c r="DC58">
        <f>263156</f>
        <v>263156</v>
      </c>
      <c r="DD58">
        <f>248060</f>
        <v>248060</v>
      </c>
      <c r="DE58">
        <f>250347</f>
        <v>250347</v>
      </c>
      <c r="DF58">
        <f>263957</f>
        <v>263957</v>
      </c>
      <c r="DG58">
        <f>321200</f>
        <v>321200</v>
      </c>
      <c r="DH58">
        <f>258219</f>
        <v>258219</v>
      </c>
      <c r="DI58">
        <f>240232</f>
        <v>240232</v>
      </c>
      <c r="DJ58">
        <f>280215</f>
        <v>280215</v>
      </c>
      <c r="DK58">
        <f>340042</f>
        <v>340042</v>
      </c>
      <c r="DL58">
        <f>266080</f>
        <v>266080</v>
      </c>
      <c r="DM58">
        <f>251419</f>
        <v>251419</v>
      </c>
      <c r="DN58">
        <f>282177</f>
        <v>282177</v>
      </c>
      <c r="DO58">
        <f>337553</f>
        <v>337553</v>
      </c>
      <c r="DP58">
        <f>266704</f>
        <v>266704</v>
      </c>
      <c r="DQ58">
        <f>255285</f>
        <v>255285</v>
      </c>
      <c r="DR58">
        <f>272226</f>
        <v>272226</v>
      </c>
      <c r="DS58">
        <f>337366</f>
        <v>337366</v>
      </c>
      <c r="DT58">
        <f>248609</f>
        <v>248609</v>
      </c>
      <c r="DU58">
        <f>243505</f>
        <v>243505</v>
      </c>
    </row>
    <row r="59" spans="1:125" x14ac:dyDescent="0.25">
      <c r="A59" t="str">
        <f>"        United States"</f>
        <v xml:space="preserve">        United States</v>
      </c>
      <c r="B59" t="str">
        <f>"ASTOT Index"</f>
        <v>ASTOT Index</v>
      </c>
      <c r="C59" t="str">
        <f>"PX385"</f>
        <v>PX385</v>
      </c>
      <c r="D59" t="str">
        <f>"INTERVAL_SUM"</f>
        <v>INTERVAL_SUM</v>
      </c>
      <c r="E59" t="str">
        <f>"Dynamic"</f>
        <v>Dynamic</v>
      </c>
      <c r="F59" t="str">
        <f ca="1">IF(AND(ISNUMBER($F$208),$B$156=1),$F$208,HLOOKUP(INDIRECT(ADDRESS(2,COLUMN())),OFFSET($BN$2,0,0,ROW()-1,60),ROW()-1,FALSE))</f>
        <v/>
      </c>
      <c r="G59" t="str">
        <f ca="1">IF(AND(ISNUMBER($G$208),$B$156=1),$G$208,HLOOKUP(INDIRECT(ADDRESS(2,COLUMN())),OFFSET($BN$2,0,0,ROW()-1,60),ROW()-1,FALSE))</f>
        <v/>
      </c>
      <c r="H59" t="str">
        <f ca="1">IF(AND(ISNUMBER($H$208),$B$156=1),$H$208,HLOOKUP(INDIRECT(ADDRESS(2,COLUMN())),OFFSET($BN$2,0,0,ROW()-1,60),ROW()-1,FALSE))</f>
        <v/>
      </c>
      <c r="I59" t="str">
        <f ca="1">IF(AND(ISNUMBER($I$208),$B$156=1),$I$208,HLOOKUP(INDIRECT(ADDRESS(2,COLUMN())),OFFSET($BN$2,0,0,ROW()-1,60),ROW()-1,FALSE))</f>
        <v/>
      </c>
      <c r="J59">
        <f ca="1">IF(AND(ISNUMBER($J$208),$B$156=1),$J$208,HLOOKUP(INDIRECT(ADDRESS(2,COLUMN())),OFFSET($BN$2,0,0,ROW()-1,60),ROW()-1,FALSE))</f>
        <v>4090904</v>
      </c>
      <c r="K59">
        <f ca="1">IF(AND(ISNUMBER($K$208),$B$156=1),$K$208,HLOOKUP(INDIRECT(ADDRESS(2,COLUMN())),OFFSET($BN$2,0,0,ROW()-1,60),ROW()-1,FALSE))</f>
        <v>4331254</v>
      </c>
      <c r="L59">
        <f ca="1">IF(AND(ISNUMBER($L$208),$B$156=1),$L$208,HLOOKUP(INDIRECT(ADDRESS(2,COLUMN())),OFFSET($BN$2,0,0,ROW()-1,60),ROW()-1,FALSE))</f>
        <v>4399273</v>
      </c>
      <c r="M59">
        <f ca="1">IF(AND(ISNUMBER($M$208),$B$156=1),$M$208,HLOOKUP(INDIRECT(ADDRESS(2,COLUMN())),OFFSET($BN$2,0,0,ROW()-1,60),ROW()-1,FALSE))</f>
        <v>4391272</v>
      </c>
      <c r="N59">
        <f ca="1">IF(AND(ISNUMBER($N$208),$B$156=1),$N$208,HLOOKUP(INDIRECT(ADDRESS(2,COLUMN())),OFFSET($BN$2,0,0,ROW()-1,60),ROW()-1,FALSE))</f>
        <v>4010224</v>
      </c>
      <c r="O59">
        <f ca="1">IF(AND(ISNUMBER($O$208),$B$156=1),$O$208,HLOOKUP(INDIRECT(ADDRESS(2,COLUMN())),OFFSET($BN$2,0,0,ROW()-1,60),ROW()-1,FALSE))</f>
        <v>4418363</v>
      </c>
      <c r="P59">
        <f ca="1">IF(AND(ISNUMBER($P$208),$B$156=1),$P$208,HLOOKUP(INDIRECT(ADDRESS(2,COLUMN())),OFFSET($BN$2,0,0,ROW()-1,60),ROW()-1,FALSE))</f>
        <v>4452614</v>
      </c>
      <c r="Q59">
        <f ca="1">IF(AND(ISNUMBER($Q$208),$B$156=1),$Q$208,HLOOKUP(INDIRECT(ADDRESS(2,COLUMN())),OFFSET($BN$2,0,0,ROW()-1,60),ROW()-1,FALSE))</f>
        <v>4521543</v>
      </c>
      <c r="R59">
        <f ca="1">IF(AND(ISNUMBER($R$208),$B$156=1),$R$208,HLOOKUP(INDIRECT(ADDRESS(2,COLUMN())),OFFSET($BN$2,0,0,ROW()-1,60),ROW()-1,FALSE))</f>
        <v>4072257</v>
      </c>
      <c r="S59">
        <f ca="1">IF(AND(ISNUMBER($S$208),$B$156=1),$S$208,HLOOKUP(INDIRECT(ADDRESS(2,COLUMN())),OFFSET($BN$2,0,0,ROW()-1,60),ROW()-1,FALSE))</f>
        <v>4401156</v>
      </c>
      <c r="T59">
        <f ca="1">IF(AND(ISNUMBER($T$208),$B$156=1),$T$208,HLOOKUP(INDIRECT(ADDRESS(2,COLUMN())),OFFSET($BN$2,0,0,ROW()-1,60),ROW()-1,FALSE))</f>
        <v>4503662</v>
      </c>
      <c r="U59">
        <f ca="1">IF(AND(ISNUMBER($U$208),$B$156=1),$U$208,HLOOKUP(INDIRECT(ADDRESS(2,COLUMN())),OFFSET($BN$2,0,0,ROW()-1,60),ROW()-1,FALSE))</f>
        <v>4547161</v>
      </c>
      <c r="V59">
        <f ca="1">IF(AND(ISNUMBER($V$208),$B$156=1),$V$208,HLOOKUP(INDIRECT(ADDRESS(2,COLUMN())),OFFSET($BN$2,0,0,ROW()-1,60),ROW()-1,FALSE))</f>
        <v>3939152</v>
      </c>
      <c r="W59">
        <f ca="1">IF(AND(ISNUMBER($W$208),$B$156=1),$W$208,HLOOKUP(INDIRECT(ADDRESS(2,COLUMN())),OFFSET($BN$2,0,0,ROW()-1,60),ROW()-1,FALSE))</f>
        <v>4065225</v>
      </c>
      <c r="X59">
        <f ca="1">IF(AND(ISNUMBER($X$208),$B$156=1),$X$208,HLOOKUP(INDIRECT(ADDRESS(2,COLUMN())),OFFSET($BN$2,0,0,ROW()-1,60),ROW()-1,FALSE))</f>
        <v>4246474</v>
      </c>
      <c r="Y59">
        <f ca="1">IF(AND(ISNUMBER($Y$208),$B$156=1),$Y$208,HLOOKUP(INDIRECT(ADDRESS(2,COLUMN())),OFFSET($BN$2,0,0,ROW()-1,60),ROW()-1,FALSE))</f>
        <v>4398712</v>
      </c>
      <c r="Z59">
        <f ca="1">IF(AND(ISNUMBER($Z$208),$B$156=1),$Z$208,HLOOKUP(INDIRECT(ADDRESS(2,COLUMN())),OFFSET($BN$2,0,0,ROW()-1,60),ROW()-1,FALSE))</f>
        <v>3727820</v>
      </c>
      <c r="AA59">
        <f ca="1">IF(AND(ISNUMBER($AA$208),$B$156=1),$AA$208,HLOOKUP(INDIRECT(ADDRESS(2,COLUMN())),OFFSET($BN$2,0,0,ROW()-1,60),ROW()-1,FALSE))</f>
        <v>3792715</v>
      </c>
      <c r="AB59">
        <f ca="1">IF(AND(ISNUMBER($AB$208),$B$156=1),$AB$208,HLOOKUP(INDIRECT(ADDRESS(2,COLUMN())),OFFSET($BN$2,0,0,ROW()-1,60),ROW()-1,FALSE))</f>
        <v>3940876</v>
      </c>
      <c r="AC59">
        <f ca="1">IF(AND(ISNUMBER($AC$208),$B$156=1),$AC$208,HLOOKUP(INDIRECT(ADDRESS(2,COLUMN())),OFFSET($BN$2,0,0,ROW()-1,60),ROW()-1,FALSE))</f>
        <v>4114305</v>
      </c>
      <c r="AD59">
        <f ca="1">IF(AND(ISNUMBER($AD$208),$B$156=1),$AD$208,HLOOKUP(INDIRECT(ADDRESS(2,COLUMN())),OFFSET($BN$2,0,0,ROW()-1,60),ROW()-1,FALSE))</f>
        <v>3675660</v>
      </c>
      <c r="AE59">
        <f ca="1">IF(AND(ISNUMBER($AE$208),$B$156=1),$AE$208,HLOOKUP(INDIRECT(ADDRESS(2,COLUMN())),OFFSET($BN$2,0,0,ROW()-1,60),ROW()-1,FALSE))</f>
        <v>3577085</v>
      </c>
      <c r="AF59">
        <f ca="1">IF(AND(ISNUMBER($AF$208),$B$156=1),$AF$208,HLOOKUP(INDIRECT(ADDRESS(2,COLUMN())),OFFSET($BN$2,0,0,ROW()-1,60),ROW()-1,FALSE))</f>
        <v>3614161</v>
      </c>
      <c r="AG59">
        <f ca="1">IF(AND(ISNUMBER($AG$208),$B$156=1),$AG$208,HLOOKUP(INDIRECT(ADDRESS(2,COLUMN())),OFFSET($BN$2,0,0,ROW()-1,60),ROW()-1,FALSE))</f>
        <v>3792800</v>
      </c>
      <c r="AH59">
        <f ca="1">IF(AND(ISNUMBER($AH$208),$B$156=1),$AH$208,HLOOKUP(INDIRECT(ADDRESS(2,COLUMN())),OFFSET($BN$2,0,0,ROW()-1,60),ROW()-1,FALSE))</f>
        <v>3456528</v>
      </c>
      <c r="AI59">
        <f ca="1">IF(AND(ISNUMBER($AI$208),$B$156=1),$AI$208,HLOOKUP(INDIRECT(ADDRESS(2,COLUMN())),OFFSET($BN$2,0,0,ROW()-1,60),ROW()-1,FALSE))</f>
        <v>3247934</v>
      </c>
      <c r="AJ59">
        <f ca="1">IF(AND(ISNUMBER($AJ$208),$B$156=1),$AJ$208,HLOOKUP(INDIRECT(ADDRESS(2,COLUMN())),OFFSET($BN$2,0,0,ROW()-1,60),ROW()-1,FALSE))</f>
        <v>3174886</v>
      </c>
      <c r="AK59">
        <f ca="1">IF(AND(ISNUMBER($AK$208),$B$156=1),$AK$208,HLOOKUP(INDIRECT(ADDRESS(2,COLUMN())),OFFSET($BN$2,0,0,ROW()-1,60),ROW()-1,FALSE))</f>
        <v>3261338</v>
      </c>
      <c r="AL59">
        <f ca="1">IF(AND(ISNUMBER($AL$208),$B$156=1),$AL$208,HLOOKUP(INDIRECT(ADDRESS(2,COLUMN())),OFFSET($BN$2,0,0,ROW()-1,60),ROW()-1,FALSE))</f>
        <v>3048857</v>
      </c>
      <c r="AM59">
        <f ca="1">IF(AND(ISNUMBER($AM$208),$B$156=1),$AM$208,HLOOKUP(INDIRECT(ADDRESS(2,COLUMN())),OFFSET($BN$2,0,0,ROW()-1,60),ROW()-1,FALSE))</f>
        <v>2966807</v>
      </c>
      <c r="AN59">
        <f ca="1">IF(AND(ISNUMBER($AN$208),$B$156=1),$AN$208,HLOOKUP(INDIRECT(ADDRESS(2,COLUMN())),OFFSET($BN$2,0,0,ROW()-1,60),ROW()-1,FALSE))</f>
        <v>2999445</v>
      </c>
      <c r="AO59">
        <f ca="1">IF(AND(ISNUMBER($AO$208),$B$156=1),$AO$208,HLOOKUP(INDIRECT(ADDRESS(2,COLUMN())),OFFSET($BN$2,0,0,ROW()-1,60),ROW()-1,FALSE))</f>
        <v>3066715</v>
      </c>
      <c r="AP59">
        <f ca="1">IF(AND(ISNUMBER($AP$208),$B$156=1),$AP$208,HLOOKUP(INDIRECT(ADDRESS(2,COLUMN())),OFFSET($BN$2,0,0,ROW()-1,60),ROW()-1,FALSE))</f>
        <v>2544033</v>
      </c>
      <c r="AQ59">
        <f ca="1">IF(AND(ISNUMBER($AQ$208),$B$156=1),$AQ$208,HLOOKUP(INDIRECT(ADDRESS(2,COLUMN())),OFFSET($BN$2,0,0,ROW()-1,60),ROW()-1,FALSE))</f>
        <v>2613867</v>
      </c>
      <c r="AR59">
        <f ca="1">IF(AND(ISNUMBER($AR$208),$B$156=1),$AR$208,HLOOKUP(INDIRECT(ADDRESS(2,COLUMN())),OFFSET($BN$2,0,0,ROW()-1,60),ROW()-1,FALSE))</f>
        <v>3004532</v>
      </c>
      <c r="AS59">
        <f ca="1">IF(AND(ISNUMBER($AS$208),$B$156=1),$AS$208,HLOOKUP(INDIRECT(ADDRESS(2,COLUMN())),OFFSET($BN$2,0,0,ROW()-1,60),ROW()-1,FALSE))</f>
        <v>2604038</v>
      </c>
      <c r="AT59">
        <f ca="1">IF(AND(ISNUMBER($AT$208),$B$156=1),$AT$208,HLOOKUP(INDIRECT(ADDRESS(2,COLUMN())),OFFSET($BN$2,0,0,ROW()-1,60),ROW()-1,FALSE))</f>
        <v>2202649</v>
      </c>
      <c r="AU59">
        <f ca="1">IF(AND(ISNUMBER($AU$208),$B$156=1),$AU$208,HLOOKUP(INDIRECT(ADDRESS(2,COLUMN())),OFFSET($BN$2,0,0,ROW()-1,60),ROW()-1,FALSE))</f>
        <v>2478224</v>
      </c>
      <c r="AV59">
        <f ca="1">IF(AND(ISNUMBER($AV$208),$B$156=1),$AV$208,HLOOKUP(INDIRECT(ADDRESS(2,COLUMN())),OFFSET($BN$2,0,0,ROW()-1,60),ROW()-1,FALSE))</f>
        <v>3342414</v>
      </c>
      <c r="AW59">
        <f ca="1">IF(AND(ISNUMBER($AW$208),$B$156=1),$AW$208,HLOOKUP(INDIRECT(ADDRESS(2,COLUMN())),OFFSET($BN$2,0,0,ROW()-1,60),ROW()-1,FALSE))</f>
        <v>3824684</v>
      </c>
      <c r="AX59">
        <f ca="1">IF(AND(ISNUMBER($AX$208),$B$156=1),$AX$208,HLOOKUP(INDIRECT(ADDRESS(2,COLUMN())),OFFSET($BN$2,0,0,ROW()-1,60),ROW()-1,FALSE))</f>
        <v>3571992</v>
      </c>
      <c r="AY59">
        <f ca="1">IF(AND(ISNUMBER($AY$208),$B$156=1),$AY$208,HLOOKUP(INDIRECT(ADDRESS(2,COLUMN())),OFFSET($BN$2,0,0,ROW()-1,60),ROW()-1,FALSE))</f>
        <v>3799973</v>
      </c>
      <c r="AZ59">
        <f ca="1">IF(AND(ISNUMBER($AZ$208),$B$156=1),$AZ$208,HLOOKUP(INDIRECT(ADDRESS(2,COLUMN())),OFFSET($BN$2,0,0,ROW()-1,60),ROW()-1,FALSE))</f>
        <v>4101917</v>
      </c>
      <c r="BA59">
        <f ca="1">IF(AND(ISNUMBER($BA$208),$B$156=1),$BA$208,HLOOKUP(INDIRECT(ADDRESS(2,COLUMN())),OFFSET($BN$2,0,0,ROW()-1,60),ROW()-1,FALSE))</f>
        <v>4357581</v>
      </c>
      <c r="BB59">
        <f ca="1">IF(AND(ISNUMBER($BB$208),$B$156=1),$BB$208,HLOOKUP(INDIRECT(ADDRESS(2,COLUMN())),OFFSET($BN$2,0,0,ROW()-1,60),ROW()-1,FALSE))</f>
        <v>3887698</v>
      </c>
      <c r="BC59">
        <f ca="1">IF(AND(ISNUMBER($BC$208),$B$156=1),$BC$208,HLOOKUP(INDIRECT(ADDRESS(2,COLUMN())),OFFSET($BN$2,0,0,ROW()-1,60),ROW()-1,FALSE))</f>
        <v>3847701</v>
      </c>
      <c r="BD59">
        <f ca="1">IF(AND(ISNUMBER($BD$208),$B$156=1),$BD$208,HLOOKUP(INDIRECT(ADDRESS(2,COLUMN())),OFFSET($BN$2,0,0,ROW()-1,60),ROW()-1,FALSE))</f>
        <v>4335474</v>
      </c>
      <c r="BE59">
        <f ca="1">IF(AND(ISNUMBER($BE$208),$B$156=1),$BE$208,HLOOKUP(INDIRECT(ADDRESS(2,COLUMN())),OFFSET($BN$2,0,0,ROW()-1,60),ROW()-1,FALSE))</f>
        <v>4438858</v>
      </c>
      <c r="BF59">
        <f ca="1">IF(AND(ISNUMBER($BF$208),$B$156=1),$BF$208,HLOOKUP(INDIRECT(ADDRESS(2,COLUMN())),OFFSET($BN$2,0,0,ROW()-1,60),ROW()-1,FALSE))</f>
        <v>3935304</v>
      </c>
      <c r="BG59">
        <f ca="1">IF(AND(ISNUMBER($BG$208),$B$156=1),$BG$208,HLOOKUP(INDIRECT(ADDRESS(2,COLUMN())),OFFSET($BN$2,0,0,ROW()-1,60),ROW()-1,FALSE))</f>
        <v>3795850</v>
      </c>
      <c r="BH59">
        <f ca="1">IF(AND(ISNUMBER($BH$208),$B$156=1),$BH$208,HLOOKUP(INDIRECT(ADDRESS(2,COLUMN())),OFFSET($BN$2,0,0,ROW()-1,60),ROW()-1,FALSE))</f>
        <v>4621122</v>
      </c>
      <c r="BI59">
        <f ca="1">IF(AND(ISNUMBER($BI$208),$B$156=1),$BI$208,HLOOKUP(INDIRECT(ADDRESS(2,COLUMN())),OFFSET($BN$2,0,0,ROW()-1,60),ROW()-1,FALSE))</f>
        <v>4679722</v>
      </c>
      <c r="BJ59">
        <f ca="1">IF(AND(ISNUMBER($BJ$208),$B$156=1),$BJ$208,HLOOKUP(INDIRECT(ADDRESS(2,COLUMN())),OFFSET($BN$2,0,0,ROW()-1,60),ROW()-1,FALSE))</f>
        <v>3892198</v>
      </c>
      <c r="BK59">
        <f ca="1">IF(AND(ISNUMBER($BK$208),$B$156=1),$BK$208,HLOOKUP(INDIRECT(ADDRESS(2,COLUMN())),OFFSET($BN$2,0,0,ROW()-1,60),ROW()-1,FALSE))</f>
        <v>4074778</v>
      </c>
      <c r="BL59">
        <f ca="1">IF(AND(ISNUMBER($BL$208),$B$156=1),$BL$208,HLOOKUP(INDIRECT(ADDRESS(2,COLUMN())),OFFSET($BN$2,0,0,ROW()-1,60),ROW()-1,FALSE))</f>
        <v>4421413</v>
      </c>
      <c r="BM59">
        <f ca="1">IF(AND(ISNUMBER($BM$208),$B$156=1),$BM$208,HLOOKUP(INDIRECT(ADDRESS(2,COLUMN())),OFFSET($BN$2,0,0,ROW()-1,60),ROW()-1,FALSE))</f>
        <v>4500134</v>
      </c>
      <c r="BN59" t="str">
        <f>""</f>
        <v/>
      </c>
      <c r="BO59" t="str">
        <f>""</f>
        <v/>
      </c>
      <c r="BP59" t="str">
        <f>""</f>
        <v/>
      </c>
      <c r="BQ59" t="str">
        <f>""</f>
        <v/>
      </c>
      <c r="BR59">
        <f>4090904</f>
        <v>4090904</v>
      </c>
      <c r="BS59">
        <f>4331254</f>
        <v>4331254</v>
      </c>
      <c r="BT59">
        <f>4399273</f>
        <v>4399273</v>
      </c>
      <c r="BU59">
        <f>4391272</f>
        <v>4391272</v>
      </c>
      <c r="BV59">
        <f>4010224</f>
        <v>4010224</v>
      </c>
      <c r="BW59">
        <f>4418363</f>
        <v>4418363</v>
      </c>
      <c r="BX59">
        <f>4452614</f>
        <v>4452614</v>
      </c>
      <c r="BY59">
        <f>4521543</f>
        <v>4521543</v>
      </c>
      <c r="BZ59">
        <f>4072257</f>
        <v>4072257</v>
      </c>
      <c r="CA59">
        <f>4401156</f>
        <v>4401156</v>
      </c>
      <c r="CB59">
        <f>4503662</f>
        <v>4503662</v>
      </c>
      <c r="CC59">
        <f>4547161</f>
        <v>4547161</v>
      </c>
      <c r="CD59">
        <f>3939152</f>
        <v>3939152</v>
      </c>
      <c r="CE59">
        <f>4065225</f>
        <v>4065225</v>
      </c>
      <c r="CF59">
        <f>4246474</f>
        <v>4246474</v>
      </c>
      <c r="CG59">
        <f>4398712</f>
        <v>4398712</v>
      </c>
      <c r="CH59">
        <f>3727820</f>
        <v>3727820</v>
      </c>
      <c r="CI59">
        <f>3792715</f>
        <v>3792715</v>
      </c>
      <c r="CJ59">
        <f>3940876</f>
        <v>3940876</v>
      </c>
      <c r="CK59">
        <f>4114305</f>
        <v>4114305</v>
      </c>
      <c r="CL59">
        <f>3675660</f>
        <v>3675660</v>
      </c>
      <c r="CM59">
        <f>3577085</f>
        <v>3577085</v>
      </c>
      <c r="CN59">
        <f>3614161</f>
        <v>3614161</v>
      </c>
      <c r="CO59">
        <f>3792800</f>
        <v>3792800</v>
      </c>
      <c r="CP59">
        <f>3456528</f>
        <v>3456528</v>
      </c>
      <c r="CQ59">
        <f>3247934</f>
        <v>3247934</v>
      </c>
      <c r="CR59">
        <f>3174886</f>
        <v>3174886</v>
      </c>
      <c r="CS59">
        <f>3261338</f>
        <v>3261338</v>
      </c>
      <c r="CT59">
        <f>3048857</f>
        <v>3048857</v>
      </c>
      <c r="CU59">
        <f>2966807</f>
        <v>2966807</v>
      </c>
      <c r="CV59">
        <f>2999445</f>
        <v>2999445</v>
      </c>
      <c r="CW59">
        <f>3066715</f>
        <v>3066715</v>
      </c>
      <c r="CX59">
        <f>2544033</f>
        <v>2544033</v>
      </c>
      <c r="CY59">
        <f>2613867</f>
        <v>2613867</v>
      </c>
      <c r="CZ59">
        <f>3004532</f>
        <v>3004532</v>
      </c>
      <c r="DA59">
        <f>2604038</f>
        <v>2604038</v>
      </c>
      <c r="DB59">
        <f>2202649</f>
        <v>2202649</v>
      </c>
      <c r="DC59">
        <f>2478224</f>
        <v>2478224</v>
      </c>
      <c r="DD59">
        <f>3342414</f>
        <v>3342414</v>
      </c>
      <c r="DE59">
        <f>3824684</f>
        <v>3824684</v>
      </c>
      <c r="DF59">
        <f>3571992</f>
        <v>3571992</v>
      </c>
      <c r="DG59">
        <f>3799973</f>
        <v>3799973</v>
      </c>
      <c r="DH59">
        <f>4101917</f>
        <v>4101917</v>
      </c>
      <c r="DI59">
        <f>4357581</f>
        <v>4357581</v>
      </c>
      <c r="DJ59">
        <f>3887698</f>
        <v>3887698</v>
      </c>
      <c r="DK59">
        <f>3847701</f>
        <v>3847701</v>
      </c>
      <c r="DL59">
        <f>4335474</f>
        <v>4335474</v>
      </c>
      <c r="DM59">
        <f>4438858</f>
        <v>4438858</v>
      </c>
      <c r="DN59">
        <f>3935304</f>
        <v>3935304</v>
      </c>
      <c r="DO59">
        <f>3795850</f>
        <v>3795850</v>
      </c>
      <c r="DP59">
        <f>4621122</f>
        <v>4621122</v>
      </c>
      <c r="DQ59">
        <f>4679722</f>
        <v>4679722</v>
      </c>
      <c r="DR59">
        <f>3892198</f>
        <v>3892198</v>
      </c>
      <c r="DS59">
        <f>4074778</f>
        <v>4074778</v>
      </c>
      <c r="DT59">
        <f>4421413</f>
        <v>4421413</v>
      </c>
      <c r="DU59">
        <f>4500134</f>
        <v>4500134</v>
      </c>
    </row>
    <row r="60" spans="1:125" x14ac:dyDescent="0.25">
      <c r="A60" t="str">
        <f>"            US Car &amp; Truck Vehicle Sales NSA - US Truck Vehicle Sales NSA"</f>
        <v xml:space="preserve">            US Car &amp; Truck Vehicle Sales NSA - US Truck Vehicle Sales NSA</v>
      </c>
      <c r="B60" t="str">
        <f>"ASTOTTRK Index"</f>
        <v>ASTOTTRK Index</v>
      </c>
      <c r="C60" t="str">
        <f>"PX385"</f>
        <v>PX385</v>
      </c>
      <c r="D60" t="str">
        <f>"INTERVAL_SUM"</f>
        <v>INTERVAL_SUM</v>
      </c>
      <c r="E60" t="str">
        <f>"Dynamic"</f>
        <v>Dynamic</v>
      </c>
      <c r="F60" t="str">
        <f ca="1">IF(AND(ISNUMBER($F$209),$B$156=1),$F$209,HLOOKUP(INDIRECT(ADDRESS(2,COLUMN())),OFFSET($BN$2,0,0,ROW()-1,60),ROW()-1,FALSE))</f>
        <v/>
      </c>
      <c r="G60" t="str">
        <f ca="1">IF(AND(ISNUMBER($G$209),$B$156=1),$G$209,HLOOKUP(INDIRECT(ADDRESS(2,COLUMN())),OFFSET($BN$2,0,0,ROW()-1,60),ROW()-1,FALSE))</f>
        <v/>
      </c>
      <c r="H60" t="str">
        <f ca="1">IF(AND(ISNUMBER($H$209),$B$156=1),$H$209,HLOOKUP(INDIRECT(ADDRESS(2,COLUMN())),OFFSET($BN$2,0,0,ROW()-1,60),ROW()-1,FALSE))</f>
        <v/>
      </c>
      <c r="I60" t="str">
        <f ca="1">IF(AND(ISNUMBER($I$209),$B$156=1),$I$209,HLOOKUP(INDIRECT(ADDRESS(2,COLUMN())),OFFSET($BN$2,0,0,ROW()-1,60),ROW()-1,FALSE))</f>
        <v/>
      </c>
      <c r="J60">
        <f ca="1">IF(AND(ISNUMBER($J$209),$B$156=1),$J$209,HLOOKUP(INDIRECT(ADDRESS(2,COLUMN())),OFFSET($BN$2,0,0,ROW()-1,60),ROW()-1,FALSE))</f>
        <v>2767035</v>
      </c>
      <c r="K60">
        <f ca="1">IF(AND(ISNUMBER($K$209),$B$156=1),$K$209,HLOOKUP(INDIRECT(ADDRESS(2,COLUMN())),OFFSET($BN$2,0,0,ROW()-1,60),ROW()-1,FALSE))</f>
        <v>2918105</v>
      </c>
      <c r="L60">
        <f ca="1">IF(AND(ISNUMBER($L$209),$B$156=1),$L$209,HLOOKUP(INDIRECT(ADDRESS(2,COLUMN())),OFFSET($BN$2,0,0,ROW()-1,60),ROW()-1,FALSE))</f>
        <v>2840563</v>
      </c>
      <c r="M60">
        <f ca="1">IF(AND(ISNUMBER($M$209),$B$156=1),$M$209,HLOOKUP(INDIRECT(ADDRESS(2,COLUMN())),OFFSET($BN$2,0,0,ROW()-1,60),ROW()-1,FALSE))</f>
        <v>2771151</v>
      </c>
      <c r="N60">
        <f ca="1">IF(AND(ISNUMBER($N$209),$B$156=1),$N$209,HLOOKUP(INDIRECT(ADDRESS(2,COLUMN())),OFFSET($BN$2,0,0,ROW()-1,60),ROW()-1,FALSE))</f>
        <v>2524507</v>
      </c>
      <c r="O60">
        <f ca="1">IF(AND(ISNUMBER($O$209),$B$156=1),$O$209,HLOOKUP(INDIRECT(ADDRESS(2,COLUMN())),OFFSET($BN$2,0,0,ROW()-1,60),ROW()-1,FALSE))</f>
        <v>2803680</v>
      </c>
      <c r="P60">
        <f ca="1">IF(AND(ISNUMBER($P$209),$B$156=1),$P$209,HLOOKUP(INDIRECT(ADDRESS(2,COLUMN())),OFFSET($BN$2,0,0,ROW()-1,60),ROW()-1,FALSE))</f>
        <v>2726492</v>
      </c>
      <c r="Q60">
        <f ca="1">IF(AND(ISNUMBER($Q$209),$B$156=1),$Q$209,HLOOKUP(INDIRECT(ADDRESS(2,COLUMN())),OFFSET($BN$2,0,0,ROW()-1,60),ROW()-1,FALSE))</f>
        <v>2683324</v>
      </c>
      <c r="R60">
        <f ca="1">IF(AND(ISNUMBER($R$209),$B$156=1),$R$209,HLOOKUP(INDIRECT(ADDRESS(2,COLUMN())),OFFSET($BN$2,0,0,ROW()-1,60),ROW()-1,FALSE))</f>
        <v>2364068</v>
      </c>
      <c r="S60">
        <f ca="1">IF(AND(ISNUMBER($S$209),$B$156=1),$S$209,HLOOKUP(INDIRECT(ADDRESS(2,COLUMN())),OFFSET($BN$2,0,0,ROW()-1,60),ROW()-1,FALSE))</f>
        <v>2628875</v>
      </c>
      <c r="T60">
        <f ca="1">IF(AND(ISNUMBER($T$209),$B$156=1),$T$209,HLOOKUP(INDIRECT(ADDRESS(2,COLUMN())),OFFSET($BN$2,0,0,ROW()-1,60),ROW()-1,FALSE))</f>
        <v>2594656</v>
      </c>
      <c r="U60">
        <f ca="1">IF(AND(ISNUMBER($U$209),$B$156=1),$U$209,HLOOKUP(INDIRECT(ADDRESS(2,COLUMN())),OFFSET($BN$2,0,0,ROW()-1,60),ROW()-1,FALSE))</f>
        <v>2492825</v>
      </c>
      <c r="V60">
        <f ca="1">IF(AND(ISNUMBER($V$209),$B$156=1),$V$209,HLOOKUP(INDIRECT(ADDRESS(2,COLUMN())),OFFSET($BN$2,0,0,ROW()-1,60),ROW()-1,FALSE))</f>
        <v>2152655</v>
      </c>
      <c r="W60">
        <f ca="1">IF(AND(ISNUMBER($W$209),$B$156=1),$W$209,HLOOKUP(INDIRECT(ADDRESS(2,COLUMN())),OFFSET($BN$2,0,0,ROW()-1,60),ROW()-1,FALSE))</f>
        <v>2254529</v>
      </c>
      <c r="X60">
        <f ca="1">IF(AND(ISNUMBER($X$209),$B$156=1),$X$209,HLOOKUP(INDIRECT(ADDRESS(2,COLUMN())),OFFSET($BN$2,0,0,ROW()-1,60),ROW()-1,FALSE))</f>
        <v>2265456</v>
      </c>
      <c r="Y60">
        <f ca="1">IF(AND(ISNUMBER($Y$209),$B$156=1),$Y$209,HLOOKUP(INDIRECT(ADDRESS(2,COLUMN())),OFFSET($BN$2,0,0,ROW()-1,60),ROW()-1,FALSE))</f>
        <v>2282800</v>
      </c>
      <c r="Z60">
        <f ca="1">IF(AND(ISNUMBER($Z$209),$B$156=1),$Z$209,HLOOKUP(INDIRECT(ADDRESS(2,COLUMN())),OFFSET($BN$2,0,0,ROW()-1,60),ROW()-1,FALSE))</f>
        <v>1945035</v>
      </c>
      <c r="AA60">
        <f ca="1">IF(AND(ISNUMBER($AA$209),$B$156=1),$AA$209,HLOOKUP(INDIRECT(ADDRESS(2,COLUMN())),OFFSET($BN$2,0,0,ROW()-1,60),ROW()-1,FALSE))</f>
        <v>2033202</v>
      </c>
      <c r="AB60">
        <f ca="1">IF(AND(ISNUMBER($AB$209),$B$156=1),$AB$209,HLOOKUP(INDIRECT(ADDRESS(2,COLUMN())),OFFSET($BN$2,0,0,ROW()-1,60),ROW()-1,FALSE))</f>
        <v>2013310</v>
      </c>
      <c r="AC60">
        <f ca="1">IF(AND(ISNUMBER($AC$209),$B$156=1),$AC$209,HLOOKUP(INDIRECT(ADDRESS(2,COLUMN())),OFFSET($BN$2,0,0,ROW()-1,60),ROW()-1,FALSE))</f>
        <v>2082878</v>
      </c>
      <c r="AD60">
        <f ca="1">IF(AND(ISNUMBER($AD$209),$B$156=1),$AD$209,HLOOKUP(INDIRECT(ADDRESS(2,COLUMN())),OFFSET($BN$2,0,0,ROW()-1,60),ROW()-1,FALSE))</f>
        <v>1816957</v>
      </c>
      <c r="AE60">
        <f ca="1">IF(AND(ISNUMBER($AE$209),$B$156=1),$AE$209,HLOOKUP(INDIRECT(ADDRESS(2,COLUMN())),OFFSET($BN$2,0,0,ROW()-1,60),ROW()-1,FALSE))</f>
        <v>1866073</v>
      </c>
      <c r="AF60">
        <f ca="1">IF(AND(ISNUMBER($AF$209),$B$156=1),$AF$209,HLOOKUP(INDIRECT(ADDRESS(2,COLUMN())),OFFSET($BN$2,0,0,ROW()-1,60),ROW()-1,FALSE))</f>
        <v>1825628</v>
      </c>
      <c r="AG60">
        <f ca="1">IF(AND(ISNUMBER($AG$209),$B$156=1),$AG$209,HLOOKUP(INDIRECT(ADDRESS(2,COLUMN())),OFFSET($BN$2,0,0,ROW()-1,60),ROW()-1,FALSE))</f>
        <v>1855452</v>
      </c>
      <c r="AH60">
        <f ca="1">IF(AND(ISNUMBER($AH$209),$B$156=1),$AH$209,HLOOKUP(INDIRECT(ADDRESS(2,COLUMN())),OFFSET($BN$2,0,0,ROW()-1,60),ROW()-1,FALSE))</f>
        <v>1651524</v>
      </c>
      <c r="AI60">
        <f ca="1">IF(AND(ISNUMBER($AI$209),$B$156=1),$AI$209,HLOOKUP(INDIRECT(ADDRESS(2,COLUMN())),OFFSET($BN$2,0,0,ROW()-1,60),ROW()-1,FALSE))</f>
        <v>1783248</v>
      </c>
      <c r="AJ60">
        <f ca="1">IF(AND(ISNUMBER($AJ$209),$B$156=1),$AJ$209,HLOOKUP(INDIRECT(ADDRESS(2,COLUMN())),OFFSET($BN$2,0,0,ROW()-1,60),ROW()-1,FALSE))</f>
        <v>1705674</v>
      </c>
      <c r="AK60">
        <f ca="1">IF(AND(ISNUMBER($AK$209),$B$156=1),$AK$209,HLOOKUP(INDIRECT(ADDRESS(2,COLUMN())),OFFSET($BN$2,0,0,ROW()-1,60),ROW()-1,FALSE))</f>
        <v>1611048</v>
      </c>
      <c r="AL60">
        <f ca="1">IF(AND(ISNUMBER($AL$209),$B$156=1),$AL$209,HLOOKUP(INDIRECT(ADDRESS(2,COLUMN())),OFFSET($BN$2,0,0,ROW()-1,60),ROW()-1,FALSE))</f>
        <v>1543414</v>
      </c>
      <c r="AM60">
        <f ca="1">IF(AND(ISNUMBER($AM$209),$B$156=1),$AM$209,HLOOKUP(INDIRECT(ADDRESS(2,COLUMN())),OFFSET($BN$2,0,0,ROW()-1,60),ROW()-1,FALSE))</f>
        <v>1611443</v>
      </c>
      <c r="AN60">
        <f ca="1">IF(AND(ISNUMBER($AN$209),$B$156=1),$AN$209,HLOOKUP(INDIRECT(ADDRESS(2,COLUMN())),OFFSET($BN$2,0,0,ROW()-1,60),ROW()-1,FALSE))</f>
        <v>1522122</v>
      </c>
      <c r="AO60">
        <f ca="1">IF(AND(ISNUMBER($AO$209),$B$156=1),$AO$209,HLOOKUP(INDIRECT(ADDRESS(2,COLUMN())),OFFSET($BN$2,0,0,ROW()-1,60),ROW()-1,FALSE))</f>
        <v>1525888</v>
      </c>
      <c r="AP60">
        <f ca="1">IF(AND(ISNUMBER($AP$209),$B$156=1),$AP$209,HLOOKUP(INDIRECT(ADDRESS(2,COLUMN())),OFFSET($BN$2,0,0,ROW()-1,60),ROW()-1,FALSE))</f>
        <v>1252420</v>
      </c>
      <c r="AQ60">
        <f ca="1">IF(AND(ISNUMBER($AQ$209),$B$156=1),$AQ$209,HLOOKUP(INDIRECT(ADDRESS(2,COLUMN())),OFFSET($BN$2,0,0,ROW()-1,60),ROW()-1,FALSE))</f>
        <v>1309452</v>
      </c>
      <c r="AR60">
        <f ca="1">IF(AND(ISNUMBER($AR$209),$B$156=1),$AR$209,HLOOKUP(INDIRECT(ADDRESS(2,COLUMN())),OFFSET($BN$2,0,0,ROW()-1,60),ROW()-1,FALSE))</f>
        <v>1339167</v>
      </c>
      <c r="AS60">
        <f ca="1">IF(AND(ISNUMBER($AS$209),$B$156=1),$AS$209,HLOOKUP(INDIRECT(ADDRESS(2,COLUMN())),OFFSET($BN$2,0,0,ROW()-1,60),ROW()-1,FALSE))</f>
        <v>1237119</v>
      </c>
      <c r="AT60">
        <f ca="1">IF(AND(ISNUMBER($AT$209),$B$156=1),$AT$209,HLOOKUP(INDIRECT(ADDRESS(2,COLUMN())),OFFSET($BN$2,0,0,ROW()-1,60),ROW()-1,FALSE))</f>
        <v>1097189</v>
      </c>
      <c r="AU60">
        <f ca="1">IF(AND(ISNUMBER($AU$209),$B$156=1),$AU$209,HLOOKUP(INDIRECT(ADDRESS(2,COLUMN())),OFFSET($BN$2,0,0,ROW()-1,60),ROW()-1,FALSE))</f>
        <v>1267518</v>
      </c>
      <c r="AV60">
        <f ca="1">IF(AND(ISNUMBER($AV$209),$B$156=1),$AV$209,HLOOKUP(INDIRECT(ADDRESS(2,COLUMN())),OFFSET($BN$2,0,0,ROW()-1,60),ROW()-1,FALSE))</f>
        <v>1615827</v>
      </c>
      <c r="AW60">
        <f ca="1">IF(AND(ISNUMBER($AW$209),$B$156=1),$AW$209,HLOOKUP(INDIRECT(ADDRESS(2,COLUMN())),OFFSET($BN$2,0,0,ROW()-1,60),ROW()-1,FALSE))</f>
        <v>1696448</v>
      </c>
      <c r="AX60">
        <f ca="1">IF(AND(ISNUMBER($AX$209),$B$156=1),$AX$209,HLOOKUP(INDIRECT(ADDRESS(2,COLUMN())),OFFSET($BN$2,0,0,ROW()-1,60),ROW()-1,FALSE))</f>
        <v>1817034</v>
      </c>
      <c r="AY60">
        <f ca="1">IF(AND(ISNUMBER($AY$209),$B$156=1),$AY$209,HLOOKUP(INDIRECT(ADDRESS(2,COLUMN())),OFFSET($BN$2,0,0,ROW()-1,60),ROW()-1,FALSE))</f>
        <v>2025232</v>
      </c>
      <c r="AZ60">
        <f ca="1">IF(AND(ISNUMBER($AZ$209),$B$156=1),$AZ$209,HLOOKUP(INDIRECT(ADDRESS(2,COLUMN())),OFFSET($BN$2,0,0,ROW()-1,60),ROW()-1,FALSE))</f>
        <v>2170882</v>
      </c>
      <c r="BA60">
        <f ca="1">IF(AND(ISNUMBER($BA$209),$B$156=1),$BA$209,HLOOKUP(INDIRECT(ADDRESS(2,COLUMN())),OFFSET($BN$2,0,0,ROW()-1,60),ROW()-1,FALSE))</f>
        <v>2220960</v>
      </c>
      <c r="BB60">
        <f ca="1">IF(AND(ISNUMBER($BB$209),$B$156=1),$BB$209,HLOOKUP(INDIRECT(ADDRESS(2,COLUMN())),OFFSET($BN$2,0,0,ROW()-1,60),ROW()-1,FALSE))</f>
        <v>2089337</v>
      </c>
      <c r="BC60">
        <f ca="1">IF(AND(ISNUMBER($BC$209),$B$156=1),$BC$209,HLOOKUP(INDIRECT(ADDRESS(2,COLUMN())),OFFSET($BN$2,0,0,ROW()-1,60),ROW()-1,FALSE))</f>
        <v>2112313</v>
      </c>
      <c r="BD60">
        <f ca="1">IF(AND(ISNUMBER($BD$209),$B$156=1),$BD$209,HLOOKUP(INDIRECT(ADDRESS(2,COLUMN())),OFFSET($BN$2,0,0,ROW()-1,60),ROW()-1,FALSE))</f>
        <v>2259906</v>
      </c>
      <c r="BE60">
        <f ca="1">IF(AND(ISNUMBER($BE$209),$B$156=1),$BE$209,HLOOKUP(INDIRECT(ADDRESS(2,COLUMN())),OFFSET($BN$2,0,0,ROW()-1,60),ROW()-1,FALSE))</f>
        <v>2272255</v>
      </c>
      <c r="BF60">
        <f ca="1">IF(AND(ISNUMBER($BF$209),$B$156=1),$BF$209,HLOOKUP(INDIRECT(ADDRESS(2,COLUMN())),OFFSET($BN$2,0,0,ROW()-1,60),ROW()-1,FALSE))</f>
        <v>2105400</v>
      </c>
      <c r="BG60">
        <f ca="1">IF(AND(ISNUMBER($BG$209),$B$156=1),$BG$209,HLOOKUP(INDIRECT(ADDRESS(2,COLUMN())),OFFSET($BN$2,0,0,ROW()-1,60),ROW()-1,FALSE))</f>
        <v>2065501</v>
      </c>
      <c r="BH60">
        <f ca="1">IF(AND(ISNUMBER($BH$209),$B$156=1),$BH$209,HLOOKUP(INDIRECT(ADDRESS(2,COLUMN())),OFFSET($BN$2,0,0,ROW()-1,60),ROW()-1,FALSE))</f>
        <v>2558877</v>
      </c>
      <c r="BI60">
        <f ca="1">IF(AND(ISNUMBER($BI$209),$B$156=1),$BI$209,HLOOKUP(INDIRECT(ADDRESS(2,COLUMN())),OFFSET($BN$2,0,0,ROW()-1,60),ROW()-1,FALSE))</f>
        <v>2565462</v>
      </c>
      <c r="BJ60">
        <f ca="1">IF(AND(ISNUMBER($BJ$209),$B$156=1),$BJ$209,HLOOKUP(INDIRECT(ADDRESS(2,COLUMN())),OFFSET($BN$2,0,0,ROW()-1,60),ROW()-1,FALSE))</f>
        <v>2112764</v>
      </c>
      <c r="BK60">
        <f ca="1">IF(AND(ISNUMBER($BK$209),$B$156=1),$BK$209,HLOOKUP(INDIRECT(ADDRESS(2,COLUMN())),OFFSET($BN$2,0,0,ROW()-1,60),ROW()-1,FALSE))</f>
        <v>2316583</v>
      </c>
      <c r="BL60">
        <f ca="1">IF(AND(ISNUMBER($BL$209),$B$156=1),$BL$209,HLOOKUP(INDIRECT(ADDRESS(2,COLUMN())),OFFSET($BN$2,0,0,ROW()-1,60),ROW()-1,FALSE))</f>
        <v>2490092</v>
      </c>
      <c r="BM60">
        <f ca="1">IF(AND(ISNUMBER($BM$209),$B$156=1),$BM$209,HLOOKUP(INDIRECT(ADDRESS(2,COLUMN())),OFFSET($BN$2,0,0,ROW()-1,60),ROW()-1,FALSE))</f>
        <v>2435608</v>
      </c>
      <c r="BN60" t="str">
        <f>""</f>
        <v/>
      </c>
      <c r="BO60" t="str">
        <f>""</f>
        <v/>
      </c>
      <c r="BP60" t="str">
        <f>""</f>
        <v/>
      </c>
      <c r="BQ60" t="str">
        <f>""</f>
        <v/>
      </c>
      <c r="BR60">
        <f>2767035</f>
        <v>2767035</v>
      </c>
      <c r="BS60">
        <f>2918105</f>
        <v>2918105</v>
      </c>
      <c r="BT60">
        <f>2840563</f>
        <v>2840563</v>
      </c>
      <c r="BU60">
        <f>2771151</f>
        <v>2771151</v>
      </c>
      <c r="BV60">
        <f>2524507</f>
        <v>2524507</v>
      </c>
      <c r="BW60">
        <f>2803680</f>
        <v>2803680</v>
      </c>
      <c r="BX60">
        <f>2726492</f>
        <v>2726492</v>
      </c>
      <c r="BY60">
        <f>2683324</f>
        <v>2683324</v>
      </c>
      <c r="BZ60">
        <f>2364068</f>
        <v>2364068</v>
      </c>
      <c r="CA60">
        <f>2628875</f>
        <v>2628875</v>
      </c>
      <c r="CB60">
        <f>2594656</f>
        <v>2594656</v>
      </c>
      <c r="CC60">
        <f>2492825</f>
        <v>2492825</v>
      </c>
      <c r="CD60">
        <f>2152655</f>
        <v>2152655</v>
      </c>
      <c r="CE60">
        <f>2254529</f>
        <v>2254529</v>
      </c>
      <c r="CF60">
        <f>2265456</f>
        <v>2265456</v>
      </c>
      <c r="CG60">
        <f>2282800</f>
        <v>2282800</v>
      </c>
      <c r="CH60">
        <f>1945035</f>
        <v>1945035</v>
      </c>
      <c r="CI60">
        <f>2033202</f>
        <v>2033202</v>
      </c>
      <c r="CJ60">
        <f>2013310</f>
        <v>2013310</v>
      </c>
      <c r="CK60">
        <f>2082878</f>
        <v>2082878</v>
      </c>
      <c r="CL60">
        <f>1816957</f>
        <v>1816957</v>
      </c>
      <c r="CM60">
        <f>1866073</f>
        <v>1866073</v>
      </c>
      <c r="CN60">
        <f>1825628</f>
        <v>1825628</v>
      </c>
      <c r="CO60">
        <f>1855452</f>
        <v>1855452</v>
      </c>
      <c r="CP60">
        <f>1651524</f>
        <v>1651524</v>
      </c>
      <c r="CQ60">
        <f>1783248</f>
        <v>1783248</v>
      </c>
      <c r="CR60">
        <f>1705674</f>
        <v>1705674</v>
      </c>
      <c r="CS60">
        <f>1611048</f>
        <v>1611048</v>
      </c>
      <c r="CT60">
        <f>1543414</f>
        <v>1543414</v>
      </c>
      <c r="CU60">
        <f>1611443</f>
        <v>1611443</v>
      </c>
      <c r="CV60">
        <f>1522122</f>
        <v>1522122</v>
      </c>
      <c r="CW60">
        <f>1525888</f>
        <v>1525888</v>
      </c>
      <c r="CX60">
        <f>1252420</f>
        <v>1252420</v>
      </c>
      <c r="CY60">
        <f>1309452</f>
        <v>1309452</v>
      </c>
      <c r="CZ60">
        <f>1339167</f>
        <v>1339167</v>
      </c>
      <c r="DA60">
        <f>1237119</f>
        <v>1237119</v>
      </c>
      <c r="DB60">
        <f>1097189</f>
        <v>1097189</v>
      </c>
      <c r="DC60">
        <f>1267518</f>
        <v>1267518</v>
      </c>
      <c r="DD60">
        <f>1615827</f>
        <v>1615827</v>
      </c>
      <c r="DE60">
        <f>1696448</f>
        <v>1696448</v>
      </c>
      <c r="DF60">
        <f>1817034</f>
        <v>1817034</v>
      </c>
      <c r="DG60">
        <f>2025232</f>
        <v>2025232</v>
      </c>
      <c r="DH60">
        <f>2170882</f>
        <v>2170882</v>
      </c>
      <c r="DI60">
        <f>2220960</f>
        <v>2220960</v>
      </c>
      <c r="DJ60">
        <f>2089337</f>
        <v>2089337</v>
      </c>
      <c r="DK60">
        <f>2112313</f>
        <v>2112313</v>
      </c>
      <c r="DL60">
        <f>2259906</f>
        <v>2259906</v>
      </c>
      <c r="DM60">
        <f>2272255</f>
        <v>2272255</v>
      </c>
      <c r="DN60">
        <f>2105400</f>
        <v>2105400</v>
      </c>
      <c r="DO60">
        <f>2065501</f>
        <v>2065501</v>
      </c>
      <c r="DP60">
        <f>2558877</f>
        <v>2558877</v>
      </c>
      <c r="DQ60">
        <f>2565462</f>
        <v>2565462</v>
      </c>
      <c r="DR60">
        <f>2112764</f>
        <v>2112764</v>
      </c>
      <c r="DS60">
        <f>2316583</f>
        <v>2316583</v>
      </c>
      <c r="DT60">
        <f>2490092</f>
        <v>2490092</v>
      </c>
      <c r="DU60">
        <f>2435608</f>
        <v>2435608</v>
      </c>
    </row>
    <row r="61" spans="1:125" x14ac:dyDescent="0.25">
      <c r="A61" t="str">
        <f>"    Latin America"</f>
        <v xml:space="preserve">    Latin America</v>
      </c>
      <c r="B61" t="str">
        <f>"AUTMLAVS Index"</f>
        <v>AUTMLAVS Index</v>
      </c>
      <c r="E61" t="str">
        <f>"Sum"</f>
        <v>Sum</v>
      </c>
      <c r="F61">
        <f ca="1">IF(ISERROR(IF(SUM($F$62:$F$66) = 0, "", SUM($F$62:$F$66))), "", (IF(SUM($F$62:$F$66) = 0, "", SUM($F$62:$F$66))))</f>
        <v>257790</v>
      </c>
      <c r="G61">
        <f ca="1">IF(ISERROR(IF(SUM($G$62:$G$66) = 0, "", SUM($G$62:$G$66))), "", (IF(SUM($G$62:$G$66) = 0, "", SUM($G$62:$G$66))))</f>
        <v>916753</v>
      </c>
      <c r="H61">
        <f ca="1">IF(ISERROR(IF(SUM($H$62:$H$66) = 0, "", SUM($H$62:$H$66))), "", (IF(SUM($H$62:$H$66) = 0, "", SUM($H$62:$H$66))))</f>
        <v>904573</v>
      </c>
      <c r="I61">
        <f ca="1">IF(ISERROR(IF(SUM($I$62:$I$66) = 0, "", SUM($I$62:$I$66))), "", (IF(SUM($I$62:$I$66) = 0, "", SUM($I$62:$I$66))))</f>
        <v>908788</v>
      </c>
      <c r="J61">
        <f ca="1">IF(ISERROR(IF(SUM($J$62:$J$66) = 0, "", SUM($J$62:$J$66))), "", (IF(SUM($J$62:$J$66) = 0, "", SUM($J$62:$J$66))))</f>
        <v>844096</v>
      </c>
      <c r="K61">
        <f ca="1">IF(ISERROR(IF(SUM($K$62:$K$66) = 0, "", SUM($K$62:$K$66))), "", (IF(SUM($K$62:$K$66) = 0, "", SUM($K$62:$K$66))))</f>
        <v>942591</v>
      </c>
      <c r="L61">
        <f ca="1">IF(ISERROR(IF(SUM($L$62:$L$66) = 0, "", SUM($L$62:$L$66))), "", (IF(SUM($L$62:$L$66) = 0, "", SUM($L$62:$L$66))))</f>
        <v>907466</v>
      </c>
      <c r="M61">
        <f ca="1">IF(ISERROR(IF(SUM($M$62:$M$66) = 0, "", SUM($M$62:$M$66))), "", (IF(SUM($M$62:$M$66) = 0, "", SUM($M$62:$M$66))))</f>
        <v>842735</v>
      </c>
      <c r="N61">
        <f ca="1">IF(ISERROR(IF(SUM($N$62:$N$66) = 0, "", SUM($N$62:$N$66))), "", (IF(SUM($N$62:$N$66) = 0, "", SUM($N$62:$N$66))))</f>
        <v>729062</v>
      </c>
      <c r="O61">
        <f ca="1">IF(ISERROR(IF(SUM($O$62:$O$66) = 0, "", SUM($O$62:$O$66))), "", (IF(SUM($O$62:$O$66) = 0, "", SUM($O$62:$O$66))))</f>
        <v>805317</v>
      </c>
      <c r="P61">
        <f ca="1">IF(ISERROR(IF(SUM($P$62:$P$66) = 0, "", SUM($P$62:$P$66))), "", (IF(SUM($P$62:$P$66) = 0, "", SUM($P$62:$P$66))))</f>
        <v>757944</v>
      </c>
      <c r="Q61">
        <f ca="1">IF(ISERROR(IF(SUM($Q$62:$Q$66) = 0, "", SUM($Q$62:$Q$66))), "", (IF(SUM($Q$62:$Q$66) = 0, "", SUM($Q$62:$Q$66))))</f>
        <v>782017</v>
      </c>
      <c r="R61">
        <f ca="1">IF(ISERROR(IF(SUM($R$62:$R$66) = 0, "", SUM($R$62:$R$66))), "", (IF(SUM($R$62:$R$66) = 0, "", SUM($R$62:$R$66))))</f>
        <v>759120</v>
      </c>
      <c r="S61">
        <f ca="1">IF(ISERROR(IF(SUM($S$62:$S$66) = 0, "", SUM($S$62:$S$66))), "", (IF(SUM($S$62:$S$66) = 0, "", SUM($S$62:$S$66))))</f>
        <v>891092</v>
      </c>
      <c r="T61">
        <f ca="1">IF(ISERROR(IF(SUM($T$62:$T$66) = 0, "", SUM($T$62:$T$66))), "", (IF(SUM($T$62:$T$66) = 0, "", SUM($T$62:$T$66))))</f>
        <v>937542</v>
      </c>
      <c r="U61">
        <f ca="1">IF(ISERROR(IF(SUM($U$62:$U$66) = 0, "", SUM($U$62:$U$66))), "", (IF(SUM($U$62:$U$66) = 0, "", SUM($U$62:$U$66))))</f>
        <v>918985</v>
      </c>
      <c r="V61">
        <f ca="1">IF(ISERROR(IF(SUM($V$62:$V$66) = 0, "", SUM($V$62:$V$66))), "", (IF(SUM($V$62:$V$66) = 0, "", SUM($V$62:$V$66))))</f>
        <v>916592</v>
      </c>
      <c r="W61">
        <f ca="1">IF(ISERROR(IF(SUM($W$62:$W$66) = 0, "", SUM($W$62:$W$66))), "", (IF(SUM($W$62:$W$66) = 0, "", SUM($W$62:$W$66))))</f>
        <v>1255581</v>
      </c>
      <c r="X61">
        <f ca="1">IF(ISERROR(IF(SUM($X$62:$X$66) = 0, "", SUM($X$62:$X$66))), "", (IF(SUM($X$62:$X$66) = 0, "", SUM($X$62:$X$66))))</f>
        <v>1167771</v>
      </c>
      <c r="Y61">
        <f ca="1">IF(ISERROR(IF(SUM($Y$62:$Y$66) = 0, "", SUM($Y$62:$Y$66))), "", (IF(SUM($Y$62:$Y$66) = 0, "", SUM($Y$62:$Y$66))))</f>
        <v>1122333</v>
      </c>
      <c r="Z61">
        <f ca="1">IF(ISERROR(IF(SUM($Z$62:$Z$66) = 0, "", SUM($Z$62:$Z$66))), "", (IF(SUM($Z$62:$Z$66) = 0, "", SUM($Z$62:$Z$66))))</f>
        <v>1091387</v>
      </c>
      <c r="AA61">
        <f ca="1">IF(ISERROR(IF(SUM($AA$62:$AA$66) = 0, "", SUM($AA$62:$AA$66))), "", (IF(SUM($AA$62:$AA$66) = 0, "", SUM($AA$62:$AA$66))))</f>
        <v>1384936</v>
      </c>
      <c r="AB61">
        <f ca="1">IF(ISERROR(IF(SUM($AB$62:$AB$66) = 0, "", SUM($AB$62:$AB$66))), "", (IF(SUM($AB$62:$AB$66) = 0, "", SUM($AB$62:$AB$66))))</f>
        <v>1377559</v>
      </c>
      <c r="AC61">
        <f ca="1">IF(ISERROR(IF(SUM($AC$62:$AC$66) = 0, "", SUM($AC$62:$AC$66))), "", (IF(SUM($AC$62:$AC$66) = 0, "", SUM($AC$62:$AC$66))))</f>
        <v>1378467</v>
      </c>
      <c r="AD61">
        <f ca="1">IF(ISERROR(IF(SUM($AD$62:$AD$66) = 0, "", SUM($AD$62:$AD$66))), "", (IF(SUM($AD$62:$AD$66) = 0, "", SUM($AD$62:$AD$66))))</f>
        <v>1173822</v>
      </c>
      <c r="AE61">
        <f ca="1">IF(ISERROR(IF(SUM($AE$62:$AE$66) = 0, "", SUM($AE$62:$AE$66))), "", (IF(SUM($AE$62:$AE$66) = 0, "", SUM($AE$62:$AE$66))))</f>
        <v>1402463</v>
      </c>
      <c r="AF61">
        <f ca="1">IF(ISERROR(IF(SUM($AF$62:$AF$66) = 0, "", SUM($AF$62:$AF$66))), "", (IF(SUM($AF$62:$AF$66) = 0, "", SUM($AF$62:$AF$66))))</f>
        <v>1431733</v>
      </c>
      <c r="AG61">
        <f ca="1">IF(ISERROR(IF(SUM($AG$62:$AG$66) = 0, "", SUM($AG$62:$AG$66))), "", (IF(SUM($AG$62:$AG$66) = 0, "", SUM($AG$62:$AG$66))))</f>
        <v>1255678</v>
      </c>
      <c r="AH61">
        <f ca="1">IF(ISERROR(IF(SUM($AH$62:$AH$66) = 0, "", SUM($AH$62:$AH$66))), "", (IF(SUM($AH$62:$AH$66) = 0, "", SUM($AH$62:$AH$66))))</f>
        <v>1159612</v>
      </c>
      <c r="AI61">
        <f ca="1">IF(ISERROR(IF(SUM($AI$62:$AI$66) = 0, "", SUM($AI$62:$AI$66))), "", (IF(SUM($AI$62:$AI$66) = 0, "", SUM($AI$62:$AI$66))))</f>
        <v>1338608</v>
      </c>
      <c r="AJ61">
        <f ca="1">IF(ISERROR(IF(SUM($AJ$62:$AJ$66) = 0, "", SUM($AJ$62:$AJ$66))), "", (IF(SUM($AJ$62:$AJ$66) = 0, "", SUM($AJ$62:$AJ$66))))</f>
        <v>1327361</v>
      </c>
      <c r="AK61">
        <f ca="1">IF(ISERROR(IF(SUM($AK$62:$AK$66) = 0, "", SUM($AK$62:$AK$66))), "", (IF(SUM($AK$62:$AK$66) = 0, "", SUM($AK$62:$AK$66))))</f>
        <v>1274161</v>
      </c>
      <c r="AL61">
        <f ca="1">IF(ISERROR(IF(SUM($AL$62:$AL$66) = 0, "", SUM($AL$62:$AL$66))), "", (IF(SUM($AL$62:$AL$66) = 0, "", SUM($AL$62:$AL$66))))</f>
        <v>1147957</v>
      </c>
      <c r="AM61">
        <f ca="1">IF(ISERROR(IF(SUM($AM$62:$AM$66) = 0, "", SUM($AM$62:$AM$66))), "", (IF(SUM($AM$62:$AM$66) = 0, "", SUM($AM$62:$AM$66))))</f>
        <v>1352610</v>
      </c>
      <c r="AN61">
        <f ca="1">IF(ISERROR(IF(SUM($AN$62:$AN$66) = 0, "", SUM($AN$62:$AN$66))), "", (IF(SUM($AN$62:$AN$66) = 0, "", SUM($AN$62:$AN$66))))</f>
        <v>1225453</v>
      </c>
      <c r="AO61">
        <f ca="1">IF(ISERROR(IF(SUM($AO$62:$AO$66) = 0, "", SUM($AO$62:$AO$66))), "", (IF(SUM($AO$62:$AO$66) = 0, "", SUM($AO$62:$AO$66))))</f>
        <v>1066800</v>
      </c>
      <c r="AP61">
        <f ca="1">IF(ISERROR(IF(SUM($AP$62:$AP$66) = 0, "", SUM($AP$62:$AP$66))), "", (IF(SUM($AP$62:$AP$66) = 0, "", SUM($AP$62:$AP$66))))</f>
        <v>1036723</v>
      </c>
      <c r="AQ61">
        <f ca="1">IF(ISERROR(IF(SUM($AQ$62:$AQ$66) = 0, "", SUM($AQ$62:$AQ$66))), "", (IF(SUM($AQ$62:$AQ$66) = 0, "", SUM($AQ$62:$AQ$66))))</f>
        <v>1058547</v>
      </c>
      <c r="AR61">
        <f ca="1">IF(ISERROR(IF(SUM($AR$62:$AR$66) = 0, "", SUM($AR$62:$AR$66))), "", (IF(SUM($AR$62:$AR$66) = 0, "", SUM($AR$62:$AR$66))))</f>
        <v>1084719</v>
      </c>
      <c r="AS61">
        <f ca="1">IF(ISERROR(IF(SUM($AS$62:$AS$66) = 0, "", SUM($AS$62:$AS$66))), "", (IF(SUM($AS$62:$AS$66) = 0, "", SUM($AS$62:$AS$66))))</f>
        <v>976193</v>
      </c>
      <c r="AT61">
        <f ca="1">IF(ISERROR(IF(SUM($AT$62:$AT$66) = 0, "", SUM($AT$62:$AT$66))), "", (IF(SUM($AT$62:$AT$66) = 0, "", SUM($AT$62:$AT$66))))</f>
        <v>863374</v>
      </c>
      <c r="AU61">
        <f ca="1">IF(ISERROR(IF(SUM($AU$62:$AU$66) = 0, "", SUM($AU$62:$AU$66))), "", (IF(SUM($AU$62:$AU$66) = 0, "", SUM($AU$62:$AU$66))))</f>
        <v>865956</v>
      </c>
      <c r="AV61">
        <f ca="1">IF(ISERROR(IF(SUM($AV$62:$AV$66) = 0, "", SUM($AV$62:$AV$66))), "", (IF(SUM($AV$62:$AV$66) = 0, "", SUM($AV$62:$AV$66))))</f>
        <v>1095839</v>
      </c>
      <c r="AW61">
        <f ca="1">IF(ISERROR(IF(SUM($AW$62:$AW$66) = 0, "", SUM($AW$62:$AW$66))), "", (IF(SUM($AW$62:$AW$66) = 0, "", SUM($AW$62:$AW$66))))</f>
        <v>1091169</v>
      </c>
      <c r="AX61">
        <f ca="1">IF(ISERROR(IF(SUM($AX$62:$AX$66) = 0, "", SUM($AX$62:$AX$66))), "", (IF(SUM($AX$62:$AX$66) = 0, "", SUM($AX$62:$AX$66))))</f>
        <v>966185</v>
      </c>
      <c r="AY61">
        <f ca="1">IF(ISERROR(IF(SUM($AY$62:$AY$66) = 0, "", SUM($AY$62:$AY$66))), "", (IF(SUM($AY$62:$AY$66) = 0, "", SUM($AY$62:$AY$66))))</f>
        <v>1088575</v>
      </c>
      <c r="AZ61">
        <f ca="1">IF(ISERROR(IF(SUM($AZ$62:$AZ$66) = 0, "", SUM($AZ$62:$AZ$66))), "", (IF(SUM($AZ$62:$AZ$66) = 0, "", SUM($AZ$62:$AZ$66))))</f>
        <v>1008523</v>
      </c>
      <c r="BA61">
        <f ca="1">IF(ISERROR(IF(SUM($BA$62:$BA$66) = 0, "", SUM($BA$62:$BA$66))), "", (IF(SUM($BA$62:$BA$66) = 0, "", SUM($BA$62:$BA$66))))</f>
        <v>901387</v>
      </c>
      <c r="BB61">
        <f ca="1">IF(ISERROR(IF(SUM($BB$62:$BB$66) = 0, "", SUM($BB$62:$BB$66))), "", (IF(SUM($BB$62:$BB$66) = 0, "", SUM($BB$62:$BB$66))))</f>
        <v>794979</v>
      </c>
      <c r="BC61">
        <f ca="1">IF(ISERROR(IF(SUM($BC$62:$BC$66) = 0, "", SUM($BC$62:$BC$66))), "", (IF(SUM($BC$62:$BC$66) = 0, "", SUM($BC$62:$BC$66))))</f>
        <v>862965</v>
      </c>
      <c r="BD61">
        <f ca="1">IF(ISERROR(IF(SUM($BD$62:$BD$66) = 0, "", SUM($BD$62:$BD$66))), "", (IF(SUM($BD$62:$BD$66) = 0, "", SUM($BD$62:$BD$66))))</f>
        <v>698196</v>
      </c>
      <c r="BE61">
        <f ca="1">IF(ISERROR(IF(SUM($BE$62:$BE$66) = 0, "", SUM($BE$62:$BE$66))), "", (IF(SUM($BE$62:$BE$66) = 0, "", SUM($BE$62:$BE$66))))</f>
        <v>631992</v>
      </c>
      <c r="BF61">
        <f ca="1">IF(ISERROR(IF(SUM($BF$62:$BF$66) = 0, "", SUM($BF$62:$BF$66))), "", (IF(SUM($BF$62:$BF$66) = 0, "", SUM($BF$62:$BF$66))))</f>
        <v>584907</v>
      </c>
      <c r="BG61">
        <f ca="1">IF(ISERROR(IF(SUM($BG$62:$BG$66) = 0, "", SUM($BG$62:$BG$66))), "", (IF(SUM($BG$62:$BG$66) = 0, "", SUM($BG$62:$BG$66))))</f>
        <v>631068</v>
      </c>
      <c r="BH61">
        <f ca="1">IF(ISERROR(IF(SUM($BH$62:$BH$66) = 0, "", SUM($BH$62:$BH$66))), "", (IF(SUM($BH$62:$BH$66) = 0, "", SUM($BH$62:$BH$66))))</f>
        <v>580024</v>
      </c>
      <c r="BI61">
        <f ca="1">IF(ISERROR(IF(SUM($BI$62:$BI$66) = 0, "", SUM($BI$62:$BI$66))), "", (IF(SUM($BI$62:$BI$66) = 0, "", SUM($BI$62:$BI$66))))</f>
        <v>561471</v>
      </c>
      <c r="BJ61">
        <f ca="1">IF(ISERROR(IF(SUM($BJ$62:$BJ$66) = 0, "", SUM($BJ$62:$BJ$66))), "", (IF(SUM($BJ$62:$BJ$66) = 0, "", SUM($BJ$62:$BJ$66))))</f>
        <v>486161</v>
      </c>
      <c r="BK61">
        <f ca="1">IF(ISERROR(IF(SUM($BK$62:$BK$66) = 0, "", SUM($BK$62:$BK$66))), "", (IF(SUM($BK$62:$BK$66) = 0, "", SUM($BK$62:$BK$66))))</f>
        <v>552967</v>
      </c>
      <c r="BL61">
        <f ca="1">IF(ISERROR(IF(SUM($BL$62:$BL$66) = 0, "", SUM($BL$62:$BL$66))), "", (IF(SUM($BL$62:$BL$66) = 0, "", SUM($BL$62:$BL$66))))</f>
        <v>496276</v>
      </c>
      <c r="BM61">
        <f ca="1">IF(ISERROR(IF(SUM($BM$62:$BM$66) = 0, "", SUM($BM$62:$BM$66))), "", (IF(SUM($BM$62:$BM$66) = 0, "", SUM($BM$62:$BM$66))))</f>
        <v>454402</v>
      </c>
      <c r="BN61">
        <f>257790</f>
        <v>257790</v>
      </c>
      <c r="BO61">
        <f>916753</f>
        <v>916753</v>
      </c>
      <c r="BP61">
        <f>904573</f>
        <v>904573</v>
      </c>
      <c r="BQ61">
        <f>908788</f>
        <v>908788</v>
      </c>
      <c r="BR61">
        <f>844096</f>
        <v>844096</v>
      </c>
      <c r="BS61">
        <f>942591</f>
        <v>942591</v>
      </c>
      <c r="BT61">
        <f>907466</f>
        <v>907466</v>
      </c>
      <c r="BU61">
        <f>842735</f>
        <v>842735</v>
      </c>
      <c r="BV61">
        <f>729062</f>
        <v>729062</v>
      </c>
      <c r="BW61">
        <f>805317</f>
        <v>805317</v>
      </c>
      <c r="BX61">
        <f>757944</f>
        <v>757944</v>
      </c>
      <c r="BY61">
        <f>782017</f>
        <v>782017</v>
      </c>
      <c r="BZ61">
        <f>759120</f>
        <v>759120</v>
      </c>
      <c r="CA61">
        <f>891092</f>
        <v>891092</v>
      </c>
      <c r="CB61">
        <f>937542</f>
        <v>937542</v>
      </c>
      <c r="CC61">
        <f>918985</f>
        <v>918985</v>
      </c>
      <c r="CD61">
        <f>916592</f>
        <v>916592</v>
      </c>
      <c r="CE61">
        <f>1255581</f>
        <v>1255581</v>
      </c>
      <c r="CF61">
        <f>1167771</f>
        <v>1167771</v>
      </c>
      <c r="CG61">
        <f>1122333</f>
        <v>1122333</v>
      </c>
      <c r="CH61">
        <f>1091387</f>
        <v>1091387</v>
      </c>
      <c r="CI61">
        <f>1384936</f>
        <v>1384936</v>
      </c>
      <c r="CJ61">
        <f>1377559</f>
        <v>1377559</v>
      </c>
      <c r="CK61">
        <f>1378467</f>
        <v>1378467</v>
      </c>
      <c r="CL61">
        <f>1173822</f>
        <v>1173822</v>
      </c>
      <c r="CM61">
        <f>1402463</f>
        <v>1402463</v>
      </c>
      <c r="CN61">
        <f>1431733</f>
        <v>1431733</v>
      </c>
      <c r="CO61">
        <f>1255678</f>
        <v>1255678</v>
      </c>
      <c r="CP61">
        <f>1159612</f>
        <v>1159612</v>
      </c>
      <c r="CQ61">
        <f>1338608</f>
        <v>1338608</v>
      </c>
      <c r="CR61">
        <f>1327361</f>
        <v>1327361</v>
      </c>
      <c r="CS61">
        <f>1274161</f>
        <v>1274161</v>
      </c>
      <c r="CT61">
        <f>1147957</f>
        <v>1147957</v>
      </c>
      <c r="CU61">
        <f>1352610</f>
        <v>1352610</v>
      </c>
      <c r="CV61">
        <f>1225453</f>
        <v>1225453</v>
      </c>
      <c r="CW61">
        <f>1066800</f>
        <v>1066800</v>
      </c>
      <c r="CX61">
        <f>1036723</f>
        <v>1036723</v>
      </c>
      <c r="CY61">
        <f>1058547</f>
        <v>1058547</v>
      </c>
      <c r="CZ61">
        <f>1084719</f>
        <v>1084719</v>
      </c>
      <c r="DA61">
        <f>976193</f>
        <v>976193</v>
      </c>
      <c r="DB61">
        <f>863374</f>
        <v>863374</v>
      </c>
      <c r="DC61">
        <f>865956</f>
        <v>865956</v>
      </c>
      <c r="DD61">
        <f>1095839</f>
        <v>1095839</v>
      </c>
      <c r="DE61">
        <f>1091169</f>
        <v>1091169</v>
      </c>
      <c r="DF61">
        <f>966185</f>
        <v>966185</v>
      </c>
      <c r="DG61">
        <f>1088575</f>
        <v>1088575</v>
      </c>
      <c r="DH61">
        <f>1008523</f>
        <v>1008523</v>
      </c>
      <c r="DI61">
        <f>901387</f>
        <v>901387</v>
      </c>
      <c r="DJ61">
        <f>794979</f>
        <v>794979</v>
      </c>
      <c r="DK61">
        <f>862965</f>
        <v>862965</v>
      </c>
      <c r="DL61">
        <f>698196</f>
        <v>698196</v>
      </c>
      <c r="DM61">
        <f>631992</f>
        <v>631992</v>
      </c>
      <c r="DN61">
        <f>584907</f>
        <v>584907</v>
      </c>
      <c r="DO61">
        <f>631068</f>
        <v>631068</v>
      </c>
      <c r="DP61">
        <f>580024</f>
        <v>580024</v>
      </c>
      <c r="DQ61">
        <f>561471</f>
        <v>561471</v>
      </c>
      <c r="DR61">
        <f>486161</f>
        <v>486161</v>
      </c>
      <c r="DS61">
        <f>552967</f>
        <v>552967</v>
      </c>
      <c r="DT61">
        <f>496276</f>
        <v>496276</v>
      </c>
      <c r="DU61">
        <f>454402</f>
        <v>454402</v>
      </c>
    </row>
    <row r="62" spans="1:125" x14ac:dyDescent="0.25">
      <c r="A62" t="str">
        <f>"        Argentina"</f>
        <v xml:space="preserve">        Argentina</v>
      </c>
      <c r="B62" t="str">
        <f>"ARVSARTL Index"</f>
        <v>ARVSARTL Index</v>
      </c>
      <c r="C62" t="str">
        <f>"PX385"</f>
        <v>PX385</v>
      </c>
      <c r="D62" t="str">
        <f>"INTERVAL_SUM"</f>
        <v>INTERVAL_SUM</v>
      </c>
      <c r="E62" t="str">
        <f>"Dynamic"</f>
        <v>Dynamic</v>
      </c>
      <c r="F62">
        <f ca="1">IF(AND(ISNUMBER($F$210),$B$156=1),$F$210,HLOOKUP(INDIRECT(ADDRESS(2,COLUMN())),OFFSET($BN$2,0,0,ROW()-1,60),ROW()-1,FALSE))</f>
        <v>30038</v>
      </c>
      <c r="G62">
        <f ca="1">IF(AND(ISNUMBER($G$210),$B$156=1),$G$210,HLOOKUP(INDIRECT(ADDRESS(2,COLUMN())),OFFSET($BN$2,0,0,ROW()-1,60),ROW()-1,FALSE))</f>
        <v>118720</v>
      </c>
      <c r="H62">
        <f ca="1">IF(AND(ISNUMBER($H$210),$B$156=1),$H$210,HLOOKUP(INDIRECT(ADDRESS(2,COLUMN())),OFFSET($BN$2,0,0,ROW()-1,60),ROW()-1,FALSE))</f>
        <v>141489</v>
      </c>
      <c r="I62">
        <f ca="1">IF(AND(ISNUMBER($I$210),$B$156=1),$I$210,HLOOKUP(INDIRECT(ADDRESS(2,COLUMN())),OFFSET($BN$2,0,0,ROW()-1,60),ROW()-1,FALSE))</f>
        <v>203860</v>
      </c>
      <c r="J62">
        <f ca="1">IF(AND(ISNUMBER($J$210),$B$156=1),$J$210,HLOOKUP(INDIRECT(ADDRESS(2,COLUMN())),OFFSET($BN$2,0,0,ROW()-1,60),ROW()-1,FALSE))</f>
        <v>217747</v>
      </c>
      <c r="K62">
        <f ca="1">IF(AND(ISNUMBER($K$210),$B$156=1),$K$210,HLOOKUP(INDIRECT(ADDRESS(2,COLUMN())),OFFSET($BN$2,0,0,ROW()-1,60),ROW()-1,FALSE))</f>
        <v>243354</v>
      </c>
      <c r="L62">
        <f ca="1">IF(AND(ISNUMBER($L$210),$B$156=1),$L$210,HLOOKUP(INDIRECT(ADDRESS(2,COLUMN())),OFFSET($BN$2,0,0,ROW()-1,60),ROW()-1,FALSE))</f>
        <v>225576</v>
      </c>
      <c r="M62">
        <f ca="1">IF(AND(ISNUMBER($M$210),$B$156=1),$M$210,HLOOKUP(INDIRECT(ADDRESS(2,COLUMN())),OFFSET($BN$2,0,0,ROW()-1,60),ROW()-1,FALSE))</f>
        <v>227810</v>
      </c>
      <c r="N62">
        <f ca="1">IF(AND(ISNUMBER($N$210),$B$156=1),$N$210,HLOOKUP(INDIRECT(ADDRESS(2,COLUMN())),OFFSET($BN$2,0,0,ROW()-1,60),ROW()-1,FALSE))</f>
        <v>187062</v>
      </c>
      <c r="O62">
        <f ca="1">IF(AND(ISNUMBER($O$210),$B$156=1),$O$210,HLOOKUP(INDIRECT(ADDRESS(2,COLUMN())),OFFSET($BN$2,0,0,ROW()-1,60),ROW()-1,FALSE))</f>
        <v>190761</v>
      </c>
      <c r="P62">
        <f ca="1">IF(AND(ISNUMBER($P$210),$B$156=1),$P$210,HLOOKUP(INDIRECT(ADDRESS(2,COLUMN())),OFFSET($BN$2,0,0,ROW()-1,60),ROW()-1,FALSE))</f>
        <v>169474</v>
      </c>
      <c r="Q62">
        <f ca="1">IF(AND(ISNUMBER($Q$210),$B$156=1),$Q$210,HLOOKUP(INDIRECT(ADDRESS(2,COLUMN())),OFFSET($BN$2,0,0,ROW()-1,60),ROW()-1,FALSE))</f>
        <v>184065</v>
      </c>
      <c r="R62">
        <f ca="1">IF(AND(ISNUMBER($R$210),$B$156=1),$R$210,HLOOKUP(INDIRECT(ADDRESS(2,COLUMN())),OFFSET($BN$2,0,0,ROW()-1,60),ROW()-1,FALSE))</f>
        <v>162529</v>
      </c>
      <c r="S62">
        <f ca="1">IF(AND(ISNUMBER($S$210),$B$156=1),$S$210,HLOOKUP(INDIRECT(ADDRESS(2,COLUMN())),OFFSET($BN$2,0,0,ROW()-1,60),ROW()-1,FALSE))</f>
        <v>143622</v>
      </c>
      <c r="T62">
        <f ca="1">IF(AND(ISNUMBER($T$210),$B$156=1),$T$210,HLOOKUP(INDIRECT(ADDRESS(2,COLUMN())),OFFSET($BN$2,0,0,ROW()-1,60),ROW()-1,FALSE))</f>
        <v>171822</v>
      </c>
      <c r="U62">
        <f ca="1">IF(AND(ISNUMBER($U$210),$B$156=1),$U$210,HLOOKUP(INDIRECT(ADDRESS(2,COLUMN())),OFFSET($BN$2,0,0,ROW()-1,60),ROW()-1,FALSE))</f>
        <v>157789</v>
      </c>
      <c r="V62">
        <f ca="1">IF(AND(ISNUMBER($V$210),$B$156=1),$V$210,HLOOKUP(INDIRECT(ADDRESS(2,COLUMN())),OFFSET($BN$2,0,0,ROW()-1,60),ROW()-1,FALSE))</f>
        <v>128747</v>
      </c>
      <c r="W62">
        <f ca="1">IF(AND(ISNUMBER($W$210),$B$156=1),$W$210,HLOOKUP(INDIRECT(ADDRESS(2,COLUMN())),OFFSET($BN$2,0,0,ROW()-1,60),ROW()-1,FALSE))</f>
        <v>141804</v>
      </c>
      <c r="X62">
        <f ca="1">IF(AND(ISNUMBER($X$210),$B$156=1),$X$210,HLOOKUP(INDIRECT(ADDRESS(2,COLUMN())),OFFSET($BN$2,0,0,ROW()-1,60),ROW()-1,FALSE))</f>
        <v>165613</v>
      </c>
      <c r="Y62">
        <f ca="1">IF(AND(ISNUMBER($Y$210),$B$156=1),$Y$210,HLOOKUP(INDIRECT(ADDRESS(2,COLUMN())),OFFSET($BN$2,0,0,ROW()-1,60),ROW()-1,FALSE))</f>
        <v>155125</v>
      </c>
      <c r="Z62">
        <f ca="1">IF(AND(ISNUMBER($Z$210),$B$156=1),$Z$210,HLOOKUP(INDIRECT(ADDRESS(2,COLUMN())),OFFSET($BN$2,0,0,ROW()-1,60),ROW()-1,FALSE))</f>
        <v>151306</v>
      </c>
      <c r="AA62">
        <f ca="1">IF(AND(ISNUMBER($AA$210),$B$156=1),$AA$210,HLOOKUP(INDIRECT(ADDRESS(2,COLUMN())),OFFSET($BN$2,0,0,ROW()-1,60),ROW()-1,FALSE))</f>
        <v>245599</v>
      </c>
      <c r="AB62">
        <f ca="1">IF(AND(ISNUMBER($AB$210),$B$156=1),$AB$210,HLOOKUP(INDIRECT(ADDRESS(2,COLUMN())),OFFSET($BN$2,0,0,ROW()-1,60),ROW()-1,FALSE))</f>
        <v>255647</v>
      </c>
      <c r="AC62">
        <f ca="1">IF(AND(ISNUMBER($AC$210),$B$156=1),$AC$210,HLOOKUP(INDIRECT(ADDRESS(2,COLUMN())),OFFSET($BN$2,0,0,ROW()-1,60),ROW()-1,FALSE))</f>
        <v>259720</v>
      </c>
      <c r="AD62">
        <f ca="1">IF(AND(ISNUMBER($AD$210),$B$156=1),$AD$210,HLOOKUP(INDIRECT(ADDRESS(2,COLUMN())),OFFSET($BN$2,0,0,ROW()-1,60),ROW()-1,FALSE))</f>
        <v>202951</v>
      </c>
      <c r="AE62">
        <f ca="1">IF(AND(ISNUMBER($AE$210),$B$156=1),$AE$210,HLOOKUP(INDIRECT(ADDRESS(2,COLUMN())),OFFSET($BN$2,0,0,ROW()-1,60),ROW()-1,FALSE))</f>
        <v>226313</v>
      </c>
      <c r="AF62">
        <f ca="1">IF(AND(ISNUMBER($AF$210),$B$156=1),$AF$210,HLOOKUP(INDIRECT(ADDRESS(2,COLUMN())),OFFSET($BN$2,0,0,ROW()-1,60),ROW()-1,FALSE))</f>
        <v>205870</v>
      </c>
      <c r="AG62">
        <f ca="1">IF(AND(ISNUMBER($AG$210),$B$156=1),$AG$210,HLOOKUP(INDIRECT(ADDRESS(2,COLUMN())),OFFSET($BN$2,0,0,ROW()-1,60),ROW()-1,FALSE))</f>
        <v>203020</v>
      </c>
      <c r="AH62">
        <f ca="1">IF(AND(ISNUMBER($AH$210),$B$156=1),$AH$210,HLOOKUP(INDIRECT(ADDRESS(2,COLUMN())),OFFSET($BN$2,0,0,ROW()-1,60),ROW()-1,FALSE))</f>
        <v>194828</v>
      </c>
      <c r="AI62">
        <f ca="1">IF(AND(ISNUMBER($AI$210),$B$156=1),$AI$210,HLOOKUP(INDIRECT(ADDRESS(2,COLUMN())),OFFSET($BN$2,0,0,ROW()-1,60),ROW()-1,FALSE))</f>
        <v>241213</v>
      </c>
      <c r="AJ62">
        <f ca="1">IF(AND(ISNUMBER($AJ$210),$B$156=1),$AJ$210,HLOOKUP(INDIRECT(ADDRESS(2,COLUMN())),OFFSET($BN$2,0,0,ROW()-1,60),ROW()-1,FALSE))</f>
        <v>236686</v>
      </c>
      <c r="AK62">
        <f ca="1">IF(AND(ISNUMBER($AK$210),$B$156=1),$AK$210,HLOOKUP(INDIRECT(ADDRESS(2,COLUMN())),OFFSET($BN$2,0,0,ROW()-1,60),ROW()-1,FALSE))</f>
        <v>220480</v>
      </c>
      <c r="AL62">
        <f ca="1">IF(AND(ISNUMBER($AL$210),$B$156=1),$AL$210,HLOOKUP(INDIRECT(ADDRESS(2,COLUMN())),OFFSET($BN$2,0,0,ROW()-1,60),ROW()-1,FALSE))</f>
        <v>184971</v>
      </c>
      <c r="AM62">
        <f ca="1">IF(AND(ISNUMBER($AM$210),$B$156=1),$AM$210,HLOOKUP(INDIRECT(ADDRESS(2,COLUMN())),OFFSET($BN$2,0,0,ROW()-1,60),ROW()-1,FALSE))</f>
        <v>200584</v>
      </c>
      <c r="AN62">
        <f ca="1">IF(AND(ISNUMBER($AN$210),$B$156=1),$AN$210,HLOOKUP(INDIRECT(ADDRESS(2,COLUMN())),OFFSET($BN$2,0,0,ROW()-1,60),ROW()-1,FALSE))</f>
        <v>179148</v>
      </c>
      <c r="AO62">
        <f ca="1">IF(AND(ISNUMBER($AO$210),$B$156=1),$AO$210,HLOOKUP(INDIRECT(ADDRESS(2,COLUMN())),OFFSET($BN$2,0,0,ROW()-1,60),ROW()-1,FALSE))</f>
        <v>164464</v>
      </c>
      <c r="AP62">
        <f ca="1">IF(AND(ISNUMBER($AP$210),$B$156=1),$AP$210,HLOOKUP(INDIRECT(ADDRESS(2,COLUMN())),OFFSET($BN$2,0,0,ROW()-1,60),ROW()-1,FALSE))</f>
        <v>154103</v>
      </c>
      <c r="AQ62">
        <f ca="1">IF(AND(ISNUMBER($AQ$210),$B$156=1),$AQ$210,HLOOKUP(INDIRECT(ADDRESS(2,COLUMN())),OFFSET($BN$2,0,0,ROW()-1,60),ROW()-1,FALSE))</f>
        <v>131298</v>
      </c>
      <c r="AR62">
        <f ca="1">IF(AND(ISNUMBER($AR$210),$B$156=1),$AR$210,HLOOKUP(INDIRECT(ADDRESS(2,COLUMN())),OFFSET($BN$2,0,0,ROW()-1,60),ROW()-1,FALSE))</f>
        <v>128593</v>
      </c>
      <c r="AS62">
        <f ca="1">IF(AND(ISNUMBER($AS$210),$B$156=1),$AS$210,HLOOKUP(INDIRECT(ADDRESS(2,COLUMN())),OFFSET($BN$2,0,0,ROW()-1,60),ROW()-1,FALSE))</f>
        <v>123377</v>
      </c>
      <c r="AT62">
        <f ca="1">IF(AND(ISNUMBER($AT$210),$B$156=1),$AT$210,HLOOKUP(INDIRECT(ADDRESS(2,COLUMN())),OFFSET($BN$2,0,0,ROW()-1,60),ROW()-1,FALSE))</f>
        <v>103874</v>
      </c>
      <c r="AU62">
        <f ca="1">IF(AND(ISNUMBER($AU$210),$B$156=1),$AU$210,HLOOKUP(INDIRECT(ADDRESS(2,COLUMN())),OFFSET($BN$2,0,0,ROW()-1,60),ROW()-1,FALSE))</f>
        <v>119317</v>
      </c>
      <c r="AV62">
        <f ca="1">IF(AND(ISNUMBER($AV$210),$B$156=1),$AV$210,HLOOKUP(INDIRECT(ADDRESS(2,COLUMN())),OFFSET($BN$2,0,0,ROW()-1,60),ROW()-1,FALSE))</f>
        <v>161948</v>
      </c>
      <c r="AW62">
        <f ca="1">IF(AND(ISNUMBER($AW$210),$B$156=1),$AW$210,HLOOKUP(INDIRECT(ADDRESS(2,COLUMN())),OFFSET($BN$2,0,0,ROW()-1,60),ROW()-1,FALSE))</f>
        <v>170762</v>
      </c>
      <c r="AX62">
        <f ca="1">IF(AND(ISNUMBER($AX$210),$B$156=1),$AX$210,HLOOKUP(INDIRECT(ADDRESS(2,COLUMN())),OFFSET($BN$2,0,0,ROW()-1,60),ROW()-1,FALSE))</f>
        <v>159869</v>
      </c>
      <c r="AY62">
        <f ca="1">IF(AND(ISNUMBER($AY$210),$B$156=1),$AY$210,HLOOKUP(INDIRECT(ADDRESS(2,COLUMN())),OFFSET($BN$2,0,0,ROW()-1,60),ROW()-1,FALSE))</f>
        <v>148457</v>
      </c>
      <c r="AZ62">
        <f ca="1">IF(AND(ISNUMBER($AZ$210),$B$156=1),$AZ$210,HLOOKUP(INDIRECT(ADDRESS(2,COLUMN())),OFFSET($BN$2,0,0,ROW()-1,60),ROW()-1,FALSE))</f>
        <v>146826</v>
      </c>
      <c r="BA62">
        <f ca="1">IF(AND(ISNUMBER($BA$210),$B$156=1),$BA$210,HLOOKUP(INDIRECT(ADDRESS(2,COLUMN())),OFFSET($BN$2,0,0,ROW()-1,60),ROW()-1,FALSE))</f>
        <v>134749</v>
      </c>
      <c r="BB62">
        <f ca="1">IF(AND(ISNUMBER($BB$210),$B$156=1),$BB$210,HLOOKUP(INDIRECT(ADDRESS(2,COLUMN())),OFFSET($BN$2,0,0,ROW()-1,60),ROW()-1,FALSE))</f>
        <v>134899</v>
      </c>
      <c r="BC62">
        <f ca="1">IF(AND(ISNUMBER($BC$210),$B$156=1),$BC$210,HLOOKUP(INDIRECT(ADDRESS(2,COLUMN())),OFFSET($BN$2,0,0,ROW()-1,60),ROW()-1,FALSE))</f>
        <v>120306</v>
      </c>
      <c r="BD62">
        <f ca="1">IF(AND(ISNUMBER($BD$210),$B$156=1),$BD$210,HLOOKUP(INDIRECT(ADDRESS(2,COLUMN())),OFFSET($BN$2,0,0,ROW()-1,60),ROW()-1,FALSE))</f>
        <v>115443</v>
      </c>
      <c r="BE62">
        <f ca="1">IF(AND(ISNUMBER($BE$210),$B$156=1),$BE$210,HLOOKUP(INDIRECT(ADDRESS(2,COLUMN())),OFFSET($BN$2,0,0,ROW()-1,60),ROW()-1,FALSE))</f>
        <v>111918</v>
      </c>
      <c r="BF62">
        <f ca="1">IF(AND(ISNUMBER($BF$210),$B$156=1),$BF$210,HLOOKUP(INDIRECT(ADDRESS(2,COLUMN())),OFFSET($BN$2,0,0,ROW()-1,60),ROW()-1,FALSE))</f>
        <v>113307</v>
      </c>
      <c r="BG62">
        <f ca="1">IF(AND(ISNUMBER($BG$210),$B$156=1),$BG$210,HLOOKUP(INDIRECT(ADDRESS(2,COLUMN())),OFFSET($BN$2,0,0,ROW()-1,60),ROW()-1,FALSE))</f>
        <v>97658</v>
      </c>
      <c r="BH62">
        <f ca="1">IF(AND(ISNUMBER($BH$210),$B$156=1),$BH$210,HLOOKUP(INDIRECT(ADDRESS(2,COLUMN())),OFFSET($BN$2,0,0,ROW()-1,60),ROW()-1,FALSE))</f>
        <v>108876</v>
      </c>
      <c r="BI62">
        <f ca="1">IF(AND(ISNUMBER($BI$210),$B$156=1),$BI$210,HLOOKUP(INDIRECT(ADDRESS(2,COLUMN())),OFFSET($BN$2,0,0,ROW()-1,60),ROW()-1,FALSE))</f>
        <v>102094</v>
      </c>
      <c r="BJ62">
        <f ca="1">IF(AND(ISNUMBER($BJ$210),$B$156=1),$BJ$210,HLOOKUP(INDIRECT(ADDRESS(2,COLUMN())),OFFSET($BN$2,0,0,ROW()-1,60),ROW()-1,FALSE))</f>
        <v>94093</v>
      </c>
      <c r="BK62">
        <f ca="1">IF(AND(ISNUMBER($BK$210),$B$156=1),$BK$210,HLOOKUP(INDIRECT(ADDRESS(2,COLUMN())),OFFSET($BN$2,0,0,ROW()-1,60),ROW()-1,FALSE))</f>
        <v>81624</v>
      </c>
      <c r="BL62">
        <f ca="1">IF(AND(ISNUMBER($BL$210),$B$156=1),$BL$210,HLOOKUP(INDIRECT(ADDRESS(2,COLUMN())),OFFSET($BN$2,0,0,ROW()-1,60),ROW()-1,FALSE))</f>
        <v>82309</v>
      </c>
      <c r="BM62">
        <f ca="1">IF(AND(ISNUMBER($BM$210),$B$156=1),$BM$210,HLOOKUP(INDIRECT(ADDRESS(2,COLUMN())),OFFSET($BN$2,0,0,ROW()-1,60),ROW()-1,FALSE))</f>
        <v>80467</v>
      </c>
      <c r="BN62">
        <f>30038</f>
        <v>30038</v>
      </c>
      <c r="BO62">
        <f>118720</f>
        <v>118720</v>
      </c>
      <c r="BP62">
        <f>141489</f>
        <v>141489</v>
      </c>
      <c r="BQ62">
        <f>203860</f>
        <v>203860</v>
      </c>
      <c r="BR62">
        <f>217747</f>
        <v>217747</v>
      </c>
      <c r="BS62">
        <f>243354</f>
        <v>243354</v>
      </c>
      <c r="BT62">
        <f>225576</f>
        <v>225576</v>
      </c>
      <c r="BU62">
        <f>227810</f>
        <v>227810</v>
      </c>
      <c r="BV62">
        <f>187062</f>
        <v>187062</v>
      </c>
      <c r="BW62">
        <f>190761</f>
        <v>190761</v>
      </c>
      <c r="BX62">
        <f>169474</f>
        <v>169474</v>
      </c>
      <c r="BY62">
        <f>184065</f>
        <v>184065</v>
      </c>
      <c r="BZ62">
        <f>162529</f>
        <v>162529</v>
      </c>
      <c r="CA62">
        <f>143622</f>
        <v>143622</v>
      </c>
      <c r="CB62">
        <f>171822</f>
        <v>171822</v>
      </c>
      <c r="CC62">
        <f>157789</f>
        <v>157789</v>
      </c>
      <c r="CD62">
        <f>128747</f>
        <v>128747</v>
      </c>
      <c r="CE62">
        <f>141804</f>
        <v>141804</v>
      </c>
      <c r="CF62">
        <f>165613</f>
        <v>165613</v>
      </c>
      <c r="CG62">
        <f>155125</f>
        <v>155125</v>
      </c>
      <c r="CH62">
        <f>151306</f>
        <v>151306</v>
      </c>
      <c r="CI62">
        <f>245599</f>
        <v>245599</v>
      </c>
      <c r="CJ62">
        <f>255647</f>
        <v>255647</v>
      </c>
      <c r="CK62">
        <f>259720</f>
        <v>259720</v>
      </c>
      <c r="CL62">
        <f>202951</f>
        <v>202951</v>
      </c>
      <c r="CM62">
        <f>226313</f>
        <v>226313</v>
      </c>
      <c r="CN62">
        <f>205870</f>
        <v>205870</v>
      </c>
      <c r="CO62">
        <f>203020</f>
        <v>203020</v>
      </c>
      <c r="CP62">
        <f>194828</f>
        <v>194828</v>
      </c>
      <c r="CQ62">
        <f>241213</f>
        <v>241213</v>
      </c>
      <c r="CR62">
        <f>236686</f>
        <v>236686</v>
      </c>
      <c r="CS62">
        <f>220480</f>
        <v>220480</v>
      </c>
      <c r="CT62">
        <f>184971</f>
        <v>184971</v>
      </c>
      <c r="CU62">
        <f>200584</f>
        <v>200584</v>
      </c>
      <c r="CV62">
        <f>179148</f>
        <v>179148</v>
      </c>
      <c r="CW62">
        <f>164464</f>
        <v>164464</v>
      </c>
      <c r="CX62">
        <f>154103</f>
        <v>154103</v>
      </c>
      <c r="CY62">
        <f>131298</f>
        <v>131298</v>
      </c>
      <c r="CZ62">
        <f>128593</f>
        <v>128593</v>
      </c>
      <c r="DA62">
        <f>123377</f>
        <v>123377</v>
      </c>
      <c r="DB62">
        <f>103874</f>
        <v>103874</v>
      </c>
      <c r="DC62">
        <f>119317</f>
        <v>119317</v>
      </c>
      <c r="DD62">
        <f>161948</f>
        <v>161948</v>
      </c>
      <c r="DE62">
        <f>170762</f>
        <v>170762</v>
      </c>
      <c r="DF62">
        <f>159869</f>
        <v>159869</v>
      </c>
      <c r="DG62">
        <f>148457</f>
        <v>148457</v>
      </c>
      <c r="DH62">
        <f>146826</f>
        <v>146826</v>
      </c>
      <c r="DI62">
        <f>134749</f>
        <v>134749</v>
      </c>
      <c r="DJ62">
        <f>134899</f>
        <v>134899</v>
      </c>
      <c r="DK62">
        <f>120306</f>
        <v>120306</v>
      </c>
      <c r="DL62">
        <f>115443</f>
        <v>115443</v>
      </c>
      <c r="DM62">
        <f>111918</f>
        <v>111918</v>
      </c>
      <c r="DN62">
        <f>113307</f>
        <v>113307</v>
      </c>
      <c r="DO62">
        <f>97658</f>
        <v>97658</v>
      </c>
      <c r="DP62">
        <f>108876</f>
        <v>108876</v>
      </c>
      <c r="DQ62">
        <f>102094</f>
        <v>102094</v>
      </c>
      <c r="DR62">
        <f>94093</f>
        <v>94093</v>
      </c>
      <c r="DS62">
        <f>81624</f>
        <v>81624</v>
      </c>
      <c r="DT62">
        <f>82309</f>
        <v>82309</v>
      </c>
      <c r="DU62">
        <f>80467</f>
        <v>80467</v>
      </c>
    </row>
    <row r="63" spans="1:125" x14ac:dyDescent="0.25">
      <c r="A63" t="str">
        <f>"        Brazil"</f>
        <v xml:space="preserve">        Brazil</v>
      </c>
      <c r="B63" t="str">
        <f>"BZVLTOTL Index"</f>
        <v>BZVLTOTL Index</v>
      </c>
      <c r="C63" t="str">
        <f>"PX385"</f>
        <v>PX385</v>
      </c>
      <c r="D63" t="str">
        <f>"INTERVAL_SUM"</f>
        <v>INTERVAL_SUM</v>
      </c>
      <c r="E63" t="str">
        <f>"Dynamic"</f>
        <v>Dynamic</v>
      </c>
      <c r="F63">
        <f ca="1">IF(AND(ISNUMBER($F$211),$B$156=1),$F$211,HLOOKUP(INDIRECT(ADDRESS(2,COLUMN())),OFFSET($BN$2,0,0,ROW()-1,60),ROW()-1,FALSE))</f>
        <v>191209</v>
      </c>
      <c r="G63">
        <f ca="1">IF(AND(ISNUMBER($G$211),$B$156=1),$G$211,HLOOKUP(INDIRECT(ADDRESS(2,COLUMN())),OFFSET($BN$2,0,0,ROW()-1,60),ROW()-1,FALSE))</f>
        <v>692402</v>
      </c>
      <c r="H63">
        <f ca="1">IF(AND(ISNUMBER($H$211),$B$156=1),$H$211,HLOOKUP(INDIRECT(ADDRESS(2,COLUMN())),OFFSET($BN$2,0,0,ROW()-1,60),ROW()-1,FALSE))</f>
        <v>653807</v>
      </c>
      <c r="I63">
        <f ca="1">IF(AND(ISNUMBER($I$211),$B$156=1),$I$211,HLOOKUP(INDIRECT(ADDRESS(2,COLUMN())),OFFSET($BN$2,0,0,ROW()-1,60),ROW()-1,FALSE))</f>
        <v>600902</v>
      </c>
      <c r="J63">
        <f ca="1">IF(AND(ISNUMBER($J$211),$B$156=1),$J$211,HLOOKUP(INDIRECT(ADDRESS(2,COLUMN())),OFFSET($BN$2,0,0,ROW()-1,60),ROW()-1,FALSE))</f>
        <v>528245</v>
      </c>
      <c r="K63">
        <f ca="1">IF(AND(ISNUMBER($K$211),$B$156=1),$K$211,HLOOKUP(INDIRECT(ADDRESS(2,COLUMN())),OFFSET($BN$2,0,0,ROW()-1,60),ROW()-1,FALSE))</f>
        <v>599907</v>
      </c>
      <c r="L63">
        <f ca="1">IF(AND(ISNUMBER($L$211),$B$156=1),$L$211,HLOOKUP(INDIRECT(ADDRESS(2,COLUMN())),OFFSET($BN$2,0,0,ROW()-1,60),ROW()-1,FALSE))</f>
        <v>582986</v>
      </c>
      <c r="M63">
        <f ca="1">IF(AND(ISNUMBER($M$211),$B$156=1),$M$211,HLOOKUP(INDIRECT(ADDRESS(2,COLUMN())),OFFSET($BN$2,0,0,ROW()-1,60),ROW()-1,FALSE))</f>
        <v>532511</v>
      </c>
      <c r="N63">
        <f ca="1">IF(AND(ISNUMBER($N$211),$B$156=1),$N$211,HLOOKUP(INDIRECT(ADDRESS(2,COLUMN())),OFFSET($BN$2,0,0,ROW()-1,60),ROW()-1,FALSE))</f>
        <v>460583</v>
      </c>
      <c r="O63">
        <f ca="1">IF(AND(ISNUMBER($O$211),$B$156=1),$O$211,HLOOKUP(INDIRECT(ADDRESS(2,COLUMN())),OFFSET($BN$2,0,0,ROW()-1,60),ROW()-1,FALSE))</f>
        <v>527966</v>
      </c>
      <c r="P63">
        <f ca="1">IF(AND(ISNUMBER($P$211),$B$156=1),$P$211,HLOOKUP(INDIRECT(ADDRESS(2,COLUMN())),OFFSET($BN$2,0,0,ROW()-1,60),ROW()-1,FALSE))</f>
        <v>508363</v>
      </c>
      <c r="Q63">
        <f ca="1">IF(AND(ISNUMBER($Q$211),$B$156=1),$Q$211,HLOOKUP(INDIRECT(ADDRESS(2,COLUMN())),OFFSET($BN$2,0,0,ROW()-1,60),ROW()-1,FALSE))</f>
        <v>486784</v>
      </c>
      <c r="R63">
        <f ca="1">IF(AND(ISNUMBER($R$211),$B$156=1),$R$211,HLOOKUP(INDIRECT(ADDRESS(2,COLUMN())),OFFSET($BN$2,0,0,ROW()-1,60),ROW()-1,FALSE))</f>
        <v>465480</v>
      </c>
      <c r="S63">
        <f ca="1">IF(AND(ISNUMBER($S$211),$B$156=1),$S$211,HLOOKUP(INDIRECT(ADDRESS(2,COLUMN())),OFFSET($BN$2,0,0,ROW()-1,60),ROW()-1,FALSE))</f>
        <v>595879</v>
      </c>
      <c r="T63">
        <f ca="1">IF(AND(ISNUMBER($T$211),$B$156=1),$T$211,HLOOKUP(INDIRECT(ADDRESS(2,COLUMN())),OFFSET($BN$2,0,0,ROW()-1,60),ROW()-1,FALSE))</f>
        <v>612651</v>
      </c>
      <c r="U63">
        <f ca="1">IF(AND(ISNUMBER($U$211),$B$156=1),$U$211,HLOOKUP(INDIRECT(ADDRESS(2,COLUMN())),OFFSET($BN$2,0,0,ROW()-1,60),ROW()-1,FALSE))</f>
        <v>622134</v>
      </c>
      <c r="V63">
        <f ca="1">IF(AND(ISNUMBER($V$211),$B$156=1),$V$211,HLOOKUP(INDIRECT(ADDRESS(2,COLUMN())),OFFSET($BN$2,0,0,ROW()-1,60),ROW()-1,FALSE))</f>
        <v>649865</v>
      </c>
      <c r="W63">
        <f ca="1">IF(AND(ISNUMBER($W$211),$B$156=1),$W$211,HLOOKUP(INDIRECT(ADDRESS(2,COLUMN())),OFFSET($BN$2,0,0,ROW()-1,60),ROW()-1,FALSE))</f>
        <v>925955</v>
      </c>
      <c r="X63">
        <f ca="1">IF(AND(ISNUMBER($X$211),$B$156=1),$X$211,HLOOKUP(INDIRECT(ADDRESS(2,COLUMN())),OFFSET($BN$2,0,0,ROW()-1,60),ROW()-1,FALSE))</f>
        <v>822561</v>
      </c>
      <c r="Y63">
        <f ca="1">IF(AND(ISNUMBER($Y$211),$B$156=1),$Y$211,HLOOKUP(INDIRECT(ADDRESS(2,COLUMN())),OFFSET($BN$2,0,0,ROW()-1,60),ROW()-1,FALSE))</f>
        <v>809536</v>
      </c>
      <c r="Z63">
        <f ca="1">IF(AND(ISNUMBER($Z$211),$B$156=1),$Z$211,HLOOKUP(INDIRECT(ADDRESS(2,COLUMN())),OFFSET($BN$2,0,0,ROW()-1,60),ROW()-1,FALSE))</f>
        <v>775345</v>
      </c>
      <c r="AA63">
        <f ca="1">IF(AND(ISNUMBER($AA$211),$B$156=1),$AA$211,HLOOKUP(INDIRECT(ADDRESS(2,COLUMN())),OFFSET($BN$2,0,0,ROW()-1,60),ROW()-1,FALSE))</f>
        <v>938649</v>
      </c>
      <c r="AB63">
        <f ca="1">IF(AND(ISNUMBER($AB$211),$B$156=1),$AB$211,HLOOKUP(INDIRECT(ADDRESS(2,COLUMN())),OFFSET($BN$2,0,0,ROW()-1,60),ROW()-1,FALSE))</f>
        <v>931722</v>
      </c>
      <c r="AC63">
        <f ca="1">IF(AND(ISNUMBER($AC$211),$B$156=1),$AC$211,HLOOKUP(INDIRECT(ADDRESS(2,COLUMN())),OFFSET($BN$2,0,0,ROW()-1,60),ROW()-1,FALSE))</f>
        <v>921018</v>
      </c>
      <c r="AD63">
        <f ca="1">IF(AND(ISNUMBER($AD$211),$B$156=1),$AD$211,HLOOKUP(INDIRECT(ADDRESS(2,COLUMN())),OFFSET($BN$2,0,0,ROW()-1,60),ROW()-1,FALSE))</f>
        <v>788514</v>
      </c>
      <c r="AE63">
        <f ca="1">IF(AND(ISNUMBER($AE$211),$B$156=1),$AE$211,HLOOKUP(INDIRECT(ADDRESS(2,COLUMN())),OFFSET($BN$2,0,0,ROW()-1,60),ROW()-1,FALSE))</f>
        <v>967968</v>
      </c>
      <c r="AF63">
        <f ca="1">IF(AND(ISNUMBER($AF$211),$B$156=1),$AF$211,HLOOKUP(INDIRECT(ADDRESS(2,COLUMN())),OFFSET($BN$2,0,0,ROW()-1,60),ROW()-1,FALSE))</f>
        <v>1034398</v>
      </c>
      <c r="AG63">
        <f ca="1">IF(AND(ISNUMBER($AG$211),$B$156=1),$AG$211,HLOOKUP(INDIRECT(ADDRESS(2,COLUMN())),OFFSET($BN$2,0,0,ROW()-1,60),ROW()-1,FALSE))</f>
        <v>859463</v>
      </c>
      <c r="AH63">
        <f ca="1">IF(AND(ISNUMBER($AH$211),$B$156=1),$AH$211,HLOOKUP(INDIRECT(ADDRESS(2,COLUMN())),OFFSET($BN$2,0,0,ROW()-1,60),ROW()-1,FALSE))</f>
        <v>772279</v>
      </c>
      <c r="AI63">
        <f ca="1">IF(AND(ISNUMBER($AI$211),$B$156=1),$AI$211,HLOOKUP(INDIRECT(ADDRESS(2,COLUMN())),OFFSET($BN$2,0,0,ROW()-1,60),ROW()-1,FALSE))</f>
        <v>898121</v>
      </c>
      <c r="AJ63">
        <f ca="1">IF(AND(ISNUMBER($AJ$211),$B$156=1),$AJ$211,HLOOKUP(INDIRECT(ADDRESS(2,COLUMN())),OFFSET($BN$2,0,0,ROW()-1,60),ROW()-1,FALSE))</f>
        <v>889296</v>
      </c>
      <c r="AK63">
        <f ca="1">IF(AND(ISNUMBER($AK$211),$B$156=1),$AK$211,HLOOKUP(INDIRECT(ADDRESS(2,COLUMN())),OFFSET($BN$2,0,0,ROW()-1,60),ROW()-1,FALSE))</f>
        <v>860336</v>
      </c>
      <c r="AL63">
        <f ca="1">IF(AND(ISNUMBER($AL$211),$B$156=1),$AL$211,HLOOKUP(INDIRECT(ADDRESS(2,COLUMN())),OFFSET($BN$2,0,0,ROW()-1,60),ROW()-1,FALSE))</f>
        <v>777671</v>
      </c>
      <c r="AM63">
        <f ca="1">IF(AND(ISNUMBER($AM$211),$B$156=1),$AM$211,HLOOKUP(INDIRECT(ADDRESS(2,COLUMN())),OFFSET($BN$2,0,0,ROW()-1,60),ROW()-1,FALSE))</f>
        <v>960202</v>
      </c>
      <c r="AN63">
        <f ca="1">IF(AND(ISNUMBER($AN$211),$B$156=1),$AN$211,HLOOKUP(INDIRECT(ADDRESS(2,COLUMN())),OFFSET($BN$2,0,0,ROW()-1,60),ROW()-1,FALSE))</f>
        <v>873238</v>
      </c>
      <c r="AO63">
        <f ca="1">IF(AND(ISNUMBER($AO$211),$B$156=1),$AO$211,HLOOKUP(INDIRECT(ADDRESS(2,COLUMN())),OFFSET($BN$2,0,0,ROW()-1,60),ROW()-1,FALSE))</f>
        <v>745111</v>
      </c>
      <c r="AP63">
        <f ca="1">IF(AND(ISNUMBER($AP$211),$B$156=1),$AP$211,HLOOKUP(INDIRECT(ADDRESS(2,COLUMN())),OFFSET($BN$2,0,0,ROW()-1,60),ROW()-1,FALSE))</f>
        <v>750395</v>
      </c>
      <c r="AQ63">
        <f ca="1">IF(AND(ISNUMBER($AQ$211),$B$156=1),$AQ$211,HLOOKUP(INDIRECT(ADDRESS(2,COLUMN())),OFFSET($BN$2,0,0,ROW()-1,60),ROW()-1,FALSE))</f>
        <v>797498</v>
      </c>
      <c r="AR63">
        <f ca="1">IF(AND(ISNUMBER($AR$211),$B$156=1),$AR$211,HLOOKUP(INDIRECT(ADDRESS(2,COLUMN())),OFFSET($BN$2,0,0,ROW()-1,60),ROW()-1,FALSE))</f>
        <v>817736</v>
      </c>
      <c r="AS63">
        <f ca="1">IF(AND(ISNUMBER($AS$211),$B$156=1),$AS$211,HLOOKUP(INDIRECT(ADDRESS(2,COLUMN())),OFFSET($BN$2,0,0,ROW()-1,60),ROW()-1,FALSE))</f>
        <v>751537</v>
      </c>
      <c r="AT63">
        <f ca="1">IF(AND(ISNUMBER($AT$211),$B$156=1),$AT$211,HLOOKUP(INDIRECT(ADDRESS(2,COLUMN())),OFFSET($BN$2,0,0,ROW()-1,60),ROW()-1,FALSE))</f>
        <v>641971</v>
      </c>
      <c r="AU63">
        <f ca="1">IF(AND(ISNUMBER($AU$211),$B$156=1),$AU$211,HLOOKUP(INDIRECT(ADDRESS(2,COLUMN())),OFFSET($BN$2,0,0,ROW()-1,60),ROW()-1,FALSE))</f>
        <v>574785</v>
      </c>
      <c r="AV63">
        <f ca="1">IF(AND(ISNUMBER($AV$211),$B$156=1),$AV$211,HLOOKUP(INDIRECT(ADDRESS(2,COLUMN())),OFFSET($BN$2,0,0,ROW()-1,60),ROW()-1,FALSE))</f>
        <v>758021</v>
      </c>
      <c r="AW63">
        <f ca="1">IF(AND(ISNUMBER($AW$211),$B$156=1),$AW$211,HLOOKUP(INDIRECT(ADDRESS(2,COLUMN())),OFFSET($BN$2,0,0,ROW()-1,60),ROW()-1,FALSE))</f>
        <v>720636</v>
      </c>
      <c r="AX63">
        <f ca="1">IF(AND(ISNUMBER($AX$211),$B$156=1),$AX$211,HLOOKUP(INDIRECT(ADDRESS(2,COLUMN())),OFFSET($BN$2,0,0,ROW()-1,60),ROW()-1,FALSE))</f>
        <v>617246</v>
      </c>
      <c r="AY63">
        <f ca="1">IF(AND(ISNUMBER($AY$211),$B$156=1),$AY$211,HLOOKUP(INDIRECT(ADDRESS(2,COLUMN())),OFFSET($BN$2,0,0,ROW()-1,60),ROW()-1,FALSE))</f>
        <v>689405</v>
      </c>
      <c r="AZ63">
        <f ca="1">IF(AND(ISNUMBER($AZ$211),$B$156=1),$AZ$211,HLOOKUP(INDIRECT(ADDRESS(2,COLUMN())),OFFSET($BN$2,0,0,ROW()-1,60),ROW()-1,FALSE))</f>
        <v>624141</v>
      </c>
      <c r="BA63">
        <f ca="1">IF(AND(ISNUMBER($BA$211),$B$156=1),$BA$211,HLOOKUP(INDIRECT(ADDRESS(2,COLUMN())),OFFSET($BN$2,0,0,ROW()-1,60),ROW()-1,FALSE))</f>
        <v>558873</v>
      </c>
      <c r="BB63">
        <f ca="1">IF(AND(ISNUMBER($BB$211),$B$156=1),$BB$211,HLOOKUP(INDIRECT(ADDRESS(2,COLUMN())),OFFSET($BN$2,0,0,ROW()-1,60),ROW()-1,FALSE))</f>
        <v>468613</v>
      </c>
      <c r="BC63">
        <f ca="1">IF(AND(ISNUMBER($BC$211),$B$156=1),$BC$211,HLOOKUP(INDIRECT(ADDRESS(2,COLUMN())),OFFSET($BN$2,0,0,ROW()-1,60),ROW()-1,FALSE))</f>
        <v>536672</v>
      </c>
      <c r="BD63">
        <f ca="1">IF(AND(ISNUMBER($BD$211),$B$156=1),$BD$211,HLOOKUP(INDIRECT(ADDRESS(2,COLUMN())),OFFSET($BN$2,0,0,ROW()-1,60),ROW()-1,FALSE))</f>
        <v>407536</v>
      </c>
      <c r="BE63">
        <f ca="1">IF(AND(ISNUMBER($BE$211),$B$156=1),$BE$211,HLOOKUP(INDIRECT(ADDRESS(2,COLUMN())),OFFSET($BN$2,0,0,ROW()-1,60),ROW()-1,FALSE))</f>
        <v>373283</v>
      </c>
      <c r="BF63">
        <f ca="1">IF(AND(ISNUMBER($BF$211),$B$156=1),$BF$211,HLOOKUP(INDIRECT(ADDRESS(2,COLUMN())),OFFSET($BN$2,0,0,ROW()-1,60),ROW()-1,FALSE))</f>
        <v>335662</v>
      </c>
      <c r="BG63">
        <f ca="1">IF(AND(ISNUMBER($BG$211),$B$156=1),$BG$211,HLOOKUP(INDIRECT(ADDRESS(2,COLUMN())),OFFSET($BN$2,0,0,ROW()-1,60),ROW()-1,FALSE))</f>
        <v>389387</v>
      </c>
      <c r="BH63">
        <f ca="1">IF(AND(ISNUMBER($BH$211),$B$156=1),$BH$211,HLOOKUP(INDIRECT(ADDRESS(2,COLUMN())),OFFSET($BN$2,0,0,ROW()-1,60),ROW()-1,FALSE))</f>
        <v>345890</v>
      </c>
      <c r="BI63">
        <f ca="1">IF(AND(ISNUMBER($BI$211),$B$156=1),$BI$211,HLOOKUP(INDIRECT(ADDRESS(2,COLUMN())),OFFSET($BN$2,0,0,ROW()-1,60),ROW()-1,FALSE))</f>
        <v>340951</v>
      </c>
      <c r="BJ63">
        <f ca="1">IF(AND(ISNUMBER($BJ$211),$B$156=1),$BJ$211,HLOOKUP(INDIRECT(ADDRESS(2,COLUMN())),OFFSET($BN$2,0,0,ROW()-1,60),ROW()-1,FALSE))</f>
        <v>292952</v>
      </c>
      <c r="BK63">
        <f ca="1">IF(AND(ISNUMBER($BK$211),$B$156=1),$BK$211,HLOOKUP(INDIRECT(ADDRESS(2,COLUMN())),OFFSET($BN$2,0,0,ROW()-1,60),ROW()-1,FALSE))</f>
        <v>361222</v>
      </c>
      <c r="BL63">
        <f ca="1">IF(AND(ISNUMBER($BL$211),$B$156=1),$BL$211,HLOOKUP(INDIRECT(ADDRESS(2,COLUMN())),OFFSET($BN$2,0,0,ROW()-1,60),ROW()-1,FALSE))</f>
        <v>321605</v>
      </c>
      <c r="BM63">
        <f ca="1">IF(AND(ISNUMBER($BM$211),$B$156=1),$BM$211,HLOOKUP(INDIRECT(ADDRESS(2,COLUMN())),OFFSET($BN$2,0,0,ROW()-1,60),ROW()-1,FALSE))</f>
        <v>291587</v>
      </c>
      <c r="BN63">
        <f>191209</f>
        <v>191209</v>
      </c>
      <c r="BO63">
        <f>692402</f>
        <v>692402</v>
      </c>
      <c r="BP63">
        <f>653807</f>
        <v>653807</v>
      </c>
      <c r="BQ63">
        <f>600902</f>
        <v>600902</v>
      </c>
      <c r="BR63">
        <f>528245</f>
        <v>528245</v>
      </c>
      <c r="BS63">
        <f>599907</f>
        <v>599907</v>
      </c>
      <c r="BT63">
        <f>582986</f>
        <v>582986</v>
      </c>
      <c r="BU63">
        <f>532511</f>
        <v>532511</v>
      </c>
      <c r="BV63">
        <f>460583</f>
        <v>460583</v>
      </c>
      <c r="BW63">
        <f>527966</f>
        <v>527966</v>
      </c>
      <c r="BX63">
        <f>508363</f>
        <v>508363</v>
      </c>
      <c r="BY63">
        <f>486784</f>
        <v>486784</v>
      </c>
      <c r="BZ63">
        <f>465480</f>
        <v>465480</v>
      </c>
      <c r="CA63">
        <f>595879</f>
        <v>595879</v>
      </c>
      <c r="CB63">
        <f>612651</f>
        <v>612651</v>
      </c>
      <c r="CC63">
        <f>622134</f>
        <v>622134</v>
      </c>
      <c r="CD63">
        <f>649865</f>
        <v>649865</v>
      </c>
      <c r="CE63">
        <f>925955</f>
        <v>925955</v>
      </c>
      <c r="CF63">
        <f>822561</f>
        <v>822561</v>
      </c>
      <c r="CG63">
        <f>809536</f>
        <v>809536</v>
      </c>
      <c r="CH63">
        <f>775345</f>
        <v>775345</v>
      </c>
      <c r="CI63">
        <f>938649</f>
        <v>938649</v>
      </c>
      <c r="CJ63">
        <f>931722</f>
        <v>931722</v>
      </c>
      <c r="CK63">
        <f>921018</f>
        <v>921018</v>
      </c>
      <c r="CL63">
        <f>788514</f>
        <v>788514</v>
      </c>
      <c r="CM63">
        <f>967968</f>
        <v>967968</v>
      </c>
      <c r="CN63">
        <f>1034398</f>
        <v>1034398</v>
      </c>
      <c r="CO63">
        <f>859463</f>
        <v>859463</v>
      </c>
      <c r="CP63">
        <f>772279</f>
        <v>772279</v>
      </c>
      <c r="CQ63">
        <f>898121</f>
        <v>898121</v>
      </c>
      <c r="CR63">
        <f>889296</f>
        <v>889296</v>
      </c>
      <c r="CS63">
        <f>860336</f>
        <v>860336</v>
      </c>
      <c r="CT63">
        <f>777671</f>
        <v>777671</v>
      </c>
      <c r="CU63">
        <f>960202</f>
        <v>960202</v>
      </c>
      <c r="CV63">
        <f>873238</f>
        <v>873238</v>
      </c>
      <c r="CW63">
        <f>745111</f>
        <v>745111</v>
      </c>
      <c r="CX63">
        <f>750395</f>
        <v>750395</v>
      </c>
      <c r="CY63">
        <f>797498</f>
        <v>797498</v>
      </c>
      <c r="CZ63">
        <f>817736</f>
        <v>817736</v>
      </c>
      <c r="DA63">
        <f>751537</f>
        <v>751537</v>
      </c>
      <c r="DB63">
        <f>641971</f>
        <v>641971</v>
      </c>
      <c r="DC63">
        <f>574785</f>
        <v>574785</v>
      </c>
      <c r="DD63">
        <f>758021</f>
        <v>758021</v>
      </c>
      <c r="DE63">
        <f>720636</f>
        <v>720636</v>
      </c>
      <c r="DF63">
        <f>617246</f>
        <v>617246</v>
      </c>
      <c r="DG63">
        <f>689405</f>
        <v>689405</v>
      </c>
      <c r="DH63">
        <f>624141</f>
        <v>624141</v>
      </c>
      <c r="DI63">
        <f>558873</f>
        <v>558873</v>
      </c>
      <c r="DJ63">
        <f>468613</f>
        <v>468613</v>
      </c>
      <c r="DK63">
        <f>536672</f>
        <v>536672</v>
      </c>
      <c r="DL63">
        <f>407536</f>
        <v>407536</v>
      </c>
      <c r="DM63">
        <f>373283</f>
        <v>373283</v>
      </c>
      <c r="DN63">
        <f>335662</f>
        <v>335662</v>
      </c>
      <c r="DO63">
        <f>389387</f>
        <v>389387</v>
      </c>
      <c r="DP63">
        <f>345890</f>
        <v>345890</v>
      </c>
      <c r="DQ63">
        <f>340951</f>
        <v>340951</v>
      </c>
      <c r="DR63">
        <f>292952</f>
        <v>292952</v>
      </c>
      <c r="DS63">
        <f>361222</f>
        <v>361222</v>
      </c>
      <c r="DT63">
        <f>321605</f>
        <v>321605</v>
      </c>
      <c r="DU63">
        <f>291587</f>
        <v>291587</v>
      </c>
    </row>
    <row r="64" spans="1:125" x14ac:dyDescent="0.25">
      <c r="A64" t="str">
        <f>"        Chile"</f>
        <v xml:space="preserve">        Chile</v>
      </c>
      <c r="B64" t="str">
        <f>"CHVSAUTO Index"</f>
        <v>CHVSAUTO Index</v>
      </c>
      <c r="C64" t="str">
        <f>"PX385"</f>
        <v>PX385</v>
      </c>
      <c r="D64" t="str">
        <f>"INTERVAL_SUM"</f>
        <v>INTERVAL_SUM</v>
      </c>
      <c r="E64" t="str">
        <f>"Dynamic"</f>
        <v>Dynamic</v>
      </c>
      <c r="F64">
        <f ca="1">IF(AND(ISNUMBER($F$212),$B$156=1),$F$212,HLOOKUP(INDIRECT(ADDRESS(2,COLUMN())),OFFSET($BN$2,0,0,ROW()-1,60),ROW()-1,FALSE))</f>
        <v>36543</v>
      </c>
      <c r="G64">
        <f ca="1">IF(AND(ISNUMBER($G$212),$B$156=1),$G$212,HLOOKUP(INDIRECT(ADDRESS(2,COLUMN())),OFFSET($BN$2,0,0,ROW()-1,60),ROW()-1,FALSE))</f>
        <v>105631</v>
      </c>
      <c r="H64">
        <f ca="1">IF(AND(ISNUMBER($H$212),$B$156=1),$H$212,HLOOKUP(INDIRECT(ADDRESS(2,COLUMN())),OFFSET($BN$2,0,0,ROW()-1,60),ROW()-1,FALSE))</f>
        <v>109277</v>
      </c>
      <c r="I64">
        <f ca="1">IF(AND(ISNUMBER($I$212),$B$156=1),$I$212,HLOOKUP(INDIRECT(ADDRESS(2,COLUMN())),OFFSET($BN$2,0,0,ROW()-1,60),ROW()-1,FALSE))</f>
        <v>104026</v>
      </c>
      <c r="J64">
        <f ca="1">IF(AND(ISNUMBER($J$212),$B$156=1),$J$212,HLOOKUP(INDIRECT(ADDRESS(2,COLUMN())),OFFSET($BN$2,0,0,ROW()-1,60),ROW()-1,FALSE))</f>
        <v>98104</v>
      </c>
      <c r="K64">
        <f ca="1">IF(AND(ISNUMBER($K$212),$B$156=1),$K$212,HLOOKUP(INDIRECT(ADDRESS(2,COLUMN())),OFFSET($BN$2,0,0,ROW()-1,60),ROW()-1,FALSE))</f>
        <v>99330</v>
      </c>
      <c r="L64">
        <f ca="1">IF(AND(ISNUMBER($L$212),$B$156=1),$L$212,HLOOKUP(INDIRECT(ADDRESS(2,COLUMN())),OFFSET($BN$2,0,0,ROW()-1,60),ROW()-1,FALSE))</f>
        <v>98904</v>
      </c>
      <c r="M64">
        <f ca="1">IF(AND(ISNUMBER($M$212),$B$156=1),$M$212,HLOOKUP(INDIRECT(ADDRESS(2,COLUMN())),OFFSET($BN$2,0,0,ROW()-1,60),ROW()-1,FALSE))</f>
        <v>81911</v>
      </c>
      <c r="N64">
        <f ca="1">IF(AND(ISNUMBER($N$212),$B$156=1),$N$212,HLOOKUP(INDIRECT(ADDRESS(2,COLUMN())),OFFSET($BN$2,0,0,ROW()-1,60),ROW()-1,FALSE))</f>
        <v>80752</v>
      </c>
      <c r="O64">
        <f ca="1">IF(AND(ISNUMBER($O$212),$B$156=1),$O$212,HLOOKUP(INDIRECT(ADDRESS(2,COLUMN())),OFFSET($BN$2,0,0,ROW()-1,60),ROW()-1,FALSE))</f>
        <v>85944</v>
      </c>
      <c r="P64">
        <f ca="1">IF(AND(ISNUMBER($P$212),$B$156=1),$P$212,HLOOKUP(INDIRECT(ADDRESS(2,COLUMN())),OFFSET($BN$2,0,0,ROW()-1,60),ROW()-1,FALSE))</f>
        <v>79449</v>
      </c>
      <c r="Q64">
        <f ca="1">IF(AND(ISNUMBER($Q$212),$B$156=1),$Q$212,HLOOKUP(INDIRECT(ADDRESS(2,COLUMN())),OFFSET($BN$2,0,0,ROW()-1,60),ROW()-1,FALSE))</f>
        <v>70039</v>
      </c>
      <c r="R64">
        <f ca="1">IF(AND(ISNUMBER($R$212),$B$156=1),$R$212,HLOOKUP(INDIRECT(ADDRESS(2,COLUMN())),OFFSET($BN$2,0,0,ROW()-1,60),ROW()-1,FALSE))</f>
        <v>70108</v>
      </c>
      <c r="S64">
        <f ca="1">IF(AND(ISNUMBER($S$212),$B$156=1),$S$212,HLOOKUP(INDIRECT(ADDRESS(2,COLUMN())),OFFSET($BN$2,0,0,ROW()-1,60),ROW()-1,FALSE))</f>
        <v>76449</v>
      </c>
      <c r="T64">
        <f ca="1">IF(AND(ISNUMBER($T$212),$B$156=1),$T$212,HLOOKUP(INDIRECT(ADDRESS(2,COLUMN())),OFFSET($BN$2,0,0,ROW()-1,60),ROW()-1,FALSE))</f>
        <v>75290</v>
      </c>
      <c r="U64">
        <f ca="1">IF(AND(ISNUMBER($U$212),$B$156=1),$U$212,HLOOKUP(INDIRECT(ADDRESS(2,COLUMN())),OFFSET($BN$2,0,0,ROW()-1,60),ROW()-1,FALSE))</f>
        <v>66900</v>
      </c>
      <c r="V64">
        <f ca="1">IF(AND(ISNUMBER($V$212),$B$156=1),$V$212,HLOOKUP(INDIRECT(ADDRESS(2,COLUMN())),OFFSET($BN$2,0,0,ROW()-1,60),ROW()-1,FALSE))</f>
        <v>63593</v>
      </c>
      <c r="W64">
        <f ca="1">IF(AND(ISNUMBER($W$212),$B$156=1),$W$212,HLOOKUP(INDIRECT(ADDRESS(2,COLUMN())),OFFSET($BN$2,0,0,ROW()-1,60),ROW()-1,FALSE))</f>
        <v>83909</v>
      </c>
      <c r="X64">
        <f ca="1">IF(AND(ISNUMBER($X$212),$B$156=1),$X$212,HLOOKUP(INDIRECT(ADDRESS(2,COLUMN())),OFFSET($BN$2,0,0,ROW()-1,60),ROW()-1,FALSE))</f>
        <v>88160</v>
      </c>
      <c r="Y64">
        <f ca="1">IF(AND(ISNUMBER($Y$212),$B$156=1),$Y$212,HLOOKUP(INDIRECT(ADDRESS(2,COLUMN())),OFFSET($BN$2,0,0,ROW()-1,60),ROW()-1,FALSE))</f>
        <v>77784</v>
      </c>
      <c r="Z64">
        <f ca="1">IF(AND(ISNUMBER($Z$212),$B$156=1),$Z$212,HLOOKUP(INDIRECT(ADDRESS(2,COLUMN())),OFFSET($BN$2,0,0,ROW()-1,60),ROW()-1,FALSE))</f>
        <v>87741</v>
      </c>
      <c r="AA64">
        <f ca="1">IF(AND(ISNUMBER($AA$212),$B$156=1),$AA$212,HLOOKUP(INDIRECT(ADDRESS(2,COLUMN())),OFFSET($BN$2,0,0,ROW()-1,60),ROW()-1,FALSE))</f>
        <v>103763</v>
      </c>
      <c r="AB64">
        <f ca="1">IF(AND(ISNUMBER($AB$212),$B$156=1),$AB$212,HLOOKUP(INDIRECT(ADDRESS(2,COLUMN())),OFFSET($BN$2,0,0,ROW()-1,60),ROW()-1,FALSE))</f>
        <v>91940</v>
      </c>
      <c r="AC64">
        <f ca="1">IF(AND(ISNUMBER($AC$212),$B$156=1),$AC$212,HLOOKUP(INDIRECT(ADDRESS(2,COLUMN())),OFFSET($BN$2,0,0,ROW()-1,60),ROW()-1,FALSE))</f>
        <v>92252</v>
      </c>
      <c r="AD64">
        <f ca="1">IF(AND(ISNUMBER($AD$212),$B$156=1),$AD$212,HLOOKUP(INDIRECT(ADDRESS(2,COLUMN())),OFFSET($BN$2,0,0,ROW()-1,60),ROW()-1,FALSE))</f>
        <v>90285</v>
      </c>
      <c r="AE64">
        <f ca="1">IF(AND(ISNUMBER($AE$212),$B$156=1),$AE$212,HLOOKUP(INDIRECT(ADDRESS(2,COLUMN())),OFFSET($BN$2,0,0,ROW()-1,60),ROW()-1,FALSE))</f>
        <v>96069</v>
      </c>
      <c r="AF64">
        <f ca="1">IF(AND(ISNUMBER($AF$212),$B$156=1),$AF$212,HLOOKUP(INDIRECT(ADDRESS(2,COLUMN())),OFFSET($BN$2,0,0,ROW()-1,60),ROW()-1,FALSE))</f>
        <v>85467</v>
      </c>
      <c r="AG64">
        <f ca="1">IF(AND(ISNUMBER($AG$212),$B$156=1),$AG$212,HLOOKUP(INDIRECT(ADDRESS(2,COLUMN())),OFFSET($BN$2,0,0,ROW()-1,60),ROW()-1,FALSE))</f>
        <v>79831</v>
      </c>
      <c r="AH64">
        <f ca="1">IF(AND(ISNUMBER($AH$212),$B$156=1),$AH$212,HLOOKUP(INDIRECT(ADDRESS(2,COLUMN())),OFFSET($BN$2,0,0,ROW()-1,60),ROW()-1,FALSE))</f>
        <v>77459</v>
      </c>
      <c r="AI64">
        <f ca="1">IF(AND(ISNUMBER($AI$212),$B$156=1),$AI$212,HLOOKUP(INDIRECT(ADDRESS(2,COLUMN())),OFFSET($BN$2,0,0,ROW()-1,60),ROW()-1,FALSE))</f>
        <v>85733</v>
      </c>
      <c r="AJ64">
        <f ca="1">IF(AND(ISNUMBER($AJ$212),$B$156=1),$AJ$212,HLOOKUP(INDIRECT(ADDRESS(2,COLUMN())),OFFSET($BN$2,0,0,ROW()-1,60),ROW()-1,FALSE))</f>
        <v>84910</v>
      </c>
      <c r="AK64">
        <f ca="1">IF(AND(ISNUMBER($AK$212),$B$156=1),$AK$212,HLOOKUP(INDIRECT(ADDRESS(2,COLUMN())),OFFSET($BN$2,0,0,ROW()-1,60),ROW()-1,FALSE))</f>
        <v>82502</v>
      </c>
      <c r="AL64">
        <f ca="1">IF(AND(ISNUMBER($AL$212),$B$156=1),$AL$212,HLOOKUP(INDIRECT(ADDRESS(2,COLUMN())),OFFSET($BN$2,0,0,ROW()-1,60),ROW()-1,FALSE))</f>
        <v>80907</v>
      </c>
      <c r="AM64">
        <f ca="1">IF(AND(ISNUMBER($AM$212),$B$156=1),$AM$212,HLOOKUP(INDIRECT(ADDRESS(2,COLUMN())),OFFSET($BN$2,0,0,ROW()-1,60),ROW()-1,FALSE))</f>
        <v>79960</v>
      </c>
      <c r="AN64">
        <f ca="1">IF(AND(ISNUMBER($AN$212),$B$156=1),$AN$212,HLOOKUP(INDIRECT(ADDRESS(2,COLUMN())),OFFSET($BN$2,0,0,ROW()-1,60),ROW()-1,FALSE))</f>
        <v>71592</v>
      </c>
      <c r="AO64">
        <f ca="1">IF(AND(ISNUMBER($AO$212),$B$156=1),$AO$212,HLOOKUP(INDIRECT(ADDRESS(2,COLUMN())),OFFSET($BN$2,0,0,ROW()-1,60),ROW()-1,FALSE))</f>
        <v>68953</v>
      </c>
      <c r="AP64">
        <f ca="1">IF(AND(ISNUMBER($AP$212),$B$156=1),$AP$212,HLOOKUP(INDIRECT(ADDRESS(2,COLUMN())),OFFSET($BN$2,0,0,ROW()-1,60),ROW()-1,FALSE))</f>
        <v>54765</v>
      </c>
      <c r="AQ64">
        <f ca="1">IF(AND(ISNUMBER($AQ$212),$B$156=1),$AQ$212,HLOOKUP(INDIRECT(ADDRESS(2,COLUMN())),OFFSET($BN$2,0,0,ROW()-1,60),ROW()-1,FALSE))</f>
        <v>47854</v>
      </c>
      <c r="AR64">
        <f ca="1">IF(AND(ISNUMBER($AR$212),$B$156=1),$AR$212,HLOOKUP(INDIRECT(ADDRESS(2,COLUMN())),OFFSET($BN$2,0,0,ROW()-1,60),ROW()-1,FALSE))</f>
        <v>65749</v>
      </c>
      <c r="AS64">
        <f ca="1">IF(AND(ISNUMBER($AS$212),$B$156=1),$AS$212,HLOOKUP(INDIRECT(ADDRESS(2,COLUMN())),OFFSET($BN$2,0,0,ROW()-1,60),ROW()-1,FALSE))</f>
        <v>28233</v>
      </c>
      <c r="AT64">
        <f ca="1">IF(AND(ISNUMBER($AT$212),$B$156=1),$AT$212,HLOOKUP(INDIRECT(ADDRESS(2,COLUMN())),OFFSET($BN$2,0,0,ROW()-1,60),ROW()-1,FALSE))</f>
        <v>23467</v>
      </c>
      <c r="AU64">
        <f ca="1">IF(AND(ISNUMBER($AU$212),$B$156=1),$AU$212,HLOOKUP(INDIRECT(ADDRESS(2,COLUMN())),OFFSET($BN$2,0,0,ROW()-1,60),ROW()-1,FALSE))</f>
        <v>62730</v>
      </c>
      <c r="AV64">
        <f ca="1">IF(AND(ISNUMBER($AV$212),$B$156=1),$AV$212,HLOOKUP(INDIRECT(ADDRESS(2,COLUMN())),OFFSET($BN$2,0,0,ROW()-1,60),ROW()-1,FALSE))</f>
        <v>59200</v>
      </c>
      <c r="AW64">
        <f ca="1">IF(AND(ISNUMBER($AW$212),$B$156=1),$AW$212,HLOOKUP(INDIRECT(ADDRESS(2,COLUMN())),OFFSET($BN$2,0,0,ROW()-1,60),ROW()-1,FALSE))</f>
        <v>69034</v>
      </c>
      <c r="AX64">
        <f ca="1">IF(AND(ISNUMBER($AX$212),$B$156=1),$AX$212,HLOOKUP(INDIRECT(ADDRESS(2,COLUMN())),OFFSET($BN$2,0,0,ROW()-1,60),ROW()-1,FALSE))</f>
        <v>54825</v>
      </c>
      <c r="AY64">
        <f ca="1">IF(AND(ISNUMBER($AY$212),$B$156=1),$AY$212,HLOOKUP(INDIRECT(ADDRESS(2,COLUMN())),OFFSET($BN$2,0,0,ROW()-1,60),ROW()-1,FALSE))</f>
        <v>38618</v>
      </c>
      <c r="AZ64">
        <f ca="1">IF(AND(ISNUMBER($AZ$212),$B$156=1),$AZ$212,HLOOKUP(INDIRECT(ADDRESS(2,COLUMN())),OFFSET($BN$2,0,0,ROW()-1,60),ROW()-1,FALSE))</f>
        <v>36951</v>
      </c>
      <c r="BA64">
        <f ca="1">IF(AND(ISNUMBER($BA$212),$B$156=1),$BA$212,HLOOKUP(INDIRECT(ADDRESS(2,COLUMN())),OFFSET($BN$2,0,0,ROW()-1,60),ROW()-1,FALSE))</f>
        <v>33606</v>
      </c>
      <c r="BB64">
        <f ca="1">IF(AND(ISNUMBER($BB$212),$B$156=1),$BB$212,HLOOKUP(INDIRECT(ADDRESS(2,COLUMN())),OFFSET($BN$2,0,0,ROW()-1,60),ROW()-1,FALSE))</f>
        <v>33391</v>
      </c>
      <c r="BC64">
        <f ca="1">IF(AND(ISNUMBER($BC$212),$B$156=1),$BC$212,HLOOKUP(INDIRECT(ADDRESS(2,COLUMN())),OFFSET($BN$2,0,0,ROW()-1,60),ROW()-1,FALSE))</f>
        <v>36226</v>
      </c>
      <c r="BD64">
        <f ca="1">IF(AND(ISNUMBER($BD$212),$B$156=1),$BD$212,HLOOKUP(INDIRECT(ADDRESS(2,COLUMN())),OFFSET($BN$2,0,0,ROW()-1,60),ROW()-1,FALSE))</f>
        <v>30876</v>
      </c>
      <c r="BE64">
        <f ca="1">IF(AND(ISNUMBER($BE$212),$B$156=1),$BE$212,HLOOKUP(INDIRECT(ADDRESS(2,COLUMN())),OFFSET($BN$2,0,0,ROW()-1,60),ROW()-1,FALSE))</f>
        <v>27459</v>
      </c>
      <c r="BF64">
        <f ca="1">IF(AND(ISNUMBER($BF$212),$B$156=1),$BF$212,HLOOKUP(INDIRECT(ADDRESS(2,COLUMN())),OFFSET($BN$2,0,0,ROW()-1,60),ROW()-1,FALSE))</f>
        <v>27764</v>
      </c>
      <c r="BG64">
        <f ca="1">IF(AND(ISNUMBER($BG$212),$B$156=1),$BG$212,HLOOKUP(INDIRECT(ADDRESS(2,COLUMN())),OFFSET($BN$2,0,0,ROW()-1,60),ROW()-1,FALSE))</f>
        <v>27728</v>
      </c>
      <c r="BH64">
        <f ca="1">IF(AND(ISNUMBER($BH$212),$B$156=1),$BH$212,HLOOKUP(INDIRECT(ADDRESS(2,COLUMN())),OFFSET($BN$2,0,0,ROW()-1,60),ROW()-1,FALSE))</f>
        <v>30850</v>
      </c>
      <c r="BI64">
        <f ca="1">IF(AND(ISNUMBER($BI$212),$B$156=1),$BI$212,HLOOKUP(INDIRECT(ADDRESS(2,COLUMN())),OFFSET($BN$2,0,0,ROW()-1,60),ROW()-1,FALSE))</f>
        <v>27273</v>
      </c>
      <c r="BJ64">
        <f ca="1">IF(AND(ISNUMBER($BJ$212),$B$156=1),$BJ$212,HLOOKUP(INDIRECT(ADDRESS(2,COLUMN())),OFFSET($BN$2,0,0,ROW()-1,60),ROW()-1,FALSE))</f>
        <v>26848</v>
      </c>
      <c r="BK64">
        <f ca="1">IF(AND(ISNUMBER($BK$212),$B$156=1),$BK$212,HLOOKUP(INDIRECT(ADDRESS(2,COLUMN())),OFFSET($BN$2,0,0,ROW()-1,60),ROW()-1,FALSE))</f>
        <v>30886</v>
      </c>
      <c r="BL64">
        <f ca="1">IF(AND(ISNUMBER($BL$212),$B$156=1),$BL$212,HLOOKUP(INDIRECT(ADDRESS(2,COLUMN())),OFFSET($BN$2,0,0,ROW()-1,60),ROW()-1,FALSE))</f>
        <v>28582</v>
      </c>
      <c r="BM64">
        <f ca="1">IF(AND(ISNUMBER($BM$212),$B$156=1),$BM$212,HLOOKUP(INDIRECT(ADDRESS(2,COLUMN())),OFFSET($BN$2,0,0,ROW()-1,60),ROW()-1,FALSE))</f>
        <v>26612</v>
      </c>
      <c r="BN64">
        <f>36543</f>
        <v>36543</v>
      </c>
      <c r="BO64">
        <f>105631</f>
        <v>105631</v>
      </c>
      <c r="BP64">
        <f>109277</f>
        <v>109277</v>
      </c>
      <c r="BQ64">
        <f>104026</f>
        <v>104026</v>
      </c>
      <c r="BR64">
        <f>98104</f>
        <v>98104</v>
      </c>
      <c r="BS64">
        <f>99330</f>
        <v>99330</v>
      </c>
      <c r="BT64">
        <f>98904</f>
        <v>98904</v>
      </c>
      <c r="BU64">
        <f>81911</f>
        <v>81911</v>
      </c>
      <c r="BV64">
        <f>80752</f>
        <v>80752</v>
      </c>
      <c r="BW64">
        <f>85944</f>
        <v>85944</v>
      </c>
      <c r="BX64">
        <f>79449</f>
        <v>79449</v>
      </c>
      <c r="BY64">
        <f>70039</f>
        <v>70039</v>
      </c>
      <c r="BZ64">
        <f>70108</f>
        <v>70108</v>
      </c>
      <c r="CA64">
        <f>76449</f>
        <v>76449</v>
      </c>
      <c r="CB64">
        <f>75290</f>
        <v>75290</v>
      </c>
      <c r="CC64">
        <f>66900</f>
        <v>66900</v>
      </c>
      <c r="CD64">
        <f>63593</f>
        <v>63593</v>
      </c>
      <c r="CE64">
        <f>83909</f>
        <v>83909</v>
      </c>
      <c r="CF64">
        <f>88160</f>
        <v>88160</v>
      </c>
      <c r="CG64">
        <f>77784</f>
        <v>77784</v>
      </c>
      <c r="CH64">
        <f>87741</f>
        <v>87741</v>
      </c>
      <c r="CI64">
        <f>103763</f>
        <v>103763</v>
      </c>
      <c r="CJ64">
        <f>91940</f>
        <v>91940</v>
      </c>
      <c r="CK64">
        <f>92252</f>
        <v>92252</v>
      </c>
      <c r="CL64">
        <f>90285</f>
        <v>90285</v>
      </c>
      <c r="CM64">
        <f>96069</f>
        <v>96069</v>
      </c>
      <c r="CN64">
        <f>85467</f>
        <v>85467</v>
      </c>
      <c r="CO64">
        <f>79831</f>
        <v>79831</v>
      </c>
      <c r="CP64">
        <f>77459</f>
        <v>77459</v>
      </c>
      <c r="CQ64">
        <f>85733</f>
        <v>85733</v>
      </c>
      <c r="CR64">
        <f>84910</f>
        <v>84910</v>
      </c>
      <c r="CS64">
        <f>82502</f>
        <v>82502</v>
      </c>
      <c r="CT64">
        <f>80907</f>
        <v>80907</v>
      </c>
      <c r="CU64">
        <f>79960</f>
        <v>79960</v>
      </c>
      <c r="CV64">
        <f>71592</f>
        <v>71592</v>
      </c>
      <c r="CW64">
        <f>68953</f>
        <v>68953</v>
      </c>
      <c r="CX64">
        <f>54765</f>
        <v>54765</v>
      </c>
      <c r="CY64">
        <f>47854</f>
        <v>47854</v>
      </c>
      <c r="CZ64">
        <f>65749</f>
        <v>65749</v>
      </c>
      <c r="DA64">
        <f>28233</f>
        <v>28233</v>
      </c>
      <c r="DB64">
        <f>23467</f>
        <v>23467</v>
      </c>
      <c r="DC64">
        <f>62730</f>
        <v>62730</v>
      </c>
      <c r="DD64">
        <f>59200</f>
        <v>59200</v>
      </c>
      <c r="DE64">
        <f>69034</f>
        <v>69034</v>
      </c>
      <c r="DF64">
        <f>54825</f>
        <v>54825</v>
      </c>
      <c r="DG64">
        <f>38618</f>
        <v>38618</v>
      </c>
      <c r="DH64">
        <f>36951</f>
        <v>36951</v>
      </c>
      <c r="DI64">
        <f>33606</f>
        <v>33606</v>
      </c>
      <c r="DJ64">
        <f>33391</f>
        <v>33391</v>
      </c>
      <c r="DK64">
        <f>36226</f>
        <v>36226</v>
      </c>
      <c r="DL64">
        <f>30876</f>
        <v>30876</v>
      </c>
      <c r="DM64">
        <f>27459</f>
        <v>27459</v>
      </c>
      <c r="DN64">
        <f>27764</f>
        <v>27764</v>
      </c>
      <c r="DO64">
        <f>27728</f>
        <v>27728</v>
      </c>
      <c r="DP64">
        <f>30850</f>
        <v>30850</v>
      </c>
      <c r="DQ64">
        <f>27273</f>
        <v>27273</v>
      </c>
      <c r="DR64">
        <f>26848</f>
        <v>26848</v>
      </c>
      <c r="DS64">
        <f>30886</f>
        <v>30886</v>
      </c>
      <c r="DT64">
        <f>28582</f>
        <v>28582</v>
      </c>
      <c r="DU64">
        <f>26612</f>
        <v>26612</v>
      </c>
    </row>
    <row r="65" spans="1:125" x14ac:dyDescent="0.25">
      <c r="A65" t="str">
        <f>"        Colombia"</f>
        <v xml:space="preserve">        Colombia</v>
      </c>
      <c r="B65" t="str">
        <f>"COVSTCAR Index"</f>
        <v>COVSTCAR Index</v>
      </c>
      <c r="C65" t="str">
        <f>"PX385"</f>
        <v>PX385</v>
      </c>
      <c r="D65" t="str">
        <f>"INTERVAL_SUM"</f>
        <v>INTERVAL_SUM</v>
      </c>
      <c r="E65" t="str">
        <f>"Dynamic"</f>
        <v>Dynamic</v>
      </c>
      <c r="F65" t="str">
        <f ca="1">IF(AND(ISNUMBER($F$213),$B$156=1),$F$213,HLOOKUP(INDIRECT(ADDRESS(2,COLUMN())),OFFSET($BN$2,0,0,ROW()-1,60),ROW()-1,FALSE))</f>
        <v/>
      </c>
      <c r="G65" t="str">
        <f ca="1">IF(AND(ISNUMBER($G$213),$B$156=1),$G$213,HLOOKUP(INDIRECT(ADDRESS(2,COLUMN())),OFFSET($BN$2,0,0,ROW()-1,60),ROW()-1,FALSE))</f>
        <v/>
      </c>
      <c r="H65" t="str">
        <f ca="1">IF(AND(ISNUMBER($H$213),$B$156=1),$H$213,HLOOKUP(INDIRECT(ADDRESS(2,COLUMN())),OFFSET($BN$2,0,0,ROW()-1,60),ROW()-1,FALSE))</f>
        <v/>
      </c>
      <c r="I65" t="str">
        <f ca="1">IF(AND(ISNUMBER($I$213),$B$156=1),$I$213,HLOOKUP(INDIRECT(ADDRESS(2,COLUMN())),OFFSET($BN$2,0,0,ROW()-1,60),ROW()-1,FALSE))</f>
        <v/>
      </c>
      <c r="J65" t="str">
        <f ca="1">IF(AND(ISNUMBER($J$213),$B$156=1),$J$213,HLOOKUP(INDIRECT(ADDRESS(2,COLUMN())),OFFSET($BN$2,0,0,ROW()-1,60),ROW()-1,FALSE))</f>
        <v/>
      </c>
      <c r="K65" t="str">
        <f ca="1">IF(AND(ISNUMBER($K$213),$B$156=1),$K$213,HLOOKUP(INDIRECT(ADDRESS(2,COLUMN())),OFFSET($BN$2,0,0,ROW()-1,60),ROW()-1,FALSE))</f>
        <v/>
      </c>
      <c r="L65" t="str">
        <f ca="1">IF(AND(ISNUMBER($L$213),$B$156=1),$L$213,HLOOKUP(INDIRECT(ADDRESS(2,COLUMN())),OFFSET($BN$2,0,0,ROW()-1,60),ROW()-1,FALSE))</f>
        <v/>
      </c>
      <c r="M65" t="str">
        <f ca="1">IF(AND(ISNUMBER($M$213),$B$156=1),$M$213,HLOOKUP(INDIRECT(ADDRESS(2,COLUMN())),OFFSET($BN$2,0,0,ROW()-1,60),ROW()-1,FALSE))</f>
        <v/>
      </c>
      <c r="N65" t="str">
        <f ca="1">IF(AND(ISNUMBER($N$213),$B$156=1),$N$213,HLOOKUP(INDIRECT(ADDRESS(2,COLUMN())),OFFSET($BN$2,0,0,ROW()-1,60),ROW()-1,FALSE))</f>
        <v/>
      </c>
      <c r="O65" t="str">
        <f ca="1">IF(AND(ISNUMBER($O$213),$B$156=1),$O$213,HLOOKUP(INDIRECT(ADDRESS(2,COLUMN())),OFFSET($BN$2,0,0,ROW()-1,60),ROW()-1,FALSE))</f>
        <v/>
      </c>
      <c r="P65" t="str">
        <f ca="1">IF(AND(ISNUMBER($P$213),$B$156=1),$P$213,HLOOKUP(INDIRECT(ADDRESS(2,COLUMN())),OFFSET($BN$2,0,0,ROW()-1,60),ROW()-1,FALSE))</f>
        <v/>
      </c>
      <c r="Q65">
        <f ca="1">IF(AND(ISNUMBER($Q$213),$B$156=1),$Q$213,HLOOKUP(INDIRECT(ADDRESS(2,COLUMN())),OFFSET($BN$2,0,0,ROW()-1,60),ROW()-1,FALSE))</f>
        <v>40354</v>
      </c>
      <c r="R65">
        <f ca="1">IF(AND(ISNUMBER($R$213),$B$156=1),$R$213,HLOOKUP(INDIRECT(ADDRESS(2,COLUMN())),OFFSET($BN$2,0,0,ROW()-1,60),ROW()-1,FALSE))</f>
        <v>56459</v>
      </c>
      <c r="S65">
        <f ca="1">IF(AND(ISNUMBER($S$213),$B$156=1),$S$213,HLOOKUP(INDIRECT(ADDRESS(2,COLUMN())),OFFSET($BN$2,0,0,ROW()-1,60),ROW()-1,FALSE))</f>
        <v>71763</v>
      </c>
      <c r="T65">
        <f ca="1">IF(AND(ISNUMBER($T$213),$B$156=1),$T$213,HLOOKUP(INDIRECT(ADDRESS(2,COLUMN())),OFFSET($BN$2,0,0,ROW()-1,60),ROW()-1,FALSE))</f>
        <v>74545</v>
      </c>
      <c r="U65">
        <f ca="1">IF(AND(ISNUMBER($U$213),$B$156=1),$U$213,HLOOKUP(INDIRECT(ADDRESS(2,COLUMN())),OFFSET($BN$2,0,0,ROW()-1,60),ROW()-1,FALSE))</f>
        <v>67009</v>
      </c>
      <c r="V65">
        <f ca="1">IF(AND(ISNUMBER($V$213),$B$156=1),$V$213,HLOOKUP(INDIRECT(ADDRESS(2,COLUMN())),OFFSET($BN$2,0,0,ROW()-1,60),ROW()-1,FALSE))</f>
        <v>68568</v>
      </c>
      <c r="W65">
        <f ca="1">IF(AND(ISNUMBER($W$213),$B$156=1),$W$213,HLOOKUP(INDIRECT(ADDRESS(2,COLUMN())),OFFSET($BN$2,0,0,ROW()-1,60),ROW()-1,FALSE))</f>
        <v>93625</v>
      </c>
      <c r="X65">
        <f ca="1">IF(AND(ISNUMBER($X$213),$B$156=1),$X$213,HLOOKUP(INDIRECT(ADDRESS(2,COLUMN())),OFFSET($BN$2,0,0,ROW()-1,60),ROW()-1,FALSE))</f>
        <v>86254</v>
      </c>
      <c r="Y65">
        <f ca="1">IF(AND(ISNUMBER($Y$213),$B$156=1),$Y$213,HLOOKUP(INDIRECT(ADDRESS(2,COLUMN())),OFFSET($BN$2,0,0,ROW()-1,60),ROW()-1,FALSE))</f>
        <v>74865</v>
      </c>
      <c r="Z65">
        <f ca="1">IF(AND(ISNUMBER($Z$213),$B$156=1),$Z$213,HLOOKUP(INDIRECT(ADDRESS(2,COLUMN())),OFFSET($BN$2,0,0,ROW()-1,60),ROW()-1,FALSE))</f>
        <v>73782</v>
      </c>
      <c r="AA65">
        <f ca="1">IF(AND(ISNUMBER($AA$213),$B$156=1),$AA$213,HLOOKUP(INDIRECT(ADDRESS(2,COLUMN())),OFFSET($BN$2,0,0,ROW()-1,60),ROW()-1,FALSE))</f>
        <v>79997</v>
      </c>
      <c r="AB65">
        <f ca="1">IF(AND(ISNUMBER($AB$213),$B$156=1),$AB$213,HLOOKUP(INDIRECT(ADDRESS(2,COLUMN())),OFFSET($BN$2,0,0,ROW()-1,60),ROW()-1,FALSE))</f>
        <v>73580</v>
      </c>
      <c r="AC65">
        <f ca="1">IF(AND(ISNUMBER($AC$213),$B$156=1),$AC$213,HLOOKUP(INDIRECT(ADDRESS(2,COLUMN())),OFFSET($BN$2,0,0,ROW()-1,60),ROW()-1,FALSE))</f>
        <v>73836</v>
      </c>
      <c r="AD65">
        <f ca="1">IF(AND(ISNUMBER($AD$213),$B$156=1),$AD$213,HLOOKUP(INDIRECT(ADDRESS(2,COLUMN())),OFFSET($BN$2,0,0,ROW()-1,60),ROW()-1,FALSE))</f>
        <v>66433</v>
      </c>
      <c r="AE65">
        <f ca="1">IF(AND(ISNUMBER($AE$213),$B$156=1),$AE$213,HLOOKUP(INDIRECT(ADDRESS(2,COLUMN())),OFFSET($BN$2,0,0,ROW()-1,60),ROW()-1,FALSE))</f>
        <v>80878</v>
      </c>
      <c r="AF65">
        <f ca="1">IF(AND(ISNUMBER($AF$213),$B$156=1),$AF$213,HLOOKUP(INDIRECT(ADDRESS(2,COLUMN())),OFFSET($BN$2,0,0,ROW()-1,60),ROW()-1,FALSE))</f>
        <v>74259</v>
      </c>
      <c r="AG65">
        <f ca="1">IF(AND(ISNUMBER($AG$213),$B$156=1),$AG$213,HLOOKUP(INDIRECT(ADDRESS(2,COLUMN())),OFFSET($BN$2,0,0,ROW()-1,60),ROW()-1,FALSE))</f>
        <v>79029</v>
      </c>
      <c r="AH65">
        <f ca="1">IF(AND(ISNUMBER($AH$213),$B$156=1),$AH$213,HLOOKUP(INDIRECT(ADDRESS(2,COLUMN())),OFFSET($BN$2,0,0,ROW()-1,60),ROW()-1,FALSE))</f>
        <v>81802</v>
      </c>
      <c r="AI65">
        <f ca="1">IF(AND(ISNUMBER($AI$213),$B$156=1),$AI$213,HLOOKUP(INDIRECT(ADDRESS(2,COLUMN())),OFFSET($BN$2,0,0,ROW()-1,60),ROW()-1,FALSE))</f>
        <v>82171</v>
      </c>
      <c r="AJ65">
        <f ca="1">IF(AND(ISNUMBER($AJ$213),$B$156=1),$AJ$213,HLOOKUP(INDIRECT(ADDRESS(2,COLUMN())),OFFSET($BN$2,0,0,ROW()-1,60),ROW()-1,FALSE))</f>
        <v>84182</v>
      </c>
      <c r="AK65">
        <f ca="1">IF(AND(ISNUMBER($AK$213),$B$156=1),$AK$213,HLOOKUP(INDIRECT(ADDRESS(2,COLUMN())),OFFSET($BN$2,0,0,ROW()-1,60),ROW()-1,FALSE))</f>
        <v>79599</v>
      </c>
      <c r="AL65">
        <f ca="1">IF(AND(ISNUMBER($AL$213),$B$156=1),$AL$213,HLOOKUP(INDIRECT(ADDRESS(2,COLUMN())),OFFSET($BN$2,0,0,ROW()-1,60),ROW()-1,FALSE))</f>
        <v>78618</v>
      </c>
      <c r="AM65">
        <f ca="1">IF(AND(ISNUMBER($AM$213),$B$156=1),$AM$213,HLOOKUP(INDIRECT(ADDRESS(2,COLUMN())),OFFSET($BN$2,0,0,ROW()-1,60),ROW()-1,FALSE))</f>
        <v>79981</v>
      </c>
      <c r="AN65">
        <f ca="1">IF(AND(ISNUMBER($AN$213),$B$156=1),$AN$213,HLOOKUP(INDIRECT(ADDRESS(2,COLUMN())),OFFSET($BN$2,0,0,ROW()-1,60),ROW()-1,FALSE))</f>
        <v>66828</v>
      </c>
      <c r="AO65">
        <f ca="1">IF(AND(ISNUMBER($AO$213),$B$156=1),$AO$213,HLOOKUP(INDIRECT(ADDRESS(2,COLUMN())),OFFSET($BN$2,0,0,ROW()-1,60),ROW()-1,FALSE))</f>
        <v>57384</v>
      </c>
      <c r="AP65">
        <f ca="1">IF(AND(ISNUMBER($AP$213),$B$156=1),$AP$213,HLOOKUP(INDIRECT(ADDRESS(2,COLUMN())),OFFSET($BN$2,0,0,ROW()-1,60),ROW()-1,FALSE))</f>
        <v>49676</v>
      </c>
      <c r="AQ65">
        <f ca="1">IF(AND(ISNUMBER($AQ$213),$B$156=1),$AQ$213,HLOOKUP(INDIRECT(ADDRESS(2,COLUMN())),OFFSET($BN$2,0,0,ROW()-1,60),ROW()-1,FALSE))</f>
        <v>52012</v>
      </c>
      <c r="AR65">
        <f ca="1">IF(AND(ISNUMBER($AR$213),$B$156=1),$AR$213,HLOOKUP(INDIRECT(ADDRESS(2,COLUMN())),OFFSET($BN$2,0,0,ROW()-1,60),ROW()-1,FALSE))</f>
        <v>47140</v>
      </c>
      <c r="AS65">
        <f ca="1">IF(AND(ISNUMBER($AS$213),$B$156=1),$AS$213,HLOOKUP(INDIRECT(ADDRESS(2,COLUMN())),OFFSET($BN$2,0,0,ROW()-1,60),ROW()-1,FALSE))</f>
        <v>41179</v>
      </c>
      <c r="AT65">
        <f ca="1">IF(AND(ISNUMBER($AT$213),$B$156=1),$AT$213,HLOOKUP(INDIRECT(ADDRESS(2,COLUMN())),OFFSET($BN$2,0,0,ROW()-1,60),ROW()-1,FALSE))</f>
        <v>44798</v>
      </c>
      <c r="AU65">
        <f ca="1">IF(AND(ISNUMBER($AU$213),$B$156=1),$AU$213,HLOOKUP(INDIRECT(ADDRESS(2,COLUMN())),OFFSET($BN$2,0,0,ROW()-1,60),ROW()-1,FALSE))</f>
        <v>50201</v>
      </c>
      <c r="AV65">
        <f ca="1">IF(AND(ISNUMBER($AV$213),$B$156=1),$AV$213,HLOOKUP(INDIRECT(ADDRESS(2,COLUMN())),OFFSET($BN$2,0,0,ROW()-1,60),ROW()-1,FALSE))</f>
        <v>58547</v>
      </c>
      <c r="AW65">
        <f ca="1">IF(AND(ISNUMBER($AW$213),$B$156=1),$AW$213,HLOOKUP(INDIRECT(ADDRESS(2,COLUMN())),OFFSET($BN$2,0,0,ROW()-1,60),ROW()-1,FALSE))</f>
        <v>56425</v>
      </c>
      <c r="AX65">
        <f ca="1">IF(AND(ISNUMBER($AX$213),$B$156=1),$AX$213,HLOOKUP(INDIRECT(ADDRESS(2,COLUMN())),OFFSET($BN$2,0,0,ROW()-1,60),ROW()-1,FALSE))</f>
        <v>54351</v>
      </c>
      <c r="AY65">
        <f ca="1">IF(AND(ISNUMBER($AY$213),$B$156=1),$AY$213,HLOOKUP(INDIRECT(ADDRESS(2,COLUMN())),OFFSET($BN$2,0,0,ROW()-1,60),ROW()-1,FALSE))</f>
        <v>66385</v>
      </c>
      <c r="AZ65">
        <f ca="1">IF(AND(ISNUMBER($AZ$213),$B$156=1),$AZ$213,HLOOKUP(INDIRECT(ADDRESS(2,COLUMN())),OFFSET($BN$2,0,0,ROW()-1,60),ROW()-1,FALSE))</f>
        <v>67472</v>
      </c>
      <c r="BA65">
        <f ca="1">IF(AND(ISNUMBER($BA$213),$B$156=1),$BA$213,HLOOKUP(INDIRECT(ADDRESS(2,COLUMN())),OFFSET($BN$2,0,0,ROW()-1,60),ROW()-1,FALSE))</f>
        <v>60592</v>
      </c>
      <c r="BB65">
        <f ca="1">IF(AND(ISNUMBER($BB$213),$B$156=1),$BB$213,HLOOKUP(INDIRECT(ADDRESS(2,COLUMN())),OFFSET($BN$2,0,0,ROW()-1,60),ROW()-1,FALSE))</f>
        <v>58587</v>
      </c>
      <c r="BC65">
        <f ca="1">IF(AND(ISNUMBER($BC$213),$B$156=1),$BC$213,HLOOKUP(INDIRECT(ADDRESS(2,COLUMN())),OFFSET($BN$2,0,0,ROW()-1,60),ROW()-1,FALSE))</f>
        <v>58272</v>
      </c>
      <c r="BD65">
        <f ca="1">IF(AND(ISNUMBER($BD$213),$B$156=1),$BD$213,HLOOKUP(INDIRECT(ADDRESS(2,COLUMN())),OFFSET($BN$2,0,0,ROW()-1,60),ROW()-1,FALSE))</f>
        <v>52996</v>
      </c>
      <c r="BE65">
        <f ca="1">IF(AND(ISNUMBER($BE$213),$B$156=1),$BE$213,HLOOKUP(INDIRECT(ADDRESS(2,COLUMN())),OFFSET($BN$2,0,0,ROW()-1,60),ROW()-1,FALSE))</f>
        <v>45077</v>
      </c>
      <c r="BF65">
        <f ca="1">IF(AND(ISNUMBER($BF$213),$B$156=1),$BF$213,HLOOKUP(INDIRECT(ADDRESS(2,COLUMN())),OFFSET($BN$2,0,0,ROW()-1,60),ROW()-1,FALSE))</f>
        <v>41912</v>
      </c>
      <c r="BG65">
        <f ca="1">IF(AND(ISNUMBER($BG$213),$B$156=1),$BG$213,HLOOKUP(INDIRECT(ADDRESS(2,COLUMN())),OFFSET($BN$2,0,0,ROW()-1,60),ROW()-1,FALSE))</f>
        <v>41700</v>
      </c>
      <c r="BH65">
        <f ca="1">IF(AND(ISNUMBER($BH$213),$B$156=1),$BH$213,HLOOKUP(INDIRECT(ADDRESS(2,COLUMN())),OFFSET($BN$2,0,0,ROW()-1,60),ROW()-1,FALSE))</f>
        <v>38196</v>
      </c>
      <c r="BI65">
        <f ca="1">IF(AND(ISNUMBER($BI$213),$B$156=1),$BI$213,HLOOKUP(INDIRECT(ADDRESS(2,COLUMN())),OFFSET($BN$2,0,0,ROW()-1,60),ROW()-1,FALSE))</f>
        <v>36224</v>
      </c>
      <c r="BJ65">
        <f ca="1">IF(AND(ISNUMBER($BJ$213),$B$156=1),$BJ$213,HLOOKUP(INDIRECT(ADDRESS(2,COLUMN())),OFFSET($BN$2,0,0,ROW()-1,60),ROW()-1,FALSE))</f>
        <v>29626</v>
      </c>
      <c r="BK65">
        <f ca="1">IF(AND(ISNUMBER($BK$213),$B$156=1),$BK$213,HLOOKUP(INDIRECT(ADDRESS(2,COLUMN())),OFFSET($BN$2,0,0,ROW()-1,60),ROW()-1,FALSE))</f>
        <v>32274</v>
      </c>
      <c r="BL65">
        <f ca="1">IF(AND(ISNUMBER($BL$213),$B$156=1),$BL$213,HLOOKUP(INDIRECT(ADDRESS(2,COLUMN())),OFFSET($BN$2,0,0,ROW()-1,60),ROW()-1,FALSE))</f>
        <v>29125</v>
      </c>
      <c r="BM65">
        <f ca="1">IF(AND(ISNUMBER($BM$213),$B$156=1),$BM$213,HLOOKUP(INDIRECT(ADDRESS(2,COLUMN())),OFFSET($BN$2,0,0,ROW()-1,60),ROW()-1,FALSE))</f>
        <v>26423</v>
      </c>
      <c r="BN65" t="str">
        <f>""</f>
        <v/>
      </c>
      <c r="BO65" t="str">
        <f>""</f>
        <v/>
      </c>
      <c r="BP65" t="str">
        <f>""</f>
        <v/>
      </c>
      <c r="BQ65" t="str">
        <f>""</f>
        <v/>
      </c>
      <c r="BR65" t="str">
        <f>""</f>
        <v/>
      </c>
      <c r="BS65" t="str">
        <f>""</f>
        <v/>
      </c>
      <c r="BT65" t="str">
        <f>""</f>
        <v/>
      </c>
      <c r="BU65" t="str">
        <f>""</f>
        <v/>
      </c>
      <c r="BV65" t="str">
        <f>""</f>
        <v/>
      </c>
      <c r="BW65" t="str">
        <f>""</f>
        <v/>
      </c>
      <c r="BX65" t="str">
        <f>""</f>
        <v/>
      </c>
      <c r="BY65">
        <f>40354</f>
        <v>40354</v>
      </c>
      <c r="BZ65">
        <f>56459</f>
        <v>56459</v>
      </c>
      <c r="CA65">
        <f>71763</f>
        <v>71763</v>
      </c>
      <c r="CB65">
        <f>74545</f>
        <v>74545</v>
      </c>
      <c r="CC65">
        <f>67009</f>
        <v>67009</v>
      </c>
      <c r="CD65">
        <f>68568</f>
        <v>68568</v>
      </c>
      <c r="CE65">
        <f>93625</f>
        <v>93625</v>
      </c>
      <c r="CF65">
        <f>86254</f>
        <v>86254</v>
      </c>
      <c r="CG65">
        <f>74865</f>
        <v>74865</v>
      </c>
      <c r="CH65">
        <f>73782</f>
        <v>73782</v>
      </c>
      <c r="CI65">
        <f>79997</f>
        <v>79997</v>
      </c>
      <c r="CJ65">
        <f>73580</f>
        <v>73580</v>
      </c>
      <c r="CK65">
        <f>73836</f>
        <v>73836</v>
      </c>
      <c r="CL65">
        <f>66433</f>
        <v>66433</v>
      </c>
      <c r="CM65">
        <f>80878</f>
        <v>80878</v>
      </c>
      <c r="CN65">
        <f>74259</f>
        <v>74259</v>
      </c>
      <c r="CO65">
        <f>79029</f>
        <v>79029</v>
      </c>
      <c r="CP65">
        <f>81802</f>
        <v>81802</v>
      </c>
      <c r="CQ65">
        <f>82171</f>
        <v>82171</v>
      </c>
      <c r="CR65">
        <f>84182</f>
        <v>84182</v>
      </c>
      <c r="CS65">
        <f>79599</f>
        <v>79599</v>
      </c>
      <c r="CT65">
        <f>78618</f>
        <v>78618</v>
      </c>
      <c r="CU65">
        <f>79981</f>
        <v>79981</v>
      </c>
      <c r="CV65">
        <f>66828</f>
        <v>66828</v>
      </c>
      <c r="CW65">
        <f>57384</f>
        <v>57384</v>
      </c>
      <c r="CX65">
        <f>49676</f>
        <v>49676</v>
      </c>
      <c r="CY65">
        <f>52012</f>
        <v>52012</v>
      </c>
      <c r="CZ65">
        <f>47140</f>
        <v>47140</v>
      </c>
      <c r="DA65">
        <f>41179</f>
        <v>41179</v>
      </c>
      <c r="DB65">
        <f>44798</f>
        <v>44798</v>
      </c>
      <c r="DC65">
        <f>50201</f>
        <v>50201</v>
      </c>
      <c r="DD65">
        <f>58547</f>
        <v>58547</v>
      </c>
      <c r="DE65">
        <f>56425</f>
        <v>56425</v>
      </c>
      <c r="DF65">
        <f>54351</f>
        <v>54351</v>
      </c>
      <c r="DG65">
        <f>66385</f>
        <v>66385</v>
      </c>
      <c r="DH65">
        <f>67472</f>
        <v>67472</v>
      </c>
      <c r="DI65">
        <f>60592</f>
        <v>60592</v>
      </c>
      <c r="DJ65">
        <f>58587</f>
        <v>58587</v>
      </c>
      <c r="DK65">
        <f>58272</f>
        <v>58272</v>
      </c>
      <c r="DL65">
        <f>52996</f>
        <v>52996</v>
      </c>
      <c r="DM65">
        <f>45077</f>
        <v>45077</v>
      </c>
      <c r="DN65">
        <f>41912</f>
        <v>41912</v>
      </c>
      <c r="DO65">
        <f>41700</f>
        <v>41700</v>
      </c>
      <c r="DP65">
        <f>38196</f>
        <v>38196</v>
      </c>
      <c r="DQ65">
        <f>36224</f>
        <v>36224</v>
      </c>
      <c r="DR65">
        <f>29626</f>
        <v>29626</v>
      </c>
      <c r="DS65">
        <f>32274</f>
        <v>32274</v>
      </c>
      <c r="DT65">
        <f>29125</f>
        <v>29125</v>
      </c>
      <c r="DU65">
        <f>26423</f>
        <v>26423</v>
      </c>
    </row>
    <row r="66" spans="1:125" x14ac:dyDescent="0.25">
      <c r="A66" t="str">
        <f>"        Venezuela"</f>
        <v xml:space="preserve">        Venezuela</v>
      </c>
      <c r="B66" t="str">
        <f>"VNVSTOTL Index"</f>
        <v>VNVSTOTL Index</v>
      </c>
      <c r="C66" t="str">
        <f>"PX385"</f>
        <v>PX385</v>
      </c>
      <c r="D66" t="str">
        <f>"INTERVAL_SUM"</f>
        <v>INTERVAL_SUM</v>
      </c>
      <c r="E66" t="str">
        <f>"Dynamic"</f>
        <v>Dynamic</v>
      </c>
      <c r="F66" t="str">
        <f ca="1">IF(AND(ISNUMBER($F$214),$B$156=1),$F$214,HLOOKUP(INDIRECT(ADDRESS(2,COLUMN())),OFFSET($BN$2,0,0,ROW()-1,60),ROW()-1,FALSE))</f>
        <v/>
      </c>
      <c r="G66" t="str">
        <f ca="1">IF(AND(ISNUMBER($G$214),$B$156=1),$G$214,HLOOKUP(INDIRECT(ADDRESS(2,COLUMN())),OFFSET($BN$2,0,0,ROW()-1,60),ROW()-1,FALSE))</f>
        <v/>
      </c>
      <c r="H66" t="str">
        <f ca="1">IF(AND(ISNUMBER($H$214),$B$156=1),$H$214,HLOOKUP(INDIRECT(ADDRESS(2,COLUMN())),OFFSET($BN$2,0,0,ROW()-1,60),ROW()-1,FALSE))</f>
        <v/>
      </c>
      <c r="I66" t="str">
        <f ca="1">IF(AND(ISNUMBER($I$214),$B$156=1),$I$214,HLOOKUP(INDIRECT(ADDRESS(2,COLUMN())),OFFSET($BN$2,0,0,ROW()-1,60),ROW()-1,FALSE))</f>
        <v/>
      </c>
      <c r="J66" t="str">
        <f ca="1">IF(AND(ISNUMBER($J$214),$B$156=1),$J$214,HLOOKUP(INDIRECT(ADDRESS(2,COLUMN())),OFFSET($BN$2,0,0,ROW()-1,60),ROW()-1,FALSE))</f>
        <v/>
      </c>
      <c r="K66" t="str">
        <f ca="1">IF(AND(ISNUMBER($K$214),$B$156=1),$K$214,HLOOKUP(INDIRECT(ADDRESS(2,COLUMN())),OFFSET($BN$2,0,0,ROW()-1,60),ROW()-1,FALSE))</f>
        <v/>
      </c>
      <c r="L66" t="str">
        <f ca="1">IF(AND(ISNUMBER($L$214),$B$156=1),$L$214,HLOOKUP(INDIRECT(ADDRESS(2,COLUMN())),OFFSET($BN$2,0,0,ROW()-1,60),ROW()-1,FALSE))</f>
        <v/>
      </c>
      <c r="M66">
        <f ca="1">IF(AND(ISNUMBER($M$214),$B$156=1),$M$214,HLOOKUP(INDIRECT(ADDRESS(2,COLUMN())),OFFSET($BN$2,0,0,ROW()-1,60),ROW()-1,FALSE))</f>
        <v>503</v>
      </c>
      <c r="N66">
        <f ca="1">IF(AND(ISNUMBER($N$214),$B$156=1),$N$214,HLOOKUP(INDIRECT(ADDRESS(2,COLUMN())),OFFSET($BN$2,0,0,ROW()-1,60),ROW()-1,FALSE))</f>
        <v>665</v>
      </c>
      <c r="O66">
        <f ca="1">IF(AND(ISNUMBER($O$214),$B$156=1),$O$214,HLOOKUP(INDIRECT(ADDRESS(2,COLUMN())),OFFSET($BN$2,0,0,ROW()-1,60),ROW()-1,FALSE))</f>
        <v>646</v>
      </c>
      <c r="P66">
        <f ca="1">IF(AND(ISNUMBER($P$214),$B$156=1),$P$214,HLOOKUP(INDIRECT(ADDRESS(2,COLUMN())),OFFSET($BN$2,0,0,ROW()-1,60),ROW()-1,FALSE))</f>
        <v>658</v>
      </c>
      <c r="Q66">
        <f ca="1">IF(AND(ISNUMBER($Q$214),$B$156=1),$Q$214,HLOOKUP(INDIRECT(ADDRESS(2,COLUMN())),OFFSET($BN$2,0,0,ROW()-1,60),ROW()-1,FALSE))</f>
        <v>775</v>
      </c>
      <c r="R66">
        <f ca="1">IF(AND(ISNUMBER($R$214),$B$156=1),$R$214,HLOOKUP(INDIRECT(ADDRESS(2,COLUMN())),OFFSET($BN$2,0,0,ROW()-1,60),ROW()-1,FALSE))</f>
        <v>4544</v>
      </c>
      <c r="S66">
        <f ca="1">IF(AND(ISNUMBER($S$214),$B$156=1),$S$214,HLOOKUP(INDIRECT(ADDRESS(2,COLUMN())),OFFSET($BN$2,0,0,ROW()-1,60),ROW()-1,FALSE))</f>
        <v>3379</v>
      </c>
      <c r="T66">
        <f ca="1">IF(AND(ISNUMBER($T$214),$B$156=1),$T$214,HLOOKUP(INDIRECT(ADDRESS(2,COLUMN())),OFFSET($BN$2,0,0,ROW()-1,60),ROW()-1,FALSE))</f>
        <v>3234</v>
      </c>
      <c r="U66">
        <f ca="1">IF(AND(ISNUMBER($U$214),$B$156=1),$U$214,HLOOKUP(INDIRECT(ADDRESS(2,COLUMN())),OFFSET($BN$2,0,0,ROW()-1,60),ROW()-1,FALSE))</f>
        <v>5153</v>
      </c>
      <c r="V66">
        <f ca="1">IF(AND(ISNUMBER($V$214),$B$156=1),$V$214,HLOOKUP(INDIRECT(ADDRESS(2,COLUMN())),OFFSET($BN$2,0,0,ROW()-1,60),ROW()-1,FALSE))</f>
        <v>5819</v>
      </c>
      <c r="W66">
        <f ca="1">IF(AND(ISNUMBER($W$214),$B$156=1),$W$214,HLOOKUP(INDIRECT(ADDRESS(2,COLUMN())),OFFSET($BN$2,0,0,ROW()-1,60),ROW()-1,FALSE))</f>
        <v>10288</v>
      </c>
      <c r="X66">
        <f ca="1">IF(AND(ISNUMBER($X$214),$B$156=1),$X$214,HLOOKUP(INDIRECT(ADDRESS(2,COLUMN())),OFFSET($BN$2,0,0,ROW()-1,60),ROW()-1,FALSE))</f>
        <v>5183</v>
      </c>
      <c r="Y66">
        <f ca="1">IF(AND(ISNUMBER($Y$214),$B$156=1),$Y$214,HLOOKUP(INDIRECT(ADDRESS(2,COLUMN())),OFFSET($BN$2,0,0,ROW()-1,60),ROW()-1,FALSE))</f>
        <v>5023</v>
      </c>
      <c r="Z66">
        <f ca="1">IF(AND(ISNUMBER($Z$214),$B$156=1),$Z$214,HLOOKUP(INDIRECT(ADDRESS(2,COLUMN())),OFFSET($BN$2,0,0,ROW()-1,60),ROW()-1,FALSE))</f>
        <v>3213</v>
      </c>
      <c r="AA66">
        <f ca="1">IF(AND(ISNUMBER($AA$214),$B$156=1),$AA$214,HLOOKUP(INDIRECT(ADDRESS(2,COLUMN())),OFFSET($BN$2,0,0,ROW()-1,60),ROW()-1,FALSE))</f>
        <v>16928</v>
      </c>
      <c r="AB66">
        <f ca="1">IF(AND(ISNUMBER($AB$214),$B$156=1),$AB$214,HLOOKUP(INDIRECT(ADDRESS(2,COLUMN())),OFFSET($BN$2,0,0,ROW()-1,60),ROW()-1,FALSE))</f>
        <v>24670</v>
      </c>
      <c r="AC66">
        <f ca="1">IF(AND(ISNUMBER($AC$214),$B$156=1),$AC$214,HLOOKUP(INDIRECT(ADDRESS(2,COLUMN())),OFFSET($BN$2,0,0,ROW()-1,60),ROW()-1,FALSE))</f>
        <v>31641</v>
      </c>
      <c r="AD66">
        <f ca="1">IF(AND(ISNUMBER($AD$214),$B$156=1),$AD$214,HLOOKUP(INDIRECT(ADDRESS(2,COLUMN())),OFFSET($BN$2,0,0,ROW()-1,60),ROW()-1,FALSE))</f>
        <v>25639</v>
      </c>
      <c r="AE66">
        <f ca="1">IF(AND(ISNUMBER($AE$214),$B$156=1),$AE$214,HLOOKUP(INDIRECT(ADDRESS(2,COLUMN())),OFFSET($BN$2,0,0,ROW()-1,60),ROW()-1,FALSE))</f>
        <v>31235</v>
      </c>
      <c r="AF66">
        <f ca="1">IF(AND(ISNUMBER($AF$214),$B$156=1),$AF$214,HLOOKUP(INDIRECT(ADDRESS(2,COLUMN())),OFFSET($BN$2,0,0,ROW()-1,60),ROW()-1,FALSE))</f>
        <v>31739</v>
      </c>
      <c r="AG66">
        <f ca="1">IF(AND(ISNUMBER($AG$214),$B$156=1),$AG$214,HLOOKUP(INDIRECT(ADDRESS(2,COLUMN())),OFFSET($BN$2,0,0,ROW()-1,60),ROW()-1,FALSE))</f>
        <v>34335</v>
      </c>
      <c r="AH66">
        <f ca="1">IF(AND(ISNUMBER($AH$214),$B$156=1),$AH$214,HLOOKUP(INDIRECT(ADDRESS(2,COLUMN())),OFFSET($BN$2,0,0,ROW()-1,60),ROW()-1,FALSE))</f>
        <v>33244</v>
      </c>
      <c r="AI66">
        <f ca="1">IF(AND(ISNUMBER($AI$214),$B$156=1),$AI$214,HLOOKUP(INDIRECT(ADDRESS(2,COLUMN())),OFFSET($BN$2,0,0,ROW()-1,60),ROW()-1,FALSE))</f>
        <v>31370</v>
      </c>
      <c r="AJ66">
        <f ca="1">IF(AND(ISNUMBER($AJ$214),$B$156=1),$AJ$214,HLOOKUP(INDIRECT(ADDRESS(2,COLUMN())),OFFSET($BN$2,0,0,ROW()-1,60),ROW()-1,FALSE))</f>
        <v>32287</v>
      </c>
      <c r="AK66">
        <f ca="1">IF(AND(ISNUMBER($AK$214),$B$156=1),$AK$214,HLOOKUP(INDIRECT(ADDRESS(2,COLUMN())),OFFSET($BN$2,0,0,ROW()-1,60),ROW()-1,FALSE))</f>
        <v>31244</v>
      </c>
      <c r="AL66">
        <f ca="1">IF(AND(ISNUMBER($AL$214),$B$156=1),$AL$214,HLOOKUP(INDIRECT(ADDRESS(2,COLUMN())),OFFSET($BN$2,0,0,ROW()-1,60),ROW()-1,FALSE))</f>
        <v>25790</v>
      </c>
      <c r="AM66">
        <f ca="1">IF(AND(ISNUMBER($AM$214),$B$156=1),$AM$214,HLOOKUP(INDIRECT(ADDRESS(2,COLUMN())),OFFSET($BN$2,0,0,ROW()-1,60),ROW()-1,FALSE))</f>
        <v>31883</v>
      </c>
      <c r="AN66">
        <f ca="1">IF(AND(ISNUMBER($AN$214),$B$156=1),$AN$214,HLOOKUP(INDIRECT(ADDRESS(2,COLUMN())),OFFSET($BN$2,0,0,ROW()-1,60),ROW()-1,FALSE))</f>
        <v>34647</v>
      </c>
      <c r="AO66">
        <f ca="1">IF(AND(ISNUMBER($AO$214),$B$156=1),$AO$214,HLOOKUP(INDIRECT(ADDRESS(2,COLUMN())),OFFSET($BN$2,0,0,ROW()-1,60),ROW()-1,FALSE))</f>
        <v>30888</v>
      </c>
      <c r="AP66">
        <f ca="1">IF(AND(ISNUMBER($AP$214),$B$156=1),$AP$214,HLOOKUP(INDIRECT(ADDRESS(2,COLUMN())),OFFSET($BN$2,0,0,ROW()-1,60),ROW()-1,FALSE))</f>
        <v>27784</v>
      </c>
      <c r="AQ66">
        <f ca="1">IF(AND(ISNUMBER($AQ$214),$B$156=1),$AQ$214,HLOOKUP(INDIRECT(ADDRESS(2,COLUMN())),OFFSET($BN$2,0,0,ROW()-1,60),ROW()-1,FALSE))</f>
        <v>29885</v>
      </c>
      <c r="AR66">
        <f ca="1">IF(AND(ISNUMBER($AR$214),$B$156=1),$AR$214,HLOOKUP(INDIRECT(ADDRESS(2,COLUMN())),OFFSET($BN$2,0,0,ROW()-1,60),ROW()-1,FALSE))</f>
        <v>25501</v>
      </c>
      <c r="AS66">
        <f ca="1">IF(AND(ISNUMBER($AS$214),$B$156=1),$AS$214,HLOOKUP(INDIRECT(ADDRESS(2,COLUMN())),OFFSET($BN$2,0,0,ROW()-1,60),ROW()-1,FALSE))</f>
        <v>31867</v>
      </c>
      <c r="AT66">
        <f ca="1">IF(AND(ISNUMBER($AT$214),$B$156=1),$AT$214,HLOOKUP(INDIRECT(ADDRESS(2,COLUMN())),OFFSET($BN$2,0,0,ROW()-1,60),ROW()-1,FALSE))</f>
        <v>49264</v>
      </c>
      <c r="AU66">
        <f ca="1">IF(AND(ISNUMBER($AU$214),$B$156=1),$AU$214,HLOOKUP(INDIRECT(ADDRESS(2,COLUMN())),OFFSET($BN$2,0,0,ROW()-1,60),ROW()-1,FALSE))</f>
        <v>58923</v>
      </c>
      <c r="AV66">
        <f ca="1">IF(AND(ISNUMBER($AV$214),$B$156=1),$AV$214,HLOOKUP(INDIRECT(ADDRESS(2,COLUMN())),OFFSET($BN$2,0,0,ROW()-1,60),ROW()-1,FALSE))</f>
        <v>58123</v>
      </c>
      <c r="AW66">
        <f ca="1">IF(AND(ISNUMBER($AW$214),$B$156=1),$AW$214,HLOOKUP(INDIRECT(ADDRESS(2,COLUMN())),OFFSET($BN$2,0,0,ROW()-1,60),ROW()-1,FALSE))</f>
        <v>74312</v>
      </c>
      <c r="AX66">
        <f ca="1">IF(AND(ISNUMBER($AX$214),$B$156=1),$AX$214,HLOOKUP(INDIRECT(ADDRESS(2,COLUMN())),OFFSET($BN$2,0,0,ROW()-1,60),ROW()-1,FALSE))</f>
        <v>79894</v>
      </c>
      <c r="AY66">
        <f ca="1">IF(AND(ISNUMBER($AY$214),$B$156=1),$AY$214,HLOOKUP(INDIRECT(ADDRESS(2,COLUMN())),OFFSET($BN$2,0,0,ROW()-1,60),ROW()-1,FALSE))</f>
        <v>145710</v>
      </c>
      <c r="AZ66">
        <f ca="1">IF(AND(ISNUMBER($AZ$214),$B$156=1),$AZ$214,HLOOKUP(INDIRECT(ADDRESS(2,COLUMN())),OFFSET($BN$2,0,0,ROW()-1,60),ROW()-1,FALSE))</f>
        <v>133133</v>
      </c>
      <c r="BA66">
        <f ca="1">IF(AND(ISNUMBER($BA$214),$B$156=1),$BA$214,HLOOKUP(INDIRECT(ADDRESS(2,COLUMN())),OFFSET($BN$2,0,0,ROW()-1,60),ROW()-1,FALSE))</f>
        <v>113567</v>
      </c>
      <c r="BB66">
        <f ca="1">IF(AND(ISNUMBER($BB$214),$B$156=1),$BB$214,HLOOKUP(INDIRECT(ADDRESS(2,COLUMN())),OFFSET($BN$2,0,0,ROW()-1,60),ROW()-1,FALSE))</f>
        <v>99489</v>
      </c>
      <c r="BC66">
        <f ca="1">IF(AND(ISNUMBER($BC$214),$B$156=1),$BC$214,HLOOKUP(INDIRECT(ADDRESS(2,COLUMN())),OFFSET($BN$2,0,0,ROW()-1,60),ROW()-1,FALSE))</f>
        <v>111489</v>
      </c>
      <c r="BD66">
        <f ca="1">IF(AND(ISNUMBER($BD$214),$B$156=1),$BD$214,HLOOKUP(INDIRECT(ADDRESS(2,COLUMN())),OFFSET($BN$2,0,0,ROW()-1,60),ROW()-1,FALSE))</f>
        <v>91345</v>
      </c>
      <c r="BE66">
        <f ca="1">IF(AND(ISNUMBER($BE$214),$B$156=1),$BE$214,HLOOKUP(INDIRECT(ADDRESS(2,COLUMN())),OFFSET($BN$2,0,0,ROW()-1,60),ROW()-1,FALSE))</f>
        <v>74255</v>
      </c>
      <c r="BF66">
        <f ca="1">IF(AND(ISNUMBER($BF$214),$B$156=1),$BF$214,HLOOKUP(INDIRECT(ADDRESS(2,COLUMN())),OFFSET($BN$2,0,0,ROW()-1,60),ROW()-1,FALSE))</f>
        <v>66262</v>
      </c>
      <c r="BG66">
        <f ca="1">IF(AND(ISNUMBER($BG$214),$B$156=1),$BG$214,HLOOKUP(INDIRECT(ADDRESS(2,COLUMN())),OFFSET($BN$2,0,0,ROW()-1,60),ROW()-1,FALSE))</f>
        <v>74595</v>
      </c>
      <c r="BH66">
        <f ca="1">IF(AND(ISNUMBER($BH$214),$B$156=1),$BH$214,HLOOKUP(INDIRECT(ADDRESS(2,COLUMN())),OFFSET($BN$2,0,0,ROW()-1,60),ROW()-1,FALSE))</f>
        <v>56212</v>
      </c>
      <c r="BI66">
        <f ca="1">IF(AND(ISNUMBER($BI$214),$B$156=1),$BI$214,HLOOKUP(INDIRECT(ADDRESS(2,COLUMN())),OFFSET($BN$2,0,0,ROW()-1,60),ROW()-1,FALSE))</f>
        <v>54929</v>
      </c>
      <c r="BJ66">
        <f ca="1">IF(AND(ISNUMBER($BJ$214),$B$156=1),$BJ$214,HLOOKUP(INDIRECT(ADDRESS(2,COLUMN())),OFFSET($BN$2,0,0,ROW()-1,60),ROW()-1,FALSE))</f>
        <v>42642</v>
      </c>
      <c r="BK66">
        <f ca="1">IF(AND(ISNUMBER($BK$214),$B$156=1),$BK$214,HLOOKUP(INDIRECT(ADDRESS(2,COLUMN())),OFFSET($BN$2,0,0,ROW()-1,60),ROW()-1,FALSE))</f>
        <v>46961</v>
      </c>
      <c r="BL66">
        <f ca="1">IF(AND(ISNUMBER($BL$214),$B$156=1),$BL$214,HLOOKUP(INDIRECT(ADDRESS(2,COLUMN())),OFFSET($BN$2,0,0,ROW()-1,60),ROW()-1,FALSE))</f>
        <v>34655</v>
      </c>
      <c r="BM66">
        <f ca="1">IF(AND(ISNUMBER($BM$214),$B$156=1),$BM$214,HLOOKUP(INDIRECT(ADDRESS(2,COLUMN())),OFFSET($BN$2,0,0,ROW()-1,60),ROW()-1,FALSE))</f>
        <v>29313</v>
      </c>
      <c r="BN66" t="str">
        <f>""</f>
        <v/>
      </c>
      <c r="BO66" t="str">
        <f>""</f>
        <v/>
      </c>
      <c r="BP66" t="str">
        <f>""</f>
        <v/>
      </c>
      <c r="BQ66" t="str">
        <f>""</f>
        <v/>
      </c>
      <c r="BR66" t="str">
        <f>""</f>
        <v/>
      </c>
      <c r="BS66" t="str">
        <f>""</f>
        <v/>
      </c>
      <c r="BT66" t="str">
        <f>""</f>
        <v/>
      </c>
      <c r="BU66">
        <f>503</f>
        <v>503</v>
      </c>
      <c r="BV66">
        <f>665</f>
        <v>665</v>
      </c>
      <c r="BW66">
        <f>646</f>
        <v>646</v>
      </c>
      <c r="BX66">
        <f>658</f>
        <v>658</v>
      </c>
      <c r="BY66">
        <f>775</f>
        <v>775</v>
      </c>
      <c r="BZ66">
        <f>4544</f>
        <v>4544</v>
      </c>
      <c r="CA66">
        <f>3379</f>
        <v>3379</v>
      </c>
      <c r="CB66">
        <f>3234</f>
        <v>3234</v>
      </c>
      <c r="CC66">
        <f>5153</f>
        <v>5153</v>
      </c>
      <c r="CD66">
        <f>5819</f>
        <v>5819</v>
      </c>
      <c r="CE66">
        <f>10288</f>
        <v>10288</v>
      </c>
      <c r="CF66">
        <f>5183</f>
        <v>5183</v>
      </c>
      <c r="CG66">
        <f>5023</f>
        <v>5023</v>
      </c>
      <c r="CH66">
        <f>3213</f>
        <v>3213</v>
      </c>
      <c r="CI66">
        <f>16928</f>
        <v>16928</v>
      </c>
      <c r="CJ66">
        <f>24670</f>
        <v>24670</v>
      </c>
      <c r="CK66">
        <f>31641</f>
        <v>31641</v>
      </c>
      <c r="CL66">
        <f>25639</f>
        <v>25639</v>
      </c>
      <c r="CM66">
        <f>31235</f>
        <v>31235</v>
      </c>
      <c r="CN66">
        <f>31739</f>
        <v>31739</v>
      </c>
      <c r="CO66">
        <f>34335</f>
        <v>34335</v>
      </c>
      <c r="CP66">
        <f>33244</f>
        <v>33244</v>
      </c>
      <c r="CQ66">
        <f>31370</f>
        <v>31370</v>
      </c>
      <c r="CR66">
        <f>32287</f>
        <v>32287</v>
      </c>
      <c r="CS66">
        <f>31244</f>
        <v>31244</v>
      </c>
      <c r="CT66">
        <f>25790</f>
        <v>25790</v>
      </c>
      <c r="CU66">
        <f>31883</f>
        <v>31883</v>
      </c>
      <c r="CV66">
        <f>34647</f>
        <v>34647</v>
      </c>
      <c r="CW66">
        <f>30888</f>
        <v>30888</v>
      </c>
      <c r="CX66">
        <f>27784</f>
        <v>27784</v>
      </c>
      <c r="CY66">
        <f>29885</f>
        <v>29885</v>
      </c>
      <c r="CZ66">
        <f>25501</f>
        <v>25501</v>
      </c>
      <c r="DA66">
        <f>31867</f>
        <v>31867</v>
      </c>
      <c r="DB66">
        <f>49264</f>
        <v>49264</v>
      </c>
      <c r="DC66">
        <f>58923</f>
        <v>58923</v>
      </c>
      <c r="DD66">
        <f>58123</f>
        <v>58123</v>
      </c>
      <c r="DE66">
        <f>74312</f>
        <v>74312</v>
      </c>
      <c r="DF66">
        <f>79894</f>
        <v>79894</v>
      </c>
      <c r="DG66">
        <f>145710</f>
        <v>145710</v>
      </c>
      <c r="DH66">
        <f>133133</f>
        <v>133133</v>
      </c>
      <c r="DI66">
        <f>113567</f>
        <v>113567</v>
      </c>
      <c r="DJ66">
        <f>99489</f>
        <v>99489</v>
      </c>
      <c r="DK66">
        <f>111489</f>
        <v>111489</v>
      </c>
      <c r="DL66">
        <f>91345</f>
        <v>91345</v>
      </c>
      <c r="DM66">
        <f>74255</f>
        <v>74255</v>
      </c>
      <c r="DN66">
        <f>66262</f>
        <v>66262</v>
      </c>
      <c r="DO66">
        <f>74595</f>
        <v>74595</v>
      </c>
      <c r="DP66">
        <f>56212</f>
        <v>56212</v>
      </c>
      <c r="DQ66">
        <f>54929</f>
        <v>54929</v>
      </c>
      <c r="DR66">
        <f>42642</f>
        <v>42642</v>
      </c>
      <c r="DS66">
        <f>46961</f>
        <v>46961</v>
      </c>
      <c r="DT66">
        <f>34655</f>
        <v>34655</v>
      </c>
      <c r="DU66">
        <f>29313</f>
        <v>29313</v>
      </c>
    </row>
    <row r="67" spans="1:125" x14ac:dyDescent="0.25">
      <c r="A67" t="str">
        <f>"    Africa &amp; Middle East"</f>
        <v xml:space="preserve">    Africa &amp; Middle East</v>
      </c>
      <c r="B67" t="str">
        <f>"AUTMMEVS Index"</f>
        <v>AUTMMEVS Index</v>
      </c>
      <c r="E67" t="str">
        <f>"Sum"</f>
        <v>Sum</v>
      </c>
      <c r="F67">
        <f ca="1">IF(ISERROR(IF(SUM($F$68:$F$70) = 0, "", SUM($F$68:$F$70))), "", (IF(SUM($F$68:$F$70) = 0, "", SUM($F$68:$F$70))))</f>
        <v>29040</v>
      </c>
      <c r="G67">
        <f ca="1">IF(ISERROR(IF(SUM($G$68:$G$70) = 0, "", SUM($G$68:$G$70))), "", (IF(SUM($G$68:$G$70) = 0, "", SUM($G$68:$G$70))))</f>
        <v>147799</v>
      </c>
      <c r="H67">
        <f ca="1">IF(ISERROR(IF(SUM($H$68:$H$70) = 0, "", SUM($H$68:$H$70))), "", (IF(SUM($H$68:$H$70) = 0, "", SUM($H$68:$H$70))))</f>
        <v>169372</v>
      </c>
      <c r="I67">
        <f ca="1">IF(ISERROR(IF(SUM($I$68:$I$70) = 0, "", SUM($I$68:$I$70))), "", (IF(SUM($I$68:$I$70) = 0, "", SUM($I$68:$I$70))))</f>
        <v>146102</v>
      </c>
      <c r="J67">
        <f ca="1">IF(ISERROR(IF(SUM($J$68:$J$70) = 0, "", SUM($J$68:$J$70))), "", (IF(SUM($J$68:$J$70) = 0, "", SUM($J$68:$J$70))))</f>
        <v>165619</v>
      </c>
      <c r="K67">
        <f ca="1">IF(ISERROR(IF(SUM($K$68:$K$70) = 0, "", SUM($K$68:$K$70))), "", (IF(SUM($K$68:$K$70) = 0, "", SUM($K$68:$K$70))))</f>
        <v>157230</v>
      </c>
      <c r="L67">
        <f ca="1">IF(ISERROR(IF(SUM($L$68:$L$70) = 0, "", SUM($L$68:$L$70))), "", (IF(SUM($L$68:$L$70) = 0, "", SUM($L$68:$L$70))))</f>
        <v>165777</v>
      </c>
      <c r="M67">
        <f ca="1">IF(ISERROR(IF(SUM($M$68:$M$70) = 0, "", SUM($M$68:$M$70))), "", (IF(SUM($M$68:$M$70) = 0, "", SUM($M$68:$M$70))))</f>
        <v>132633</v>
      </c>
      <c r="N67">
        <f ca="1">IF(ISERROR(IF(SUM($N$68:$N$70) = 0, "", SUM($N$68:$N$70))), "", (IF(SUM($N$68:$N$70) = 0, "", SUM($N$68:$N$70))))</f>
        <v>162620</v>
      </c>
      <c r="O67">
        <f ca="1">IF(ISERROR(IF(SUM($O$68:$O$70) = 0, "", SUM($O$68:$O$70))), "", (IF(SUM($O$68:$O$70) = 0, "", SUM($O$68:$O$70))))</f>
        <v>145303</v>
      </c>
      <c r="P67">
        <f ca="1">IF(ISERROR(IF(SUM($P$68:$P$70) = 0, "", SUM($P$68:$P$70))), "", (IF(SUM($P$68:$P$70) = 0, "", SUM($P$68:$P$70))))</f>
        <v>138558</v>
      </c>
      <c r="Q67">
        <f ca="1">IF(ISERROR(IF(SUM($Q$68:$Q$70) = 0, "", SUM($Q$68:$Q$70))), "", (IF(SUM($Q$68:$Q$70) = 0, "", SUM($Q$68:$Q$70))))</f>
        <v>124916</v>
      </c>
      <c r="R67">
        <f ca="1">IF(ISERROR(IF(SUM($R$68:$R$70) = 0, "", SUM($R$68:$R$70))), "", (IF(SUM($R$68:$R$70) = 0, "", SUM($R$68:$R$70))))</f>
        <v>124258</v>
      </c>
      <c r="S67">
        <f ca="1">IF(ISERROR(IF(SUM($S$68:$S$70) = 0, "", SUM($S$68:$S$70))), "", (IF(SUM($S$68:$S$70) = 0, "", SUM($S$68:$S$70))))</f>
        <v>155752</v>
      </c>
      <c r="T67">
        <f ca="1">IF(ISERROR(IF(SUM($T$68:$T$70) = 0, "", SUM($T$68:$T$70))), "", (IF(SUM($T$68:$T$70) = 0, "", SUM($T$68:$T$70))))</f>
        <v>151705</v>
      </c>
      <c r="U67">
        <f ca="1">IF(ISERROR(IF(SUM($U$68:$U$70) = 0, "", SUM($U$68:$U$70))), "", (IF(SUM($U$68:$U$70) = 0, "", SUM($U$68:$U$70))))</f>
        <v>162744</v>
      </c>
      <c r="V67">
        <f ca="1">IF(ISERROR(IF(SUM($V$68:$V$70) = 0, "", SUM($V$68:$V$70))), "", (IF(SUM($V$68:$V$70) = 0, "", SUM($V$68:$V$70))))</f>
        <v>165180</v>
      </c>
      <c r="W67">
        <f ca="1">IF(ISERROR(IF(SUM($W$68:$W$70) = 0, "", SUM($W$68:$W$70))), "", (IF(SUM($W$68:$W$70) = 0, "", SUM($W$68:$W$70))))</f>
        <v>164914</v>
      </c>
      <c r="X67">
        <f ca="1">IF(ISERROR(IF(SUM($X$68:$X$70) = 0, "", SUM($X$68:$X$70))), "", (IF(SUM($X$68:$X$70) = 0, "", SUM($X$68:$X$70))))</f>
        <v>194076</v>
      </c>
      <c r="Y67">
        <f ca="1">IF(ISERROR(IF(SUM($Y$68:$Y$70) = 0, "", SUM($Y$68:$Y$70))), "", (IF(SUM($Y$68:$Y$70) = 0, "", SUM($Y$68:$Y$70))))</f>
        <v>148071</v>
      </c>
      <c r="Z67">
        <f ca="1">IF(ISERROR(IF(SUM($Z$68:$Z$70) = 0, "", SUM($Z$68:$Z$70))), "", (IF(SUM($Z$68:$Z$70) = 0, "", SUM($Z$68:$Z$70))))</f>
        <v>167006</v>
      </c>
      <c r="AA67">
        <f ca="1">IF(ISERROR(IF(SUM($AA$68:$AA$70) = 0, "", SUM($AA$68:$AA$70))), "", (IF(SUM($AA$68:$AA$70) = 0, "", SUM($AA$68:$AA$70))))</f>
        <v>154091</v>
      </c>
      <c r="AB67">
        <f ca="1">IF(ISERROR(IF(SUM($AB$68:$AB$70) = 0, "", SUM($AB$68:$AB$70))), "", (IF(SUM($AB$68:$AB$70) = 0, "", SUM($AB$68:$AB$70))))</f>
        <v>192676</v>
      </c>
      <c r="AC67">
        <f ca="1">IF(ISERROR(IF(SUM($AC$68:$AC$70) = 0, "", SUM($AC$68:$AC$70))), "", (IF(SUM($AC$68:$AC$70) = 0, "", SUM($AC$68:$AC$70))))</f>
        <v>149846</v>
      </c>
      <c r="AD67">
        <f ca="1">IF(ISERROR(IF(SUM($AD$68:$AD$70) = 0, "", SUM($AD$68:$AD$70))), "", (IF(SUM($AD$68:$AD$70) = 0, "", SUM($AD$68:$AD$70))))</f>
        <v>163689</v>
      </c>
      <c r="AE67">
        <f ca="1">IF(ISERROR(IF(SUM($AE$68:$AE$70) = 0, "", SUM($AE$68:$AE$70))), "", (IF(SUM($AE$68:$AE$70) = 0, "", SUM($AE$68:$AE$70))))</f>
        <v>143276</v>
      </c>
      <c r="AF67">
        <f ca="1">IF(ISERROR(IF(SUM($AF$68:$AF$70) = 0, "", SUM($AF$68:$AF$70))), "", (IF(SUM($AF$68:$AF$70) = 0, "", SUM($AF$68:$AF$70))))</f>
        <v>150515</v>
      </c>
      <c r="AG67">
        <f ca="1">IF(ISERROR(IF(SUM($AG$68:$AG$70) = 0, "", SUM($AG$68:$AG$70))), "", (IF(SUM($AG$68:$AG$70) = 0, "", SUM($AG$68:$AG$70))))</f>
        <v>150642</v>
      </c>
      <c r="AH67">
        <f ca="1">IF(ISERROR(IF(SUM($AH$68:$AH$70) = 0, "", SUM($AH$68:$AH$70))), "", (IF(SUM($AH$68:$AH$70) = 0, "", SUM($AH$68:$AH$70))))</f>
        <v>145365</v>
      </c>
      <c r="AI67">
        <f ca="1">IF(ISERROR(IF(SUM($AI$68:$AI$70) = 0, "", SUM($AI$68:$AI$70))), "", (IF(SUM($AI$68:$AI$70) = 0, "", SUM($AI$68:$AI$70))))</f>
        <v>132709</v>
      </c>
      <c r="AJ67">
        <f ca="1">IF(ISERROR(IF(SUM($AJ$68:$AJ$70) = 0, "", SUM($AJ$68:$AJ$70))), "", (IF(SUM($AJ$68:$AJ$70) = 0, "", SUM($AJ$68:$AJ$70))))</f>
        <v>143208</v>
      </c>
      <c r="AK67">
        <f ca="1">IF(ISERROR(IF(SUM($AK$68:$AK$70) = 0, "", SUM($AK$68:$AK$70))), "", (IF(SUM($AK$68:$AK$70) = 0, "", SUM($AK$68:$AK$70))))</f>
        <v>122434</v>
      </c>
      <c r="AL67">
        <f ca="1">IF(ISERROR(IF(SUM($AL$68:$AL$70) = 0, "", SUM($AL$68:$AL$70))), "", (IF(SUM($AL$68:$AL$70) = 0, "", SUM($AL$68:$AL$70))))</f>
        <v>138202</v>
      </c>
      <c r="AM67">
        <f ca="1">IF(ISERROR(IF(SUM($AM$68:$AM$70) = 0, "", SUM($AM$68:$AM$70))), "", (IF(SUM($AM$68:$AM$70) = 0, "", SUM($AM$68:$AM$70))))</f>
        <v>133522</v>
      </c>
      <c r="AN67">
        <f ca="1">IF(ISERROR(IF(SUM($AN$68:$AN$70) = 0, "", SUM($AN$68:$AN$70))), "", (IF(SUM($AN$68:$AN$70) = 0, "", SUM($AN$68:$AN$70))))</f>
        <v>122436</v>
      </c>
      <c r="AO67">
        <f ca="1">IF(ISERROR(IF(SUM($AO$68:$AO$70) = 0, "", SUM($AO$68:$AO$70))), "", (IF(SUM($AO$68:$AO$70) = 0, "", SUM($AO$68:$AO$70))))</f>
        <v>107758</v>
      </c>
      <c r="AP67">
        <f ca="1">IF(ISERROR(IF(SUM($AP$68:$AP$70) = 0, "", SUM($AP$68:$AP$70))), "", (IF(SUM($AP$68:$AP$70) = 0, "", SUM($AP$68:$AP$70))))</f>
        <v>117775</v>
      </c>
      <c r="AQ67">
        <f ca="1">IF(ISERROR(IF(SUM($AQ$68:$AQ$70) = 0, "", SUM($AQ$68:$AQ$70))), "", (IF(SUM($AQ$68:$AQ$70) = 0, "", SUM($AQ$68:$AQ$70))))</f>
        <v>104428</v>
      </c>
      <c r="AR67">
        <f ca="1">IF(ISERROR(IF(SUM($AR$68:$AR$70) = 0, "", SUM($AR$68:$AR$70))), "", (IF(SUM($AR$68:$AR$70) = 0, "", SUM($AR$68:$AR$70))))</f>
        <v>92208</v>
      </c>
      <c r="AS67">
        <f ca="1">IF(ISERROR(IF(SUM($AS$68:$AS$70) = 0, "", SUM($AS$68:$AS$70))), "", (IF(SUM($AS$68:$AS$70) = 0, "", SUM($AS$68:$AS$70))))</f>
        <v>94724</v>
      </c>
      <c r="AT67">
        <f ca="1">IF(ISERROR(IF(SUM($AT$68:$AT$70) = 0, "", SUM($AT$68:$AT$70))), "", (IF(SUM($AT$68:$AT$70) = 0, "", SUM($AT$68:$AT$70))))</f>
        <v>99479</v>
      </c>
      <c r="AU67">
        <f ca="1">IF(ISERROR(IF(SUM($AU$68:$AU$70) = 0, "", SUM($AU$68:$AU$70))), "", (IF(SUM($AU$68:$AU$70) = 0, "", SUM($AU$68:$AU$70))))</f>
        <v>105197</v>
      </c>
      <c r="AV67">
        <f ca="1">IF(ISERROR(IF(SUM($AV$68:$AV$70) = 0, "", SUM($AV$68:$AV$70))), "", (IF(SUM($AV$68:$AV$70) = 0, "", SUM($AV$68:$AV$70))))</f>
        <v>112296</v>
      </c>
      <c r="AW67">
        <f ca="1">IF(ISERROR(IF(SUM($AW$68:$AW$70) = 0, "", SUM($AW$68:$AW$70))), "", (IF(SUM($AW$68:$AW$70) = 0, "", SUM($AW$68:$AW$70))))</f>
        <v>97805</v>
      </c>
      <c r="AX67">
        <f ca="1">IF(ISERROR(IF(SUM($AX$68:$AX$70) = 0, "", SUM($AX$68:$AX$70))), "", (IF(SUM($AX$68:$AX$70) = 0, "", SUM($AX$68:$AX$70))))</f>
        <v>106634</v>
      </c>
      <c r="AY67">
        <f ca="1">IF(ISERROR(IF(SUM($AY$68:$AY$70) = 0, "", SUM($AY$68:$AY$70))), "", (IF(SUM($AY$68:$AY$70) = 0, "", SUM($AY$68:$AY$70))))</f>
        <v>117085</v>
      </c>
      <c r="AZ67">
        <f ca="1">IF(ISERROR(IF(SUM($AZ$68:$AZ$70) = 0, "", SUM($AZ$68:$AZ$70))), "", (IF(SUM($AZ$68:$AZ$70) = 0, "", SUM($AZ$68:$AZ$70))))</f>
        <v>125629</v>
      </c>
      <c r="BA67">
        <f ca="1">IF(ISERROR(IF(SUM($BA$68:$BA$70) = 0, "", SUM($BA$68:$BA$70))), "", (IF(SUM($BA$68:$BA$70) = 0, "", SUM($BA$68:$BA$70))))</f>
        <v>108611</v>
      </c>
      <c r="BB67">
        <f ca="1">IF(ISERROR(IF(SUM($BB$68:$BB$70) = 0, "", SUM($BB$68:$BB$70))), "", (IF(SUM($BB$68:$BB$70) = 0, "", SUM($BB$68:$BB$70))))</f>
        <v>121701</v>
      </c>
      <c r="BC67">
        <f ca="1">IF(ISERROR(IF(SUM($BC$68:$BC$70) = 0, "", SUM($BC$68:$BC$70))), "", (IF(SUM($BC$68:$BC$70) = 0, "", SUM($BC$68:$BC$70))))</f>
        <v>127090</v>
      </c>
      <c r="BD67">
        <f ca="1">IF(ISERROR(IF(SUM($BD$68:$BD$70) = 0, "", SUM($BD$68:$BD$70))), "", (IF(SUM($BD$68:$BD$70) = 0, "", SUM($BD$68:$BD$70))))</f>
        <v>129406</v>
      </c>
      <c r="BE67">
        <f ca="1">IF(ISERROR(IF(SUM($BE$68:$BE$70) = 0, "", SUM($BE$68:$BE$70))), "", (IF(SUM($BE$68:$BE$70) = 0, "", SUM($BE$68:$BE$70))))</f>
        <v>113717</v>
      </c>
      <c r="BF67">
        <f ca="1">IF(ISERROR(IF(SUM($BF$68:$BF$70) = 0, "", SUM($BF$68:$BF$70))), "", (IF(SUM($BF$68:$BF$70) = 0, "", SUM($BF$68:$BF$70))))</f>
        <v>117024</v>
      </c>
      <c r="BG67">
        <f ca="1">IF(ISERROR(IF(SUM($BG$68:$BG$70) = 0, "", SUM($BG$68:$BG$70))), "", (IF(SUM($BG$68:$BG$70) = 0, "", SUM($BG$68:$BG$70))))</f>
        <v>112576</v>
      </c>
      <c r="BH67">
        <f ca="1">IF(ISERROR(IF(SUM($BH$68:$BH$70) = 0, "", SUM($BH$68:$BH$70))), "", (IF(SUM($BH$68:$BH$70) = 0, "", SUM($BH$68:$BH$70))))</f>
        <v>111404</v>
      </c>
      <c r="BI67">
        <f ca="1">IF(ISERROR(IF(SUM($BI$68:$BI$70) = 0, "", SUM($BI$68:$BI$70))), "", (IF(SUM($BI$68:$BI$70) = 0, "", SUM($BI$68:$BI$70))))</f>
        <v>89282</v>
      </c>
      <c r="BJ67">
        <f ca="1">IF(ISERROR(IF(SUM($BJ$68:$BJ$70) = 0, "", SUM($BJ$68:$BJ$70))), "", (IF(SUM($BJ$68:$BJ$70) = 0, "", SUM($BJ$68:$BJ$70))))</f>
        <v>85925</v>
      </c>
      <c r="BK67">
        <f ca="1">IF(ISERROR(IF(SUM($BK$68:$BK$70) = 0, "", SUM($BK$68:$BK$70))), "", (IF(SUM($BK$68:$BK$70) = 0, "", SUM($BK$68:$BK$70))))</f>
        <v>83121</v>
      </c>
      <c r="BL67">
        <f ca="1">IF(ISERROR(IF(SUM($BL$68:$BL$70) = 0, "", SUM($BL$68:$BL$70))), "", (IF(SUM($BL$68:$BL$70) = 0, "", SUM($BL$68:$BL$70))))</f>
        <v>83657</v>
      </c>
      <c r="BM67">
        <f ca="1">IF(ISERROR(IF(SUM($BM$68:$BM$70) = 0, "", SUM($BM$68:$BM$70))), "", (IF(SUM($BM$68:$BM$70) = 0, "", SUM($BM$68:$BM$70))))</f>
        <v>66947</v>
      </c>
      <c r="BN67" t="str">
        <f>""</f>
        <v/>
      </c>
      <c r="BO67">
        <f>147799</f>
        <v>147799</v>
      </c>
      <c r="BP67">
        <f>169372</f>
        <v>169372</v>
      </c>
      <c r="BQ67">
        <f>146102</f>
        <v>146102</v>
      </c>
      <c r="BR67">
        <f>165619</f>
        <v>165619</v>
      </c>
      <c r="BS67">
        <f>157230</f>
        <v>157230</v>
      </c>
      <c r="BT67">
        <f>165777</f>
        <v>165777</v>
      </c>
      <c r="BU67">
        <f>132633</f>
        <v>132633</v>
      </c>
      <c r="BV67">
        <f>162620</f>
        <v>162620</v>
      </c>
      <c r="BW67">
        <f>145303</f>
        <v>145303</v>
      </c>
      <c r="BX67">
        <f>138558</f>
        <v>138558</v>
      </c>
      <c r="BY67">
        <f>124916</f>
        <v>124916</v>
      </c>
      <c r="BZ67">
        <f>124258</f>
        <v>124258</v>
      </c>
      <c r="CA67">
        <f>155752</f>
        <v>155752</v>
      </c>
      <c r="CB67">
        <f>151705</f>
        <v>151705</v>
      </c>
      <c r="CC67">
        <f>162744</f>
        <v>162744</v>
      </c>
      <c r="CD67">
        <f>165180</f>
        <v>165180</v>
      </c>
      <c r="CE67">
        <f>164914</f>
        <v>164914</v>
      </c>
      <c r="CF67">
        <f>194076</f>
        <v>194076</v>
      </c>
      <c r="CG67">
        <f>148071</f>
        <v>148071</v>
      </c>
      <c r="CH67">
        <f>167006</f>
        <v>167006</v>
      </c>
      <c r="CI67">
        <f>154091</f>
        <v>154091</v>
      </c>
      <c r="CJ67">
        <f>192676</f>
        <v>192676</v>
      </c>
      <c r="CK67">
        <f>149846</f>
        <v>149846</v>
      </c>
      <c r="CL67">
        <f>163689</f>
        <v>163689</v>
      </c>
      <c r="CM67">
        <f>143276</f>
        <v>143276</v>
      </c>
      <c r="CN67">
        <f>150515</f>
        <v>150515</v>
      </c>
      <c r="CO67">
        <f>150642</f>
        <v>150642</v>
      </c>
      <c r="CP67">
        <f>145365</f>
        <v>145365</v>
      </c>
      <c r="CQ67">
        <f>132709</f>
        <v>132709</v>
      </c>
      <c r="CR67">
        <f>143208</f>
        <v>143208</v>
      </c>
      <c r="CS67">
        <f>122434</f>
        <v>122434</v>
      </c>
      <c r="CT67">
        <f>138202</f>
        <v>138202</v>
      </c>
      <c r="CU67">
        <f>133522</f>
        <v>133522</v>
      </c>
      <c r="CV67">
        <f>122436</f>
        <v>122436</v>
      </c>
      <c r="CW67">
        <f>107758</f>
        <v>107758</v>
      </c>
      <c r="CX67">
        <f>117775</f>
        <v>117775</v>
      </c>
      <c r="CY67">
        <f>104428</f>
        <v>104428</v>
      </c>
      <c r="CZ67">
        <f>92208</f>
        <v>92208</v>
      </c>
      <c r="DA67">
        <f>94724</f>
        <v>94724</v>
      </c>
      <c r="DB67">
        <f>99479</f>
        <v>99479</v>
      </c>
      <c r="DC67">
        <f>105197</f>
        <v>105197</v>
      </c>
      <c r="DD67">
        <f>112296</f>
        <v>112296</v>
      </c>
      <c r="DE67">
        <f>97805</f>
        <v>97805</v>
      </c>
      <c r="DF67">
        <f>106634</f>
        <v>106634</v>
      </c>
      <c r="DG67">
        <f>117085</f>
        <v>117085</v>
      </c>
      <c r="DH67">
        <f>125629</f>
        <v>125629</v>
      </c>
      <c r="DI67">
        <f>108611</f>
        <v>108611</v>
      </c>
      <c r="DJ67">
        <f>121701</f>
        <v>121701</v>
      </c>
      <c r="DK67">
        <f>127090</f>
        <v>127090</v>
      </c>
      <c r="DL67">
        <f>129406</f>
        <v>129406</v>
      </c>
      <c r="DM67">
        <f>113717</f>
        <v>113717</v>
      </c>
      <c r="DN67">
        <f>117024</f>
        <v>117024</v>
      </c>
      <c r="DO67">
        <f>112576</f>
        <v>112576</v>
      </c>
      <c r="DP67">
        <f>111404</f>
        <v>111404</v>
      </c>
      <c r="DQ67">
        <f>89282</f>
        <v>89282</v>
      </c>
      <c r="DR67">
        <f>85925</f>
        <v>85925</v>
      </c>
      <c r="DS67">
        <f>83121</f>
        <v>83121</v>
      </c>
      <c r="DT67">
        <f>83657</f>
        <v>83657</v>
      </c>
      <c r="DU67">
        <f>66947</f>
        <v>66947</v>
      </c>
    </row>
    <row r="68" spans="1:125" x14ac:dyDescent="0.25">
      <c r="A68" t="str">
        <f>"        Bahrain"</f>
        <v xml:space="preserve">        Bahrain</v>
      </c>
      <c r="B68" t="str">
        <f>"BJTRNPGV Index"</f>
        <v>BJTRNPGV Index</v>
      </c>
      <c r="C68" t="str">
        <f>"PX385"</f>
        <v>PX385</v>
      </c>
      <c r="D68" t="str">
        <f>"INTERVAL_SUM"</f>
        <v>INTERVAL_SUM</v>
      </c>
      <c r="E68" t="str">
        <f>"Dynamic"</f>
        <v>Dynamic</v>
      </c>
      <c r="F68" t="str">
        <f ca="1">IF(AND(ISNUMBER($F$215),$B$156=1),$F$215,HLOOKUP(INDIRECT(ADDRESS(2,COLUMN())),OFFSET($BN$2,0,0,ROW()-1,60),ROW()-1,FALSE))</f>
        <v/>
      </c>
      <c r="G68" t="str">
        <f ca="1">IF(AND(ISNUMBER($G$215),$B$156=1),$G$215,HLOOKUP(INDIRECT(ADDRESS(2,COLUMN())),OFFSET($BN$2,0,0,ROW()-1,60),ROW()-1,FALSE))</f>
        <v/>
      </c>
      <c r="H68" t="str">
        <f ca="1">IF(AND(ISNUMBER($H$215),$B$156=1),$H$215,HLOOKUP(INDIRECT(ADDRESS(2,COLUMN())),OFFSET($BN$2,0,0,ROW()-1,60),ROW()-1,FALSE))</f>
        <v/>
      </c>
      <c r="I68" t="str">
        <f ca="1">IF(AND(ISNUMBER($I$215),$B$156=1),$I$215,HLOOKUP(INDIRECT(ADDRESS(2,COLUMN())),OFFSET($BN$2,0,0,ROW()-1,60),ROW()-1,FALSE))</f>
        <v/>
      </c>
      <c r="J68" t="str">
        <f ca="1">IF(AND(ISNUMBER($J$215),$B$156=1),$J$215,HLOOKUP(INDIRECT(ADDRESS(2,COLUMN())),OFFSET($BN$2,0,0,ROW()-1,60),ROW()-1,FALSE))</f>
        <v/>
      </c>
      <c r="K68" t="str">
        <f ca="1">IF(AND(ISNUMBER($K$215),$B$156=1),$K$215,HLOOKUP(INDIRECT(ADDRESS(2,COLUMN())),OFFSET($BN$2,0,0,ROW()-1,60),ROW()-1,FALSE))</f>
        <v/>
      </c>
      <c r="L68" t="str">
        <f ca="1">IF(AND(ISNUMBER($L$215),$B$156=1),$L$215,HLOOKUP(INDIRECT(ADDRESS(2,COLUMN())),OFFSET($BN$2,0,0,ROW()-1,60),ROW()-1,FALSE))</f>
        <v/>
      </c>
      <c r="M68" t="str">
        <f ca="1">IF(AND(ISNUMBER($M$215),$B$156=1),$M$215,HLOOKUP(INDIRECT(ADDRESS(2,COLUMN())),OFFSET($BN$2,0,0,ROW()-1,60),ROW()-1,FALSE))</f>
        <v/>
      </c>
      <c r="N68" t="str">
        <f ca="1">IF(AND(ISNUMBER($N$215),$B$156=1),$N$215,HLOOKUP(INDIRECT(ADDRESS(2,COLUMN())),OFFSET($BN$2,0,0,ROW()-1,60),ROW()-1,FALSE))</f>
        <v/>
      </c>
      <c r="O68" t="str">
        <f ca="1">IF(AND(ISNUMBER($O$215),$B$156=1),$O$215,HLOOKUP(INDIRECT(ADDRESS(2,COLUMN())),OFFSET($BN$2,0,0,ROW()-1,60),ROW()-1,FALSE))</f>
        <v/>
      </c>
      <c r="P68" t="str">
        <f ca="1">IF(AND(ISNUMBER($P$215),$B$156=1),$P$215,HLOOKUP(INDIRECT(ADDRESS(2,COLUMN())),OFFSET($BN$2,0,0,ROW()-1,60),ROW()-1,FALSE))</f>
        <v/>
      </c>
      <c r="Q68" t="str">
        <f ca="1">IF(AND(ISNUMBER($Q$215),$B$156=1),$Q$215,HLOOKUP(INDIRECT(ADDRESS(2,COLUMN())),OFFSET($BN$2,0,0,ROW()-1,60),ROW()-1,FALSE))</f>
        <v/>
      </c>
      <c r="R68" t="str">
        <f ca="1">IF(AND(ISNUMBER($R$215),$B$156=1),$R$215,HLOOKUP(INDIRECT(ADDRESS(2,COLUMN())),OFFSET($BN$2,0,0,ROW()-1,60),ROW()-1,FALSE))</f>
        <v/>
      </c>
      <c r="S68" t="str">
        <f ca="1">IF(AND(ISNUMBER($S$215),$B$156=1),$S$215,HLOOKUP(INDIRECT(ADDRESS(2,COLUMN())),OFFSET($BN$2,0,0,ROW()-1,60),ROW()-1,FALSE))</f>
        <v/>
      </c>
      <c r="T68" t="str">
        <f ca="1">IF(AND(ISNUMBER($T$215),$B$156=1),$T$215,HLOOKUP(INDIRECT(ADDRESS(2,COLUMN())),OFFSET($BN$2,0,0,ROW()-1,60),ROW()-1,FALSE))</f>
        <v/>
      </c>
      <c r="U68" t="str">
        <f ca="1">IF(AND(ISNUMBER($U$215),$B$156=1),$U$215,HLOOKUP(INDIRECT(ADDRESS(2,COLUMN())),OFFSET($BN$2,0,0,ROW()-1,60),ROW()-1,FALSE))</f>
        <v/>
      </c>
      <c r="V68" t="str">
        <f ca="1">IF(AND(ISNUMBER($V$215),$B$156=1),$V$215,HLOOKUP(INDIRECT(ADDRESS(2,COLUMN())),OFFSET($BN$2,0,0,ROW()-1,60),ROW()-1,FALSE))</f>
        <v/>
      </c>
      <c r="W68" t="str">
        <f ca="1">IF(AND(ISNUMBER($W$215),$B$156=1),$W$215,HLOOKUP(INDIRECT(ADDRESS(2,COLUMN())),OFFSET($BN$2,0,0,ROW()-1,60),ROW()-1,FALSE))</f>
        <v/>
      </c>
      <c r="X68" t="str">
        <f ca="1">IF(AND(ISNUMBER($X$215),$B$156=1),$X$215,HLOOKUP(INDIRECT(ADDRESS(2,COLUMN())),OFFSET($BN$2,0,0,ROW()-1,60),ROW()-1,FALSE))</f>
        <v/>
      </c>
      <c r="Y68" t="str">
        <f ca="1">IF(AND(ISNUMBER($Y$215),$B$156=1),$Y$215,HLOOKUP(INDIRECT(ADDRESS(2,COLUMN())),OFFSET($BN$2,0,0,ROW()-1,60),ROW()-1,FALSE))</f>
        <v/>
      </c>
      <c r="Z68" t="str">
        <f ca="1">IF(AND(ISNUMBER($Z$215),$B$156=1),$Z$215,HLOOKUP(INDIRECT(ADDRESS(2,COLUMN())),OFFSET($BN$2,0,0,ROW()-1,60),ROW()-1,FALSE))</f>
        <v/>
      </c>
      <c r="AA68">
        <f ca="1">IF(AND(ISNUMBER($AA$215),$B$156=1),$AA$215,HLOOKUP(INDIRECT(ADDRESS(2,COLUMN())),OFFSET($BN$2,0,0,ROW()-1,60),ROW()-1,FALSE))</f>
        <v>2631</v>
      </c>
      <c r="AB68" t="str">
        <f ca="1">IF(AND(ISNUMBER($AB$215),$B$156=1),$AB$215,HLOOKUP(INDIRECT(ADDRESS(2,COLUMN())),OFFSET($BN$2,0,0,ROW()-1,60),ROW()-1,FALSE))</f>
        <v/>
      </c>
      <c r="AC68" t="str">
        <f ca="1">IF(AND(ISNUMBER($AC$215),$B$156=1),$AC$215,HLOOKUP(INDIRECT(ADDRESS(2,COLUMN())),OFFSET($BN$2,0,0,ROW()-1,60),ROW()-1,FALSE))</f>
        <v/>
      </c>
      <c r="AD68" t="str">
        <f ca="1">IF(AND(ISNUMBER($AD$215),$B$156=1),$AD$215,HLOOKUP(INDIRECT(ADDRESS(2,COLUMN())),OFFSET($BN$2,0,0,ROW()-1,60),ROW()-1,FALSE))</f>
        <v/>
      </c>
      <c r="AE68">
        <f ca="1">IF(AND(ISNUMBER($AE$215),$B$156=1),$AE$215,HLOOKUP(INDIRECT(ADDRESS(2,COLUMN())),OFFSET($BN$2,0,0,ROW()-1,60),ROW()-1,FALSE))</f>
        <v>2297</v>
      </c>
      <c r="AF68" t="str">
        <f ca="1">IF(AND(ISNUMBER($AF$215),$B$156=1),$AF$215,HLOOKUP(INDIRECT(ADDRESS(2,COLUMN())),OFFSET($BN$2,0,0,ROW()-1,60),ROW()-1,FALSE))</f>
        <v/>
      </c>
      <c r="AG68" t="str">
        <f ca="1">IF(AND(ISNUMBER($AG$215),$B$156=1),$AG$215,HLOOKUP(INDIRECT(ADDRESS(2,COLUMN())),OFFSET($BN$2,0,0,ROW()-1,60),ROW()-1,FALSE))</f>
        <v/>
      </c>
      <c r="AH68" t="str">
        <f ca="1">IF(AND(ISNUMBER($AH$215),$B$156=1),$AH$215,HLOOKUP(INDIRECT(ADDRESS(2,COLUMN())),OFFSET($BN$2,0,0,ROW()-1,60),ROW()-1,FALSE))</f>
        <v/>
      </c>
      <c r="AI68">
        <f ca="1">IF(AND(ISNUMBER($AI$215),$B$156=1),$AI$215,HLOOKUP(INDIRECT(ADDRESS(2,COLUMN())),OFFSET($BN$2,0,0,ROW()-1,60),ROW()-1,FALSE))</f>
        <v>1762</v>
      </c>
      <c r="AJ68" t="str">
        <f ca="1">IF(AND(ISNUMBER($AJ$215),$B$156=1),$AJ$215,HLOOKUP(INDIRECT(ADDRESS(2,COLUMN())),OFFSET($BN$2,0,0,ROW()-1,60),ROW()-1,FALSE))</f>
        <v/>
      </c>
      <c r="AK68" t="str">
        <f ca="1">IF(AND(ISNUMBER($AK$215),$B$156=1),$AK$215,HLOOKUP(INDIRECT(ADDRESS(2,COLUMN())),OFFSET($BN$2,0,0,ROW()-1,60),ROW()-1,FALSE))</f>
        <v/>
      </c>
      <c r="AL68" t="str">
        <f ca="1">IF(AND(ISNUMBER($AL$215),$B$156=1),$AL$215,HLOOKUP(INDIRECT(ADDRESS(2,COLUMN())),OFFSET($BN$2,0,0,ROW()-1,60),ROW()-1,FALSE))</f>
        <v/>
      </c>
      <c r="AM68">
        <f ca="1">IF(AND(ISNUMBER($AM$215),$B$156=1),$AM$215,HLOOKUP(INDIRECT(ADDRESS(2,COLUMN())),OFFSET($BN$2,0,0,ROW()-1,60),ROW()-1,FALSE))</f>
        <v>1874</v>
      </c>
      <c r="AN68" t="str">
        <f ca="1">IF(AND(ISNUMBER($AN$215),$B$156=1),$AN$215,HLOOKUP(INDIRECT(ADDRESS(2,COLUMN())),OFFSET($BN$2,0,0,ROW()-1,60),ROW()-1,FALSE))</f>
        <v/>
      </c>
      <c r="AO68" t="str">
        <f ca="1">IF(AND(ISNUMBER($AO$215),$B$156=1),$AO$215,HLOOKUP(INDIRECT(ADDRESS(2,COLUMN())),OFFSET($BN$2,0,0,ROW()-1,60),ROW()-1,FALSE))</f>
        <v/>
      </c>
      <c r="AP68" t="str">
        <f ca="1">IF(AND(ISNUMBER($AP$215),$B$156=1),$AP$215,HLOOKUP(INDIRECT(ADDRESS(2,COLUMN())),OFFSET($BN$2,0,0,ROW()-1,60),ROW()-1,FALSE))</f>
        <v/>
      </c>
      <c r="AQ68">
        <f ca="1">IF(AND(ISNUMBER($AQ$215),$B$156=1),$AQ$215,HLOOKUP(INDIRECT(ADDRESS(2,COLUMN())),OFFSET($BN$2,0,0,ROW()-1,60),ROW()-1,FALSE))</f>
        <v>2083</v>
      </c>
      <c r="AR68" t="str">
        <f ca="1">IF(AND(ISNUMBER($AR$215),$B$156=1),$AR$215,HLOOKUP(INDIRECT(ADDRESS(2,COLUMN())),OFFSET($BN$2,0,0,ROW()-1,60),ROW()-1,FALSE))</f>
        <v/>
      </c>
      <c r="AS68" t="str">
        <f ca="1">IF(AND(ISNUMBER($AS$215),$B$156=1),$AS$215,HLOOKUP(INDIRECT(ADDRESS(2,COLUMN())),OFFSET($BN$2,0,0,ROW()-1,60),ROW()-1,FALSE))</f>
        <v/>
      </c>
      <c r="AT68" t="str">
        <f ca="1">IF(AND(ISNUMBER($AT$215),$B$156=1),$AT$215,HLOOKUP(INDIRECT(ADDRESS(2,COLUMN())),OFFSET($BN$2,0,0,ROW()-1,60),ROW()-1,FALSE))</f>
        <v/>
      </c>
      <c r="AU68">
        <f ca="1">IF(AND(ISNUMBER($AU$215),$B$156=1),$AU$215,HLOOKUP(INDIRECT(ADDRESS(2,COLUMN())),OFFSET($BN$2,0,0,ROW()-1,60),ROW()-1,FALSE))</f>
        <v>3506</v>
      </c>
      <c r="AV68" t="str">
        <f ca="1">IF(AND(ISNUMBER($AV$215),$B$156=1),$AV$215,HLOOKUP(INDIRECT(ADDRESS(2,COLUMN())),OFFSET($BN$2,0,0,ROW()-1,60),ROW()-1,FALSE))</f>
        <v/>
      </c>
      <c r="AW68" t="str">
        <f ca="1">IF(AND(ISNUMBER($AW$215),$B$156=1),$AW$215,HLOOKUP(INDIRECT(ADDRESS(2,COLUMN())),OFFSET($BN$2,0,0,ROW()-1,60),ROW()-1,FALSE))</f>
        <v/>
      </c>
      <c r="AX68" t="str">
        <f ca="1">IF(AND(ISNUMBER($AX$215),$B$156=1),$AX$215,HLOOKUP(INDIRECT(ADDRESS(2,COLUMN())),OFFSET($BN$2,0,0,ROW()-1,60),ROW()-1,FALSE))</f>
        <v/>
      </c>
      <c r="AY68">
        <f ca="1">IF(AND(ISNUMBER($AY$215),$B$156=1),$AY$215,HLOOKUP(INDIRECT(ADDRESS(2,COLUMN())),OFFSET($BN$2,0,0,ROW()-1,60),ROW()-1,FALSE))</f>
        <v>3349</v>
      </c>
      <c r="AZ68" t="str">
        <f ca="1">IF(AND(ISNUMBER($AZ$215),$B$156=1),$AZ$215,HLOOKUP(INDIRECT(ADDRESS(2,COLUMN())),OFFSET($BN$2,0,0,ROW()-1,60),ROW()-1,FALSE))</f>
        <v/>
      </c>
      <c r="BA68" t="str">
        <f ca="1">IF(AND(ISNUMBER($BA$215),$B$156=1),$BA$215,HLOOKUP(INDIRECT(ADDRESS(2,COLUMN())),OFFSET($BN$2,0,0,ROW()-1,60),ROW()-1,FALSE))</f>
        <v/>
      </c>
      <c r="BB68" t="str">
        <f ca="1">IF(AND(ISNUMBER($BB$215),$B$156=1),$BB$215,HLOOKUP(INDIRECT(ADDRESS(2,COLUMN())),OFFSET($BN$2,0,0,ROW()-1,60),ROW()-1,FALSE))</f>
        <v/>
      </c>
      <c r="BC68">
        <f ca="1">IF(AND(ISNUMBER($BC$215),$B$156=1),$BC$215,HLOOKUP(INDIRECT(ADDRESS(2,COLUMN())),OFFSET($BN$2,0,0,ROW()-1,60),ROW()-1,FALSE))</f>
        <v>2446</v>
      </c>
      <c r="BD68" t="str">
        <f ca="1">IF(AND(ISNUMBER($BD$215),$B$156=1),$BD$215,HLOOKUP(INDIRECT(ADDRESS(2,COLUMN())),OFFSET($BN$2,0,0,ROW()-1,60),ROW()-1,FALSE))</f>
        <v/>
      </c>
      <c r="BE68" t="str">
        <f ca="1">IF(AND(ISNUMBER($BE$215),$B$156=1),$BE$215,HLOOKUP(INDIRECT(ADDRESS(2,COLUMN())),OFFSET($BN$2,0,0,ROW()-1,60),ROW()-1,FALSE))</f>
        <v/>
      </c>
      <c r="BF68" t="str">
        <f ca="1">IF(AND(ISNUMBER($BF$215),$B$156=1),$BF$215,HLOOKUP(INDIRECT(ADDRESS(2,COLUMN())),OFFSET($BN$2,0,0,ROW()-1,60),ROW()-1,FALSE))</f>
        <v/>
      </c>
      <c r="BG68">
        <f ca="1">IF(AND(ISNUMBER($BG$215),$B$156=1),$BG$215,HLOOKUP(INDIRECT(ADDRESS(2,COLUMN())),OFFSET($BN$2,0,0,ROW()-1,60),ROW()-1,FALSE))</f>
        <v>2690</v>
      </c>
      <c r="BH68" t="str">
        <f ca="1">IF(AND(ISNUMBER($BH$215),$B$156=1),$BH$215,HLOOKUP(INDIRECT(ADDRESS(2,COLUMN())),OFFSET($BN$2,0,0,ROW()-1,60),ROW()-1,FALSE))</f>
        <v/>
      </c>
      <c r="BI68" t="str">
        <f ca="1">IF(AND(ISNUMBER($BI$215),$B$156=1),$BI$215,HLOOKUP(INDIRECT(ADDRESS(2,COLUMN())),OFFSET($BN$2,0,0,ROW()-1,60),ROW()-1,FALSE))</f>
        <v/>
      </c>
      <c r="BJ68" t="str">
        <f ca="1">IF(AND(ISNUMBER($BJ$215),$B$156=1),$BJ$215,HLOOKUP(INDIRECT(ADDRESS(2,COLUMN())),OFFSET($BN$2,0,0,ROW()-1,60),ROW()-1,FALSE))</f>
        <v/>
      </c>
      <c r="BK68">
        <f ca="1">IF(AND(ISNUMBER($BK$215),$B$156=1),$BK$215,HLOOKUP(INDIRECT(ADDRESS(2,COLUMN())),OFFSET($BN$2,0,0,ROW()-1,60),ROW()-1,FALSE))</f>
        <v>2416</v>
      </c>
      <c r="BL68" t="str">
        <f ca="1">IF(AND(ISNUMBER($BL$215),$B$156=1),$BL$215,HLOOKUP(INDIRECT(ADDRESS(2,COLUMN())),OFFSET($BN$2,0,0,ROW()-1,60),ROW()-1,FALSE))</f>
        <v/>
      </c>
      <c r="BM68" t="str">
        <f ca="1">IF(AND(ISNUMBER($BM$215),$B$156=1),$BM$215,HLOOKUP(INDIRECT(ADDRESS(2,COLUMN())),OFFSET($BN$2,0,0,ROW()-1,60),ROW()-1,FALSE))</f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  <c r="BT68" t="str">
        <f>""</f>
        <v/>
      </c>
      <c r="BU68" t="str">
        <f>""</f>
        <v/>
      </c>
      <c r="BV68" t="str">
        <f>""</f>
        <v/>
      </c>
      <c r="BW68" t="str">
        <f>""</f>
        <v/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  <c r="CH68" t="str">
        <f>""</f>
        <v/>
      </c>
      <c r="CI68">
        <f>2631</f>
        <v>2631</v>
      </c>
      <c r="CJ68" t="str">
        <f>""</f>
        <v/>
      </c>
      <c r="CK68" t="str">
        <f>""</f>
        <v/>
      </c>
      <c r="CL68" t="str">
        <f>""</f>
        <v/>
      </c>
      <c r="CM68">
        <f>2297</f>
        <v>2297</v>
      </c>
      <c r="CN68" t="str">
        <f>""</f>
        <v/>
      </c>
      <c r="CO68" t="str">
        <f>""</f>
        <v/>
      </c>
      <c r="CP68" t="str">
        <f>""</f>
        <v/>
      </c>
      <c r="CQ68">
        <f>1762</f>
        <v>1762</v>
      </c>
      <c r="CR68" t="str">
        <f>""</f>
        <v/>
      </c>
      <c r="CS68" t="str">
        <f>""</f>
        <v/>
      </c>
      <c r="CT68" t="str">
        <f>""</f>
        <v/>
      </c>
      <c r="CU68">
        <f>1874</f>
        <v>1874</v>
      </c>
      <c r="CV68" t="str">
        <f>""</f>
        <v/>
      </c>
      <c r="CW68" t="str">
        <f>""</f>
        <v/>
      </c>
      <c r="CX68" t="str">
        <f>""</f>
        <v/>
      </c>
      <c r="CY68">
        <f>2083</f>
        <v>2083</v>
      </c>
      <c r="CZ68" t="str">
        <f>""</f>
        <v/>
      </c>
      <c r="DA68" t="str">
        <f>""</f>
        <v/>
      </c>
      <c r="DB68" t="str">
        <f>""</f>
        <v/>
      </c>
      <c r="DC68">
        <f>3506</f>
        <v>3506</v>
      </c>
      <c r="DD68" t="str">
        <f>""</f>
        <v/>
      </c>
      <c r="DE68" t="str">
        <f>""</f>
        <v/>
      </c>
      <c r="DF68" t="str">
        <f>""</f>
        <v/>
      </c>
      <c r="DG68">
        <f>3349</f>
        <v>3349</v>
      </c>
      <c r="DH68" t="str">
        <f>""</f>
        <v/>
      </c>
      <c r="DI68" t="str">
        <f>""</f>
        <v/>
      </c>
      <c r="DJ68" t="str">
        <f>""</f>
        <v/>
      </c>
      <c r="DK68">
        <f>2446</f>
        <v>2446</v>
      </c>
      <c r="DL68" t="str">
        <f>""</f>
        <v/>
      </c>
      <c r="DM68" t="str">
        <f>""</f>
        <v/>
      </c>
      <c r="DN68" t="str">
        <f>""</f>
        <v/>
      </c>
      <c r="DO68">
        <f>2690</f>
        <v>2690</v>
      </c>
      <c r="DP68" t="str">
        <f>""</f>
        <v/>
      </c>
      <c r="DQ68" t="str">
        <f>""</f>
        <v/>
      </c>
      <c r="DR68" t="str">
        <f>""</f>
        <v/>
      </c>
      <c r="DS68">
        <f>2416</f>
        <v>2416</v>
      </c>
      <c r="DT68" t="str">
        <f>""</f>
        <v/>
      </c>
      <c r="DU68" t="str">
        <f>""</f>
        <v/>
      </c>
    </row>
    <row r="69" spans="1:125" x14ac:dyDescent="0.25">
      <c r="A69" t="str">
        <f>"        Kenya"</f>
        <v xml:space="preserve">        Kenya</v>
      </c>
      <c r="B69" t="str">
        <f>"KNNVREG Index"</f>
        <v>KNNVREG Index</v>
      </c>
      <c r="C69" t="str">
        <f>"PX385"</f>
        <v>PX385</v>
      </c>
      <c r="D69" t="str">
        <f>"INTERVAL_SUM"</f>
        <v>INTERVAL_SUM</v>
      </c>
      <c r="E69" t="str">
        <f>"Dynamic"</f>
        <v>Dynamic</v>
      </c>
      <c r="F69" t="str">
        <f ca="1">IF(AND(ISNUMBER($F$216),$B$156=1),$F$216,HLOOKUP(INDIRECT(ADDRESS(2,COLUMN())),OFFSET($BN$2,0,0,ROW()-1,60),ROW()-1,FALSE))</f>
        <v/>
      </c>
      <c r="G69">
        <f ca="1">IF(AND(ISNUMBER($G$216),$B$156=1),$G$216,HLOOKUP(INDIRECT(ADDRESS(2,COLUMN())),OFFSET($BN$2,0,0,ROW()-1,60),ROW()-1,FALSE))</f>
        <v>56179</v>
      </c>
      <c r="H69">
        <f ca="1">IF(AND(ISNUMBER($H$216),$B$156=1),$H$216,HLOOKUP(INDIRECT(ADDRESS(2,COLUMN())),OFFSET($BN$2,0,0,ROW()-1,60),ROW()-1,FALSE))</f>
        <v>76015</v>
      </c>
      <c r="I69">
        <f ca="1">IF(AND(ISNUMBER($I$216),$B$156=1),$I$216,HLOOKUP(INDIRECT(ADDRESS(2,COLUMN())),OFFSET($BN$2,0,0,ROW()-1,60),ROW()-1,FALSE))</f>
        <v>66660</v>
      </c>
      <c r="J69">
        <f ca="1">IF(AND(ISNUMBER($J$216),$B$156=1),$J$216,HLOOKUP(INDIRECT(ADDRESS(2,COLUMN())),OFFSET($BN$2,0,0,ROW()-1,60),ROW()-1,FALSE))</f>
        <v>71089</v>
      </c>
      <c r="K69">
        <f ca="1">IF(AND(ISNUMBER($K$216),$B$156=1),$K$216,HLOOKUP(INDIRECT(ADDRESS(2,COLUMN())),OFFSET($BN$2,0,0,ROW()-1,60),ROW()-1,FALSE))</f>
        <v>65107</v>
      </c>
      <c r="L69">
        <f ca="1">IF(AND(ISNUMBER($L$216),$B$156=1),$L$216,HLOOKUP(INDIRECT(ADDRESS(2,COLUMN())),OFFSET($BN$2,0,0,ROW()-1,60),ROW()-1,FALSE))</f>
        <v>72905</v>
      </c>
      <c r="M69">
        <f ca="1">IF(AND(ISNUMBER($M$216),$B$156=1),$M$216,HLOOKUP(INDIRECT(ADDRESS(2,COLUMN())),OFFSET($BN$2,0,0,ROW()-1,60),ROW()-1,FALSE))</f>
        <v>70158</v>
      </c>
      <c r="N69">
        <f ca="1">IF(AND(ISNUMBER($N$216),$B$156=1),$N$216,HLOOKUP(INDIRECT(ADDRESS(2,COLUMN())),OFFSET($BN$2,0,0,ROW()-1,60),ROW()-1,FALSE))</f>
        <v>71089</v>
      </c>
      <c r="O69">
        <f ca="1">IF(AND(ISNUMBER($O$216),$B$156=1),$O$216,HLOOKUP(INDIRECT(ADDRESS(2,COLUMN())),OFFSET($BN$2,0,0,ROW()-1,60),ROW()-1,FALSE))</f>
        <v>67735</v>
      </c>
      <c r="P69">
        <f ca="1">IF(AND(ISNUMBER($P$216),$B$156=1),$P$216,HLOOKUP(INDIRECT(ADDRESS(2,COLUMN())),OFFSET($BN$2,0,0,ROW()-1,60),ROW()-1,FALSE))</f>
        <v>60257</v>
      </c>
      <c r="Q69">
        <f ca="1">IF(AND(ISNUMBER($Q$216),$B$156=1),$Q$216,HLOOKUP(INDIRECT(ADDRESS(2,COLUMN())),OFFSET($BN$2,0,0,ROW()-1,60),ROW()-1,FALSE))</f>
        <v>47982</v>
      </c>
      <c r="R69">
        <f ca="1">IF(AND(ISNUMBER($R$216),$B$156=1),$R$216,HLOOKUP(INDIRECT(ADDRESS(2,COLUMN())),OFFSET($BN$2,0,0,ROW()-1,60),ROW()-1,FALSE))</f>
        <v>37741</v>
      </c>
      <c r="S69">
        <f ca="1">IF(AND(ISNUMBER($S$216),$B$156=1),$S$216,HLOOKUP(INDIRECT(ADDRESS(2,COLUMN())),OFFSET($BN$2,0,0,ROW()-1,60),ROW()-1,FALSE))</f>
        <v>64257</v>
      </c>
      <c r="T69">
        <f ca="1">IF(AND(ISNUMBER($T$216),$B$156=1),$T$216,HLOOKUP(INDIRECT(ADDRESS(2,COLUMN())),OFFSET($BN$2,0,0,ROW()-1,60),ROW()-1,FALSE))</f>
        <v>57094</v>
      </c>
      <c r="U69">
        <f ca="1">IF(AND(ISNUMBER($U$216),$B$156=1),$U$216,HLOOKUP(INDIRECT(ADDRESS(2,COLUMN())),OFFSET($BN$2,0,0,ROW()-1,60),ROW()-1,FALSE))</f>
        <v>68637</v>
      </c>
      <c r="V69">
        <f ca="1">IF(AND(ISNUMBER($V$216),$B$156=1),$V$216,HLOOKUP(INDIRECT(ADDRESS(2,COLUMN())),OFFSET($BN$2,0,0,ROW()-1,60),ROW()-1,FALSE))</f>
        <v>57842</v>
      </c>
      <c r="W69">
        <f ca="1">IF(AND(ISNUMBER($W$216),$B$156=1),$W$216,HLOOKUP(INDIRECT(ADDRESS(2,COLUMN())),OFFSET($BN$2,0,0,ROW()-1,60),ROW()-1,FALSE))</f>
        <v>55048</v>
      </c>
      <c r="X69">
        <f ca="1">IF(AND(ISNUMBER($X$216),$B$156=1),$X$216,HLOOKUP(INDIRECT(ADDRESS(2,COLUMN())),OFFSET($BN$2,0,0,ROW()-1,60),ROW()-1,FALSE))</f>
        <v>73281</v>
      </c>
      <c r="Y69">
        <f ca="1">IF(AND(ISNUMBER($Y$216),$B$156=1),$Y$216,HLOOKUP(INDIRECT(ADDRESS(2,COLUMN())),OFFSET($BN$2,0,0,ROW()-1,60),ROW()-1,FALSE))</f>
        <v>48850</v>
      </c>
      <c r="Z69">
        <f ca="1">IF(AND(ISNUMBER($Z$216),$B$156=1),$Z$216,HLOOKUP(INDIRECT(ADDRESS(2,COLUMN())),OFFSET($BN$2,0,0,ROW()-1,60),ROW()-1,FALSE))</f>
        <v>57842</v>
      </c>
      <c r="AA69">
        <f ca="1">IF(AND(ISNUMBER($AA$216),$B$156=1),$AA$216,HLOOKUP(INDIRECT(ADDRESS(2,COLUMN())),OFFSET($BN$2,0,0,ROW()-1,60),ROW()-1,FALSE))</f>
        <v>44196</v>
      </c>
      <c r="AB69">
        <f ca="1">IF(AND(ISNUMBER($AB$216),$B$156=1),$AB$216,HLOOKUP(INDIRECT(ADDRESS(2,COLUMN())),OFFSET($BN$2,0,0,ROW()-1,60),ROW()-1,FALSE))</f>
        <v>73281</v>
      </c>
      <c r="AC69">
        <f ca="1">IF(AND(ISNUMBER($AC$216),$B$156=1),$AC$216,HLOOKUP(INDIRECT(ADDRESS(2,COLUMN())),OFFSET($BN$2,0,0,ROW()-1,60),ROW()-1,FALSE))</f>
        <v>40909</v>
      </c>
      <c r="AD69">
        <f ca="1">IF(AND(ISNUMBER($AD$216),$B$156=1),$AD$216,HLOOKUP(INDIRECT(ADDRESS(2,COLUMN())),OFFSET($BN$2,0,0,ROW()-1,60),ROW()-1,FALSE))</f>
        <v>48819</v>
      </c>
      <c r="AE69">
        <f ca="1">IF(AND(ISNUMBER($AE$216),$B$156=1),$AE$216,HLOOKUP(INDIRECT(ADDRESS(2,COLUMN())),OFFSET($BN$2,0,0,ROW()-1,60),ROW()-1,FALSE))</f>
        <v>42005</v>
      </c>
      <c r="AF69">
        <f ca="1">IF(AND(ISNUMBER($AF$216),$B$156=1),$AF$216,HLOOKUP(INDIRECT(ADDRESS(2,COLUMN())),OFFSET($BN$2,0,0,ROW()-1,60),ROW()-1,FALSE))</f>
        <v>52196</v>
      </c>
      <c r="AG69">
        <f ca="1">IF(AND(ISNUMBER($AG$216),$B$156=1),$AG$216,HLOOKUP(INDIRECT(ADDRESS(2,COLUMN())),OFFSET($BN$2,0,0,ROW()-1,60),ROW()-1,FALSE))</f>
        <v>68800</v>
      </c>
      <c r="AH69">
        <f ca="1">IF(AND(ISNUMBER($AH$216),$B$156=1),$AH$216,HLOOKUP(INDIRECT(ADDRESS(2,COLUMN())),OFFSET($BN$2,0,0,ROW()-1,60),ROW()-1,FALSE))</f>
        <v>54986</v>
      </c>
      <c r="AI69">
        <f ca="1">IF(AND(ISNUMBER($AI$216),$B$156=1),$AI$216,HLOOKUP(INDIRECT(ADDRESS(2,COLUMN())),OFFSET($BN$2,0,0,ROW()-1,60),ROW()-1,FALSE))</f>
        <v>48648</v>
      </c>
      <c r="AJ69">
        <f ca="1">IF(AND(ISNUMBER($AJ$216),$B$156=1),$AJ$216,HLOOKUP(INDIRECT(ADDRESS(2,COLUMN())),OFFSET($BN$2,0,0,ROW()-1,60),ROW()-1,FALSE))</f>
        <v>54727</v>
      </c>
      <c r="AK69">
        <f ca="1">IF(AND(ISNUMBER($AK$216),$B$156=1),$AK$216,HLOOKUP(INDIRECT(ADDRESS(2,COLUMN())),OFFSET($BN$2,0,0,ROW()-1,60),ROW()-1,FALSE))</f>
        <v>49221</v>
      </c>
      <c r="AL69">
        <f ca="1">IF(AND(ISNUMBER($AL$216),$B$156=1),$AL$216,HLOOKUP(INDIRECT(ADDRESS(2,COLUMN())),OFFSET($BN$2,0,0,ROW()-1,60),ROW()-1,FALSE))</f>
        <v>51492</v>
      </c>
      <c r="AM69">
        <f ca="1">IF(AND(ISNUMBER($AM$216),$B$156=1),$AM$216,HLOOKUP(INDIRECT(ADDRESS(2,COLUMN())),OFFSET($BN$2,0,0,ROW()-1,60),ROW()-1,FALSE))</f>
        <v>55898</v>
      </c>
      <c r="AN69">
        <f ca="1">IF(AND(ISNUMBER($AN$216),$B$156=1),$AN$216,HLOOKUP(INDIRECT(ADDRESS(2,COLUMN())),OFFSET($BN$2,0,0,ROW()-1,60),ROW()-1,FALSE))</f>
        <v>46763</v>
      </c>
      <c r="AO69">
        <f ca="1">IF(AND(ISNUMBER($AO$216),$B$156=1),$AO$216,HLOOKUP(INDIRECT(ADDRESS(2,COLUMN())),OFFSET($BN$2,0,0,ROW()-1,60),ROW()-1,FALSE))</f>
        <v>45950</v>
      </c>
      <c r="AP69">
        <f ca="1">IF(AND(ISNUMBER($AP$216),$B$156=1),$AP$216,HLOOKUP(INDIRECT(ADDRESS(2,COLUMN())),OFFSET($BN$2,0,0,ROW()-1,60),ROW()-1,FALSE))</f>
        <v>47838</v>
      </c>
      <c r="AQ69">
        <f ca="1">IF(AND(ISNUMBER($AQ$216),$B$156=1),$AQ$216,HLOOKUP(INDIRECT(ADDRESS(2,COLUMN())),OFFSET($BN$2,0,0,ROW()-1,60),ROW()-1,FALSE))</f>
        <v>46138</v>
      </c>
      <c r="AR69">
        <f ca="1">IF(AND(ISNUMBER($AR$216),$B$156=1),$AR$216,HLOOKUP(INDIRECT(ADDRESS(2,COLUMN())),OFFSET($BN$2,0,0,ROW()-1,60),ROW()-1,FALSE))</f>
        <v>34353</v>
      </c>
      <c r="AS69">
        <f ca="1">IF(AND(ISNUMBER($AS$216),$B$156=1),$AS$216,HLOOKUP(INDIRECT(ADDRESS(2,COLUMN())),OFFSET($BN$2,0,0,ROW()-1,60),ROW()-1,FALSE))</f>
        <v>44124</v>
      </c>
      <c r="AT69">
        <f ca="1">IF(AND(ISNUMBER($AT$216),$B$156=1),$AT$216,HLOOKUP(INDIRECT(ADDRESS(2,COLUMN())),OFFSET($BN$2,0,0,ROW()-1,60),ROW()-1,FALSE))</f>
        <v>39436</v>
      </c>
      <c r="AU69">
        <f ca="1">IF(AND(ISNUMBER($AU$216),$B$156=1),$AU$216,HLOOKUP(INDIRECT(ADDRESS(2,COLUMN())),OFFSET($BN$2,0,0,ROW()-1,60),ROW()-1,FALSE))</f>
        <v>37325</v>
      </c>
      <c r="AV69">
        <f ca="1">IF(AND(ISNUMBER($AV$216),$B$156=1),$AV$216,HLOOKUP(INDIRECT(ADDRESS(2,COLUMN())),OFFSET($BN$2,0,0,ROW()-1,60),ROW()-1,FALSE))</f>
        <v>35665</v>
      </c>
      <c r="AW69">
        <f ca="1">IF(AND(ISNUMBER($AW$216),$B$156=1),$AW$216,HLOOKUP(INDIRECT(ADDRESS(2,COLUMN())),OFFSET($BN$2,0,0,ROW()-1,60),ROW()-1,FALSE))</f>
        <v>27976</v>
      </c>
      <c r="AX69">
        <f ca="1">IF(AND(ISNUMBER($AX$216),$B$156=1),$AX$216,HLOOKUP(INDIRECT(ADDRESS(2,COLUMN())),OFFSET($BN$2,0,0,ROW()-1,60),ROW()-1,FALSE))</f>
        <v>20865</v>
      </c>
      <c r="AY69">
        <f ca="1">IF(AND(ISNUMBER($AY$216),$B$156=1),$AY$216,HLOOKUP(INDIRECT(ADDRESS(2,COLUMN())),OFFSET($BN$2,0,0,ROW()-1,60),ROW()-1,FALSE))</f>
        <v>23760</v>
      </c>
      <c r="AZ69">
        <f ca="1">IF(AND(ISNUMBER($AZ$216),$B$156=1),$AZ$216,HLOOKUP(INDIRECT(ADDRESS(2,COLUMN())),OFFSET($BN$2,0,0,ROW()-1,60),ROW()-1,FALSE))</f>
        <v>23484</v>
      </c>
      <c r="BA69">
        <f ca="1">IF(AND(ISNUMBER($BA$216),$B$156=1),$BA$216,HLOOKUP(INDIRECT(ADDRESS(2,COLUMN())),OFFSET($BN$2,0,0,ROW()-1,60),ROW()-1,FALSE))</f>
        <v>20376</v>
      </c>
      <c r="BB69">
        <f ca="1">IF(AND(ISNUMBER($BB$216),$B$156=1),$BB$216,HLOOKUP(INDIRECT(ADDRESS(2,COLUMN())),OFFSET($BN$2,0,0,ROW()-1,60),ROW()-1,FALSE))</f>
        <v>17704</v>
      </c>
      <c r="BC69">
        <f ca="1">IF(AND(ISNUMBER($BC$216),$B$156=1),$BC$216,HLOOKUP(INDIRECT(ADDRESS(2,COLUMN())),OFFSET($BN$2,0,0,ROW()-1,60),ROW()-1,FALSE))</f>
        <v>15175</v>
      </c>
      <c r="BD69">
        <f ca="1">IF(AND(ISNUMBER($BD$216),$B$156=1),$BD$216,HLOOKUP(INDIRECT(ADDRESS(2,COLUMN())),OFFSET($BN$2,0,0,ROW()-1,60),ROW()-1,FALSE))</f>
        <v>15062</v>
      </c>
      <c r="BE69">
        <f ca="1">IF(AND(ISNUMBER($BE$216),$B$156=1),$BE$216,HLOOKUP(INDIRECT(ADDRESS(2,COLUMN())),OFFSET($BN$2,0,0,ROW()-1,60),ROW()-1,FALSE))</f>
        <v>9730</v>
      </c>
      <c r="BF69">
        <f ca="1">IF(AND(ISNUMBER($BF$216),$B$156=1),$BF$216,HLOOKUP(INDIRECT(ADDRESS(2,COLUMN())),OFFSET($BN$2,0,0,ROW()-1,60),ROW()-1,FALSE))</f>
        <v>12850</v>
      </c>
      <c r="BG69">
        <f ca="1">IF(AND(ISNUMBER($BG$216),$B$156=1),$BG$216,HLOOKUP(INDIRECT(ADDRESS(2,COLUMN())),OFFSET($BN$2,0,0,ROW()-1,60),ROW()-1,FALSE))</f>
        <v>11377</v>
      </c>
      <c r="BH69">
        <f ca="1">IF(AND(ISNUMBER($BH$216),$B$156=1),$BH$216,HLOOKUP(INDIRECT(ADDRESS(2,COLUMN())),OFFSET($BN$2,0,0,ROW()-1,60),ROW()-1,FALSE))</f>
        <v>8272</v>
      </c>
      <c r="BI69" t="str">
        <f ca="1">IF(AND(ISNUMBER($BI$216),$B$156=1),$BI$216,HLOOKUP(INDIRECT(ADDRESS(2,COLUMN())),OFFSET($BN$2,0,0,ROW()-1,60),ROW()-1,FALSE))</f>
        <v/>
      </c>
      <c r="BJ69" t="str">
        <f ca="1">IF(AND(ISNUMBER($BJ$216),$B$156=1),$BJ$216,HLOOKUP(INDIRECT(ADDRESS(2,COLUMN())),OFFSET($BN$2,0,0,ROW()-1,60),ROW()-1,FALSE))</f>
        <v/>
      </c>
      <c r="BK69" t="str">
        <f ca="1">IF(AND(ISNUMBER($BK$216),$B$156=1),$BK$216,HLOOKUP(INDIRECT(ADDRESS(2,COLUMN())),OFFSET($BN$2,0,0,ROW()-1,60),ROW()-1,FALSE))</f>
        <v/>
      </c>
      <c r="BL69" t="str">
        <f ca="1">IF(AND(ISNUMBER($BL$216),$B$156=1),$BL$216,HLOOKUP(INDIRECT(ADDRESS(2,COLUMN())),OFFSET($BN$2,0,0,ROW()-1,60),ROW()-1,FALSE))</f>
        <v/>
      </c>
      <c r="BM69" t="str">
        <f ca="1">IF(AND(ISNUMBER($BM$216),$B$156=1),$BM$216,HLOOKUP(INDIRECT(ADDRESS(2,COLUMN())),OFFSET($BN$2,0,0,ROW()-1,60),ROW()-1,FALSE))</f>
        <v/>
      </c>
      <c r="BN69" t="str">
        <f>""</f>
        <v/>
      </c>
      <c r="BO69">
        <f>56179</f>
        <v>56179</v>
      </c>
      <c r="BP69">
        <f>76015</f>
        <v>76015</v>
      </c>
      <c r="BQ69">
        <f>66660</f>
        <v>66660</v>
      </c>
      <c r="BR69">
        <f>71089</f>
        <v>71089</v>
      </c>
      <c r="BS69">
        <f>65107</f>
        <v>65107</v>
      </c>
      <c r="BT69">
        <f>72905</f>
        <v>72905</v>
      </c>
      <c r="BU69">
        <f>70158</f>
        <v>70158</v>
      </c>
      <c r="BV69">
        <f>71089</f>
        <v>71089</v>
      </c>
      <c r="BW69">
        <f>67735</f>
        <v>67735</v>
      </c>
      <c r="BX69">
        <f>60257</f>
        <v>60257</v>
      </c>
      <c r="BY69">
        <f>47982</f>
        <v>47982</v>
      </c>
      <c r="BZ69">
        <f>37741</f>
        <v>37741</v>
      </c>
      <c r="CA69">
        <f>64257</f>
        <v>64257</v>
      </c>
      <c r="CB69">
        <f>57094</f>
        <v>57094</v>
      </c>
      <c r="CC69">
        <f>68637</f>
        <v>68637</v>
      </c>
      <c r="CD69">
        <f>57842</f>
        <v>57842</v>
      </c>
      <c r="CE69">
        <f>55048</f>
        <v>55048</v>
      </c>
      <c r="CF69">
        <f>73281</f>
        <v>73281</v>
      </c>
      <c r="CG69">
        <f>48850</f>
        <v>48850</v>
      </c>
      <c r="CH69">
        <f>57842</f>
        <v>57842</v>
      </c>
      <c r="CI69">
        <f>44196</f>
        <v>44196</v>
      </c>
      <c r="CJ69">
        <f>73281</f>
        <v>73281</v>
      </c>
      <c r="CK69">
        <f>40909</f>
        <v>40909</v>
      </c>
      <c r="CL69">
        <f>48819</f>
        <v>48819</v>
      </c>
      <c r="CM69">
        <f>42005</f>
        <v>42005</v>
      </c>
      <c r="CN69">
        <f>52196</f>
        <v>52196</v>
      </c>
      <c r="CO69">
        <f>68800</f>
        <v>68800</v>
      </c>
      <c r="CP69">
        <f>54986</f>
        <v>54986</v>
      </c>
      <c r="CQ69">
        <f>48648</f>
        <v>48648</v>
      </c>
      <c r="CR69">
        <f>54727</f>
        <v>54727</v>
      </c>
      <c r="CS69">
        <f>49221</f>
        <v>49221</v>
      </c>
      <c r="CT69">
        <f>51492</f>
        <v>51492</v>
      </c>
      <c r="CU69">
        <f>55898</f>
        <v>55898</v>
      </c>
      <c r="CV69">
        <f>46763</f>
        <v>46763</v>
      </c>
      <c r="CW69">
        <f>45950</f>
        <v>45950</v>
      </c>
      <c r="CX69">
        <f>47838</f>
        <v>47838</v>
      </c>
      <c r="CY69">
        <f>46138</f>
        <v>46138</v>
      </c>
      <c r="CZ69">
        <f>34353</f>
        <v>34353</v>
      </c>
      <c r="DA69">
        <f>44124</f>
        <v>44124</v>
      </c>
      <c r="DB69">
        <f>39436</f>
        <v>39436</v>
      </c>
      <c r="DC69">
        <f>37325</f>
        <v>37325</v>
      </c>
      <c r="DD69">
        <f>35665</f>
        <v>35665</v>
      </c>
      <c r="DE69">
        <f>27976</f>
        <v>27976</v>
      </c>
      <c r="DF69">
        <f>20865</f>
        <v>20865</v>
      </c>
      <c r="DG69">
        <f>23760</f>
        <v>23760</v>
      </c>
      <c r="DH69">
        <f>23484</f>
        <v>23484</v>
      </c>
      <c r="DI69">
        <f>20376</f>
        <v>20376</v>
      </c>
      <c r="DJ69">
        <f>17704</f>
        <v>17704</v>
      </c>
      <c r="DK69">
        <f>15175</f>
        <v>15175</v>
      </c>
      <c r="DL69">
        <f>15062</f>
        <v>15062</v>
      </c>
      <c r="DM69">
        <f>9730</f>
        <v>9730</v>
      </c>
      <c r="DN69">
        <f>12850</f>
        <v>12850</v>
      </c>
      <c r="DO69">
        <f>11377</f>
        <v>11377</v>
      </c>
      <c r="DP69">
        <f>8272</f>
        <v>8272</v>
      </c>
      <c r="DQ69" t="str">
        <f>""</f>
        <v/>
      </c>
      <c r="DR69" t="str">
        <f>""</f>
        <v/>
      </c>
      <c r="DS69" t="str">
        <f>""</f>
        <v/>
      </c>
      <c r="DT69" t="str">
        <f>""</f>
        <v/>
      </c>
      <c r="DU69" t="str">
        <f>""</f>
        <v/>
      </c>
    </row>
    <row r="70" spans="1:125" x14ac:dyDescent="0.25">
      <c r="A70" t="str">
        <f>"        South Africa"</f>
        <v xml:space="preserve">        South Africa</v>
      </c>
      <c r="B70" t="str">
        <f>"NAAMCARS Index"</f>
        <v>NAAMCARS Index</v>
      </c>
      <c r="C70" t="str">
        <f>"PX385"</f>
        <v>PX385</v>
      </c>
      <c r="D70" t="str">
        <f>"INTERVAL_SUM"</f>
        <v>INTERVAL_SUM</v>
      </c>
      <c r="E70" t="str">
        <f>"Dynamic"</f>
        <v>Dynamic</v>
      </c>
      <c r="F70">
        <f ca="1">IF(AND(ISNUMBER($F$217),$B$156=1),$F$217,HLOOKUP(INDIRECT(ADDRESS(2,COLUMN())),OFFSET($BN$2,0,0,ROW()-1,60),ROW()-1,FALSE))</f>
        <v>29040</v>
      </c>
      <c r="G70">
        <f ca="1">IF(AND(ISNUMBER($G$217),$B$156=1),$G$217,HLOOKUP(INDIRECT(ADDRESS(2,COLUMN())),OFFSET($BN$2,0,0,ROW()-1,60),ROW()-1,FALSE))</f>
        <v>91620</v>
      </c>
      <c r="H70">
        <f ca="1">IF(AND(ISNUMBER($H$217),$B$156=1),$H$217,HLOOKUP(INDIRECT(ADDRESS(2,COLUMN())),OFFSET($BN$2,0,0,ROW()-1,60),ROW()-1,FALSE))</f>
        <v>93357</v>
      </c>
      <c r="I70">
        <f ca="1">IF(AND(ISNUMBER($I$217),$B$156=1),$I$217,HLOOKUP(INDIRECT(ADDRESS(2,COLUMN())),OFFSET($BN$2,0,0,ROW()-1,60),ROW()-1,FALSE))</f>
        <v>79442</v>
      </c>
      <c r="J70">
        <f ca="1">IF(AND(ISNUMBER($J$217),$B$156=1),$J$217,HLOOKUP(INDIRECT(ADDRESS(2,COLUMN())),OFFSET($BN$2,0,0,ROW()-1,60),ROW()-1,FALSE))</f>
        <v>94530</v>
      </c>
      <c r="K70">
        <f ca="1">IF(AND(ISNUMBER($K$217),$B$156=1),$K$217,HLOOKUP(INDIRECT(ADDRESS(2,COLUMN())),OFFSET($BN$2,0,0,ROW()-1,60),ROW()-1,FALSE))</f>
        <v>92123</v>
      </c>
      <c r="L70">
        <f ca="1">IF(AND(ISNUMBER($L$217),$B$156=1),$L$217,HLOOKUP(INDIRECT(ADDRESS(2,COLUMN())),OFFSET($BN$2,0,0,ROW()-1,60),ROW()-1,FALSE))</f>
        <v>92872</v>
      </c>
      <c r="M70">
        <f ca="1">IF(AND(ISNUMBER($M$217),$B$156=1),$M$217,HLOOKUP(INDIRECT(ADDRESS(2,COLUMN())),OFFSET($BN$2,0,0,ROW()-1,60),ROW()-1,FALSE))</f>
        <v>62475</v>
      </c>
      <c r="N70">
        <f ca="1">IF(AND(ISNUMBER($N$217),$B$156=1),$N$217,HLOOKUP(INDIRECT(ADDRESS(2,COLUMN())),OFFSET($BN$2,0,0,ROW()-1,60),ROW()-1,FALSE))</f>
        <v>91531</v>
      </c>
      <c r="O70">
        <f ca="1">IF(AND(ISNUMBER($O$217),$B$156=1),$O$217,HLOOKUP(INDIRECT(ADDRESS(2,COLUMN())),OFFSET($BN$2,0,0,ROW()-1,60),ROW()-1,FALSE))</f>
        <v>77568</v>
      </c>
      <c r="P70">
        <f ca="1">IF(AND(ISNUMBER($P$217),$B$156=1),$P$217,HLOOKUP(INDIRECT(ADDRESS(2,COLUMN())),OFFSET($BN$2,0,0,ROW()-1,60),ROW()-1,FALSE))</f>
        <v>78301</v>
      </c>
      <c r="Q70">
        <f ca="1">IF(AND(ISNUMBER($Q$217),$B$156=1),$Q$217,HLOOKUP(INDIRECT(ADDRESS(2,COLUMN())),OFFSET($BN$2,0,0,ROW()-1,60),ROW()-1,FALSE))</f>
        <v>76934</v>
      </c>
      <c r="R70">
        <f ca="1">IF(AND(ISNUMBER($R$217),$B$156=1),$R$217,HLOOKUP(INDIRECT(ADDRESS(2,COLUMN())),OFFSET($BN$2,0,0,ROW()-1,60),ROW()-1,FALSE))</f>
        <v>86517</v>
      </c>
      <c r="S70">
        <f ca="1">IF(AND(ISNUMBER($S$217),$B$156=1),$S$217,HLOOKUP(INDIRECT(ADDRESS(2,COLUMN())),OFFSET($BN$2,0,0,ROW()-1,60),ROW()-1,FALSE))</f>
        <v>91495</v>
      </c>
      <c r="T70">
        <f ca="1">IF(AND(ISNUMBER($T$217),$B$156=1),$T$217,HLOOKUP(INDIRECT(ADDRESS(2,COLUMN())),OFFSET($BN$2,0,0,ROW()-1,60),ROW()-1,FALSE))</f>
        <v>94611</v>
      </c>
      <c r="U70">
        <f ca="1">IF(AND(ISNUMBER($U$217),$B$156=1),$U$217,HLOOKUP(INDIRECT(ADDRESS(2,COLUMN())),OFFSET($BN$2,0,0,ROW()-1,60),ROW()-1,FALSE))</f>
        <v>94107</v>
      </c>
      <c r="V70">
        <f ca="1">IF(AND(ISNUMBER($V$217),$B$156=1),$V$217,HLOOKUP(INDIRECT(ADDRESS(2,COLUMN())),OFFSET($BN$2,0,0,ROW()-1,60),ROW()-1,FALSE))</f>
        <v>107338</v>
      </c>
      <c r="W70">
        <f ca="1">IF(AND(ISNUMBER($W$217),$B$156=1),$W$217,HLOOKUP(INDIRECT(ADDRESS(2,COLUMN())),OFFSET($BN$2,0,0,ROW()-1,60),ROW()-1,FALSE))</f>
        <v>109866</v>
      </c>
      <c r="X70">
        <f ca="1">IF(AND(ISNUMBER($X$217),$B$156=1),$X$217,HLOOKUP(INDIRECT(ADDRESS(2,COLUMN())),OFFSET($BN$2,0,0,ROW()-1,60),ROW()-1,FALSE))</f>
        <v>120795</v>
      </c>
      <c r="Y70">
        <f ca="1">IF(AND(ISNUMBER($Y$217),$B$156=1),$Y$217,HLOOKUP(INDIRECT(ADDRESS(2,COLUMN())),OFFSET($BN$2,0,0,ROW()-1,60),ROW()-1,FALSE))</f>
        <v>99221</v>
      </c>
      <c r="Z70">
        <f ca="1">IF(AND(ISNUMBER($Z$217),$B$156=1),$Z$217,HLOOKUP(INDIRECT(ADDRESS(2,COLUMN())),OFFSET($BN$2,0,0,ROW()-1,60),ROW()-1,FALSE))</f>
        <v>109164</v>
      </c>
      <c r="AA70">
        <f ca="1">IF(AND(ISNUMBER($AA$217),$B$156=1),$AA$217,HLOOKUP(INDIRECT(ADDRESS(2,COLUMN())),OFFSET($BN$2,0,0,ROW()-1,60),ROW()-1,FALSE))</f>
        <v>107264</v>
      </c>
      <c r="AB70">
        <f ca="1">IF(AND(ISNUMBER($AB$217),$B$156=1),$AB$217,HLOOKUP(INDIRECT(ADDRESS(2,COLUMN())),OFFSET($BN$2,0,0,ROW()-1,60),ROW()-1,FALSE))</f>
        <v>119395</v>
      </c>
      <c r="AC70">
        <f ca="1">IF(AND(ISNUMBER($AC$217),$B$156=1),$AC$217,HLOOKUP(INDIRECT(ADDRESS(2,COLUMN())),OFFSET($BN$2,0,0,ROW()-1,60),ROW()-1,FALSE))</f>
        <v>108937</v>
      </c>
      <c r="AD70">
        <f ca="1">IF(AND(ISNUMBER($AD$217),$B$156=1),$AD$217,HLOOKUP(INDIRECT(ADDRESS(2,COLUMN())),OFFSET($BN$2,0,0,ROW()-1,60),ROW()-1,FALSE))</f>
        <v>114870</v>
      </c>
      <c r="AE70">
        <f ca="1">IF(AND(ISNUMBER($AE$217),$B$156=1),$AE$217,HLOOKUP(INDIRECT(ADDRESS(2,COLUMN())),OFFSET($BN$2,0,0,ROW()-1,60),ROW()-1,FALSE))</f>
        <v>98974</v>
      </c>
      <c r="AF70">
        <f ca="1">IF(AND(ISNUMBER($AF$217),$B$156=1),$AF$217,HLOOKUP(INDIRECT(ADDRESS(2,COLUMN())),OFFSET($BN$2,0,0,ROW()-1,60),ROW()-1,FALSE))</f>
        <v>98319</v>
      </c>
      <c r="AG70">
        <f ca="1">IF(AND(ISNUMBER($AG$217),$B$156=1),$AG$217,HLOOKUP(INDIRECT(ADDRESS(2,COLUMN())),OFFSET($BN$2,0,0,ROW()-1,60),ROW()-1,FALSE))</f>
        <v>81842</v>
      </c>
      <c r="AH70">
        <f ca="1">IF(AND(ISNUMBER($AH$217),$B$156=1),$AH$217,HLOOKUP(INDIRECT(ADDRESS(2,COLUMN())),OFFSET($BN$2,0,0,ROW()-1,60),ROW()-1,FALSE))</f>
        <v>90379</v>
      </c>
      <c r="AI70">
        <f ca="1">IF(AND(ISNUMBER($AI$217),$B$156=1),$AI$217,HLOOKUP(INDIRECT(ADDRESS(2,COLUMN())),OFFSET($BN$2,0,0,ROW()-1,60),ROW()-1,FALSE))</f>
        <v>82299</v>
      </c>
      <c r="AJ70">
        <f ca="1">IF(AND(ISNUMBER($AJ$217),$B$156=1),$AJ$217,HLOOKUP(INDIRECT(ADDRESS(2,COLUMN())),OFFSET($BN$2,0,0,ROW()-1,60),ROW()-1,FALSE))</f>
        <v>88481</v>
      </c>
      <c r="AK70">
        <f ca="1">IF(AND(ISNUMBER($AK$217),$B$156=1),$AK$217,HLOOKUP(INDIRECT(ADDRESS(2,COLUMN())),OFFSET($BN$2,0,0,ROW()-1,60),ROW()-1,FALSE))</f>
        <v>73213</v>
      </c>
      <c r="AL70">
        <f ca="1">IF(AND(ISNUMBER($AL$217),$B$156=1),$AL$217,HLOOKUP(INDIRECT(ADDRESS(2,COLUMN())),OFFSET($BN$2,0,0,ROW()-1,60),ROW()-1,FALSE))</f>
        <v>86710</v>
      </c>
      <c r="AM70">
        <f ca="1">IF(AND(ISNUMBER($AM$217),$B$156=1),$AM$217,HLOOKUP(INDIRECT(ADDRESS(2,COLUMN())),OFFSET($BN$2,0,0,ROW()-1,60),ROW()-1,FALSE))</f>
        <v>75750</v>
      </c>
      <c r="AN70">
        <f ca="1">IF(AND(ISNUMBER($AN$217),$B$156=1),$AN$217,HLOOKUP(INDIRECT(ADDRESS(2,COLUMN())),OFFSET($BN$2,0,0,ROW()-1,60),ROW()-1,FALSE))</f>
        <v>75673</v>
      </c>
      <c r="AO70">
        <f ca="1">IF(AND(ISNUMBER($AO$217),$B$156=1),$AO$217,HLOOKUP(INDIRECT(ADDRESS(2,COLUMN())),OFFSET($BN$2,0,0,ROW()-1,60),ROW()-1,FALSE))</f>
        <v>61808</v>
      </c>
      <c r="AP70">
        <f ca="1">IF(AND(ISNUMBER($AP$217),$B$156=1),$AP$217,HLOOKUP(INDIRECT(ADDRESS(2,COLUMN())),OFFSET($BN$2,0,0,ROW()-1,60),ROW()-1,FALSE))</f>
        <v>69937</v>
      </c>
      <c r="AQ70">
        <f ca="1">IF(AND(ISNUMBER($AQ$217),$B$156=1),$AQ$217,HLOOKUP(INDIRECT(ADDRESS(2,COLUMN())),OFFSET($BN$2,0,0,ROW()-1,60),ROW()-1,FALSE))</f>
        <v>56207</v>
      </c>
      <c r="AR70">
        <f ca="1">IF(AND(ISNUMBER($AR$217),$B$156=1),$AR$217,HLOOKUP(INDIRECT(ADDRESS(2,COLUMN())),OFFSET($BN$2,0,0,ROW()-1,60),ROW()-1,FALSE))</f>
        <v>57855</v>
      </c>
      <c r="AS70">
        <f ca="1">IF(AND(ISNUMBER($AS$217),$B$156=1),$AS$217,HLOOKUP(INDIRECT(ADDRESS(2,COLUMN())),OFFSET($BN$2,0,0,ROW()-1,60),ROW()-1,FALSE))</f>
        <v>50600</v>
      </c>
      <c r="AT70">
        <f ca="1">IF(AND(ISNUMBER($AT$217),$B$156=1),$AT$217,HLOOKUP(INDIRECT(ADDRESS(2,COLUMN())),OFFSET($BN$2,0,0,ROW()-1,60),ROW()-1,FALSE))</f>
        <v>60043</v>
      </c>
      <c r="AU70">
        <f ca="1">IF(AND(ISNUMBER($AU$217),$B$156=1),$AU$217,HLOOKUP(INDIRECT(ADDRESS(2,COLUMN())),OFFSET($BN$2,0,0,ROW()-1,60),ROW()-1,FALSE))</f>
        <v>64366</v>
      </c>
      <c r="AV70">
        <f ca="1">IF(AND(ISNUMBER($AV$217),$B$156=1),$AV$217,HLOOKUP(INDIRECT(ADDRESS(2,COLUMN())),OFFSET($BN$2,0,0,ROW()-1,60),ROW()-1,FALSE))</f>
        <v>76631</v>
      </c>
      <c r="AW70">
        <f ca="1">IF(AND(ISNUMBER($AW$217),$B$156=1),$AW$217,HLOOKUP(INDIRECT(ADDRESS(2,COLUMN())),OFFSET($BN$2,0,0,ROW()-1,60),ROW()-1,FALSE))</f>
        <v>69829</v>
      </c>
      <c r="AX70">
        <f ca="1">IF(AND(ISNUMBER($AX$217),$B$156=1),$AX$217,HLOOKUP(INDIRECT(ADDRESS(2,COLUMN())),OFFSET($BN$2,0,0,ROW()-1,60),ROW()-1,FALSE))</f>
        <v>85769</v>
      </c>
      <c r="AY70">
        <f ca="1">IF(AND(ISNUMBER($AY$217),$B$156=1),$AY$217,HLOOKUP(INDIRECT(ADDRESS(2,COLUMN())),OFFSET($BN$2,0,0,ROW()-1,60),ROW()-1,FALSE))</f>
        <v>89976</v>
      </c>
      <c r="AZ70">
        <f ca="1">IF(AND(ISNUMBER($AZ$217),$B$156=1),$AZ$217,HLOOKUP(INDIRECT(ADDRESS(2,COLUMN())),OFFSET($BN$2,0,0,ROW()-1,60),ROW()-1,FALSE))</f>
        <v>102145</v>
      </c>
      <c r="BA70">
        <f ca="1">IF(AND(ISNUMBER($BA$217),$B$156=1),$BA$217,HLOOKUP(INDIRECT(ADDRESS(2,COLUMN())),OFFSET($BN$2,0,0,ROW()-1,60),ROW()-1,FALSE))</f>
        <v>88235</v>
      </c>
      <c r="BB70">
        <f ca="1">IF(AND(ISNUMBER($BB$217),$B$156=1),$BB$217,HLOOKUP(INDIRECT(ADDRESS(2,COLUMN())),OFFSET($BN$2,0,0,ROW()-1,60),ROW()-1,FALSE))</f>
        <v>103997</v>
      </c>
      <c r="BC70">
        <f ca="1">IF(AND(ISNUMBER($BC$217),$B$156=1),$BC$217,HLOOKUP(INDIRECT(ADDRESS(2,COLUMN())),OFFSET($BN$2,0,0,ROW()-1,60),ROW()-1,FALSE))</f>
        <v>109469</v>
      </c>
      <c r="BD70">
        <f ca="1">IF(AND(ISNUMBER($BD$217),$B$156=1),$BD$217,HLOOKUP(INDIRECT(ADDRESS(2,COLUMN())),OFFSET($BN$2,0,0,ROW()-1,60),ROW()-1,FALSE))</f>
        <v>114344</v>
      </c>
      <c r="BE70">
        <f ca="1">IF(AND(ISNUMBER($BE$217),$B$156=1),$BE$217,HLOOKUP(INDIRECT(ADDRESS(2,COLUMN())),OFFSET($BN$2,0,0,ROW()-1,60),ROW()-1,FALSE))</f>
        <v>103987</v>
      </c>
      <c r="BF70">
        <f ca="1">IF(AND(ISNUMBER($BF$217),$B$156=1),$BF$217,HLOOKUP(INDIRECT(ADDRESS(2,COLUMN())),OFFSET($BN$2,0,0,ROW()-1,60),ROW()-1,FALSE))</f>
        <v>104174</v>
      </c>
      <c r="BG70">
        <f ca="1">IF(AND(ISNUMBER($BG$217),$B$156=1),$BG$217,HLOOKUP(INDIRECT(ADDRESS(2,COLUMN())),OFFSET($BN$2,0,0,ROW()-1,60),ROW()-1,FALSE))</f>
        <v>98509</v>
      </c>
      <c r="BH70">
        <f ca="1">IF(AND(ISNUMBER($BH$217),$B$156=1),$BH$217,HLOOKUP(INDIRECT(ADDRESS(2,COLUMN())),OFFSET($BN$2,0,0,ROW()-1,60),ROW()-1,FALSE))</f>
        <v>103132</v>
      </c>
      <c r="BI70">
        <f ca="1">IF(AND(ISNUMBER($BI$217),$B$156=1),$BI$217,HLOOKUP(INDIRECT(ADDRESS(2,COLUMN())),OFFSET($BN$2,0,0,ROW()-1,60),ROW()-1,FALSE))</f>
        <v>89282</v>
      </c>
      <c r="BJ70">
        <f ca="1">IF(AND(ISNUMBER($BJ$217),$B$156=1),$BJ$217,HLOOKUP(INDIRECT(ADDRESS(2,COLUMN())),OFFSET($BN$2,0,0,ROW()-1,60),ROW()-1,FALSE))</f>
        <v>85925</v>
      </c>
      <c r="BK70">
        <f ca="1">IF(AND(ISNUMBER($BK$217),$B$156=1),$BK$217,HLOOKUP(INDIRECT(ADDRESS(2,COLUMN())),OFFSET($BN$2,0,0,ROW()-1,60),ROW()-1,FALSE))</f>
        <v>80705</v>
      </c>
      <c r="BL70">
        <f ca="1">IF(AND(ISNUMBER($BL$217),$B$156=1),$BL$217,HLOOKUP(INDIRECT(ADDRESS(2,COLUMN())),OFFSET($BN$2,0,0,ROW()-1,60),ROW()-1,FALSE))</f>
        <v>83657</v>
      </c>
      <c r="BM70">
        <f ca="1">IF(AND(ISNUMBER($BM$217),$B$156=1),$BM$217,HLOOKUP(INDIRECT(ADDRESS(2,COLUMN())),OFFSET($BN$2,0,0,ROW()-1,60),ROW()-1,FALSE))</f>
        <v>66947</v>
      </c>
      <c r="BN70">
        <f>29040</f>
        <v>29040</v>
      </c>
      <c r="BO70">
        <f>91620</f>
        <v>91620</v>
      </c>
      <c r="BP70">
        <f>93357</f>
        <v>93357</v>
      </c>
      <c r="BQ70">
        <f>79442</f>
        <v>79442</v>
      </c>
      <c r="BR70">
        <f>94530</f>
        <v>94530</v>
      </c>
      <c r="BS70">
        <f>92123</f>
        <v>92123</v>
      </c>
      <c r="BT70">
        <f>92872</f>
        <v>92872</v>
      </c>
      <c r="BU70">
        <f>62475</f>
        <v>62475</v>
      </c>
      <c r="BV70">
        <f>91531</f>
        <v>91531</v>
      </c>
      <c r="BW70">
        <f>77568</f>
        <v>77568</v>
      </c>
      <c r="BX70">
        <f>78301</f>
        <v>78301</v>
      </c>
      <c r="BY70">
        <f>76934</f>
        <v>76934</v>
      </c>
      <c r="BZ70">
        <f>86517</f>
        <v>86517</v>
      </c>
      <c r="CA70">
        <f>91495</f>
        <v>91495</v>
      </c>
      <c r="CB70">
        <f>94611</f>
        <v>94611</v>
      </c>
      <c r="CC70">
        <f>94107</f>
        <v>94107</v>
      </c>
      <c r="CD70">
        <f>107338</f>
        <v>107338</v>
      </c>
      <c r="CE70">
        <f>109866</f>
        <v>109866</v>
      </c>
      <c r="CF70">
        <f>120795</f>
        <v>120795</v>
      </c>
      <c r="CG70">
        <f>99221</f>
        <v>99221</v>
      </c>
      <c r="CH70">
        <f>109164</f>
        <v>109164</v>
      </c>
      <c r="CI70">
        <f>107264</f>
        <v>107264</v>
      </c>
      <c r="CJ70">
        <f>119395</f>
        <v>119395</v>
      </c>
      <c r="CK70">
        <f>108937</f>
        <v>108937</v>
      </c>
      <c r="CL70">
        <f>114870</f>
        <v>114870</v>
      </c>
      <c r="CM70">
        <f>98974</f>
        <v>98974</v>
      </c>
      <c r="CN70">
        <f>98319</f>
        <v>98319</v>
      </c>
      <c r="CO70">
        <f>81842</f>
        <v>81842</v>
      </c>
      <c r="CP70">
        <f>90379</f>
        <v>90379</v>
      </c>
      <c r="CQ70">
        <f>82299</f>
        <v>82299</v>
      </c>
      <c r="CR70">
        <f>88481</f>
        <v>88481</v>
      </c>
      <c r="CS70">
        <f>73213</f>
        <v>73213</v>
      </c>
      <c r="CT70">
        <f>86710</f>
        <v>86710</v>
      </c>
      <c r="CU70">
        <f>75750</f>
        <v>75750</v>
      </c>
      <c r="CV70">
        <f>75673</f>
        <v>75673</v>
      </c>
      <c r="CW70">
        <f>61808</f>
        <v>61808</v>
      </c>
      <c r="CX70">
        <f>69937</f>
        <v>69937</v>
      </c>
      <c r="CY70">
        <f>56207</f>
        <v>56207</v>
      </c>
      <c r="CZ70">
        <f>57855</f>
        <v>57855</v>
      </c>
      <c r="DA70">
        <f>50600</f>
        <v>50600</v>
      </c>
      <c r="DB70">
        <f>60043</f>
        <v>60043</v>
      </c>
      <c r="DC70">
        <f>64366</f>
        <v>64366</v>
      </c>
      <c r="DD70">
        <f>76631</f>
        <v>76631</v>
      </c>
      <c r="DE70">
        <f>69829</f>
        <v>69829</v>
      </c>
      <c r="DF70">
        <f>85769</f>
        <v>85769</v>
      </c>
      <c r="DG70">
        <f>89976</f>
        <v>89976</v>
      </c>
      <c r="DH70">
        <f>102145</f>
        <v>102145</v>
      </c>
      <c r="DI70">
        <f>88235</f>
        <v>88235</v>
      </c>
      <c r="DJ70">
        <f>103997</f>
        <v>103997</v>
      </c>
      <c r="DK70">
        <f>109469</f>
        <v>109469</v>
      </c>
      <c r="DL70">
        <f>114344</f>
        <v>114344</v>
      </c>
      <c r="DM70">
        <f>103987</f>
        <v>103987</v>
      </c>
      <c r="DN70">
        <f>104174</f>
        <v>104174</v>
      </c>
      <c r="DO70">
        <f>98509</f>
        <v>98509</v>
      </c>
      <c r="DP70">
        <f>103132</f>
        <v>103132</v>
      </c>
      <c r="DQ70">
        <f>89282</f>
        <v>89282</v>
      </c>
      <c r="DR70">
        <f>85925</f>
        <v>85925</v>
      </c>
      <c r="DS70">
        <f>80705</f>
        <v>80705</v>
      </c>
      <c r="DT70">
        <f>83657</f>
        <v>83657</v>
      </c>
      <c r="DU70">
        <f>66947</f>
        <v>66947</v>
      </c>
    </row>
    <row r="71" spans="1:125" x14ac:dyDescent="0.25">
      <c r="A71" t="str">
        <f>"by Auto Manufacturer (units) - Calendar Adjusted for JVs"</f>
        <v>by Auto Manufacturer (units) - Calendar Adjusted for JVs</v>
      </c>
      <c r="B71" t="str">
        <f>""</f>
        <v/>
      </c>
      <c r="E71" t="str">
        <f>"Sum"</f>
        <v>Sum</v>
      </c>
      <c r="F71" t="str">
        <f ca="1">IF(ISERROR(IF(SUM($F$72,$F$73,$F$85,$F$88,$F$91,$F$96,$F$97,$F$98,$F$99,$F$105,$F$106,$F$107,$F$108,$F$109,$F$110,$F$111,$F$118,$F$122,$F$123,$F$124,$F$125,$F$126,$F$127,$F$128,$F$129,$F$130,$F$131,$F$132,$F$133,$F$134,$F$135,$F$136,$F$137,$F$138) = 0, "", SUM($F$72,$F$73,$F$85,$F$88,$F$91,$F$96,$F$97,$F$98,$F$99,$F$105,$F$106,$F$107,$F$108,$F$109,$F$110,$F$111,$F$118,$F$122,$F$123,$F$124,$F$125,$F$126,$F$127,$F$128,$F$129,$F$130,$F$131,$F$132,$F$133,$F$134,$F$135,$F$136,$F$137,$F$138))), "", (IF(SUM($F$72,$F$73,$F$85,$F$88,$F$91,$F$96,$F$97,$F$98,$F$99,$F$105,$F$106,$F$107,$F$108,$F$109,$F$110,$F$111,$F$118,$F$122,$F$123,$F$124,$F$125,$F$126,$F$127,$F$128,$F$129,$F$130,$F$131,$F$132,$F$133,$F$134,$F$135,$F$136,$F$137,$F$138) = 0, "", SUM($F$72,$F$73,$F$85,$F$88,$F$91,$F$96,$F$97,$F$98,$F$99,$F$105,$F$106,$F$107,$F$108,$F$109,$F$110,$F$111,$F$118,$F$122,$F$123,$F$124,$F$125,$F$126,$F$127,$F$128,$F$129,$F$130,$F$131,$F$132,$F$133,$F$134,$F$135,$F$136,$F$137,$F$138))))</f>
        <v/>
      </c>
      <c r="G71">
        <f ca="1">IF(ISERROR(IF(SUM($G$72,$G$73,$G$85,$G$88,$G$91,$G$96,$G$97,$G$98,$G$99,$G$105,$G$106,$G$107,$G$108,$G$109,$G$110,$G$111,$G$118,$G$122,$G$123,$G$124,$G$125,$G$126,$G$127,$G$128,$G$129,$G$130,$G$131,$G$132,$G$133,$G$134,$G$135,$G$136,$G$137,$G$138) = 0, "", SUM($G$72,$G$73,$G$85,$G$88,$G$91,$G$96,$G$97,$G$98,$G$99,$G$105,$G$106,$G$107,$G$108,$G$109,$G$110,$G$111,$G$118,$G$122,$G$123,$G$124,$G$125,$G$126,$G$127,$G$128,$G$129,$G$130,$G$131,$G$132,$G$133,$G$134,$G$135,$G$136,$G$137,$G$138))), "", (IF(SUM($G$72,$G$73,$G$85,$G$88,$G$91,$G$96,$G$97,$G$98,$G$99,$G$105,$G$106,$G$107,$G$108,$G$109,$G$110,$G$111,$G$118,$G$122,$G$123,$G$124,$G$125,$G$126,$G$127,$G$128,$G$129,$G$130,$G$131,$G$132,$G$133,$G$134,$G$135,$G$136,$G$137,$G$138) = 0, "", SUM($G$72,$G$73,$G$85,$G$88,$G$91,$G$96,$G$97,$G$98,$G$99,$G$105,$G$106,$G$107,$G$108,$G$109,$G$110,$G$111,$G$118,$G$122,$G$123,$G$124,$G$125,$G$126,$G$127,$G$128,$G$129,$G$130,$G$131,$G$132,$G$133,$G$134,$G$135,$G$136,$G$137,$G$138))))</f>
        <v>5724364</v>
      </c>
      <c r="H71">
        <f ca="1">IF(ISERROR(IF(SUM($H$72,$H$73,$H$85,$H$88,$H$91,$H$96,$H$97,$H$98,$H$99,$H$105,$H$106,$H$107,$H$108,$H$109,$H$110,$H$111,$H$118,$H$122,$H$123,$H$124,$H$125,$H$126,$H$127,$H$128,$H$129,$H$130,$H$131,$H$132,$H$133,$H$134,$H$135,$H$136,$H$137,$H$138) = 0, "", SUM($H$72,$H$73,$H$85,$H$88,$H$91,$H$96,$H$97,$H$98,$H$99,$H$105,$H$106,$H$107,$H$108,$H$109,$H$110,$H$111,$H$118,$H$122,$H$123,$H$124,$H$125,$H$126,$H$127,$H$128,$H$129,$H$130,$H$131,$H$132,$H$133,$H$134,$H$135,$H$136,$H$137,$H$138))), "", (IF(SUM($H$72,$H$73,$H$85,$H$88,$H$91,$H$96,$H$97,$H$98,$H$99,$H$105,$H$106,$H$107,$H$108,$H$109,$H$110,$H$111,$H$118,$H$122,$H$123,$H$124,$H$125,$H$126,$H$127,$H$128,$H$129,$H$130,$H$131,$H$132,$H$133,$H$134,$H$135,$H$136,$H$137,$H$138) = 0, "", SUM($H$72,$H$73,$H$85,$H$88,$H$91,$H$96,$H$97,$H$98,$H$99,$H$105,$H$106,$H$107,$H$108,$H$109,$H$110,$H$111,$H$118,$H$122,$H$123,$H$124,$H$125,$H$126,$H$127,$H$128,$H$129,$H$130,$H$131,$H$132,$H$133,$H$134,$H$135,$H$136,$H$137,$H$138))))</f>
        <v>12798364</v>
      </c>
      <c r="I71">
        <f ca="1">IF(ISERROR(IF(SUM($I$72,$I$73,$I$85,$I$88,$I$91,$I$96,$I$97,$I$98,$I$99,$I$105,$I$106,$I$107,$I$108,$I$109,$I$110,$I$111,$I$118,$I$122,$I$123,$I$124,$I$125,$I$126,$I$127,$I$128,$I$129,$I$130,$I$131,$I$132,$I$133,$I$134,$I$135,$I$136,$I$137,$I$138) = 0, "", SUM($I$72,$I$73,$I$85,$I$88,$I$91,$I$96,$I$97,$I$98,$I$99,$I$105,$I$106,$I$107,$I$108,$I$109,$I$110,$I$111,$I$118,$I$122,$I$123,$I$124,$I$125,$I$126,$I$127,$I$128,$I$129,$I$130,$I$131,$I$132,$I$133,$I$134,$I$135,$I$136,$I$137,$I$138))), "", (IF(SUM($I$72,$I$73,$I$85,$I$88,$I$91,$I$96,$I$97,$I$98,$I$99,$I$105,$I$106,$I$107,$I$108,$I$109,$I$110,$I$111,$I$118,$I$122,$I$123,$I$124,$I$125,$I$126,$I$127,$I$128,$I$129,$I$130,$I$131,$I$132,$I$133,$I$134,$I$135,$I$136,$I$137,$I$138) = 0, "", SUM($I$72,$I$73,$I$85,$I$88,$I$91,$I$96,$I$97,$I$98,$I$99,$I$105,$I$106,$I$107,$I$108,$I$109,$I$110,$I$111,$I$118,$I$122,$I$123,$I$124,$I$125,$I$126,$I$127,$I$128,$I$129,$I$130,$I$131,$I$132,$I$133,$I$134,$I$135,$I$136,$I$137,$I$138))))</f>
        <v>11640873</v>
      </c>
      <c r="J71">
        <f ca="1">IF(ISERROR(IF(SUM($J$72,$J$73,$J$85,$J$88,$J$91,$J$96,$J$97,$J$98,$J$99,$J$105,$J$106,$J$107,$J$108,$J$109,$J$110,$J$111,$J$118,$J$122,$J$123,$J$124,$J$125,$J$126,$J$127,$J$128,$J$129,$J$130,$J$131,$J$132,$J$133,$J$134,$J$135,$J$136,$J$137,$J$138) = 0, "", SUM($J$72,$J$73,$J$85,$J$88,$J$91,$J$96,$J$97,$J$98,$J$99,$J$105,$J$106,$J$107,$J$108,$J$109,$J$110,$J$111,$J$118,$J$122,$J$123,$J$124,$J$125,$J$126,$J$127,$J$128,$J$129,$J$130,$J$131,$J$132,$J$133,$J$134,$J$135,$J$136,$J$137,$J$138))), "", (IF(SUM($J$72,$J$73,$J$85,$J$88,$J$91,$J$96,$J$97,$J$98,$J$99,$J$105,$J$106,$J$107,$J$108,$J$109,$J$110,$J$111,$J$118,$J$122,$J$123,$J$124,$J$125,$J$126,$J$127,$J$128,$J$129,$J$130,$J$131,$J$132,$J$133,$J$134,$J$135,$J$136,$J$137,$J$138) = 0, "", SUM($J$72,$J$73,$J$85,$J$88,$J$91,$J$96,$J$97,$J$98,$J$99,$J$105,$J$106,$J$107,$J$108,$J$109,$J$110,$J$111,$J$118,$J$122,$J$123,$J$124,$J$125,$J$126,$J$127,$J$128,$J$129,$J$130,$J$131,$J$132,$J$133,$J$134,$J$135,$J$136,$J$137,$J$138))))</f>
        <v>12435650</v>
      </c>
      <c r="K71">
        <f ca="1">IF(ISERROR(IF(SUM($K$72,$K$73,$K$85,$K$88,$K$91,$K$96,$K$97,$K$98,$K$99,$K$105,$K$106,$K$107,$K$108,$K$109,$K$110,$K$111,$K$118,$K$122,$K$123,$K$124,$K$125,$K$126,$K$127,$K$128,$K$129,$K$130,$K$131,$K$132,$K$133,$K$134,$K$135,$K$136,$K$137,$K$138) = 0, "", SUM($K$72,$K$73,$K$85,$K$88,$K$91,$K$96,$K$97,$K$98,$K$99,$K$105,$K$106,$K$107,$K$108,$K$109,$K$110,$K$111,$K$118,$K$122,$K$123,$K$124,$K$125,$K$126,$K$127,$K$128,$K$129,$K$130,$K$131,$K$132,$K$133,$K$134,$K$135,$K$136,$K$137,$K$138))), "", (IF(SUM($K$72,$K$73,$K$85,$K$88,$K$91,$K$96,$K$97,$K$98,$K$99,$K$105,$K$106,$K$107,$K$108,$K$109,$K$110,$K$111,$K$118,$K$122,$K$123,$K$124,$K$125,$K$126,$K$127,$K$128,$K$129,$K$130,$K$131,$K$132,$K$133,$K$134,$K$135,$K$136,$K$137,$K$138) = 0, "", SUM($K$72,$K$73,$K$85,$K$88,$K$91,$K$96,$K$97,$K$98,$K$99,$K$105,$K$106,$K$107,$K$108,$K$109,$K$110,$K$111,$K$118,$K$122,$K$123,$K$124,$K$125,$K$126,$K$127,$K$128,$K$129,$K$130,$K$131,$K$132,$K$133,$K$134,$K$135,$K$136,$K$137,$K$138))))</f>
        <v>16236039</v>
      </c>
      <c r="L71">
        <f ca="1">IF(ISERROR(IF(SUM($L$72,$L$73,$L$85,$L$88,$L$91,$L$96,$L$97,$L$98,$L$99,$L$105,$L$106,$L$107,$L$108,$L$109,$L$110,$L$111,$L$118,$L$122,$L$123,$L$124,$L$125,$L$126,$L$127,$L$128,$L$129,$L$130,$L$131,$L$132,$L$133,$L$134,$L$135,$L$136,$L$137,$L$138) = 0, "", SUM($L$72,$L$73,$L$85,$L$88,$L$91,$L$96,$L$97,$L$98,$L$99,$L$105,$L$106,$L$107,$L$108,$L$109,$L$110,$L$111,$L$118,$L$122,$L$123,$L$124,$L$125,$L$126,$L$127,$L$128,$L$129,$L$130,$L$131,$L$132,$L$133,$L$134,$L$135,$L$136,$L$137,$L$138))), "", (IF(SUM($L$72,$L$73,$L$85,$L$88,$L$91,$L$96,$L$97,$L$98,$L$99,$L$105,$L$106,$L$107,$L$108,$L$109,$L$110,$L$111,$L$118,$L$122,$L$123,$L$124,$L$125,$L$126,$L$127,$L$128,$L$129,$L$130,$L$131,$L$132,$L$133,$L$134,$L$135,$L$136,$L$137,$L$138) = 0, "", SUM($L$72,$L$73,$L$85,$L$88,$L$91,$L$96,$L$97,$L$98,$L$99,$L$105,$L$106,$L$107,$L$108,$L$109,$L$110,$L$111,$L$118,$L$122,$L$123,$L$124,$L$125,$L$126,$L$127,$L$128,$L$129,$L$130,$L$131,$L$132,$L$133,$L$134,$L$135,$L$136,$L$137,$L$138))))</f>
        <v>13427093</v>
      </c>
      <c r="M71">
        <f ca="1">IF(ISERROR(IF(SUM($M$72,$M$73,$M$85,$M$88,$M$91,$M$96,$M$97,$M$98,$M$99,$M$105,$M$106,$M$107,$M$108,$M$109,$M$110,$M$111,$M$118,$M$122,$M$123,$M$124,$M$125,$M$126,$M$127,$M$128,$M$129,$M$130,$M$131,$M$132,$M$133,$M$134,$M$135,$M$136,$M$137,$M$138) = 0, "", SUM($M$72,$M$73,$M$85,$M$88,$M$91,$M$96,$M$97,$M$98,$M$99,$M$105,$M$106,$M$107,$M$108,$M$109,$M$110,$M$111,$M$118,$M$122,$M$123,$M$124,$M$125,$M$126,$M$127,$M$128,$M$129,$M$130,$M$131,$M$132,$M$133,$M$134,$M$135,$M$136,$M$137,$M$138))), "", (IF(SUM($M$72,$M$73,$M$85,$M$88,$M$91,$M$96,$M$97,$M$98,$M$99,$M$105,$M$106,$M$107,$M$108,$M$109,$M$110,$M$111,$M$118,$M$122,$M$123,$M$124,$M$125,$M$126,$M$127,$M$128,$M$129,$M$130,$M$131,$M$132,$M$133,$M$134,$M$135,$M$136,$M$137,$M$138) = 0, "", SUM($M$72,$M$73,$M$85,$M$88,$M$91,$M$96,$M$97,$M$98,$M$99,$M$105,$M$106,$M$107,$M$108,$M$109,$M$110,$M$111,$M$118,$M$122,$M$123,$M$124,$M$125,$M$126,$M$127,$M$128,$M$129,$M$130,$M$131,$M$132,$M$133,$M$134,$M$135,$M$136,$M$137,$M$138))))</f>
        <v>13334975</v>
      </c>
      <c r="N71">
        <f ca="1">IF(ISERROR(IF(SUM($N$72,$N$73,$N$85,$N$88,$N$91,$N$96,$N$97,$N$98,$N$99,$N$105,$N$106,$N$107,$N$108,$N$109,$N$110,$N$111,$N$118,$N$122,$N$123,$N$124,$N$125,$N$126,$N$127,$N$128,$N$129,$N$130,$N$131,$N$132,$N$133,$N$134,$N$135,$N$136,$N$137,$N$138) = 0, "", SUM($N$72,$N$73,$N$85,$N$88,$N$91,$N$96,$N$97,$N$98,$N$99,$N$105,$N$106,$N$107,$N$108,$N$109,$N$110,$N$111,$N$118,$N$122,$N$123,$N$124,$N$125,$N$126,$N$127,$N$128,$N$129,$N$130,$N$131,$N$132,$N$133,$N$134,$N$135,$N$136,$N$137,$N$138))), "", (IF(SUM($N$72,$N$73,$N$85,$N$88,$N$91,$N$96,$N$97,$N$98,$N$99,$N$105,$N$106,$N$107,$N$108,$N$109,$N$110,$N$111,$N$118,$N$122,$N$123,$N$124,$N$125,$N$126,$N$127,$N$128,$N$129,$N$130,$N$131,$N$132,$N$133,$N$134,$N$135,$N$136,$N$137,$N$138) = 0, "", SUM($N$72,$N$73,$N$85,$N$88,$N$91,$N$96,$N$97,$N$98,$N$99,$N$105,$N$106,$N$107,$N$108,$N$109,$N$110,$N$111,$N$118,$N$122,$N$123,$N$124,$N$125,$N$126,$N$127,$N$128,$N$129,$N$130,$N$131,$N$132,$N$133,$N$134,$N$135,$N$136,$N$137,$N$138))))</f>
        <v>15069033</v>
      </c>
      <c r="O71">
        <f ca="1">IF(ISERROR(IF(SUM($O$72,$O$73,$O$85,$O$88,$O$91,$O$96,$O$97,$O$98,$O$99,$O$105,$O$106,$O$107,$O$108,$O$109,$O$110,$O$111,$O$118,$O$122,$O$123,$O$124,$O$125,$O$126,$O$127,$O$128,$O$129,$O$130,$O$131,$O$132,$O$133,$O$134,$O$135,$O$136,$O$137,$O$138) = 0, "", SUM($O$72,$O$73,$O$85,$O$88,$O$91,$O$96,$O$97,$O$98,$O$99,$O$105,$O$106,$O$107,$O$108,$O$109,$O$110,$O$111,$O$118,$O$122,$O$123,$O$124,$O$125,$O$126,$O$127,$O$128,$O$129,$O$130,$O$131,$O$132,$O$133,$O$134,$O$135,$O$136,$O$137,$O$138))), "", (IF(SUM($O$72,$O$73,$O$85,$O$88,$O$91,$O$96,$O$97,$O$98,$O$99,$O$105,$O$106,$O$107,$O$108,$O$109,$O$110,$O$111,$O$118,$O$122,$O$123,$O$124,$O$125,$O$126,$O$127,$O$128,$O$129,$O$130,$O$131,$O$132,$O$133,$O$134,$O$135,$O$136,$O$137,$O$138) = 0, "", SUM($O$72,$O$73,$O$85,$O$88,$O$91,$O$96,$O$97,$O$98,$O$99,$O$105,$O$106,$O$107,$O$108,$O$109,$O$110,$O$111,$O$118,$O$122,$O$123,$O$124,$O$125,$O$126,$O$127,$O$128,$O$129,$O$130,$O$131,$O$132,$O$133,$O$134,$O$135,$O$136,$O$137,$O$138))))</f>
        <v>17740156</v>
      </c>
      <c r="P71">
        <f ca="1">IF(ISERROR(IF(SUM($P$72,$P$73,$P$85,$P$88,$P$91,$P$96,$P$97,$P$98,$P$99,$P$105,$P$106,$P$107,$P$108,$P$109,$P$110,$P$111,$P$118,$P$122,$P$123,$P$124,$P$125,$P$126,$P$127,$P$128,$P$129,$P$130,$P$131,$P$132,$P$133,$P$134,$P$135,$P$136,$P$137,$P$138) = 0, "", SUM($P$72,$P$73,$P$85,$P$88,$P$91,$P$96,$P$97,$P$98,$P$99,$P$105,$P$106,$P$107,$P$108,$P$109,$P$110,$P$111,$P$118,$P$122,$P$123,$P$124,$P$125,$P$126,$P$127,$P$128,$P$129,$P$130,$P$131,$P$132,$P$133,$P$134,$P$135,$P$136,$P$137,$P$138))), "", (IF(SUM($P$72,$P$73,$P$85,$P$88,$P$91,$P$96,$P$97,$P$98,$P$99,$P$105,$P$106,$P$107,$P$108,$P$109,$P$110,$P$111,$P$118,$P$122,$P$123,$P$124,$P$125,$P$126,$P$127,$P$128,$P$129,$P$130,$P$131,$P$132,$P$133,$P$134,$P$135,$P$136,$P$137,$P$138) = 0, "", SUM($P$72,$P$73,$P$85,$P$88,$P$91,$P$96,$P$97,$P$98,$P$99,$P$105,$P$106,$P$107,$P$108,$P$109,$P$110,$P$111,$P$118,$P$122,$P$123,$P$124,$P$125,$P$126,$P$127,$P$128,$P$129,$P$130,$P$131,$P$132,$P$133,$P$134,$P$135,$P$136,$P$137,$P$138))))</f>
        <v>13764608</v>
      </c>
      <c r="Q71">
        <f ca="1">IF(ISERROR(IF(SUM($Q$72,$Q$73,$Q$85,$Q$88,$Q$91,$Q$96,$Q$97,$Q$98,$Q$99,$Q$105,$Q$106,$Q$107,$Q$108,$Q$109,$Q$110,$Q$111,$Q$118,$Q$122,$Q$123,$Q$124,$Q$125,$Q$126,$Q$127,$Q$128,$Q$129,$Q$130,$Q$131,$Q$132,$Q$133,$Q$134,$Q$135,$Q$136,$Q$137,$Q$138) = 0, "", SUM($Q$72,$Q$73,$Q$85,$Q$88,$Q$91,$Q$96,$Q$97,$Q$98,$Q$99,$Q$105,$Q$106,$Q$107,$Q$108,$Q$109,$Q$110,$Q$111,$Q$118,$Q$122,$Q$123,$Q$124,$Q$125,$Q$126,$Q$127,$Q$128,$Q$129,$Q$130,$Q$131,$Q$132,$Q$133,$Q$134,$Q$135,$Q$136,$Q$137,$Q$138))), "", (IF(SUM($Q$72,$Q$73,$Q$85,$Q$88,$Q$91,$Q$96,$Q$97,$Q$98,$Q$99,$Q$105,$Q$106,$Q$107,$Q$108,$Q$109,$Q$110,$Q$111,$Q$118,$Q$122,$Q$123,$Q$124,$Q$125,$Q$126,$Q$127,$Q$128,$Q$129,$Q$130,$Q$131,$Q$132,$Q$133,$Q$134,$Q$135,$Q$136,$Q$137,$Q$138) = 0, "", SUM($Q$72,$Q$73,$Q$85,$Q$88,$Q$91,$Q$96,$Q$97,$Q$98,$Q$99,$Q$105,$Q$106,$Q$107,$Q$108,$Q$109,$Q$110,$Q$111,$Q$118,$Q$122,$Q$123,$Q$124,$Q$125,$Q$126,$Q$127,$Q$128,$Q$129,$Q$130,$Q$131,$Q$132,$Q$133,$Q$134,$Q$135,$Q$136,$Q$137,$Q$138))))</f>
        <v>15178930</v>
      </c>
      <c r="R71">
        <f ca="1">IF(ISERROR(IF(SUM($R$72,$R$73,$R$85,$R$88,$R$91,$R$96,$R$97,$R$98,$R$99,$R$105,$R$106,$R$107,$R$108,$R$109,$R$110,$R$111,$R$118,$R$122,$R$123,$R$124,$R$125,$R$126,$R$127,$R$128,$R$129,$R$130,$R$131,$R$132,$R$133,$R$134,$R$135,$R$136,$R$137,$R$138) = 0, "", SUM($R$72,$R$73,$R$85,$R$88,$R$91,$R$96,$R$97,$R$98,$R$99,$R$105,$R$106,$R$107,$R$108,$R$109,$R$110,$R$111,$R$118,$R$122,$R$123,$R$124,$R$125,$R$126,$R$127,$R$128,$R$129,$R$130,$R$131,$R$132,$R$133,$R$134,$R$135,$R$136,$R$137,$R$138))), "", (IF(SUM($R$72,$R$73,$R$85,$R$88,$R$91,$R$96,$R$97,$R$98,$R$99,$R$105,$R$106,$R$107,$R$108,$R$109,$R$110,$R$111,$R$118,$R$122,$R$123,$R$124,$R$125,$R$126,$R$127,$R$128,$R$129,$R$130,$R$131,$R$132,$R$133,$R$134,$R$135,$R$136,$R$137,$R$138) = 0, "", SUM($R$72,$R$73,$R$85,$R$88,$R$91,$R$96,$R$97,$R$98,$R$99,$R$105,$R$106,$R$107,$R$108,$R$109,$R$110,$R$111,$R$118,$R$122,$R$123,$R$124,$R$125,$R$126,$R$127,$R$128,$R$129,$R$130,$R$131,$R$132,$R$133,$R$134,$R$135,$R$136,$R$137,$R$138))))</f>
        <v>14789902</v>
      </c>
      <c r="S71">
        <f ca="1">IF(ISERROR(IF(SUM($S$72,$S$73,$S$85,$S$88,$S$91,$S$96,$S$97,$S$98,$S$99,$S$105,$S$106,$S$107,$S$108,$S$109,$S$110,$S$111,$S$118,$S$122,$S$123,$S$124,$S$125,$S$126,$S$127,$S$128,$S$129,$S$130,$S$131,$S$132,$S$133,$S$134,$S$135,$S$136,$S$137,$S$138) = 0, "", SUM($S$72,$S$73,$S$85,$S$88,$S$91,$S$96,$S$97,$S$98,$S$99,$S$105,$S$106,$S$107,$S$108,$S$109,$S$110,$S$111,$S$118,$S$122,$S$123,$S$124,$S$125,$S$126,$S$127,$S$128,$S$129,$S$130,$S$131,$S$132,$S$133,$S$134,$S$135,$S$136,$S$137,$S$138))), "", (IF(SUM($S$72,$S$73,$S$85,$S$88,$S$91,$S$96,$S$97,$S$98,$S$99,$S$105,$S$106,$S$107,$S$108,$S$109,$S$110,$S$111,$S$118,$S$122,$S$123,$S$124,$S$125,$S$126,$S$127,$S$128,$S$129,$S$130,$S$131,$S$132,$S$133,$S$134,$S$135,$S$136,$S$137,$S$138) = 0, "", SUM($S$72,$S$73,$S$85,$S$88,$S$91,$S$96,$S$97,$S$98,$S$99,$S$105,$S$106,$S$107,$S$108,$S$109,$S$110,$S$111,$S$118,$S$122,$S$123,$S$124,$S$125,$S$126,$S$127,$S$128,$S$129,$S$130,$S$131,$S$132,$S$133,$S$134,$S$135,$S$136,$S$137,$S$138))))</f>
        <v>20353304</v>
      </c>
      <c r="T71">
        <f ca="1">IF(ISERROR(IF(SUM($T$72,$T$73,$T$85,$T$88,$T$91,$T$96,$T$97,$T$98,$T$99,$T$105,$T$106,$T$107,$T$108,$T$109,$T$110,$T$111,$T$118,$T$122,$T$123,$T$124,$T$125,$T$126,$T$127,$T$128,$T$129,$T$130,$T$131,$T$132,$T$133,$T$134,$T$135,$T$136,$T$137,$T$138) = 0, "", SUM($T$72,$T$73,$T$85,$T$88,$T$91,$T$96,$T$97,$T$98,$T$99,$T$105,$T$106,$T$107,$T$108,$T$109,$T$110,$T$111,$T$118,$T$122,$T$123,$T$124,$T$125,$T$126,$T$127,$T$128,$T$129,$T$130,$T$131,$T$132,$T$133,$T$134,$T$135,$T$136,$T$137,$T$138))), "", (IF(SUM($T$72,$T$73,$T$85,$T$88,$T$91,$T$96,$T$97,$T$98,$T$99,$T$105,$T$106,$T$107,$T$108,$T$109,$T$110,$T$111,$T$118,$T$122,$T$123,$T$124,$T$125,$T$126,$T$127,$T$128,$T$129,$T$130,$T$131,$T$132,$T$133,$T$134,$T$135,$T$136,$T$137,$T$138) = 0, "", SUM($T$72,$T$73,$T$85,$T$88,$T$91,$T$96,$T$97,$T$98,$T$99,$T$105,$T$106,$T$107,$T$108,$T$109,$T$110,$T$111,$T$118,$T$122,$T$123,$T$124,$T$125,$T$126,$T$127,$T$128,$T$129,$T$130,$T$131,$T$132,$T$133,$T$134,$T$135,$T$136,$T$137,$T$138))))</f>
        <v>19927140</v>
      </c>
      <c r="U71">
        <f ca="1">IF(ISERROR(IF(SUM($U$72,$U$73,$U$85,$U$88,$U$91,$U$96,$U$97,$U$98,$U$99,$U$105,$U$106,$U$107,$U$108,$U$109,$U$110,$U$111,$U$118,$U$122,$U$123,$U$124,$U$125,$U$126,$U$127,$U$128,$U$129,$U$130,$U$131,$U$132,$U$133,$U$134,$U$135,$U$136,$U$137,$U$138) = 0, "", SUM($U$72,$U$73,$U$85,$U$88,$U$91,$U$96,$U$97,$U$98,$U$99,$U$105,$U$106,$U$107,$U$108,$U$109,$U$110,$U$111,$U$118,$U$122,$U$123,$U$124,$U$125,$U$126,$U$127,$U$128,$U$129,$U$130,$U$131,$U$132,$U$133,$U$134,$U$135,$U$136,$U$137,$U$138))), "", (IF(SUM($U$72,$U$73,$U$85,$U$88,$U$91,$U$96,$U$97,$U$98,$U$99,$U$105,$U$106,$U$107,$U$108,$U$109,$U$110,$U$111,$U$118,$U$122,$U$123,$U$124,$U$125,$U$126,$U$127,$U$128,$U$129,$U$130,$U$131,$U$132,$U$133,$U$134,$U$135,$U$136,$U$137,$U$138) = 0, "", SUM($U$72,$U$73,$U$85,$U$88,$U$91,$U$96,$U$97,$U$98,$U$99,$U$105,$U$106,$U$107,$U$108,$U$109,$U$110,$U$111,$U$118,$U$122,$U$123,$U$124,$U$125,$U$126,$U$127,$U$128,$U$129,$U$130,$U$131,$U$132,$U$133,$U$134,$U$135,$U$136,$U$137,$U$138))))</f>
        <v>21207878</v>
      </c>
      <c r="V71">
        <f ca="1">IF(ISERROR(IF(SUM($V$72,$V$73,$V$85,$V$88,$V$91,$V$96,$V$97,$V$98,$V$99,$V$105,$V$106,$V$107,$V$108,$V$109,$V$110,$V$111,$V$118,$V$122,$V$123,$V$124,$V$125,$V$126,$V$127,$V$128,$V$129,$V$130,$V$131,$V$132,$V$133,$V$134,$V$135,$V$136,$V$137,$V$138) = 0, "", SUM($V$72,$V$73,$V$85,$V$88,$V$91,$V$96,$V$97,$V$98,$V$99,$V$105,$V$106,$V$107,$V$108,$V$109,$V$110,$V$111,$V$118,$V$122,$V$123,$V$124,$V$125,$V$126,$V$127,$V$128,$V$129,$V$130,$V$131,$V$132,$V$133,$V$134,$V$135,$V$136,$V$137,$V$138))), "", (IF(SUM($V$72,$V$73,$V$85,$V$88,$V$91,$V$96,$V$97,$V$98,$V$99,$V$105,$V$106,$V$107,$V$108,$V$109,$V$110,$V$111,$V$118,$V$122,$V$123,$V$124,$V$125,$V$126,$V$127,$V$128,$V$129,$V$130,$V$131,$V$132,$V$133,$V$134,$V$135,$V$136,$V$137,$V$138) = 0, "", SUM($V$72,$V$73,$V$85,$V$88,$V$91,$V$96,$V$97,$V$98,$V$99,$V$105,$V$106,$V$107,$V$108,$V$109,$V$110,$V$111,$V$118,$V$122,$V$123,$V$124,$V$125,$V$126,$V$127,$V$128,$V$129,$V$130,$V$131,$V$132,$V$133,$V$134,$V$135,$V$136,$V$137,$V$138))))</f>
        <v>20614848</v>
      </c>
      <c r="W71">
        <f ca="1">IF(ISERROR(IF(SUM($W$72,$W$73,$W$85,$W$88,$W$91,$W$96,$W$97,$W$98,$W$99,$W$105,$W$106,$W$107,$W$108,$W$109,$W$110,$W$111,$W$118,$W$122,$W$123,$W$124,$W$125,$W$126,$W$127,$W$128,$W$129,$W$130,$W$131,$W$132,$W$133,$W$134,$W$135,$W$136,$W$137,$W$138) = 0, "", SUM($W$72,$W$73,$W$85,$W$88,$W$91,$W$96,$W$97,$W$98,$W$99,$W$105,$W$106,$W$107,$W$108,$W$109,$W$110,$W$111,$W$118,$W$122,$W$123,$W$124,$W$125,$W$126,$W$127,$W$128,$W$129,$W$130,$W$131,$W$132,$W$133,$W$134,$W$135,$W$136,$W$137,$W$138))), "", (IF(SUM($W$72,$W$73,$W$85,$W$88,$W$91,$W$96,$W$97,$W$98,$W$99,$W$105,$W$106,$W$107,$W$108,$W$109,$W$110,$W$111,$W$118,$W$122,$W$123,$W$124,$W$125,$W$126,$W$127,$W$128,$W$129,$W$130,$W$131,$W$132,$W$133,$W$134,$W$135,$W$136,$W$137,$W$138) = 0, "", SUM($W$72,$W$73,$W$85,$W$88,$W$91,$W$96,$W$97,$W$98,$W$99,$W$105,$W$106,$W$107,$W$108,$W$109,$W$110,$W$111,$W$118,$W$122,$W$123,$W$124,$W$125,$W$126,$W$127,$W$128,$W$129,$W$130,$W$131,$W$132,$W$133,$W$134,$W$135,$W$136,$W$137,$W$138))))</f>
        <v>21835410</v>
      </c>
      <c r="X71">
        <f ca="1">IF(ISERROR(IF(SUM($X$72,$X$73,$X$85,$X$88,$X$91,$X$96,$X$97,$X$98,$X$99,$X$105,$X$106,$X$107,$X$108,$X$109,$X$110,$X$111,$X$118,$X$122,$X$123,$X$124,$X$125,$X$126,$X$127,$X$128,$X$129,$X$130,$X$131,$X$132,$X$133,$X$134,$X$135,$X$136,$X$137,$X$138) = 0, "", SUM($X$72,$X$73,$X$85,$X$88,$X$91,$X$96,$X$97,$X$98,$X$99,$X$105,$X$106,$X$107,$X$108,$X$109,$X$110,$X$111,$X$118,$X$122,$X$123,$X$124,$X$125,$X$126,$X$127,$X$128,$X$129,$X$130,$X$131,$X$132,$X$133,$X$134,$X$135,$X$136,$X$137,$X$138))), "", (IF(SUM($X$72,$X$73,$X$85,$X$88,$X$91,$X$96,$X$97,$X$98,$X$99,$X$105,$X$106,$X$107,$X$108,$X$109,$X$110,$X$111,$X$118,$X$122,$X$123,$X$124,$X$125,$X$126,$X$127,$X$128,$X$129,$X$130,$X$131,$X$132,$X$133,$X$134,$X$135,$X$136,$X$137,$X$138) = 0, "", SUM($X$72,$X$73,$X$85,$X$88,$X$91,$X$96,$X$97,$X$98,$X$99,$X$105,$X$106,$X$107,$X$108,$X$109,$X$110,$X$111,$X$118,$X$122,$X$123,$X$124,$X$125,$X$126,$X$127,$X$128,$X$129,$X$130,$X$131,$X$132,$X$133,$X$134,$X$135,$X$136,$X$137,$X$138))))</f>
        <v>19906507</v>
      </c>
      <c r="Y71">
        <f ca="1">IF(ISERROR(IF(SUM($Y$72,$Y$73,$Y$85,$Y$88,$Y$91,$Y$96,$Y$97,$Y$98,$Y$99,$Y$105,$Y$106,$Y$107,$Y$108,$Y$109,$Y$110,$Y$111,$Y$118,$Y$122,$Y$123,$Y$124,$Y$125,$Y$126,$Y$127,$Y$128,$Y$129,$Y$130,$Y$131,$Y$132,$Y$133,$Y$134,$Y$135,$Y$136,$Y$137,$Y$138) = 0, "", SUM($Y$72,$Y$73,$Y$85,$Y$88,$Y$91,$Y$96,$Y$97,$Y$98,$Y$99,$Y$105,$Y$106,$Y$107,$Y$108,$Y$109,$Y$110,$Y$111,$Y$118,$Y$122,$Y$123,$Y$124,$Y$125,$Y$126,$Y$127,$Y$128,$Y$129,$Y$130,$Y$131,$Y$132,$Y$133,$Y$134,$Y$135,$Y$136,$Y$137,$Y$138))), "", (IF(SUM($Y$72,$Y$73,$Y$85,$Y$88,$Y$91,$Y$96,$Y$97,$Y$98,$Y$99,$Y$105,$Y$106,$Y$107,$Y$108,$Y$109,$Y$110,$Y$111,$Y$118,$Y$122,$Y$123,$Y$124,$Y$125,$Y$126,$Y$127,$Y$128,$Y$129,$Y$130,$Y$131,$Y$132,$Y$133,$Y$134,$Y$135,$Y$136,$Y$137,$Y$138) = 0, "", SUM($Y$72,$Y$73,$Y$85,$Y$88,$Y$91,$Y$96,$Y$97,$Y$98,$Y$99,$Y$105,$Y$106,$Y$107,$Y$108,$Y$109,$Y$110,$Y$111,$Y$118,$Y$122,$Y$123,$Y$124,$Y$125,$Y$126,$Y$127,$Y$128,$Y$129,$Y$130,$Y$131,$Y$132,$Y$133,$Y$134,$Y$135,$Y$136,$Y$137,$Y$138))))</f>
        <v>21265531</v>
      </c>
      <c r="Z71">
        <f ca="1">IF(ISERROR(IF(SUM($Z$72,$Z$73,$Z$85,$Z$88,$Z$91,$Z$96,$Z$97,$Z$98,$Z$99,$Z$105,$Z$106,$Z$107,$Z$108,$Z$109,$Z$110,$Z$111,$Z$118,$Z$122,$Z$123,$Z$124,$Z$125,$Z$126,$Z$127,$Z$128,$Z$129,$Z$130,$Z$131,$Z$132,$Z$133,$Z$134,$Z$135,$Z$136,$Z$137,$Z$138) = 0, "", SUM($Z$72,$Z$73,$Z$85,$Z$88,$Z$91,$Z$96,$Z$97,$Z$98,$Z$99,$Z$105,$Z$106,$Z$107,$Z$108,$Z$109,$Z$110,$Z$111,$Z$118,$Z$122,$Z$123,$Z$124,$Z$125,$Z$126,$Z$127,$Z$128,$Z$129,$Z$130,$Z$131,$Z$132,$Z$133,$Z$134,$Z$135,$Z$136,$Z$137,$Z$138))), "", (IF(SUM($Z$72,$Z$73,$Z$85,$Z$88,$Z$91,$Z$96,$Z$97,$Z$98,$Z$99,$Z$105,$Z$106,$Z$107,$Z$108,$Z$109,$Z$110,$Z$111,$Z$118,$Z$122,$Z$123,$Z$124,$Z$125,$Z$126,$Z$127,$Z$128,$Z$129,$Z$130,$Z$131,$Z$132,$Z$133,$Z$134,$Z$135,$Z$136,$Z$137,$Z$138) = 0, "", SUM($Z$72,$Z$73,$Z$85,$Z$88,$Z$91,$Z$96,$Z$97,$Z$98,$Z$99,$Z$105,$Z$106,$Z$107,$Z$108,$Z$109,$Z$110,$Z$111,$Z$118,$Z$122,$Z$123,$Z$124,$Z$125,$Z$126,$Z$127,$Z$128,$Z$129,$Z$130,$Z$131,$Z$132,$Z$133,$Z$134,$Z$135,$Z$136,$Z$137,$Z$138))))</f>
        <v>21230946</v>
      </c>
      <c r="AA71">
        <f ca="1">IF(ISERROR(IF(SUM($AA$72,$AA$73,$AA$85,$AA$88,$AA$91,$AA$96,$AA$97,$AA$98,$AA$99,$AA$105,$AA$106,$AA$107,$AA$108,$AA$109,$AA$110,$AA$111,$AA$118,$AA$122,$AA$123,$AA$124,$AA$125,$AA$126,$AA$127,$AA$128,$AA$129,$AA$130,$AA$131,$AA$132,$AA$133,$AA$134,$AA$135,$AA$136,$AA$137,$AA$138) = 0, "", SUM($AA$72,$AA$73,$AA$85,$AA$88,$AA$91,$AA$96,$AA$97,$AA$98,$AA$99,$AA$105,$AA$106,$AA$107,$AA$108,$AA$109,$AA$110,$AA$111,$AA$118,$AA$122,$AA$123,$AA$124,$AA$125,$AA$126,$AA$127,$AA$128,$AA$129,$AA$130,$AA$131,$AA$132,$AA$133,$AA$134,$AA$135,$AA$136,$AA$137,$AA$138))), "", (IF(SUM($AA$72,$AA$73,$AA$85,$AA$88,$AA$91,$AA$96,$AA$97,$AA$98,$AA$99,$AA$105,$AA$106,$AA$107,$AA$108,$AA$109,$AA$110,$AA$111,$AA$118,$AA$122,$AA$123,$AA$124,$AA$125,$AA$126,$AA$127,$AA$128,$AA$129,$AA$130,$AA$131,$AA$132,$AA$133,$AA$134,$AA$135,$AA$136,$AA$137,$AA$138) = 0, "", SUM($AA$72,$AA$73,$AA$85,$AA$88,$AA$91,$AA$96,$AA$97,$AA$98,$AA$99,$AA$105,$AA$106,$AA$107,$AA$108,$AA$109,$AA$110,$AA$111,$AA$118,$AA$122,$AA$123,$AA$124,$AA$125,$AA$126,$AA$127,$AA$128,$AA$129,$AA$130,$AA$131,$AA$132,$AA$133,$AA$134,$AA$135,$AA$136,$AA$137,$AA$138))))</f>
        <v>18318589</v>
      </c>
      <c r="AB71">
        <f ca="1">IF(ISERROR(IF(SUM($AB$72,$AB$73,$AB$85,$AB$88,$AB$91,$AB$96,$AB$97,$AB$98,$AB$99,$AB$105,$AB$106,$AB$107,$AB$108,$AB$109,$AB$110,$AB$111,$AB$118,$AB$122,$AB$123,$AB$124,$AB$125,$AB$126,$AB$127,$AB$128,$AB$129,$AB$130,$AB$131,$AB$132,$AB$133,$AB$134,$AB$135,$AB$136,$AB$137,$AB$138) = 0, "", SUM($AB$72,$AB$73,$AB$85,$AB$88,$AB$91,$AB$96,$AB$97,$AB$98,$AB$99,$AB$105,$AB$106,$AB$107,$AB$108,$AB$109,$AB$110,$AB$111,$AB$118,$AB$122,$AB$123,$AB$124,$AB$125,$AB$126,$AB$127,$AB$128,$AB$129,$AB$130,$AB$131,$AB$132,$AB$133,$AB$134,$AB$135,$AB$136,$AB$137,$AB$138))), "", (IF(SUM($AB$72,$AB$73,$AB$85,$AB$88,$AB$91,$AB$96,$AB$97,$AB$98,$AB$99,$AB$105,$AB$106,$AB$107,$AB$108,$AB$109,$AB$110,$AB$111,$AB$118,$AB$122,$AB$123,$AB$124,$AB$125,$AB$126,$AB$127,$AB$128,$AB$129,$AB$130,$AB$131,$AB$132,$AB$133,$AB$134,$AB$135,$AB$136,$AB$137,$AB$138) = 0, "", SUM($AB$72,$AB$73,$AB$85,$AB$88,$AB$91,$AB$96,$AB$97,$AB$98,$AB$99,$AB$105,$AB$106,$AB$107,$AB$108,$AB$109,$AB$110,$AB$111,$AB$118,$AB$122,$AB$123,$AB$124,$AB$125,$AB$126,$AB$127,$AB$128,$AB$129,$AB$130,$AB$131,$AB$132,$AB$133,$AB$134,$AB$135,$AB$136,$AB$137,$AB$138))))</f>
        <v>19316153</v>
      </c>
      <c r="AC71">
        <f ca="1">IF(ISERROR(IF(SUM($AC$72,$AC$73,$AC$85,$AC$88,$AC$91,$AC$96,$AC$97,$AC$98,$AC$99,$AC$105,$AC$106,$AC$107,$AC$108,$AC$109,$AC$110,$AC$111,$AC$118,$AC$122,$AC$123,$AC$124,$AC$125,$AC$126,$AC$127,$AC$128,$AC$129,$AC$130,$AC$131,$AC$132,$AC$133,$AC$134,$AC$135,$AC$136,$AC$137,$AC$138) = 0, "", SUM($AC$72,$AC$73,$AC$85,$AC$88,$AC$91,$AC$96,$AC$97,$AC$98,$AC$99,$AC$105,$AC$106,$AC$107,$AC$108,$AC$109,$AC$110,$AC$111,$AC$118,$AC$122,$AC$123,$AC$124,$AC$125,$AC$126,$AC$127,$AC$128,$AC$129,$AC$130,$AC$131,$AC$132,$AC$133,$AC$134,$AC$135,$AC$136,$AC$137,$AC$138))), "", (IF(SUM($AC$72,$AC$73,$AC$85,$AC$88,$AC$91,$AC$96,$AC$97,$AC$98,$AC$99,$AC$105,$AC$106,$AC$107,$AC$108,$AC$109,$AC$110,$AC$111,$AC$118,$AC$122,$AC$123,$AC$124,$AC$125,$AC$126,$AC$127,$AC$128,$AC$129,$AC$130,$AC$131,$AC$132,$AC$133,$AC$134,$AC$135,$AC$136,$AC$137,$AC$138) = 0, "", SUM($AC$72,$AC$73,$AC$85,$AC$88,$AC$91,$AC$96,$AC$97,$AC$98,$AC$99,$AC$105,$AC$106,$AC$107,$AC$108,$AC$109,$AC$110,$AC$111,$AC$118,$AC$122,$AC$123,$AC$124,$AC$125,$AC$126,$AC$127,$AC$128,$AC$129,$AC$130,$AC$131,$AC$132,$AC$133,$AC$134,$AC$135,$AC$136,$AC$137,$AC$138))))</f>
        <v>19717926</v>
      </c>
      <c r="AD71">
        <f ca="1">IF(ISERROR(IF(SUM($AD$72,$AD$73,$AD$85,$AD$88,$AD$91,$AD$96,$AD$97,$AD$98,$AD$99,$AD$105,$AD$106,$AD$107,$AD$108,$AD$109,$AD$110,$AD$111,$AD$118,$AD$122,$AD$123,$AD$124,$AD$125,$AD$126,$AD$127,$AD$128,$AD$129,$AD$130,$AD$131,$AD$132,$AD$133,$AD$134,$AD$135,$AD$136,$AD$137,$AD$138) = 0, "", SUM($AD$72,$AD$73,$AD$85,$AD$88,$AD$91,$AD$96,$AD$97,$AD$98,$AD$99,$AD$105,$AD$106,$AD$107,$AD$108,$AD$109,$AD$110,$AD$111,$AD$118,$AD$122,$AD$123,$AD$124,$AD$125,$AD$126,$AD$127,$AD$128,$AD$129,$AD$130,$AD$131,$AD$132,$AD$133,$AD$134,$AD$135,$AD$136,$AD$137,$AD$138))), "", (IF(SUM($AD$72,$AD$73,$AD$85,$AD$88,$AD$91,$AD$96,$AD$97,$AD$98,$AD$99,$AD$105,$AD$106,$AD$107,$AD$108,$AD$109,$AD$110,$AD$111,$AD$118,$AD$122,$AD$123,$AD$124,$AD$125,$AD$126,$AD$127,$AD$128,$AD$129,$AD$130,$AD$131,$AD$132,$AD$133,$AD$134,$AD$135,$AD$136,$AD$137,$AD$138) = 0, "", SUM($AD$72,$AD$73,$AD$85,$AD$88,$AD$91,$AD$96,$AD$97,$AD$98,$AD$99,$AD$105,$AD$106,$AD$107,$AD$108,$AD$109,$AD$110,$AD$111,$AD$118,$AD$122,$AD$123,$AD$124,$AD$125,$AD$126,$AD$127,$AD$128,$AD$129,$AD$130,$AD$131,$AD$132,$AD$133,$AD$134,$AD$135,$AD$136,$AD$137,$AD$138))))</f>
        <v>19863225</v>
      </c>
      <c r="AE71">
        <f ca="1">IF(ISERROR(IF(SUM($AE$72,$AE$73,$AE$85,$AE$88,$AE$91,$AE$96,$AE$97,$AE$98,$AE$99,$AE$105,$AE$106,$AE$107,$AE$108,$AE$109,$AE$110,$AE$111,$AE$118,$AE$122,$AE$123,$AE$124,$AE$125,$AE$126,$AE$127,$AE$128,$AE$129,$AE$130,$AE$131,$AE$132,$AE$133,$AE$134,$AE$135,$AE$136,$AE$137,$AE$138) = 0, "", SUM($AE$72,$AE$73,$AE$85,$AE$88,$AE$91,$AE$96,$AE$97,$AE$98,$AE$99,$AE$105,$AE$106,$AE$107,$AE$108,$AE$109,$AE$110,$AE$111,$AE$118,$AE$122,$AE$123,$AE$124,$AE$125,$AE$126,$AE$127,$AE$128,$AE$129,$AE$130,$AE$131,$AE$132,$AE$133,$AE$134,$AE$135,$AE$136,$AE$137,$AE$138))), "", (IF(SUM($AE$72,$AE$73,$AE$85,$AE$88,$AE$91,$AE$96,$AE$97,$AE$98,$AE$99,$AE$105,$AE$106,$AE$107,$AE$108,$AE$109,$AE$110,$AE$111,$AE$118,$AE$122,$AE$123,$AE$124,$AE$125,$AE$126,$AE$127,$AE$128,$AE$129,$AE$130,$AE$131,$AE$132,$AE$133,$AE$134,$AE$135,$AE$136,$AE$137,$AE$138) = 0, "", SUM($AE$72,$AE$73,$AE$85,$AE$88,$AE$91,$AE$96,$AE$97,$AE$98,$AE$99,$AE$105,$AE$106,$AE$107,$AE$108,$AE$109,$AE$110,$AE$111,$AE$118,$AE$122,$AE$123,$AE$124,$AE$125,$AE$126,$AE$127,$AE$128,$AE$129,$AE$130,$AE$131,$AE$132,$AE$133,$AE$134,$AE$135,$AE$136,$AE$137,$AE$138))))</f>
        <v>17916334</v>
      </c>
      <c r="AF71">
        <f ca="1">IF(ISERROR(IF(SUM($AF$72,$AF$73,$AF$85,$AF$88,$AF$91,$AF$96,$AF$97,$AF$98,$AF$99,$AF$105,$AF$106,$AF$107,$AF$108,$AF$109,$AF$110,$AF$111,$AF$118,$AF$122,$AF$123,$AF$124,$AF$125,$AF$126,$AF$127,$AF$128,$AF$129,$AF$130,$AF$131,$AF$132,$AF$133,$AF$134,$AF$135,$AF$136,$AF$137,$AF$138) = 0, "", SUM($AF$72,$AF$73,$AF$85,$AF$88,$AF$91,$AF$96,$AF$97,$AF$98,$AF$99,$AF$105,$AF$106,$AF$107,$AF$108,$AF$109,$AF$110,$AF$111,$AF$118,$AF$122,$AF$123,$AF$124,$AF$125,$AF$126,$AF$127,$AF$128,$AF$129,$AF$130,$AF$131,$AF$132,$AF$133,$AF$134,$AF$135,$AF$136,$AF$137,$AF$138))), "", (IF(SUM($AF$72,$AF$73,$AF$85,$AF$88,$AF$91,$AF$96,$AF$97,$AF$98,$AF$99,$AF$105,$AF$106,$AF$107,$AF$108,$AF$109,$AF$110,$AF$111,$AF$118,$AF$122,$AF$123,$AF$124,$AF$125,$AF$126,$AF$127,$AF$128,$AF$129,$AF$130,$AF$131,$AF$132,$AF$133,$AF$134,$AF$135,$AF$136,$AF$137,$AF$138) = 0, "", SUM($AF$72,$AF$73,$AF$85,$AF$88,$AF$91,$AF$96,$AF$97,$AF$98,$AF$99,$AF$105,$AF$106,$AF$107,$AF$108,$AF$109,$AF$110,$AF$111,$AF$118,$AF$122,$AF$123,$AF$124,$AF$125,$AF$126,$AF$127,$AF$128,$AF$129,$AF$130,$AF$131,$AF$132,$AF$133,$AF$134,$AF$135,$AF$136,$AF$137,$AF$138))))</f>
        <v>18425299</v>
      </c>
      <c r="AG71">
        <f ca="1">IF(ISERROR(IF(SUM($AG$72,$AG$73,$AG$85,$AG$88,$AG$91,$AG$96,$AG$97,$AG$98,$AG$99,$AG$105,$AG$106,$AG$107,$AG$108,$AG$109,$AG$110,$AG$111,$AG$118,$AG$122,$AG$123,$AG$124,$AG$125,$AG$126,$AG$127,$AG$128,$AG$129,$AG$130,$AG$131,$AG$132,$AG$133,$AG$134,$AG$135,$AG$136,$AG$137,$AG$138) = 0, "", SUM($AG$72,$AG$73,$AG$85,$AG$88,$AG$91,$AG$96,$AG$97,$AG$98,$AG$99,$AG$105,$AG$106,$AG$107,$AG$108,$AG$109,$AG$110,$AG$111,$AG$118,$AG$122,$AG$123,$AG$124,$AG$125,$AG$126,$AG$127,$AG$128,$AG$129,$AG$130,$AG$131,$AG$132,$AG$133,$AG$134,$AG$135,$AG$136,$AG$137,$AG$138))), "", (IF(SUM($AG$72,$AG$73,$AG$85,$AG$88,$AG$91,$AG$96,$AG$97,$AG$98,$AG$99,$AG$105,$AG$106,$AG$107,$AG$108,$AG$109,$AG$110,$AG$111,$AG$118,$AG$122,$AG$123,$AG$124,$AG$125,$AG$126,$AG$127,$AG$128,$AG$129,$AG$130,$AG$131,$AG$132,$AG$133,$AG$134,$AG$135,$AG$136,$AG$137,$AG$138) = 0, "", SUM($AG$72,$AG$73,$AG$85,$AG$88,$AG$91,$AG$96,$AG$97,$AG$98,$AG$99,$AG$105,$AG$106,$AG$107,$AG$108,$AG$109,$AG$110,$AG$111,$AG$118,$AG$122,$AG$123,$AG$124,$AG$125,$AG$126,$AG$127,$AG$128,$AG$129,$AG$130,$AG$131,$AG$132,$AG$133,$AG$134,$AG$135,$AG$136,$AG$137,$AG$138))))</f>
        <v>19509136</v>
      </c>
      <c r="AH71">
        <f ca="1">IF(ISERROR(IF(SUM($AH$72,$AH$73,$AH$85,$AH$88,$AH$91,$AH$96,$AH$97,$AH$98,$AH$99,$AH$105,$AH$106,$AH$107,$AH$108,$AH$109,$AH$110,$AH$111,$AH$118,$AH$122,$AH$123,$AH$124,$AH$125,$AH$126,$AH$127,$AH$128,$AH$129,$AH$130,$AH$131,$AH$132,$AH$133,$AH$134,$AH$135,$AH$136,$AH$137,$AH$138) = 0, "", SUM($AH$72,$AH$73,$AH$85,$AH$88,$AH$91,$AH$96,$AH$97,$AH$98,$AH$99,$AH$105,$AH$106,$AH$107,$AH$108,$AH$109,$AH$110,$AH$111,$AH$118,$AH$122,$AH$123,$AH$124,$AH$125,$AH$126,$AH$127,$AH$128,$AH$129,$AH$130,$AH$131,$AH$132,$AH$133,$AH$134,$AH$135,$AH$136,$AH$137,$AH$138))), "", (IF(SUM($AH$72,$AH$73,$AH$85,$AH$88,$AH$91,$AH$96,$AH$97,$AH$98,$AH$99,$AH$105,$AH$106,$AH$107,$AH$108,$AH$109,$AH$110,$AH$111,$AH$118,$AH$122,$AH$123,$AH$124,$AH$125,$AH$126,$AH$127,$AH$128,$AH$129,$AH$130,$AH$131,$AH$132,$AH$133,$AH$134,$AH$135,$AH$136,$AH$137,$AH$138) = 0, "", SUM($AH$72,$AH$73,$AH$85,$AH$88,$AH$91,$AH$96,$AH$97,$AH$98,$AH$99,$AH$105,$AH$106,$AH$107,$AH$108,$AH$109,$AH$110,$AH$111,$AH$118,$AH$122,$AH$123,$AH$124,$AH$125,$AH$126,$AH$127,$AH$128,$AH$129,$AH$130,$AH$131,$AH$132,$AH$133,$AH$134,$AH$135,$AH$136,$AH$137,$AH$138))))</f>
        <v>18905800</v>
      </c>
      <c r="AI71">
        <f ca="1">IF(ISERROR(IF(SUM($AI$72,$AI$73,$AI$85,$AI$88,$AI$91,$AI$96,$AI$97,$AI$98,$AI$99,$AI$105,$AI$106,$AI$107,$AI$108,$AI$109,$AI$110,$AI$111,$AI$118,$AI$122,$AI$123,$AI$124,$AI$125,$AI$126,$AI$127,$AI$128,$AI$129,$AI$130,$AI$131,$AI$132,$AI$133,$AI$134,$AI$135,$AI$136,$AI$137,$AI$138) = 0, "", SUM($AI$72,$AI$73,$AI$85,$AI$88,$AI$91,$AI$96,$AI$97,$AI$98,$AI$99,$AI$105,$AI$106,$AI$107,$AI$108,$AI$109,$AI$110,$AI$111,$AI$118,$AI$122,$AI$123,$AI$124,$AI$125,$AI$126,$AI$127,$AI$128,$AI$129,$AI$130,$AI$131,$AI$132,$AI$133,$AI$134,$AI$135,$AI$136,$AI$137,$AI$138))), "", (IF(SUM($AI$72,$AI$73,$AI$85,$AI$88,$AI$91,$AI$96,$AI$97,$AI$98,$AI$99,$AI$105,$AI$106,$AI$107,$AI$108,$AI$109,$AI$110,$AI$111,$AI$118,$AI$122,$AI$123,$AI$124,$AI$125,$AI$126,$AI$127,$AI$128,$AI$129,$AI$130,$AI$131,$AI$132,$AI$133,$AI$134,$AI$135,$AI$136,$AI$137,$AI$138) = 0, "", SUM($AI$72,$AI$73,$AI$85,$AI$88,$AI$91,$AI$96,$AI$97,$AI$98,$AI$99,$AI$105,$AI$106,$AI$107,$AI$108,$AI$109,$AI$110,$AI$111,$AI$118,$AI$122,$AI$123,$AI$124,$AI$125,$AI$126,$AI$127,$AI$128,$AI$129,$AI$130,$AI$131,$AI$132,$AI$133,$AI$134,$AI$135,$AI$136,$AI$137,$AI$138))))</f>
        <v>18000575</v>
      </c>
      <c r="AJ71">
        <f ca="1">IF(ISERROR(IF(SUM($AJ$72,$AJ$73,$AJ$85,$AJ$88,$AJ$91,$AJ$96,$AJ$97,$AJ$98,$AJ$99,$AJ$105,$AJ$106,$AJ$107,$AJ$108,$AJ$109,$AJ$110,$AJ$111,$AJ$118,$AJ$122,$AJ$123,$AJ$124,$AJ$125,$AJ$126,$AJ$127,$AJ$128,$AJ$129,$AJ$130,$AJ$131,$AJ$132,$AJ$133,$AJ$134,$AJ$135,$AJ$136,$AJ$137,$AJ$138) = 0, "", SUM($AJ$72,$AJ$73,$AJ$85,$AJ$88,$AJ$91,$AJ$96,$AJ$97,$AJ$98,$AJ$99,$AJ$105,$AJ$106,$AJ$107,$AJ$108,$AJ$109,$AJ$110,$AJ$111,$AJ$118,$AJ$122,$AJ$123,$AJ$124,$AJ$125,$AJ$126,$AJ$127,$AJ$128,$AJ$129,$AJ$130,$AJ$131,$AJ$132,$AJ$133,$AJ$134,$AJ$135,$AJ$136,$AJ$137,$AJ$138))), "", (IF(SUM($AJ$72,$AJ$73,$AJ$85,$AJ$88,$AJ$91,$AJ$96,$AJ$97,$AJ$98,$AJ$99,$AJ$105,$AJ$106,$AJ$107,$AJ$108,$AJ$109,$AJ$110,$AJ$111,$AJ$118,$AJ$122,$AJ$123,$AJ$124,$AJ$125,$AJ$126,$AJ$127,$AJ$128,$AJ$129,$AJ$130,$AJ$131,$AJ$132,$AJ$133,$AJ$134,$AJ$135,$AJ$136,$AJ$137,$AJ$138) = 0, "", SUM($AJ$72,$AJ$73,$AJ$85,$AJ$88,$AJ$91,$AJ$96,$AJ$97,$AJ$98,$AJ$99,$AJ$105,$AJ$106,$AJ$107,$AJ$108,$AJ$109,$AJ$110,$AJ$111,$AJ$118,$AJ$122,$AJ$123,$AJ$124,$AJ$125,$AJ$126,$AJ$127,$AJ$128,$AJ$129,$AJ$130,$AJ$131,$AJ$132,$AJ$133,$AJ$134,$AJ$135,$AJ$136,$AJ$137,$AJ$138))))</f>
        <v>19123482</v>
      </c>
      <c r="AK71">
        <f ca="1">IF(ISERROR(IF(SUM($AK$72,$AK$73,$AK$85,$AK$88,$AK$91,$AK$96,$AK$97,$AK$98,$AK$99,$AK$105,$AK$106,$AK$107,$AK$108,$AK$109,$AK$110,$AK$111,$AK$118,$AK$122,$AK$123,$AK$124,$AK$125,$AK$126,$AK$127,$AK$128,$AK$129,$AK$130,$AK$131,$AK$132,$AK$133,$AK$134,$AK$135,$AK$136,$AK$137,$AK$138) = 0, "", SUM($AK$72,$AK$73,$AK$85,$AK$88,$AK$91,$AK$96,$AK$97,$AK$98,$AK$99,$AK$105,$AK$106,$AK$107,$AK$108,$AK$109,$AK$110,$AK$111,$AK$118,$AK$122,$AK$123,$AK$124,$AK$125,$AK$126,$AK$127,$AK$128,$AK$129,$AK$130,$AK$131,$AK$132,$AK$133,$AK$134,$AK$135,$AK$136,$AK$137,$AK$138))), "", (IF(SUM($AK$72,$AK$73,$AK$85,$AK$88,$AK$91,$AK$96,$AK$97,$AK$98,$AK$99,$AK$105,$AK$106,$AK$107,$AK$108,$AK$109,$AK$110,$AK$111,$AK$118,$AK$122,$AK$123,$AK$124,$AK$125,$AK$126,$AK$127,$AK$128,$AK$129,$AK$130,$AK$131,$AK$132,$AK$133,$AK$134,$AK$135,$AK$136,$AK$137,$AK$138) = 0, "", SUM($AK$72,$AK$73,$AK$85,$AK$88,$AK$91,$AK$96,$AK$97,$AK$98,$AK$99,$AK$105,$AK$106,$AK$107,$AK$108,$AK$109,$AK$110,$AK$111,$AK$118,$AK$122,$AK$123,$AK$124,$AK$125,$AK$126,$AK$127,$AK$128,$AK$129,$AK$130,$AK$131,$AK$132,$AK$133,$AK$134,$AK$135,$AK$136,$AK$137,$AK$138))))</f>
        <v>18549966</v>
      </c>
      <c r="AL71">
        <f ca="1">IF(ISERROR(IF(SUM($AL$72,$AL$73,$AL$85,$AL$88,$AL$91,$AL$96,$AL$97,$AL$98,$AL$99,$AL$105,$AL$106,$AL$107,$AL$108,$AL$109,$AL$110,$AL$111,$AL$118,$AL$122,$AL$123,$AL$124,$AL$125,$AL$126,$AL$127,$AL$128,$AL$129,$AL$130,$AL$131,$AL$132,$AL$133,$AL$134,$AL$135,$AL$136,$AL$137,$AL$138) = 0, "", SUM($AL$72,$AL$73,$AL$85,$AL$88,$AL$91,$AL$96,$AL$97,$AL$98,$AL$99,$AL$105,$AL$106,$AL$107,$AL$108,$AL$109,$AL$110,$AL$111,$AL$118,$AL$122,$AL$123,$AL$124,$AL$125,$AL$126,$AL$127,$AL$128,$AL$129,$AL$130,$AL$131,$AL$132,$AL$133,$AL$134,$AL$135,$AL$136,$AL$137,$AL$138))), "", (IF(SUM($AL$72,$AL$73,$AL$85,$AL$88,$AL$91,$AL$96,$AL$97,$AL$98,$AL$99,$AL$105,$AL$106,$AL$107,$AL$108,$AL$109,$AL$110,$AL$111,$AL$118,$AL$122,$AL$123,$AL$124,$AL$125,$AL$126,$AL$127,$AL$128,$AL$129,$AL$130,$AL$131,$AL$132,$AL$133,$AL$134,$AL$135,$AL$136,$AL$137,$AL$138) = 0, "", SUM($AL$72,$AL$73,$AL$85,$AL$88,$AL$91,$AL$96,$AL$97,$AL$98,$AL$99,$AL$105,$AL$106,$AL$107,$AL$108,$AL$109,$AL$110,$AL$111,$AL$118,$AL$122,$AL$123,$AL$124,$AL$125,$AL$126,$AL$127,$AL$128,$AL$129,$AL$130,$AL$131,$AL$132,$AL$133,$AL$134,$AL$135,$AL$136,$AL$137,$AL$138))))</f>
        <v>19756359</v>
      </c>
      <c r="AM71">
        <f ca="1">IF(ISERROR(IF(SUM($AM$72,$AM$73,$AM$85,$AM$88,$AM$91,$AM$96,$AM$97,$AM$98,$AM$99,$AM$105,$AM$106,$AM$107,$AM$108,$AM$109,$AM$110,$AM$111,$AM$118,$AM$122,$AM$123,$AM$124,$AM$125,$AM$126,$AM$127,$AM$128,$AM$129,$AM$130,$AM$131,$AM$132,$AM$133,$AM$134,$AM$135,$AM$136,$AM$137,$AM$138) = 0, "", SUM($AM$72,$AM$73,$AM$85,$AM$88,$AM$91,$AM$96,$AM$97,$AM$98,$AM$99,$AM$105,$AM$106,$AM$107,$AM$108,$AM$109,$AM$110,$AM$111,$AM$118,$AM$122,$AM$123,$AM$124,$AM$125,$AM$126,$AM$127,$AM$128,$AM$129,$AM$130,$AM$131,$AM$132,$AM$133,$AM$134,$AM$135,$AM$136,$AM$137,$AM$138))), "", (IF(SUM($AM$72,$AM$73,$AM$85,$AM$88,$AM$91,$AM$96,$AM$97,$AM$98,$AM$99,$AM$105,$AM$106,$AM$107,$AM$108,$AM$109,$AM$110,$AM$111,$AM$118,$AM$122,$AM$123,$AM$124,$AM$125,$AM$126,$AM$127,$AM$128,$AM$129,$AM$130,$AM$131,$AM$132,$AM$133,$AM$134,$AM$135,$AM$136,$AM$137,$AM$138) = 0, "", SUM($AM$72,$AM$73,$AM$85,$AM$88,$AM$91,$AM$96,$AM$97,$AM$98,$AM$99,$AM$105,$AM$106,$AM$107,$AM$108,$AM$109,$AM$110,$AM$111,$AM$118,$AM$122,$AM$123,$AM$124,$AM$125,$AM$126,$AM$127,$AM$128,$AM$129,$AM$130,$AM$131,$AM$132,$AM$133,$AM$134,$AM$135,$AM$136,$AM$137,$AM$138))))</f>
        <v>18791134</v>
      </c>
      <c r="AN71">
        <f ca="1">IF(ISERROR(IF(SUM($AN$72,$AN$73,$AN$85,$AN$88,$AN$91,$AN$96,$AN$97,$AN$98,$AN$99,$AN$105,$AN$106,$AN$107,$AN$108,$AN$109,$AN$110,$AN$111,$AN$118,$AN$122,$AN$123,$AN$124,$AN$125,$AN$126,$AN$127,$AN$128,$AN$129,$AN$130,$AN$131,$AN$132,$AN$133,$AN$134,$AN$135,$AN$136,$AN$137,$AN$138) = 0, "", SUM($AN$72,$AN$73,$AN$85,$AN$88,$AN$91,$AN$96,$AN$97,$AN$98,$AN$99,$AN$105,$AN$106,$AN$107,$AN$108,$AN$109,$AN$110,$AN$111,$AN$118,$AN$122,$AN$123,$AN$124,$AN$125,$AN$126,$AN$127,$AN$128,$AN$129,$AN$130,$AN$131,$AN$132,$AN$133,$AN$134,$AN$135,$AN$136,$AN$137,$AN$138))), "", (IF(SUM($AN$72,$AN$73,$AN$85,$AN$88,$AN$91,$AN$96,$AN$97,$AN$98,$AN$99,$AN$105,$AN$106,$AN$107,$AN$108,$AN$109,$AN$110,$AN$111,$AN$118,$AN$122,$AN$123,$AN$124,$AN$125,$AN$126,$AN$127,$AN$128,$AN$129,$AN$130,$AN$131,$AN$132,$AN$133,$AN$134,$AN$135,$AN$136,$AN$137,$AN$138) = 0, "", SUM($AN$72,$AN$73,$AN$85,$AN$88,$AN$91,$AN$96,$AN$97,$AN$98,$AN$99,$AN$105,$AN$106,$AN$107,$AN$108,$AN$109,$AN$110,$AN$111,$AN$118,$AN$122,$AN$123,$AN$124,$AN$125,$AN$126,$AN$127,$AN$128,$AN$129,$AN$130,$AN$131,$AN$132,$AN$133,$AN$134,$AN$135,$AN$136,$AN$137,$AN$138))))</f>
        <v>18474993</v>
      </c>
      <c r="AO71">
        <f ca="1">IF(ISERROR(IF(SUM($AO$72,$AO$73,$AO$85,$AO$88,$AO$91,$AO$96,$AO$97,$AO$98,$AO$99,$AO$105,$AO$106,$AO$107,$AO$108,$AO$109,$AO$110,$AO$111,$AO$118,$AO$122,$AO$123,$AO$124,$AO$125,$AO$126,$AO$127,$AO$128,$AO$129,$AO$130,$AO$131,$AO$132,$AO$133,$AO$134,$AO$135,$AO$136,$AO$137,$AO$138) = 0, "", SUM($AO$72,$AO$73,$AO$85,$AO$88,$AO$91,$AO$96,$AO$97,$AO$98,$AO$99,$AO$105,$AO$106,$AO$107,$AO$108,$AO$109,$AO$110,$AO$111,$AO$118,$AO$122,$AO$123,$AO$124,$AO$125,$AO$126,$AO$127,$AO$128,$AO$129,$AO$130,$AO$131,$AO$132,$AO$133,$AO$134,$AO$135,$AO$136,$AO$137,$AO$138))), "", (IF(SUM($AO$72,$AO$73,$AO$85,$AO$88,$AO$91,$AO$96,$AO$97,$AO$98,$AO$99,$AO$105,$AO$106,$AO$107,$AO$108,$AO$109,$AO$110,$AO$111,$AO$118,$AO$122,$AO$123,$AO$124,$AO$125,$AO$126,$AO$127,$AO$128,$AO$129,$AO$130,$AO$131,$AO$132,$AO$133,$AO$134,$AO$135,$AO$136,$AO$137,$AO$138) = 0, "", SUM($AO$72,$AO$73,$AO$85,$AO$88,$AO$91,$AO$96,$AO$97,$AO$98,$AO$99,$AO$105,$AO$106,$AO$107,$AO$108,$AO$109,$AO$110,$AO$111,$AO$118,$AO$122,$AO$123,$AO$124,$AO$125,$AO$126,$AO$127,$AO$128,$AO$129,$AO$130,$AO$131,$AO$132,$AO$133,$AO$134,$AO$135,$AO$136,$AO$137,$AO$138))))</f>
        <v>18383180</v>
      </c>
      <c r="AP71">
        <f ca="1">IF(ISERROR(IF(SUM($AP$72,$AP$73,$AP$85,$AP$88,$AP$91,$AP$96,$AP$97,$AP$98,$AP$99,$AP$105,$AP$106,$AP$107,$AP$108,$AP$109,$AP$110,$AP$111,$AP$118,$AP$122,$AP$123,$AP$124,$AP$125,$AP$126,$AP$127,$AP$128,$AP$129,$AP$130,$AP$131,$AP$132,$AP$133,$AP$134,$AP$135,$AP$136,$AP$137,$AP$138) = 0, "", SUM($AP$72,$AP$73,$AP$85,$AP$88,$AP$91,$AP$96,$AP$97,$AP$98,$AP$99,$AP$105,$AP$106,$AP$107,$AP$108,$AP$109,$AP$110,$AP$111,$AP$118,$AP$122,$AP$123,$AP$124,$AP$125,$AP$126,$AP$127,$AP$128,$AP$129,$AP$130,$AP$131,$AP$132,$AP$133,$AP$134,$AP$135,$AP$136,$AP$137,$AP$138))), "", (IF(SUM($AP$72,$AP$73,$AP$85,$AP$88,$AP$91,$AP$96,$AP$97,$AP$98,$AP$99,$AP$105,$AP$106,$AP$107,$AP$108,$AP$109,$AP$110,$AP$111,$AP$118,$AP$122,$AP$123,$AP$124,$AP$125,$AP$126,$AP$127,$AP$128,$AP$129,$AP$130,$AP$131,$AP$132,$AP$133,$AP$134,$AP$135,$AP$136,$AP$137,$AP$138) = 0, "", SUM($AP$72,$AP$73,$AP$85,$AP$88,$AP$91,$AP$96,$AP$97,$AP$98,$AP$99,$AP$105,$AP$106,$AP$107,$AP$108,$AP$109,$AP$110,$AP$111,$AP$118,$AP$122,$AP$123,$AP$124,$AP$125,$AP$126,$AP$127,$AP$128,$AP$129,$AP$130,$AP$131,$AP$132,$AP$133,$AP$134,$AP$135,$AP$136,$AP$137,$AP$138))))</f>
        <v>17767636</v>
      </c>
      <c r="AQ71">
        <f ca="1">IF(ISERROR(IF(SUM($AQ$72,$AQ$73,$AQ$85,$AQ$88,$AQ$91,$AQ$96,$AQ$97,$AQ$98,$AQ$99,$AQ$105,$AQ$106,$AQ$107,$AQ$108,$AQ$109,$AQ$110,$AQ$111,$AQ$118,$AQ$122,$AQ$123,$AQ$124,$AQ$125,$AQ$126,$AQ$127,$AQ$128,$AQ$129,$AQ$130,$AQ$131,$AQ$132,$AQ$133,$AQ$134,$AQ$135,$AQ$136,$AQ$137,$AQ$138) = 0, "", SUM($AQ$72,$AQ$73,$AQ$85,$AQ$88,$AQ$91,$AQ$96,$AQ$97,$AQ$98,$AQ$99,$AQ$105,$AQ$106,$AQ$107,$AQ$108,$AQ$109,$AQ$110,$AQ$111,$AQ$118,$AQ$122,$AQ$123,$AQ$124,$AQ$125,$AQ$126,$AQ$127,$AQ$128,$AQ$129,$AQ$130,$AQ$131,$AQ$132,$AQ$133,$AQ$134,$AQ$135,$AQ$136,$AQ$137,$AQ$138))), "", (IF(SUM($AQ$72,$AQ$73,$AQ$85,$AQ$88,$AQ$91,$AQ$96,$AQ$97,$AQ$98,$AQ$99,$AQ$105,$AQ$106,$AQ$107,$AQ$108,$AQ$109,$AQ$110,$AQ$111,$AQ$118,$AQ$122,$AQ$123,$AQ$124,$AQ$125,$AQ$126,$AQ$127,$AQ$128,$AQ$129,$AQ$130,$AQ$131,$AQ$132,$AQ$133,$AQ$134,$AQ$135,$AQ$136,$AQ$137,$AQ$138) = 0, "", SUM($AQ$72,$AQ$73,$AQ$85,$AQ$88,$AQ$91,$AQ$96,$AQ$97,$AQ$98,$AQ$99,$AQ$105,$AQ$106,$AQ$107,$AQ$108,$AQ$109,$AQ$110,$AQ$111,$AQ$118,$AQ$122,$AQ$123,$AQ$124,$AQ$125,$AQ$126,$AQ$127,$AQ$128,$AQ$129,$AQ$130,$AQ$131,$AQ$132,$AQ$133,$AQ$134,$AQ$135,$AQ$136,$AQ$137,$AQ$138))))</f>
        <v>16205934</v>
      </c>
      <c r="AR71">
        <f ca="1">IF(ISERROR(IF(SUM($AR$72,$AR$73,$AR$85,$AR$88,$AR$91,$AR$96,$AR$97,$AR$98,$AR$99,$AR$105,$AR$106,$AR$107,$AR$108,$AR$109,$AR$110,$AR$111,$AR$118,$AR$122,$AR$123,$AR$124,$AR$125,$AR$126,$AR$127,$AR$128,$AR$129,$AR$130,$AR$131,$AR$132,$AR$133,$AR$134,$AR$135,$AR$136,$AR$137,$AR$138) = 0, "", SUM($AR$72,$AR$73,$AR$85,$AR$88,$AR$91,$AR$96,$AR$97,$AR$98,$AR$99,$AR$105,$AR$106,$AR$107,$AR$108,$AR$109,$AR$110,$AR$111,$AR$118,$AR$122,$AR$123,$AR$124,$AR$125,$AR$126,$AR$127,$AR$128,$AR$129,$AR$130,$AR$131,$AR$132,$AR$133,$AR$134,$AR$135,$AR$136,$AR$137,$AR$138))), "", (IF(SUM($AR$72,$AR$73,$AR$85,$AR$88,$AR$91,$AR$96,$AR$97,$AR$98,$AR$99,$AR$105,$AR$106,$AR$107,$AR$108,$AR$109,$AR$110,$AR$111,$AR$118,$AR$122,$AR$123,$AR$124,$AR$125,$AR$126,$AR$127,$AR$128,$AR$129,$AR$130,$AR$131,$AR$132,$AR$133,$AR$134,$AR$135,$AR$136,$AR$137,$AR$138) = 0, "", SUM($AR$72,$AR$73,$AR$85,$AR$88,$AR$91,$AR$96,$AR$97,$AR$98,$AR$99,$AR$105,$AR$106,$AR$107,$AR$108,$AR$109,$AR$110,$AR$111,$AR$118,$AR$122,$AR$123,$AR$124,$AR$125,$AR$126,$AR$127,$AR$128,$AR$129,$AR$130,$AR$131,$AR$132,$AR$133,$AR$134,$AR$135,$AR$136,$AR$137,$AR$138))))</f>
        <v>15238023</v>
      </c>
      <c r="AS71">
        <f ca="1">IF(ISERROR(IF(SUM($AS$72,$AS$73,$AS$85,$AS$88,$AS$91,$AS$96,$AS$97,$AS$98,$AS$99,$AS$105,$AS$106,$AS$107,$AS$108,$AS$109,$AS$110,$AS$111,$AS$118,$AS$122,$AS$123,$AS$124,$AS$125,$AS$126,$AS$127,$AS$128,$AS$129,$AS$130,$AS$131,$AS$132,$AS$133,$AS$134,$AS$135,$AS$136,$AS$137,$AS$138) = 0, "", SUM($AS$72,$AS$73,$AS$85,$AS$88,$AS$91,$AS$96,$AS$97,$AS$98,$AS$99,$AS$105,$AS$106,$AS$107,$AS$108,$AS$109,$AS$110,$AS$111,$AS$118,$AS$122,$AS$123,$AS$124,$AS$125,$AS$126,$AS$127,$AS$128,$AS$129,$AS$130,$AS$131,$AS$132,$AS$133,$AS$134,$AS$135,$AS$136,$AS$137,$AS$138))), "", (IF(SUM($AS$72,$AS$73,$AS$85,$AS$88,$AS$91,$AS$96,$AS$97,$AS$98,$AS$99,$AS$105,$AS$106,$AS$107,$AS$108,$AS$109,$AS$110,$AS$111,$AS$118,$AS$122,$AS$123,$AS$124,$AS$125,$AS$126,$AS$127,$AS$128,$AS$129,$AS$130,$AS$131,$AS$132,$AS$133,$AS$134,$AS$135,$AS$136,$AS$137,$AS$138) = 0, "", SUM($AS$72,$AS$73,$AS$85,$AS$88,$AS$91,$AS$96,$AS$97,$AS$98,$AS$99,$AS$105,$AS$106,$AS$107,$AS$108,$AS$109,$AS$110,$AS$111,$AS$118,$AS$122,$AS$123,$AS$124,$AS$125,$AS$126,$AS$127,$AS$128,$AS$129,$AS$130,$AS$131,$AS$132,$AS$133,$AS$134,$AS$135,$AS$136,$AS$137,$AS$138))))</f>
        <v>15301226</v>
      </c>
      <c r="AT71">
        <f ca="1">IF(ISERROR(IF(SUM($AT$72,$AT$73,$AT$85,$AT$88,$AT$91,$AT$96,$AT$97,$AT$98,$AT$99,$AT$105,$AT$106,$AT$107,$AT$108,$AT$109,$AT$110,$AT$111,$AT$118,$AT$122,$AT$123,$AT$124,$AT$125,$AT$126,$AT$127,$AT$128,$AT$129,$AT$130,$AT$131,$AT$132,$AT$133,$AT$134,$AT$135,$AT$136,$AT$137,$AT$138) = 0, "", SUM($AT$72,$AT$73,$AT$85,$AT$88,$AT$91,$AT$96,$AT$97,$AT$98,$AT$99,$AT$105,$AT$106,$AT$107,$AT$108,$AT$109,$AT$110,$AT$111,$AT$118,$AT$122,$AT$123,$AT$124,$AT$125,$AT$126,$AT$127,$AT$128,$AT$129,$AT$130,$AT$131,$AT$132,$AT$133,$AT$134,$AT$135,$AT$136,$AT$137,$AT$138))), "", (IF(SUM($AT$72,$AT$73,$AT$85,$AT$88,$AT$91,$AT$96,$AT$97,$AT$98,$AT$99,$AT$105,$AT$106,$AT$107,$AT$108,$AT$109,$AT$110,$AT$111,$AT$118,$AT$122,$AT$123,$AT$124,$AT$125,$AT$126,$AT$127,$AT$128,$AT$129,$AT$130,$AT$131,$AT$132,$AT$133,$AT$134,$AT$135,$AT$136,$AT$137,$AT$138) = 0, "", SUM($AT$72,$AT$73,$AT$85,$AT$88,$AT$91,$AT$96,$AT$97,$AT$98,$AT$99,$AT$105,$AT$106,$AT$107,$AT$108,$AT$109,$AT$110,$AT$111,$AT$118,$AT$122,$AT$123,$AT$124,$AT$125,$AT$126,$AT$127,$AT$128,$AT$129,$AT$130,$AT$131,$AT$132,$AT$133,$AT$134,$AT$135,$AT$136,$AT$137,$AT$138))))</f>
        <v>13799054</v>
      </c>
      <c r="AU71">
        <f ca="1">IF(ISERROR(IF(SUM($AU$72,$AU$73,$AU$85,$AU$88,$AU$91,$AU$96,$AU$97,$AU$98,$AU$99,$AU$105,$AU$106,$AU$107,$AU$108,$AU$109,$AU$110,$AU$111,$AU$118,$AU$122,$AU$123,$AU$124,$AU$125,$AU$126,$AU$127,$AU$128,$AU$129,$AU$130,$AU$131,$AU$132,$AU$133,$AU$134,$AU$135,$AU$136,$AU$137,$AU$138) = 0, "", SUM($AU$72,$AU$73,$AU$85,$AU$88,$AU$91,$AU$96,$AU$97,$AU$98,$AU$99,$AU$105,$AU$106,$AU$107,$AU$108,$AU$109,$AU$110,$AU$111,$AU$118,$AU$122,$AU$123,$AU$124,$AU$125,$AU$126,$AU$127,$AU$128,$AU$129,$AU$130,$AU$131,$AU$132,$AU$133,$AU$134,$AU$135,$AU$136,$AU$137,$AU$138))), "", (IF(SUM($AU$72,$AU$73,$AU$85,$AU$88,$AU$91,$AU$96,$AU$97,$AU$98,$AU$99,$AU$105,$AU$106,$AU$107,$AU$108,$AU$109,$AU$110,$AU$111,$AU$118,$AU$122,$AU$123,$AU$124,$AU$125,$AU$126,$AU$127,$AU$128,$AU$129,$AU$130,$AU$131,$AU$132,$AU$133,$AU$134,$AU$135,$AU$136,$AU$137,$AU$138) = 0, "", SUM($AU$72,$AU$73,$AU$85,$AU$88,$AU$91,$AU$96,$AU$97,$AU$98,$AU$99,$AU$105,$AU$106,$AU$107,$AU$108,$AU$109,$AU$110,$AU$111,$AU$118,$AU$122,$AU$123,$AU$124,$AU$125,$AU$126,$AU$127,$AU$128,$AU$129,$AU$130,$AU$131,$AU$132,$AU$133,$AU$134,$AU$135,$AU$136,$AU$137,$AU$138))))</f>
        <v>13201246</v>
      </c>
      <c r="AV71">
        <f ca="1">IF(ISERROR(IF(SUM($AV$72,$AV$73,$AV$85,$AV$88,$AV$91,$AV$96,$AV$97,$AV$98,$AV$99,$AV$105,$AV$106,$AV$107,$AV$108,$AV$109,$AV$110,$AV$111,$AV$118,$AV$122,$AV$123,$AV$124,$AV$125,$AV$126,$AV$127,$AV$128,$AV$129,$AV$130,$AV$131,$AV$132,$AV$133,$AV$134,$AV$135,$AV$136,$AV$137,$AV$138) = 0, "", SUM($AV$72,$AV$73,$AV$85,$AV$88,$AV$91,$AV$96,$AV$97,$AV$98,$AV$99,$AV$105,$AV$106,$AV$107,$AV$108,$AV$109,$AV$110,$AV$111,$AV$118,$AV$122,$AV$123,$AV$124,$AV$125,$AV$126,$AV$127,$AV$128,$AV$129,$AV$130,$AV$131,$AV$132,$AV$133,$AV$134,$AV$135,$AV$136,$AV$137,$AV$138))), "", (IF(SUM($AV$72,$AV$73,$AV$85,$AV$88,$AV$91,$AV$96,$AV$97,$AV$98,$AV$99,$AV$105,$AV$106,$AV$107,$AV$108,$AV$109,$AV$110,$AV$111,$AV$118,$AV$122,$AV$123,$AV$124,$AV$125,$AV$126,$AV$127,$AV$128,$AV$129,$AV$130,$AV$131,$AV$132,$AV$133,$AV$134,$AV$135,$AV$136,$AV$137,$AV$138) = 0, "", SUM($AV$72,$AV$73,$AV$85,$AV$88,$AV$91,$AV$96,$AV$97,$AV$98,$AV$99,$AV$105,$AV$106,$AV$107,$AV$108,$AV$109,$AV$110,$AV$111,$AV$118,$AV$122,$AV$123,$AV$124,$AV$125,$AV$126,$AV$127,$AV$128,$AV$129,$AV$130,$AV$131,$AV$132,$AV$133,$AV$134,$AV$135,$AV$136,$AV$137,$AV$138))))</f>
        <v>16008121</v>
      </c>
      <c r="AW71">
        <f ca="1">IF(ISERROR(IF(SUM($AW$72,$AW$73,$AW$85,$AW$88,$AW$91,$AW$96,$AW$97,$AW$98,$AW$99,$AW$105,$AW$106,$AW$107,$AW$108,$AW$109,$AW$110,$AW$111,$AW$118,$AW$122,$AW$123,$AW$124,$AW$125,$AW$126,$AW$127,$AW$128,$AW$129,$AW$130,$AW$131,$AW$132,$AW$133,$AW$134,$AW$135,$AW$136,$AW$137,$AW$138) = 0, "", SUM($AW$72,$AW$73,$AW$85,$AW$88,$AW$91,$AW$96,$AW$97,$AW$98,$AW$99,$AW$105,$AW$106,$AW$107,$AW$108,$AW$109,$AW$110,$AW$111,$AW$118,$AW$122,$AW$123,$AW$124,$AW$125,$AW$126,$AW$127,$AW$128,$AW$129,$AW$130,$AW$131,$AW$132,$AW$133,$AW$134,$AW$135,$AW$136,$AW$137,$AW$138))), "", (IF(SUM($AW$72,$AW$73,$AW$85,$AW$88,$AW$91,$AW$96,$AW$97,$AW$98,$AW$99,$AW$105,$AW$106,$AW$107,$AW$108,$AW$109,$AW$110,$AW$111,$AW$118,$AW$122,$AW$123,$AW$124,$AW$125,$AW$126,$AW$127,$AW$128,$AW$129,$AW$130,$AW$131,$AW$132,$AW$133,$AW$134,$AW$135,$AW$136,$AW$137,$AW$138) = 0, "", SUM($AW$72,$AW$73,$AW$85,$AW$88,$AW$91,$AW$96,$AW$97,$AW$98,$AW$99,$AW$105,$AW$106,$AW$107,$AW$108,$AW$109,$AW$110,$AW$111,$AW$118,$AW$122,$AW$123,$AW$124,$AW$125,$AW$126,$AW$127,$AW$128,$AW$129,$AW$130,$AW$131,$AW$132,$AW$133,$AW$134,$AW$135,$AW$136,$AW$137,$AW$138))))</f>
        <v>16600738</v>
      </c>
      <c r="AX71">
        <f ca="1">IF(ISERROR(IF(SUM($AX$72,$AX$73,$AX$85,$AX$88,$AX$91,$AX$96,$AX$97,$AX$98,$AX$99,$AX$105,$AX$106,$AX$107,$AX$108,$AX$109,$AX$110,$AX$111,$AX$118,$AX$122,$AX$123,$AX$124,$AX$125,$AX$126,$AX$127,$AX$128,$AX$129,$AX$130,$AX$131,$AX$132,$AX$133,$AX$134,$AX$135,$AX$136,$AX$137,$AX$138) = 0, "", SUM($AX$72,$AX$73,$AX$85,$AX$88,$AX$91,$AX$96,$AX$97,$AX$98,$AX$99,$AX$105,$AX$106,$AX$107,$AX$108,$AX$109,$AX$110,$AX$111,$AX$118,$AX$122,$AX$123,$AX$124,$AX$125,$AX$126,$AX$127,$AX$128,$AX$129,$AX$130,$AX$131,$AX$132,$AX$133,$AX$134,$AX$135,$AX$136,$AX$137,$AX$138))), "", (IF(SUM($AX$72,$AX$73,$AX$85,$AX$88,$AX$91,$AX$96,$AX$97,$AX$98,$AX$99,$AX$105,$AX$106,$AX$107,$AX$108,$AX$109,$AX$110,$AX$111,$AX$118,$AX$122,$AX$123,$AX$124,$AX$125,$AX$126,$AX$127,$AX$128,$AX$129,$AX$130,$AX$131,$AX$132,$AX$133,$AX$134,$AX$135,$AX$136,$AX$137,$AX$138) = 0, "", SUM($AX$72,$AX$73,$AX$85,$AX$88,$AX$91,$AX$96,$AX$97,$AX$98,$AX$99,$AX$105,$AX$106,$AX$107,$AX$108,$AX$109,$AX$110,$AX$111,$AX$118,$AX$122,$AX$123,$AX$124,$AX$125,$AX$126,$AX$127,$AX$128,$AX$129,$AX$130,$AX$131,$AX$132,$AX$133,$AX$134,$AX$135,$AX$136,$AX$137,$AX$138))))</f>
        <v>16480509</v>
      </c>
      <c r="AY71">
        <f ca="1">IF(ISERROR(IF(SUM($AY$72,$AY$73,$AY$85,$AY$88,$AY$91,$AY$96,$AY$97,$AY$98,$AY$99,$AY$105,$AY$106,$AY$107,$AY$108,$AY$109,$AY$110,$AY$111,$AY$118,$AY$122,$AY$123,$AY$124,$AY$125,$AY$126,$AY$127,$AY$128,$AY$129,$AY$130,$AY$131,$AY$132,$AY$133,$AY$134,$AY$135,$AY$136,$AY$137,$AY$138) = 0, "", SUM($AY$72,$AY$73,$AY$85,$AY$88,$AY$91,$AY$96,$AY$97,$AY$98,$AY$99,$AY$105,$AY$106,$AY$107,$AY$108,$AY$109,$AY$110,$AY$111,$AY$118,$AY$122,$AY$123,$AY$124,$AY$125,$AY$126,$AY$127,$AY$128,$AY$129,$AY$130,$AY$131,$AY$132,$AY$133,$AY$134,$AY$135,$AY$136,$AY$137,$AY$138))), "", (IF(SUM($AY$72,$AY$73,$AY$85,$AY$88,$AY$91,$AY$96,$AY$97,$AY$98,$AY$99,$AY$105,$AY$106,$AY$107,$AY$108,$AY$109,$AY$110,$AY$111,$AY$118,$AY$122,$AY$123,$AY$124,$AY$125,$AY$126,$AY$127,$AY$128,$AY$129,$AY$130,$AY$131,$AY$132,$AY$133,$AY$134,$AY$135,$AY$136,$AY$137,$AY$138) = 0, "", SUM($AY$72,$AY$73,$AY$85,$AY$88,$AY$91,$AY$96,$AY$97,$AY$98,$AY$99,$AY$105,$AY$106,$AY$107,$AY$108,$AY$109,$AY$110,$AY$111,$AY$118,$AY$122,$AY$123,$AY$124,$AY$125,$AY$126,$AY$127,$AY$128,$AY$129,$AY$130,$AY$131,$AY$132,$AY$133,$AY$134,$AY$135,$AY$136,$AY$137,$AY$138))))</f>
        <v>15636638</v>
      </c>
      <c r="AZ71">
        <f ca="1">IF(ISERROR(IF(SUM($AZ$72,$AZ$73,$AZ$85,$AZ$88,$AZ$91,$AZ$96,$AZ$97,$AZ$98,$AZ$99,$AZ$105,$AZ$106,$AZ$107,$AZ$108,$AZ$109,$AZ$110,$AZ$111,$AZ$118,$AZ$122,$AZ$123,$AZ$124,$AZ$125,$AZ$126,$AZ$127,$AZ$128,$AZ$129,$AZ$130,$AZ$131,$AZ$132,$AZ$133,$AZ$134,$AZ$135,$AZ$136,$AZ$137,$AZ$138) = 0, "", SUM($AZ$72,$AZ$73,$AZ$85,$AZ$88,$AZ$91,$AZ$96,$AZ$97,$AZ$98,$AZ$99,$AZ$105,$AZ$106,$AZ$107,$AZ$108,$AZ$109,$AZ$110,$AZ$111,$AZ$118,$AZ$122,$AZ$123,$AZ$124,$AZ$125,$AZ$126,$AZ$127,$AZ$128,$AZ$129,$AZ$130,$AZ$131,$AZ$132,$AZ$133,$AZ$134,$AZ$135,$AZ$136,$AZ$137,$AZ$138))), "", (IF(SUM($AZ$72,$AZ$73,$AZ$85,$AZ$88,$AZ$91,$AZ$96,$AZ$97,$AZ$98,$AZ$99,$AZ$105,$AZ$106,$AZ$107,$AZ$108,$AZ$109,$AZ$110,$AZ$111,$AZ$118,$AZ$122,$AZ$123,$AZ$124,$AZ$125,$AZ$126,$AZ$127,$AZ$128,$AZ$129,$AZ$130,$AZ$131,$AZ$132,$AZ$133,$AZ$134,$AZ$135,$AZ$136,$AZ$137,$AZ$138) = 0, "", SUM($AZ$72,$AZ$73,$AZ$85,$AZ$88,$AZ$91,$AZ$96,$AZ$97,$AZ$98,$AZ$99,$AZ$105,$AZ$106,$AZ$107,$AZ$108,$AZ$109,$AZ$110,$AZ$111,$AZ$118,$AZ$122,$AZ$123,$AZ$124,$AZ$125,$AZ$126,$AZ$127,$AZ$128,$AZ$129,$AZ$130,$AZ$131,$AZ$132,$AZ$133,$AZ$134,$AZ$135,$AZ$136,$AZ$137,$AZ$138))))</f>
        <v>15297956</v>
      </c>
      <c r="BA71">
        <f ca="1">IF(ISERROR(IF(SUM($BA$72,$BA$73,$BA$85,$BA$88,$BA$91,$BA$96,$BA$97,$BA$98,$BA$99,$BA$105,$BA$106,$BA$107,$BA$108,$BA$109,$BA$110,$BA$111,$BA$118,$BA$122,$BA$123,$BA$124,$BA$125,$BA$126,$BA$127,$BA$128,$BA$129,$BA$130,$BA$131,$BA$132,$BA$133,$BA$134,$BA$135,$BA$136,$BA$137,$BA$138) = 0, "", SUM($BA$72,$BA$73,$BA$85,$BA$88,$BA$91,$BA$96,$BA$97,$BA$98,$BA$99,$BA$105,$BA$106,$BA$107,$BA$108,$BA$109,$BA$110,$BA$111,$BA$118,$BA$122,$BA$123,$BA$124,$BA$125,$BA$126,$BA$127,$BA$128,$BA$129,$BA$130,$BA$131,$BA$132,$BA$133,$BA$134,$BA$135,$BA$136,$BA$137,$BA$138))), "", (IF(SUM($BA$72,$BA$73,$BA$85,$BA$88,$BA$91,$BA$96,$BA$97,$BA$98,$BA$99,$BA$105,$BA$106,$BA$107,$BA$108,$BA$109,$BA$110,$BA$111,$BA$118,$BA$122,$BA$123,$BA$124,$BA$125,$BA$126,$BA$127,$BA$128,$BA$129,$BA$130,$BA$131,$BA$132,$BA$133,$BA$134,$BA$135,$BA$136,$BA$137,$BA$138) = 0, "", SUM($BA$72,$BA$73,$BA$85,$BA$88,$BA$91,$BA$96,$BA$97,$BA$98,$BA$99,$BA$105,$BA$106,$BA$107,$BA$108,$BA$109,$BA$110,$BA$111,$BA$118,$BA$122,$BA$123,$BA$124,$BA$125,$BA$126,$BA$127,$BA$128,$BA$129,$BA$130,$BA$131,$BA$132,$BA$133,$BA$134,$BA$135,$BA$136,$BA$137,$BA$138))))</f>
        <v>15640318</v>
      </c>
      <c r="BB71">
        <f ca="1">IF(ISERROR(IF(SUM($BB$72,$BB$73,$BB$85,$BB$88,$BB$91,$BB$96,$BB$97,$BB$98,$BB$99,$BB$105,$BB$106,$BB$107,$BB$108,$BB$109,$BB$110,$BB$111,$BB$118,$BB$122,$BB$123,$BB$124,$BB$125,$BB$126,$BB$127,$BB$128,$BB$129,$BB$130,$BB$131,$BB$132,$BB$133,$BB$134,$BB$135,$BB$136,$BB$137,$BB$138) = 0, "", SUM($BB$72,$BB$73,$BB$85,$BB$88,$BB$91,$BB$96,$BB$97,$BB$98,$BB$99,$BB$105,$BB$106,$BB$107,$BB$108,$BB$109,$BB$110,$BB$111,$BB$118,$BB$122,$BB$123,$BB$124,$BB$125,$BB$126,$BB$127,$BB$128,$BB$129,$BB$130,$BB$131,$BB$132,$BB$133,$BB$134,$BB$135,$BB$136,$BB$137,$BB$138))), "", (IF(SUM($BB$72,$BB$73,$BB$85,$BB$88,$BB$91,$BB$96,$BB$97,$BB$98,$BB$99,$BB$105,$BB$106,$BB$107,$BB$108,$BB$109,$BB$110,$BB$111,$BB$118,$BB$122,$BB$123,$BB$124,$BB$125,$BB$126,$BB$127,$BB$128,$BB$129,$BB$130,$BB$131,$BB$132,$BB$133,$BB$134,$BB$135,$BB$136,$BB$137,$BB$138) = 0, "", SUM($BB$72,$BB$73,$BB$85,$BB$88,$BB$91,$BB$96,$BB$97,$BB$98,$BB$99,$BB$105,$BB$106,$BB$107,$BB$108,$BB$109,$BB$110,$BB$111,$BB$118,$BB$122,$BB$123,$BB$124,$BB$125,$BB$126,$BB$127,$BB$128,$BB$129,$BB$130,$BB$131,$BB$132,$BB$133,$BB$134,$BB$135,$BB$136,$BB$137,$BB$138))))</f>
        <v>15661438</v>
      </c>
      <c r="BC71">
        <f ca="1">IF(ISERROR(IF(SUM($BC$72,$BC$73,$BC$85,$BC$88,$BC$91,$BC$96,$BC$97,$BC$98,$BC$99,$BC$105,$BC$106,$BC$107,$BC$108,$BC$109,$BC$110,$BC$111,$BC$118,$BC$122,$BC$123,$BC$124,$BC$125,$BC$126,$BC$127,$BC$128,$BC$129,$BC$130,$BC$131,$BC$132,$BC$133,$BC$134,$BC$135,$BC$136,$BC$137,$BC$138) = 0, "", SUM($BC$72,$BC$73,$BC$85,$BC$88,$BC$91,$BC$96,$BC$97,$BC$98,$BC$99,$BC$105,$BC$106,$BC$107,$BC$108,$BC$109,$BC$110,$BC$111,$BC$118,$BC$122,$BC$123,$BC$124,$BC$125,$BC$126,$BC$127,$BC$128,$BC$129,$BC$130,$BC$131,$BC$132,$BC$133,$BC$134,$BC$135,$BC$136,$BC$137,$BC$138))), "", (IF(SUM($BC$72,$BC$73,$BC$85,$BC$88,$BC$91,$BC$96,$BC$97,$BC$98,$BC$99,$BC$105,$BC$106,$BC$107,$BC$108,$BC$109,$BC$110,$BC$111,$BC$118,$BC$122,$BC$123,$BC$124,$BC$125,$BC$126,$BC$127,$BC$128,$BC$129,$BC$130,$BC$131,$BC$132,$BC$133,$BC$134,$BC$135,$BC$136,$BC$137,$BC$138) = 0, "", SUM($BC$72,$BC$73,$BC$85,$BC$88,$BC$91,$BC$96,$BC$97,$BC$98,$BC$99,$BC$105,$BC$106,$BC$107,$BC$108,$BC$109,$BC$110,$BC$111,$BC$118,$BC$122,$BC$123,$BC$124,$BC$125,$BC$126,$BC$127,$BC$128,$BC$129,$BC$130,$BC$131,$BC$132,$BC$133,$BC$134,$BC$135,$BC$136,$BC$137,$BC$138))))</f>
        <v>14697428</v>
      </c>
      <c r="BD71">
        <f ca="1">IF(ISERROR(IF(SUM($BD$72,$BD$73,$BD$85,$BD$88,$BD$91,$BD$96,$BD$97,$BD$98,$BD$99,$BD$105,$BD$106,$BD$107,$BD$108,$BD$109,$BD$110,$BD$111,$BD$118,$BD$122,$BD$123,$BD$124,$BD$125,$BD$126,$BD$127,$BD$128,$BD$129,$BD$130,$BD$131,$BD$132,$BD$133,$BD$134,$BD$135,$BD$136,$BD$137,$BD$138) = 0, "", SUM($BD$72,$BD$73,$BD$85,$BD$88,$BD$91,$BD$96,$BD$97,$BD$98,$BD$99,$BD$105,$BD$106,$BD$107,$BD$108,$BD$109,$BD$110,$BD$111,$BD$118,$BD$122,$BD$123,$BD$124,$BD$125,$BD$126,$BD$127,$BD$128,$BD$129,$BD$130,$BD$131,$BD$132,$BD$133,$BD$134,$BD$135,$BD$136,$BD$137,$BD$138))), "", (IF(SUM($BD$72,$BD$73,$BD$85,$BD$88,$BD$91,$BD$96,$BD$97,$BD$98,$BD$99,$BD$105,$BD$106,$BD$107,$BD$108,$BD$109,$BD$110,$BD$111,$BD$118,$BD$122,$BD$123,$BD$124,$BD$125,$BD$126,$BD$127,$BD$128,$BD$129,$BD$130,$BD$131,$BD$132,$BD$133,$BD$134,$BD$135,$BD$136,$BD$137,$BD$138) = 0, "", SUM($BD$72,$BD$73,$BD$85,$BD$88,$BD$91,$BD$96,$BD$97,$BD$98,$BD$99,$BD$105,$BD$106,$BD$107,$BD$108,$BD$109,$BD$110,$BD$111,$BD$118,$BD$122,$BD$123,$BD$124,$BD$125,$BD$126,$BD$127,$BD$128,$BD$129,$BD$130,$BD$131,$BD$132,$BD$133,$BD$134,$BD$135,$BD$136,$BD$137,$BD$138))))</f>
        <v>14638605</v>
      </c>
      <c r="BE71">
        <f ca="1">IF(ISERROR(IF(SUM($BE$72,$BE$73,$BE$85,$BE$88,$BE$91,$BE$96,$BE$97,$BE$98,$BE$99,$BE$105,$BE$106,$BE$107,$BE$108,$BE$109,$BE$110,$BE$111,$BE$118,$BE$122,$BE$123,$BE$124,$BE$125,$BE$126,$BE$127,$BE$128,$BE$129,$BE$130,$BE$131,$BE$132,$BE$133,$BE$134,$BE$135,$BE$136,$BE$137,$BE$138) = 0, "", SUM($BE$72,$BE$73,$BE$85,$BE$88,$BE$91,$BE$96,$BE$97,$BE$98,$BE$99,$BE$105,$BE$106,$BE$107,$BE$108,$BE$109,$BE$110,$BE$111,$BE$118,$BE$122,$BE$123,$BE$124,$BE$125,$BE$126,$BE$127,$BE$128,$BE$129,$BE$130,$BE$131,$BE$132,$BE$133,$BE$134,$BE$135,$BE$136,$BE$137,$BE$138))), "", (IF(SUM($BE$72,$BE$73,$BE$85,$BE$88,$BE$91,$BE$96,$BE$97,$BE$98,$BE$99,$BE$105,$BE$106,$BE$107,$BE$108,$BE$109,$BE$110,$BE$111,$BE$118,$BE$122,$BE$123,$BE$124,$BE$125,$BE$126,$BE$127,$BE$128,$BE$129,$BE$130,$BE$131,$BE$132,$BE$133,$BE$134,$BE$135,$BE$136,$BE$137,$BE$138) = 0, "", SUM($BE$72,$BE$73,$BE$85,$BE$88,$BE$91,$BE$96,$BE$97,$BE$98,$BE$99,$BE$105,$BE$106,$BE$107,$BE$108,$BE$109,$BE$110,$BE$111,$BE$118,$BE$122,$BE$123,$BE$124,$BE$125,$BE$126,$BE$127,$BE$128,$BE$129,$BE$130,$BE$131,$BE$132,$BE$133,$BE$134,$BE$135,$BE$136,$BE$137,$BE$138))))</f>
        <v>15094980</v>
      </c>
      <c r="BF71">
        <f ca="1">IF(ISERROR(IF(SUM($BF$72,$BF$73,$BF$85,$BF$88,$BF$91,$BF$96,$BF$97,$BF$98,$BF$99,$BF$105,$BF$106,$BF$107,$BF$108,$BF$109,$BF$110,$BF$111,$BF$118,$BF$122,$BF$123,$BF$124,$BF$125,$BF$126,$BF$127,$BF$128,$BF$129,$BF$130,$BF$131,$BF$132,$BF$133,$BF$134,$BF$135,$BF$136,$BF$137,$BF$138) = 0, "", SUM($BF$72,$BF$73,$BF$85,$BF$88,$BF$91,$BF$96,$BF$97,$BF$98,$BF$99,$BF$105,$BF$106,$BF$107,$BF$108,$BF$109,$BF$110,$BF$111,$BF$118,$BF$122,$BF$123,$BF$124,$BF$125,$BF$126,$BF$127,$BF$128,$BF$129,$BF$130,$BF$131,$BF$132,$BF$133,$BF$134,$BF$135,$BF$136,$BF$137,$BF$138))), "", (IF(SUM($BF$72,$BF$73,$BF$85,$BF$88,$BF$91,$BF$96,$BF$97,$BF$98,$BF$99,$BF$105,$BF$106,$BF$107,$BF$108,$BF$109,$BF$110,$BF$111,$BF$118,$BF$122,$BF$123,$BF$124,$BF$125,$BF$126,$BF$127,$BF$128,$BF$129,$BF$130,$BF$131,$BF$132,$BF$133,$BF$134,$BF$135,$BF$136,$BF$137,$BF$138) = 0, "", SUM($BF$72,$BF$73,$BF$85,$BF$88,$BF$91,$BF$96,$BF$97,$BF$98,$BF$99,$BF$105,$BF$106,$BF$107,$BF$108,$BF$109,$BF$110,$BF$111,$BF$118,$BF$122,$BF$123,$BF$124,$BF$125,$BF$126,$BF$127,$BF$128,$BF$129,$BF$130,$BF$131,$BF$132,$BF$133,$BF$134,$BF$135,$BF$136,$BF$137,$BF$138))))</f>
        <v>14640420</v>
      </c>
      <c r="BG71">
        <f ca="1">IF(ISERROR(IF(SUM($BG$72,$BG$73,$BG$85,$BG$88,$BG$91,$BG$96,$BG$97,$BG$98,$BG$99,$BG$105,$BG$106,$BG$107,$BG$108,$BG$109,$BG$110,$BG$111,$BG$118,$BG$122,$BG$123,$BG$124,$BG$125,$BG$126,$BG$127,$BG$128,$BG$129,$BG$130,$BG$131,$BG$132,$BG$133,$BG$134,$BG$135,$BG$136,$BG$137,$BG$138) = 0, "", SUM($BG$72,$BG$73,$BG$85,$BG$88,$BG$91,$BG$96,$BG$97,$BG$98,$BG$99,$BG$105,$BG$106,$BG$107,$BG$108,$BG$109,$BG$110,$BG$111,$BG$118,$BG$122,$BG$123,$BG$124,$BG$125,$BG$126,$BG$127,$BG$128,$BG$129,$BG$130,$BG$131,$BG$132,$BG$133,$BG$134,$BG$135,$BG$136,$BG$137,$BG$138))), "", (IF(SUM($BG$72,$BG$73,$BG$85,$BG$88,$BG$91,$BG$96,$BG$97,$BG$98,$BG$99,$BG$105,$BG$106,$BG$107,$BG$108,$BG$109,$BG$110,$BG$111,$BG$118,$BG$122,$BG$123,$BG$124,$BG$125,$BG$126,$BG$127,$BG$128,$BG$129,$BG$130,$BG$131,$BG$132,$BG$133,$BG$134,$BG$135,$BG$136,$BG$137,$BG$138) = 0, "", SUM($BG$72,$BG$73,$BG$85,$BG$88,$BG$91,$BG$96,$BG$97,$BG$98,$BG$99,$BG$105,$BG$106,$BG$107,$BG$108,$BG$109,$BG$110,$BG$111,$BG$118,$BG$122,$BG$123,$BG$124,$BG$125,$BG$126,$BG$127,$BG$128,$BG$129,$BG$130,$BG$131,$BG$132,$BG$133,$BG$134,$BG$135,$BG$136,$BG$137,$BG$138))))</f>
        <v>11546951</v>
      </c>
      <c r="BH71">
        <f ca="1">IF(ISERROR(IF(SUM($BH$72,$BH$73,$BH$85,$BH$88,$BH$91,$BH$96,$BH$97,$BH$98,$BH$99,$BH$105,$BH$106,$BH$107,$BH$108,$BH$109,$BH$110,$BH$111,$BH$118,$BH$122,$BH$123,$BH$124,$BH$125,$BH$126,$BH$127,$BH$128,$BH$129,$BH$130,$BH$131,$BH$132,$BH$133,$BH$134,$BH$135,$BH$136,$BH$137,$BH$138) = 0, "", SUM($BH$72,$BH$73,$BH$85,$BH$88,$BH$91,$BH$96,$BH$97,$BH$98,$BH$99,$BH$105,$BH$106,$BH$107,$BH$108,$BH$109,$BH$110,$BH$111,$BH$118,$BH$122,$BH$123,$BH$124,$BH$125,$BH$126,$BH$127,$BH$128,$BH$129,$BH$130,$BH$131,$BH$132,$BH$133,$BH$134,$BH$135,$BH$136,$BH$137,$BH$138))), "", (IF(SUM($BH$72,$BH$73,$BH$85,$BH$88,$BH$91,$BH$96,$BH$97,$BH$98,$BH$99,$BH$105,$BH$106,$BH$107,$BH$108,$BH$109,$BH$110,$BH$111,$BH$118,$BH$122,$BH$123,$BH$124,$BH$125,$BH$126,$BH$127,$BH$128,$BH$129,$BH$130,$BH$131,$BH$132,$BH$133,$BH$134,$BH$135,$BH$136,$BH$137,$BH$138) = 0, "", SUM($BH$72,$BH$73,$BH$85,$BH$88,$BH$91,$BH$96,$BH$97,$BH$98,$BH$99,$BH$105,$BH$106,$BH$107,$BH$108,$BH$109,$BH$110,$BH$111,$BH$118,$BH$122,$BH$123,$BH$124,$BH$125,$BH$126,$BH$127,$BH$128,$BH$129,$BH$130,$BH$131,$BH$132,$BH$133,$BH$134,$BH$135,$BH$136,$BH$137,$BH$138))))</f>
        <v>10714800</v>
      </c>
      <c r="BI71">
        <f ca="1">IF(ISERROR(IF(SUM($BI$72,$BI$73,$BI$85,$BI$88,$BI$91,$BI$96,$BI$97,$BI$98,$BI$99,$BI$105,$BI$106,$BI$107,$BI$108,$BI$109,$BI$110,$BI$111,$BI$118,$BI$122,$BI$123,$BI$124,$BI$125,$BI$126,$BI$127,$BI$128,$BI$129,$BI$130,$BI$131,$BI$132,$BI$133,$BI$134,$BI$135,$BI$136,$BI$137,$BI$138) = 0, "", SUM($BI$72,$BI$73,$BI$85,$BI$88,$BI$91,$BI$96,$BI$97,$BI$98,$BI$99,$BI$105,$BI$106,$BI$107,$BI$108,$BI$109,$BI$110,$BI$111,$BI$118,$BI$122,$BI$123,$BI$124,$BI$125,$BI$126,$BI$127,$BI$128,$BI$129,$BI$130,$BI$131,$BI$132,$BI$133,$BI$134,$BI$135,$BI$136,$BI$137,$BI$138))), "", (IF(SUM($BI$72,$BI$73,$BI$85,$BI$88,$BI$91,$BI$96,$BI$97,$BI$98,$BI$99,$BI$105,$BI$106,$BI$107,$BI$108,$BI$109,$BI$110,$BI$111,$BI$118,$BI$122,$BI$123,$BI$124,$BI$125,$BI$126,$BI$127,$BI$128,$BI$129,$BI$130,$BI$131,$BI$132,$BI$133,$BI$134,$BI$135,$BI$136,$BI$137,$BI$138) = 0, "", SUM($BI$72,$BI$73,$BI$85,$BI$88,$BI$91,$BI$96,$BI$97,$BI$98,$BI$99,$BI$105,$BI$106,$BI$107,$BI$108,$BI$109,$BI$110,$BI$111,$BI$118,$BI$122,$BI$123,$BI$124,$BI$125,$BI$126,$BI$127,$BI$128,$BI$129,$BI$130,$BI$131,$BI$132,$BI$133,$BI$134,$BI$135,$BI$136,$BI$137,$BI$138))))</f>
        <v>11238211</v>
      </c>
      <c r="BJ71">
        <f ca="1">IF(ISERROR(IF(SUM($BJ$72,$BJ$73,$BJ$85,$BJ$88,$BJ$91,$BJ$96,$BJ$97,$BJ$98,$BJ$99,$BJ$105,$BJ$106,$BJ$107,$BJ$108,$BJ$109,$BJ$110,$BJ$111,$BJ$118,$BJ$122,$BJ$123,$BJ$124,$BJ$125,$BJ$126,$BJ$127,$BJ$128,$BJ$129,$BJ$130,$BJ$131,$BJ$132,$BJ$133,$BJ$134,$BJ$135,$BJ$136,$BJ$137,$BJ$138) = 0, "", SUM($BJ$72,$BJ$73,$BJ$85,$BJ$88,$BJ$91,$BJ$96,$BJ$97,$BJ$98,$BJ$99,$BJ$105,$BJ$106,$BJ$107,$BJ$108,$BJ$109,$BJ$110,$BJ$111,$BJ$118,$BJ$122,$BJ$123,$BJ$124,$BJ$125,$BJ$126,$BJ$127,$BJ$128,$BJ$129,$BJ$130,$BJ$131,$BJ$132,$BJ$133,$BJ$134,$BJ$135,$BJ$136,$BJ$137,$BJ$138))), "", (IF(SUM($BJ$72,$BJ$73,$BJ$85,$BJ$88,$BJ$91,$BJ$96,$BJ$97,$BJ$98,$BJ$99,$BJ$105,$BJ$106,$BJ$107,$BJ$108,$BJ$109,$BJ$110,$BJ$111,$BJ$118,$BJ$122,$BJ$123,$BJ$124,$BJ$125,$BJ$126,$BJ$127,$BJ$128,$BJ$129,$BJ$130,$BJ$131,$BJ$132,$BJ$133,$BJ$134,$BJ$135,$BJ$136,$BJ$137,$BJ$138) = 0, "", SUM($BJ$72,$BJ$73,$BJ$85,$BJ$88,$BJ$91,$BJ$96,$BJ$97,$BJ$98,$BJ$99,$BJ$105,$BJ$106,$BJ$107,$BJ$108,$BJ$109,$BJ$110,$BJ$111,$BJ$118,$BJ$122,$BJ$123,$BJ$124,$BJ$125,$BJ$126,$BJ$127,$BJ$128,$BJ$129,$BJ$130,$BJ$131,$BJ$132,$BJ$133,$BJ$134,$BJ$135,$BJ$136,$BJ$137,$BJ$138))))</f>
        <v>10720111</v>
      </c>
      <c r="BK71">
        <f ca="1">IF(ISERROR(IF(SUM($BK$72,$BK$73,$BK$85,$BK$88,$BK$91,$BK$96,$BK$97,$BK$98,$BK$99,$BK$105,$BK$106,$BK$107,$BK$108,$BK$109,$BK$110,$BK$111,$BK$118,$BK$122,$BK$123,$BK$124,$BK$125,$BK$126,$BK$127,$BK$128,$BK$129,$BK$130,$BK$131,$BK$132,$BK$133,$BK$134,$BK$135,$BK$136,$BK$137,$BK$138) = 0, "", SUM($BK$72,$BK$73,$BK$85,$BK$88,$BK$91,$BK$96,$BK$97,$BK$98,$BK$99,$BK$105,$BK$106,$BK$107,$BK$108,$BK$109,$BK$110,$BK$111,$BK$118,$BK$122,$BK$123,$BK$124,$BK$125,$BK$126,$BK$127,$BK$128,$BK$129,$BK$130,$BK$131,$BK$132,$BK$133,$BK$134,$BK$135,$BK$136,$BK$137,$BK$138))), "", (IF(SUM($BK$72,$BK$73,$BK$85,$BK$88,$BK$91,$BK$96,$BK$97,$BK$98,$BK$99,$BK$105,$BK$106,$BK$107,$BK$108,$BK$109,$BK$110,$BK$111,$BK$118,$BK$122,$BK$123,$BK$124,$BK$125,$BK$126,$BK$127,$BK$128,$BK$129,$BK$130,$BK$131,$BK$132,$BK$133,$BK$134,$BK$135,$BK$136,$BK$137,$BK$138) = 0, "", SUM($BK$72,$BK$73,$BK$85,$BK$88,$BK$91,$BK$96,$BK$97,$BK$98,$BK$99,$BK$105,$BK$106,$BK$107,$BK$108,$BK$109,$BK$110,$BK$111,$BK$118,$BK$122,$BK$123,$BK$124,$BK$125,$BK$126,$BK$127,$BK$128,$BK$129,$BK$130,$BK$131,$BK$132,$BK$133,$BK$134,$BK$135,$BK$136,$BK$137,$BK$138))))</f>
        <v>6831144</v>
      </c>
      <c r="BL71">
        <f ca="1">IF(ISERROR(IF(SUM($BL$72,$BL$73,$BL$85,$BL$88,$BL$91,$BL$96,$BL$97,$BL$98,$BL$99,$BL$105,$BL$106,$BL$107,$BL$108,$BL$109,$BL$110,$BL$111,$BL$118,$BL$122,$BL$123,$BL$124,$BL$125,$BL$126,$BL$127,$BL$128,$BL$129,$BL$130,$BL$131,$BL$132,$BL$133,$BL$134,$BL$135,$BL$136,$BL$137,$BL$138) = 0, "", SUM($BL$72,$BL$73,$BL$85,$BL$88,$BL$91,$BL$96,$BL$97,$BL$98,$BL$99,$BL$105,$BL$106,$BL$107,$BL$108,$BL$109,$BL$110,$BL$111,$BL$118,$BL$122,$BL$123,$BL$124,$BL$125,$BL$126,$BL$127,$BL$128,$BL$129,$BL$130,$BL$131,$BL$132,$BL$133,$BL$134,$BL$135,$BL$136,$BL$137,$BL$138))), "", (IF(SUM($BL$72,$BL$73,$BL$85,$BL$88,$BL$91,$BL$96,$BL$97,$BL$98,$BL$99,$BL$105,$BL$106,$BL$107,$BL$108,$BL$109,$BL$110,$BL$111,$BL$118,$BL$122,$BL$123,$BL$124,$BL$125,$BL$126,$BL$127,$BL$128,$BL$129,$BL$130,$BL$131,$BL$132,$BL$133,$BL$134,$BL$135,$BL$136,$BL$137,$BL$138) = 0, "", SUM($BL$72,$BL$73,$BL$85,$BL$88,$BL$91,$BL$96,$BL$97,$BL$98,$BL$99,$BL$105,$BL$106,$BL$107,$BL$108,$BL$109,$BL$110,$BL$111,$BL$118,$BL$122,$BL$123,$BL$124,$BL$125,$BL$126,$BL$127,$BL$128,$BL$129,$BL$130,$BL$131,$BL$132,$BL$133,$BL$134,$BL$135,$BL$136,$BL$137,$BL$138))))</f>
        <v>6244693</v>
      </c>
      <c r="BM71">
        <f ca="1">IF(ISERROR(IF(SUM($BM$72,$BM$73,$BM$85,$BM$88,$BM$91,$BM$96,$BM$97,$BM$98,$BM$99,$BM$105,$BM$106,$BM$107,$BM$108,$BM$109,$BM$110,$BM$111,$BM$118,$BM$122,$BM$123,$BM$124,$BM$125,$BM$126,$BM$127,$BM$128,$BM$129,$BM$130,$BM$131,$BM$132,$BM$133,$BM$134,$BM$135,$BM$136,$BM$137,$BM$138) = 0, "", SUM($BM$72,$BM$73,$BM$85,$BM$88,$BM$91,$BM$96,$BM$97,$BM$98,$BM$99,$BM$105,$BM$106,$BM$107,$BM$108,$BM$109,$BM$110,$BM$111,$BM$118,$BM$122,$BM$123,$BM$124,$BM$125,$BM$126,$BM$127,$BM$128,$BM$129,$BM$130,$BM$131,$BM$132,$BM$133,$BM$134,$BM$135,$BM$136,$BM$137,$BM$138))), "", (IF(SUM($BM$72,$BM$73,$BM$85,$BM$88,$BM$91,$BM$96,$BM$97,$BM$98,$BM$99,$BM$105,$BM$106,$BM$107,$BM$108,$BM$109,$BM$110,$BM$111,$BM$118,$BM$122,$BM$123,$BM$124,$BM$125,$BM$126,$BM$127,$BM$128,$BM$129,$BM$130,$BM$131,$BM$132,$BM$133,$BM$134,$BM$135,$BM$136,$BM$137,$BM$138) = 0, "", SUM($BM$72,$BM$73,$BM$85,$BM$88,$BM$91,$BM$96,$BM$97,$BM$98,$BM$99,$BM$105,$BM$106,$BM$107,$BM$108,$BM$109,$BM$110,$BM$111,$BM$118,$BM$122,$BM$123,$BM$124,$BM$125,$BM$126,$BM$127,$BM$128,$BM$129,$BM$130,$BM$131,$BM$132,$BM$133,$BM$134,$BM$135,$BM$136,$BM$137,$BM$138))))</f>
        <v>6919330</v>
      </c>
      <c r="BN71" t="str">
        <f>""</f>
        <v/>
      </c>
      <c r="BO71">
        <f>5724364</f>
        <v>5724364</v>
      </c>
      <c r="BP71">
        <f>12798364</f>
        <v>12798364</v>
      </c>
      <c r="BQ71">
        <f>11640873</f>
        <v>11640873</v>
      </c>
      <c r="BR71">
        <f>12435650</f>
        <v>12435650</v>
      </c>
      <c r="BS71">
        <f>16236039</f>
        <v>16236039</v>
      </c>
      <c r="BT71">
        <f>13427093</f>
        <v>13427093</v>
      </c>
      <c r="BU71">
        <f>13334975</f>
        <v>13334975</v>
      </c>
      <c r="BV71">
        <f>15069033</f>
        <v>15069033</v>
      </c>
      <c r="BW71">
        <f>17740156</f>
        <v>17740156</v>
      </c>
      <c r="BX71">
        <f>13764608</f>
        <v>13764608</v>
      </c>
      <c r="BY71">
        <f>15178930</f>
        <v>15178930</v>
      </c>
      <c r="BZ71">
        <f>14789902</f>
        <v>14789902</v>
      </c>
      <c r="CA71">
        <f>20353304</f>
        <v>20353304</v>
      </c>
      <c r="CB71">
        <f>19927140</f>
        <v>19927140</v>
      </c>
      <c r="CC71">
        <f>21207878</f>
        <v>21207878</v>
      </c>
      <c r="CD71">
        <f>20614848</f>
        <v>20614848</v>
      </c>
      <c r="CE71">
        <f>21835410</f>
        <v>21835410</v>
      </c>
      <c r="CF71">
        <f>19906507</f>
        <v>19906507</v>
      </c>
      <c r="CG71">
        <f>21265531</f>
        <v>21265531</v>
      </c>
      <c r="CH71">
        <f>21230946</f>
        <v>21230946</v>
      </c>
      <c r="CI71">
        <f>18318589</f>
        <v>18318589</v>
      </c>
      <c r="CJ71">
        <f>19316153</f>
        <v>19316153</v>
      </c>
      <c r="CK71">
        <f>19717926</f>
        <v>19717926</v>
      </c>
      <c r="CL71">
        <f>19863225</f>
        <v>19863225</v>
      </c>
      <c r="CM71">
        <f>17916334</f>
        <v>17916334</v>
      </c>
      <c r="CN71">
        <f>18425299</f>
        <v>18425299</v>
      </c>
      <c r="CO71">
        <f>19509136</f>
        <v>19509136</v>
      </c>
      <c r="CP71">
        <f>18905800</f>
        <v>18905800</v>
      </c>
      <c r="CQ71">
        <f>18000575</f>
        <v>18000575</v>
      </c>
      <c r="CR71">
        <f>19123482</f>
        <v>19123482</v>
      </c>
      <c r="CS71">
        <f>18549966</f>
        <v>18549966</v>
      </c>
      <c r="CT71">
        <f>19756359</f>
        <v>19756359</v>
      </c>
      <c r="CU71">
        <f>18791134</f>
        <v>18791134</v>
      </c>
      <c r="CV71">
        <f>18474993</f>
        <v>18474993</v>
      </c>
      <c r="CW71">
        <f>18383180</f>
        <v>18383180</v>
      </c>
      <c r="CX71">
        <f>17767636</f>
        <v>17767636</v>
      </c>
      <c r="CY71">
        <f>16205934</f>
        <v>16205934</v>
      </c>
      <c r="CZ71">
        <f>15238023</f>
        <v>15238023</v>
      </c>
      <c r="DA71">
        <f>15301226</f>
        <v>15301226</v>
      </c>
      <c r="DB71">
        <f>13799054</f>
        <v>13799054</v>
      </c>
      <c r="DC71">
        <f>13201246</f>
        <v>13201246</v>
      </c>
      <c r="DD71">
        <f>16008121</f>
        <v>16008121</v>
      </c>
      <c r="DE71">
        <f>16600738</f>
        <v>16600738</v>
      </c>
      <c r="DF71">
        <f>16480509</f>
        <v>16480509</v>
      </c>
      <c r="DG71">
        <f>15636638</f>
        <v>15636638</v>
      </c>
      <c r="DH71">
        <f>15297956</f>
        <v>15297956</v>
      </c>
      <c r="DI71">
        <f>15640318</f>
        <v>15640318</v>
      </c>
      <c r="DJ71">
        <f>15661438</f>
        <v>15661438</v>
      </c>
      <c r="DK71">
        <f>14697428</f>
        <v>14697428</v>
      </c>
      <c r="DL71">
        <f>14638605</f>
        <v>14638605</v>
      </c>
      <c r="DM71">
        <f>15094980</f>
        <v>15094980</v>
      </c>
      <c r="DN71">
        <f>14640420</f>
        <v>14640420</v>
      </c>
      <c r="DO71">
        <f>11760416</f>
        <v>11760416</v>
      </c>
      <c r="DP71">
        <f>10925200</f>
        <v>10925200</v>
      </c>
      <c r="DQ71">
        <f>11459828</f>
        <v>11459828</v>
      </c>
      <c r="DR71">
        <f>10899496</f>
        <v>10899496</v>
      </c>
      <c r="DS71">
        <f>7022183</f>
        <v>7022183</v>
      </c>
      <c r="DT71">
        <f>6455093</f>
        <v>6455093</v>
      </c>
      <c r="DU71">
        <f>7104267</f>
        <v>7104267</v>
      </c>
    </row>
    <row r="72" spans="1:125" x14ac:dyDescent="0.25">
      <c r="A72" t="str">
        <f>"    Toyota Motor Corp"</f>
        <v xml:space="preserve">    Toyota Motor Corp</v>
      </c>
      <c r="B72" t="str">
        <f>"7203 JP Equity"</f>
        <v>7203 JP Equity</v>
      </c>
      <c r="E72" t="str">
        <f>"Static"</f>
        <v>Static</v>
      </c>
      <c r="F72" t="str">
        <f t="shared" ref="F72:AK72" ca="1" si="9">HLOOKUP(INDIRECT(ADDRESS(2,COLUMN())),OFFSET($BN$2,0,0,ROW()-1,60),ROW()-1,FALSE)</f>
        <v/>
      </c>
      <c r="G72" t="str">
        <f t="shared" ca="1" si="9"/>
        <v/>
      </c>
      <c r="H72" t="str">
        <f t="shared" ca="1" si="9"/>
        <v/>
      </c>
      <c r="I72" t="str">
        <f t="shared" ca="1" si="9"/>
        <v/>
      </c>
      <c r="J72" t="str">
        <f t="shared" ca="1" si="9"/>
        <v/>
      </c>
      <c r="K72" t="str">
        <f t="shared" ca="1" si="9"/>
        <v/>
      </c>
      <c r="L72" t="str">
        <f t="shared" ca="1" si="9"/>
        <v/>
      </c>
      <c r="M72" t="str">
        <f t="shared" ca="1" si="9"/>
        <v/>
      </c>
      <c r="N72" t="str">
        <f t="shared" ca="1" si="9"/>
        <v/>
      </c>
      <c r="O72" t="str">
        <f t="shared" ca="1" si="9"/>
        <v/>
      </c>
      <c r="P72" t="str">
        <f t="shared" ca="1" si="9"/>
        <v/>
      </c>
      <c r="Q72" t="str">
        <f t="shared" ca="1" si="9"/>
        <v/>
      </c>
      <c r="R72" t="str">
        <f t="shared" ca="1" si="9"/>
        <v/>
      </c>
      <c r="S72" t="str">
        <f t="shared" ca="1" si="9"/>
        <v/>
      </c>
      <c r="T72">
        <f t="shared" ca="1" si="9"/>
        <v>2477000</v>
      </c>
      <c r="U72">
        <f t="shared" ca="1" si="9"/>
        <v>2480000</v>
      </c>
      <c r="V72">
        <f t="shared" ca="1" si="9"/>
        <v>2520000</v>
      </c>
      <c r="W72">
        <f t="shared" ca="1" si="9"/>
        <v>2615000</v>
      </c>
      <c r="X72">
        <f t="shared" ca="1" si="9"/>
        <v>2519000</v>
      </c>
      <c r="Y72">
        <f t="shared" ca="1" si="9"/>
        <v>2513000</v>
      </c>
      <c r="Z72">
        <f t="shared" ca="1" si="9"/>
        <v>2583000</v>
      </c>
      <c r="AA72">
        <f t="shared" ca="1" si="9"/>
        <v>2568000</v>
      </c>
      <c r="AB72">
        <f t="shared" ca="1" si="9"/>
        <v>2501000</v>
      </c>
      <c r="AC72">
        <f t="shared" ca="1" si="9"/>
        <v>2480000</v>
      </c>
      <c r="AD72">
        <f t="shared" ca="1" si="9"/>
        <v>2430000</v>
      </c>
      <c r="AE72">
        <f t="shared" ca="1" si="9"/>
        <v>2345000</v>
      </c>
      <c r="AF72">
        <f t="shared" ca="1" si="9"/>
        <v>2432000</v>
      </c>
      <c r="AG72">
        <f t="shared" ca="1" si="9"/>
        <v>2485000</v>
      </c>
      <c r="AH72">
        <f t="shared" ca="1" si="9"/>
        <v>2485000</v>
      </c>
      <c r="AI72">
        <f t="shared" ca="1" si="9"/>
        <v>2174000</v>
      </c>
      <c r="AJ72">
        <f t="shared" ca="1" si="9"/>
        <v>2058000</v>
      </c>
      <c r="AK72">
        <f t="shared" ca="1" si="9"/>
        <v>1616000</v>
      </c>
      <c r="AL72">
        <f t="shared" ref="AL72:BM72" ca="1" si="10">HLOOKUP(INDIRECT(ADDRESS(2,COLUMN())),OFFSET($BN$2,0,0,ROW()-1,60),ROW()-1,FALSE)</f>
        <v>2099000</v>
      </c>
      <c r="AM72">
        <f t="shared" ca="1" si="10"/>
        <v>2086000</v>
      </c>
      <c r="AN72">
        <f t="shared" ca="1" si="10"/>
        <v>2166000</v>
      </c>
      <c r="AO72">
        <f t="shared" ca="1" si="10"/>
        <v>2072000</v>
      </c>
      <c r="AP72">
        <f t="shared" ca="1" si="10"/>
        <v>2093000</v>
      </c>
      <c r="AQ72">
        <f t="shared" ca="1" si="10"/>
        <v>2167000</v>
      </c>
      <c r="AR72">
        <f t="shared" ca="1" si="10"/>
        <v>2081000</v>
      </c>
      <c r="AS72">
        <f t="shared" ca="1" si="10"/>
        <v>1796000</v>
      </c>
      <c r="AT72">
        <f t="shared" ca="1" si="10"/>
        <v>1768000</v>
      </c>
      <c r="AU72">
        <f t="shared" ca="1" si="10"/>
        <v>1920000</v>
      </c>
      <c r="AV72">
        <f t="shared" ca="1" si="10"/>
        <v>2233000</v>
      </c>
      <c r="AW72">
        <f t="shared" ca="1" si="10"/>
        <v>2406000</v>
      </c>
      <c r="AX72">
        <f t="shared" ca="1" si="10"/>
        <v>2413000</v>
      </c>
      <c r="AY72">
        <f t="shared" ca="1" si="10"/>
        <v>2316000</v>
      </c>
      <c r="AZ72">
        <f t="shared" ca="1" si="10"/>
        <v>2336000</v>
      </c>
      <c r="BA72">
        <f t="shared" ca="1" si="10"/>
        <v>2365000</v>
      </c>
      <c r="BB72">
        <f t="shared" ca="1" si="10"/>
        <v>2345000</v>
      </c>
      <c r="BC72">
        <f t="shared" ca="1" si="10"/>
        <v>2200000</v>
      </c>
      <c r="BD72">
        <f t="shared" ca="1" si="10"/>
        <v>2252000</v>
      </c>
      <c r="BE72">
        <f t="shared" ca="1" si="10"/>
        <v>2208000</v>
      </c>
      <c r="BF72">
        <f t="shared" ca="1" si="10"/>
        <v>2152000</v>
      </c>
      <c r="BG72">
        <f t="shared" ca="1" si="10"/>
        <v>2007000</v>
      </c>
      <c r="BH72">
        <f t="shared" ca="1" si="10"/>
        <v>2035000</v>
      </c>
      <c r="BI72">
        <f t="shared" ca="1" si="10"/>
        <v>2058000</v>
      </c>
      <c r="BJ72">
        <f t="shared" ca="1" si="10"/>
        <v>2017000</v>
      </c>
      <c r="BK72" t="str">
        <f t="shared" ca="1" si="10"/>
        <v/>
      </c>
      <c r="BL72" t="str">
        <f t="shared" ca="1" si="10"/>
        <v/>
      </c>
      <c r="BM72" t="str">
        <f t="shared" ca="1" si="10"/>
        <v/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>
        <f>2477000</f>
        <v>2477000</v>
      </c>
      <c r="CC72">
        <f>2480000</f>
        <v>2480000</v>
      </c>
      <c r="CD72">
        <f>2520000</f>
        <v>2520000</v>
      </c>
      <c r="CE72">
        <f>2615000</f>
        <v>2615000</v>
      </c>
      <c r="CF72">
        <f>2519000</f>
        <v>2519000</v>
      </c>
      <c r="CG72">
        <f>2513000</f>
        <v>2513000</v>
      </c>
      <c r="CH72">
        <f>2583000</f>
        <v>2583000</v>
      </c>
      <c r="CI72">
        <f>2568000</f>
        <v>2568000</v>
      </c>
      <c r="CJ72">
        <f>2501000</f>
        <v>2501000</v>
      </c>
      <c r="CK72">
        <f>2480000</f>
        <v>2480000</v>
      </c>
      <c r="CL72">
        <f>2430000</f>
        <v>2430000</v>
      </c>
      <c r="CM72">
        <f>2345000</f>
        <v>2345000</v>
      </c>
      <c r="CN72">
        <f>2432000</f>
        <v>2432000</v>
      </c>
      <c r="CO72">
        <f>2485000</f>
        <v>2485000</v>
      </c>
      <c r="CP72">
        <f>2485000</f>
        <v>2485000</v>
      </c>
      <c r="CQ72">
        <f>2174000</f>
        <v>2174000</v>
      </c>
      <c r="CR72">
        <f>2058000</f>
        <v>2058000</v>
      </c>
      <c r="CS72">
        <f>1616000</f>
        <v>1616000</v>
      </c>
      <c r="CT72">
        <f>2099000</f>
        <v>2099000</v>
      </c>
      <c r="CU72">
        <f>2086000</f>
        <v>2086000</v>
      </c>
      <c r="CV72">
        <f>2166000</f>
        <v>2166000</v>
      </c>
      <c r="CW72">
        <f>2072000</f>
        <v>2072000</v>
      </c>
      <c r="CX72">
        <f>2093000</f>
        <v>2093000</v>
      </c>
      <c r="CY72">
        <f>2167000</f>
        <v>2167000</v>
      </c>
      <c r="CZ72">
        <f>2081000</f>
        <v>2081000</v>
      </c>
      <c r="DA72">
        <f>1796000</f>
        <v>1796000</v>
      </c>
      <c r="DB72">
        <f>1768000</f>
        <v>1768000</v>
      </c>
      <c r="DC72">
        <f>1920000</f>
        <v>1920000</v>
      </c>
      <c r="DD72">
        <f>2233000</f>
        <v>2233000</v>
      </c>
      <c r="DE72">
        <f>2406000</f>
        <v>2406000</v>
      </c>
      <c r="DF72">
        <f>2413000</f>
        <v>2413000</v>
      </c>
      <c r="DG72">
        <f>2316000</f>
        <v>2316000</v>
      </c>
      <c r="DH72">
        <f>2336000</f>
        <v>2336000</v>
      </c>
      <c r="DI72">
        <f>2365000</f>
        <v>2365000</v>
      </c>
      <c r="DJ72">
        <f>2345000</f>
        <v>2345000</v>
      </c>
      <c r="DK72">
        <f>2200000</f>
        <v>2200000</v>
      </c>
      <c r="DL72">
        <f>2252000</f>
        <v>2252000</v>
      </c>
      <c r="DM72">
        <f>2208000</f>
        <v>2208000</v>
      </c>
      <c r="DN72">
        <f>2152000</f>
        <v>2152000</v>
      </c>
      <c r="DO72">
        <f>2007000</f>
        <v>2007000</v>
      </c>
      <c r="DP72">
        <f>2035000</f>
        <v>2035000</v>
      </c>
      <c r="DQ72">
        <f>2058000</f>
        <v>2058000</v>
      </c>
      <c r="DR72">
        <f>2017000</f>
        <v>2017000</v>
      </c>
      <c r="DS72" t="str">
        <f>""</f>
        <v/>
      </c>
      <c r="DT72" t="str">
        <f>""</f>
        <v/>
      </c>
      <c r="DU72" t="str">
        <f>""</f>
        <v/>
      </c>
    </row>
    <row r="73" spans="1:125" x14ac:dyDescent="0.25">
      <c r="A73" t="str">
        <f>"    Volkswagen AG"</f>
        <v xml:space="preserve">    Volkswagen AG</v>
      </c>
      <c r="B73" t="str">
        <f t="shared" ref="B73:B84" si="11">"VOW GR Equity"</f>
        <v>VOW GR Equity</v>
      </c>
      <c r="C73" t="str">
        <f>"FS265"</f>
        <v>FS265</v>
      </c>
      <c r="D73" t="str">
        <f>"AUTO_VEHICLES_SOLD_WW"</f>
        <v>AUTO_VEHICLES_SOLD_WW</v>
      </c>
      <c r="E73" t="str">
        <f t="shared" ref="E73:E84" si="12">"Dynamic"</f>
        <v>Dynamic</v>
      </c>
      <c r="F73" t="str">
        <f ca="1">IF(AND(ISNUMBER($F$218),$B$156=1),$F$218,HLOOKUP(INDIRECT(ADDRESS(2,COLUMN())),OFFSET($BN$2,0,0,ROW()-1,60),ROW()-1,FALSE))</f>
        <v/>
      </c>
      <c r="G73" t="str">
        <f ca="1">IF(AND(ISNUMBER($G$218),$B$156=1),$G$218,HLOOKUP(INDIRECT(ADDRESS(2,COLUMN())),OFFSET($BN$2,0,0,ROW()-1,60),ROW()-1,FALSE))</f>
        <v/>
      </c>
      <c r="H73">
        <f ca="1">IF(AND(ISNUMBER($H$218),$B$156=1),$H$218,HLOOKUP(INDIRECT(ADDRESS(2,COLUMN())),OFFSET($BN$2,0,0,ROW()-1,60),ROW()-1,FALSE))</f>
        <v>2723398</v>
      </c>
      <c r="I73">
        <f ca="1">IF(AND(ISNUMBER($I$218),$B$156=1),$I$218,HLOOKUP(INDIRECT(ADDRESS(2,COLUMN())),OFFSET($BN$2,0,0,ROW()-1,60),ROW()-1,FALSE))</f>
        <v>2727077</v>
      </c>
      <c r="J73">
        <f ca="1">IF(AND(ISNUMBER($J$218),$B$156=1),$J$218,HLOOKUP(INDIRECT(ADDRESS(2,COLUMN())),OFFSET($BN$2,0,0,ROW()-1,60),ROW()-1,FALSE))</f>
        <v>2679775</v>
      </c>
      <c r="K73">
        <f ca="1">IF(AND(ISNUMBER($K$218),$B$156=1),$K$218,HLOOKUP(INDIRECT(ADDRESS(2,COLUMN())),OFFSET($BN$2,0,0,ROW()-1,60),ROW()-1,FALSE))</f>
        <v>2934783</v>
      </c>
      <c r="L73">
        <f ca="1">IF(AND(ISNUMBER($L$218),$B$156=1),$L$218,HLOOKUP(INDIRECT(ADDRESS(2,COLUMN())),OFFSET($BN$2,0,0,ROW()-1,60),ROW()-1,FALSE))</f>
        <v>2650670</v>
      </c>
      <c r="M73">
        <f ca="1">IF(AND(ISNUMBER($M$218),$B$156=1),$M$218,HLOOKUP(INDIRECT(ADDRESS(2,COLUMN())),OFFSET($BN$2,0,0,ROW()-1,60),ROW()-1,FALSE))</f>
        <v>2564040</v>
      </c>
      <c r="N73">
        <f ca="1">IF(AND(ISNUMBER($N$218),$B$156=1),$N$218,HLOOKUP(INDIRECT(ADDRESS(2,COLUMN())),OFFSET($BN$2,0,0,ROW()-1,60),ROW()-1,FALSE))</f>
        <v>2495078</v>
      </c>
      <c r="O73">
        <f ca="1">IF(AND(ISNUMBER($O$218),$B$156=1),$O$218,HLOOKUP(INDIRECT(ADDRESS(2,COLUMN())),OFFSET($BN$2,0,0,ROW()-1,60),ROW()-1,FALSE))</f>
        <v>2687644</v>
      </c>
      <c r="P73">
        <f ca="1">IF(AND(ISNUMBER($P$218),$B$156=1),$P$218,HLOOKUP(INDIRECT(ADDRESS(2,COLUMN())),OFFSET($BN$2,0,0,ROW()-1,60),ROW()-1,FALSE))</f>
        <v>2492534</v>
      </c>
      <c r="Q73">
        <f ca="1">IF(AND(ISNUMBER($Q$218),$B$156=1),$Q$218,HLOOKUP(INDIRECT(ADDRESS(2,COLUMN())),OFFSET($BN$2,0,0,ROW()-1,60),ROW()-1,FALSE))</f>
        <v>2608526</v>
      </c>
      <c r="R73">
        <f ca="1">IF(AND(ISNUMBER($R$218),$B$156=1),$R$218,HLOOKUP(INDIRECT(ADDRESS(2,COLUMN())),OFFSET($BN$2,0,0,ROW()-1,60),ROW()-1,FALSE))</f>
        <v>2508293</v>
      </c>
      <c r="S73">
        <f ca="1">IF(AND(ISNUMBER($S$218),$B$156=1),$S$218,HLOOKUP(INDIRECT(ADDRESS(2,COLUMN())),OFFSET($BN$2,0,0,ROW()-1,60),ROW()-1,FALSE))</f>
        <v>2499792</v>
      </c>
      <c r="T73">
        <f ca="1">IF(AND(ISNUMBER($T$218),$B$156=1),$T$218,HLOOKUP(INDIRECT(ADDRESS(2,COLUMN())),OFFSET($BN$2,0,0,ROW()-1,60),ROW()-1,FALSE))</f>
        <v>2391516</v>
      </c>
      <c r="U73">
        <f ca="1">IF(AND(ISNUMBER($U$218),$B$156=1),$U$218,HLOOKUP(INDIRECT(ADDRESS(2,COLUMN())),OFFSET($BN$2,0,0,ROW()-1,60),ROW()-1,FALSE))</f>
        <v>2552000</v>
      </c>
      <c r="V73">
        <f ca="1">IF(AND(ISNUMBER($V$218),$B$156=1),$V$218,HLOOKUP(INDIRECT(ADDRESS(2,COLUMN())),OFFSET($BN$2,0,0,ROW()-1,60),ROW()-1,FALSE))</f>
        <v>2490000</v>
      </c>
      <c r="W73">
        <f ca="1">IF(AND(ISNUMBER($W$218),$B$156=1),$W$218,HLOOKUP(INDIRECT(ADDRESS(2,COLUMN())),OFFSET($BN$2,0,0,ROW()-1,60),ROW()-1,FALSE))</f>
        <v>2595000</v>
      </c>
      <c r="X73">
        <f ca="1">IF(AND(ISNUMBER($X$218),$B$156=1),$X$218,HLOOKUP(INDIRECT(ADDRESS(2,COLUMN())),OFFSET($BN$2,0,0,ROW()-1,60),ROW()-1,FALSE))</f>
        <v>2476324</v>
      </c>
      <c r="Y73">
        <f ca="1">IF(AND(ISNUMBER($Y$218),$B$156=1),$Y$218,HLOOKUP(INDIRECT(ADDRESS(2,COLUMN())),OFFSET($BN$2,0,0,ROW()-1,60),ROW()-1,FALSE))</f>
        <v>2626592</v>
      </c>
      <c r="Z73">
        <f ca="1">IF(AND(ISNUMBER($Z$218),$B$156=1),$Z$218,HLOOKUP(INDIRECT(ADDRESS(2,COLUMN())),OFFSET($BN$2,0,0,ROW()-1,60),ROW()-1,FALSE))</f>
        <v>2442275</v>
      </c>
      <c r="AA73">
        <f ca="1">IF(AND(ISNUMBER($AA$218),$B$156=1),$AA$218,HLOOKUP(INDIRECT(ADDRESS(2,COLUMN())),OFFSET($BN$2,0,0,ROW()-1,60),ROW()-1,FALSE))</f>
        <v>2214963</v>
      </c>
      <c r="AB73">
        <f ca="1">IF(AND(ISNUMBER($AB$218),$B$156=1),$AB$218,HLOOKUP(INDIRECT(ADDRESS(2,COLUMN())),OFFSET($BN$2,0,0,ROW()-1,60),ROW()-1,FALSE))</f>
        <v>2386612</v>
      </c>
      <c r="AC73">
        <f ca="1">IF(AND(ISNUMBER($AC$218),$B$156=1),$AC$218,HLOOKUP(INDIRECT(ADDRESS(2,COLUMN())),OFFSET($BN$2,0,0,ROW()-1,60),ROW()-1,FALSE))</f>
        <v>2484325</v>
      </c>
      <c r="AD73">
        <f ca="1">IF(AND(ISNUMBER($AD$218),$B$156=1),$AD$218,HLOOKUP(INDIRECT(ADDRESS(2,COLUMN())),OFFSET($BN$2,0,0,ROW()-1,60),ROW()-1,FALSE))</f>
        <v>2314100</v>
      </c>
      <c r="AE73">
        <f ca="1">IF(AND(ISNUMBER($AE$218),$B$156=1),$AE$218,HLOOKUP(INDIRECT(ADDRESS(2,COLUMN())),OFFSET($BN$2,0,0,ROW()-1,60),ROW()-1,FALSE))</f>
        <v>2421203</v>
      </c>
      <c r="AF73">
        <f ca="1">IF(AND(ISNUMBER($AF$218),$B$156=1),$AF$218,HLOOKUP(INDIRECT(ADDRESS(2,COLUMN())),OFFSET($BN$2,0,0,ROW()-1,60),ROW()-1,FALSE))</f>
        <v>2302623</v>
      </c>
      <c r="AG73">
        <f ca="1">IF(AND(ISNUMBER($AG$218),$B$156=1),$AG$218,HLOOKUP(INDIRECT(ADDRESS(2,COLUMN())),OFFSET($BN$2,0,0,ROW()-1,60),ROW()-1,FALSE))</f>
        <v>2343461</v>
      </c>
      <c r="AH73">
        <f ca="1">IF(AND(ISNUMBER($AH$218),$B$156=1),$AH$218,HLOOKUP(INDIRECT(ADDRESS(2,COLUMN())),OFFSET($BN$2,0,0,ROW()-1,60),ROW()-1,FALSE))</f>
        <v>2208622</v>
      </c>
      <c r="AI73">
        <f ca="1">IF(AND(ISNUMBER($AI$218),$B$156=1),$AI$218,HLOOKUP(INDIRECT(ADDRESS(2,COLUMN())),OFFSET($BN$2,0,0,ROW()-1,60),ROW()-1,FALSE))</f>
        <v>2095034</v>
      </c>
      <c r="AJ73">
        <f ca="1">IF(AND(ISNUMBER($AJ$218),$B$156=1),$AJ$218,HLOOKUP(INDIRECT(ADDRESS(2,COLUMN())),OFFSET($BN$2,0,0,ROW()-1,60),ROW()-1,FALSE))</f>
        <v>2041774</v>
      </c>
      <c r="AK73">
        <f ca="1">IF(AND(ISNUMBER($AK$218),$B$156=1),$AK$218,HLOOKUP(INDIRECT(ADDRESS(2,COLUMN())),OFFSET($BN$2,0,0,ROW()-1,60),ROW()-1,FALSE))</f>
        <v>2140260</v>
      </c>
      <c r="AL73">
        <f ca="1">IF(AND(ISNUMBER($AL$218),$B$156=1),$AL$218,HLOOKUP(INDIRECT(ADDRESS(2,COLUMN())),OFFSET($BN$2,0,0,ROW()-1,60),ROW()-1,FALSE))</f>
        <v>1988198</v>
      </c>
      <c r="AM73">
        <f ca="1">IF(AND(ISNUMBER($AM$218),$B$156=1),$AM$218,HLOOKUP(INDIRECT(ADDRESS(2,COLUMN())),OFFSET($BN$2,0,0,ROW()-1,60),ROW()-1,FALSE))</f>
        <v>1794540</v>
      </c>
      <c r="AN73">
        <f ca="1">IF(AND(ISNUMBER($AN$218),$B$156=1),$AN$218,HLOOKUP(INDIRECT(ADDRESS(2,COLUMN())),OFFSET($BN$2,0,0,ROW()-1,60),ROW()-1,FALSE))</f>
        <v>1780000</v>
      </c>
      <c r="AO73">
        <f ca="1">IF(AND(ISNUMBER($AO$218),$B$156=1),$AO$218,HLOOKUP(INDIRECT(ADDRESS(2,COLUMN())),OFFSET($BN$2,0,0,ROW()-1,60),ROW()-1,FALSE))</f>
        <v>1864000</v>
      </c>
      <c r="AP73">
        <f ca="1">IF(AND(ISNUMBER($AP$218),$B$156=1),$AP$218,HLOOKUP(INDIRECT(ADDRESS(2,COLUMN())),OFFSET($BN$2,0,0,ROW()-1,60),ROW()-1,FALSE))</f>
        <v>1702000</v>
      </c>
      <c r="AQ73">
        <f ca="1">IF(AND(ISNUMBER($AQ$218),$B$156=1),$AQ$218,HLOOKUP(INDIRECT(ADDRESS(2,COLUMN())),OFFSET($BN$2,0,0,ROW()-1,60),ROW()-1,FALSE))</f>
        <v>1693000</v>
      </c>
      <c r="AR73">
        <f ca="1">IF(AND(ISNUMBER($AR$218),$B$156=1),$AR$218,HLOOKUP(INDIRECT(ADDRESS(2,COLUMN())),OFFSET($BN$2,0,0,ROW()-1,60),ROW()-1,FALSE))</f>
        <v>1609000</v>
      </c>
      <c r="AS73">
        <f ca="1">IF(AND(ISNUMBER($AS$218),$B$156=1),$AS$218,HLOOKUP(INDIRECT(ADDRESS(2,COLUMN())),OFFSET($BN$2,0,0,ROW()-1,60),ROW()-1,FALSE))</f>
        <v>1655000</v>
      </c>
      <c r="AT73">
        <f ca="1">IF(AND(ISNUMBER($AT$218),$B$156=1),$AT$218,HLOOKUP(INDIRECT(ADDRESS(2,COLUMN())),OFFSET($BN$2,0,0,ROW()-1,60),ROW()-1,FALSE))</f>
        <v>1352000</v>
      </c>
      <c r="AU73">
        <f ca="1">IF(AND(ISNUMBER($AU$218),$B$156=1),$AU$218,HLOOKUP(INDIRECT(ADDRESS(2,COLUMN())),OFFSET($BN$2,0,0,ROW()-1,60),ROW()-1,FALSE))</f>
        <v>1416000</v>
      </c>
      <c r="AV73">
        <f ca="1">IF(AND(ISNUMBER($AV$218),$B$156=1),$AV$218,HLOOKUP(INDIRECT(ADDRESS(2,COLUMN())),OFFSET($BN$2,0,0,ROW()-1,60),ROW()-1,FALSE))</f>
        <v>1546000</v>
      </c>
      <c r="AW73">
        <f ca="1">IF(AND(ISNUMBER($AW$218),$B$156=1),$AW$218,HLOOKUP(INDIRECT(ADDRESS(2,COLUMN())),OFFSET($BN$2,0,0,ROW()-1,60),ROW()-1,FALSE))</f>
        <v>1694000</v>
      </c>
      <c r="AX73">
        <f ca="1">IF(AND(ISNUMBER($AX$218),$B$156=1),$AX$218,HLOOKUP(INDIRECT(ADDRESS(2,COLUMN())),OFFSET($BN$2,0,0,ROW()-1,60),ROW()-1,FALSE))</f>
        <v>1604000</v>
      </c>
      <c r="AY73">
        <f ca="1">IF(AND(ISNUMBER($AY$218),$B$156=1),$AY$218,HLOOKUP(INDIRECT(ADDRESS(2,COLUMN())),OFFSET($BN$2,0,0,ROW()-1,60),ROW()-1,FALSE))</f>
        <v>1574440</v>
      </c>
      <c r="AZ73">
        <f ca="1">IF(AND(ISNUMBER($AZ$218),$B$156=1),$AZ$218,HLOOKUP(INDIRECT(ADDRESS(2,COLUMN())),OFFSET($BN$2,0,0,ROW()-1,60),ROW()-1,FALSE))</f>
        <v>1528438</v>
      </c>
      <c r="BA73">
        <f ca="1">IF(AND(ISNUMBER($BA$218),$B$156=1),$BA$218,HLOOKUP(INDIRECT(ADDRESS(2,COLUMN())),OFFSET($BN$2,0,0,ROW()-1,60),ROW()-1,FALSE))</f>
        <v>1616202</v>
      </c>
      <c r="BB73">
        <f ca="1">IF(AND(ISNUMBER($BB$218),$B$156=1),$BB$218,HLOOKUP(INDIRECT(ADDRESS(2,COLUMN())),OFFSET($BN$2,0,0,ROW()-1,60),ROW()-1,FALSE))</f>
        <v>1469879</v>
      </c>
      <c r="BC73">
        <f ca="1">IF(AND(ISNUMBER($BC$218),$B$156=1),$BC$218,HLOOKUP(INDIRECT(ADDRESS(2,COLUMN())),OFFSET($BN$2,0,0,ROW()-1,60),ROW()-1,FALSE))</f>
        <v>1469899</v>
      </c>
      <c r="BD73">
        <f ca="1">IF(AND(ISNUMBER($BD$218),$B$156=1),$BD$218,HLOOKUP(INDIRECT(ADDRESS(2,COLUMN())),OFFSET($BN$2,0,0,ROW()-1,60),ROW()-1,FALSE))</f>
        <v>1399861</v>
      </c>
      <c r="BE73">
        <f ca="1">IF(AND(ISNUMBER($BE$218),$B$156=1),$BE$218,HLOOKUP(INDIRECT(ADDRESS(2,COLUMN())),OFFSET($BN$2,0,0,ROW()-1,60),ROW()-1,FALSE))</f>
        <v>1502911</v>
      </c>
      <c r="BF73">
        <f ca="1">IF(AND(ISNUMBER($BF$218),$B$156=1),$BF$218,HLOOKUP(INDIRECT(ADDRESS(2,COLUMN())),OFFSET($BN$2,0,0,ROW()-1,60),ROW()-1,FALSE))</f>
        <v>1361064</v>
      </c>
      <c r="BG73">
        <f ca="1">IF(AND(ISNUMBER($BG$218),$B$156=1),$BG$218,HLOOKUP(INDIRECT(ADDRESS(2,COLUMN())),OFFSET($BN$2,0,0,ROW()-1,60),ROW()-1,FALSE))</f>
        <v>1376869</v>
      </c>
      <c r="BH73">
        <f ca="1">IF(AND(ISNUMBER($BH$218),$B$156=1),$BH$218,HLOOKUP(INDIRECT(ADDRESS(2,COLUMN())),OFFSET($BN$2,0,0,ROW()-1,60),ROW()-1,FALSE))</f>
        <v>1307446</v>
      </c>
      <c r="BI73">
        <f ca="1">IF(AND(ISNUMBER($BI$218),$B$156=1),$BI$218,HLOOKUP(INDIRECT(ADDRESS(2,COLUMN())),OFFSET($BN$2,0,0,ROW()-1,60),ROW()-1,FALSE))</f>
        <v>1376099</v>
      </c>
      <c r="BJ73">
        <f ca="1">IF(AND(ISNUMBER($BJ$218),$B$156=1),$BJ$218,HLOOKUP(INDIRECT(ADDRESS(2,COLUMN())),OFFSET($BN$2,0,0,ROW()-1,60),ROW()-1,FALSE))</f>
        <v>1182793</v>
      </c>
      <c r="BK73">
        <f ca="1">IF(AND(ISNUMBER($BK$218),$B$156=1),$BK$218,HLOOKUP(INDIRECT(ADDRESS(2,COLUMN())),OFFSET($BN$2,0,0,ROW()-1,60),ROW()-1,FALSE))</f>
        <v>1332189</v>
      </c>
      <c r="BL73">
        <f ca="1">IF(AND(ISNUMBER($BL$218),$B$156=1),$BL$218,HLOOKUP(INDIRECT(ADDRESS(2,COLUMN())),OFFSET($BN$2,0,0,ROW()-1,60),ROW()-1,FALSE))</f>
        <v>1230535</v>
      </c>
      <c r="BM73">
        <f ca="1">IF(AND(ISNUMBER($BM$218),$B$156=1),$BM$218,HLOOKUP(INDIRECT(ADDRESS(2,COLUMN())),OFFSET($BN$2,0,0,ROW()-1,60),ROW()-1,FALSE))</f>
        <v>1309953</v>
      </c>
      <c r="BN73" t="str">
        <f>""</f>
        <v/>
      </c>
      <c r="BO73" t="str">
        <f>""</f>
        <v/>
      </c>
      <c r="BP73">
        <f>2723398</f>
        <v>2723398</v>
      </c>
      <c r="BQ73">
        <f>2727077</f>
        <v>2727077</v>
      </c>
      <c r="BR73">
        <f>2679775</f>
        <v>2679775</v>
      </c>
      <c r="BS73">
        <f>2934783</f>
        <v>2934783</v>
      </c>
      <c r="BT73">
        <f>2650670</f>
        <v>2650670</v>
      </c>
      <c r="BU73">
        <f>2564040</f>
        <v>2564040</v>
      </c>
      <c r="BV73">
        <f>2495078</f>
        <v>2495078</v>
      </c>
      <c r="BW73">
        <f>2687644</f>
        <v>2687644</v>
      </c>
      <c r="BX73">
        <f>2492534</f>
        <v>2492534</v>
      </c>
      <c r="BY73">
        <f>2608526</f>
        <v>2608526</v>
      </c>
      <c r="BZ73">
        <f>2508293</f>
        <v>2508293</v>
      </c>
      <c r="CA73">
        <f>2499792</f>
        <v>2499792</v>
      </c>
      <c r="CB73">
        <f>2391516</f>
        <v>2391516</v>
      </c>
      <c r="CC73">
        <f>2552000</f>
        <v>2552000</v>
      </c>
      <c r="CD73">
        <f>2490000</f>
        <v>2490000</v>
      </c>
      <c r="CE73">
        <f>2595000</f>
        <v>2595000</v>
      </c>
      <c r="CF73">
        <f>2476324</f>
        <v>2476324</v>
      </c>
      <c r="CG73">
        <f>2626592</f>
        <v>2626592</v>
      </c>
      <c r="CH73">
        <f>2442275</f>
        <v>2442275</v>
      </c>
      <c r="CI73">
        <f>2214963</f>
        <v>2214963</v>
      </c>
      <c r="CJ73">
        <f>2386612</f>
        <v>2386612</v>
      </c>
      <c r="CK73">
        <f>2484325</f>
        <v>2484325</v>
      </c>
      <c r="CL73">
        <f>2314100</f>
        <v>2314100</v>
      </c>
      <c r="CM73">
        <f>2421203</f>
        <v>2421203</v>
      </c>
      <c r="CN73">
        <f>2302623</f>
        <v>2302623</v>
      </c>
      <c r="CO73">
        <f>2343461</f>
        <v>2343461</v>
      </c>
      <c r="CP73">
        <f>2208622</f>
        <v>2208622</v>
      </c>
      <c r="CQ73">
        <f>2095034</f>
        <v>2095034</v>
      </c>
      <c r="CR73">
        <f>2041774</f>
        <v>2041774</v>
      </c>
      <c r="CS73">
        <f>2140260</f>
        <v>2140260</v>
      </c>
      <c r="CT73">
        <f>1988198</f>
        <v>1988198</v>
      </c>
      <c r="CU73">
        <f>1794540</f>
        <v>1794540</v>
      </c>
      <c r="CV73">
        <f>1780000</f>
        <v>1780000</v>
      </c>
      <c r="CW73">
        <f>1864000</f>
        <v>1864000</v>
      </c>
      <c r="CX73">
        <f>1702000</f>
        <v>1702000</v>
      </c>
      <c r="CY73">
        <f>1693000</f>
        <v>1693000</v>
      </c>
      <c r="CZ73">
        <f>1609000</f>
        <v>1609000</v>
      </c>
      <c r="DA73">
        <f>1655000</f>
        <v>1655000</v>
      </c>
      <c r="DB73">
        <f>1352000</f>
        <v>1352000</v>
      </c>
      <c r="DC73">
        <f>1416000</f>
        <v>1416000</v>
      </c>
      <c r="DD73">
        <f>1546000</f>
        <v>1546000</v>
      </c>
      <c r="DE73">
        <f>1694000</f>
        <v>1694000</v>
      </c>
      <c r="DF73">
        <f>1604000</f>
        <v>1604000</v>
      </c>
      <c r="DG73">
        <f>1574440</f>
        <v>1574440</v>
      </c>
      <c r="DH73">
        <f>1528438</f>
        <v>1528438</v>
      </c>
      <c r="DI73">
        <f>1616202</f>
        <v>1616202</v>
      </c>
      <c r="DJ73">
        <f>1469879</f>
        <v>1469879</v>
      </c>
      <c r="DK73">
        <f>1469899</f>
        <v>1469899</v>
      </c>
      <c r="DL73">
        <f>1399861</f>
        <v>1399861</v>
      </c>
      <c r="DM73">
        <f>1502911</f>
        <v>1502911</v>
      </c>
      <c r="DN73">
        <f>1361064</f>
        <v>1361064</v>
      </c>
      <c r="DO73">
        <f>1376869</f>
        <v>1376869</v>
      </c>
      <c r="DP73">
        <f>1307446</f>
        <v>1307446</v>
      </c>
      <c r="DQ73">
        <f>1376099</f>
        <v>1376099</v>
      </c>
      <c r="DR73">
        <f>1182793</f>
        <v>1182793</v>
      </c>
      <c r="DS73">
        <f>1332189</f>
        <v>1332189</v>
      </c>
      <c r="DT73">
        <f>1230535</f>
        <v>1230535</v>
      </c>
      <c r="DU73">
        <f>1309953</f>
        <v>1309953</v>
      </c>
    </row>
    <row r="74" spans="1:125" x14ac:dyDescent="0.25">
      <c r="A74" t="str">
        <f>"        VW Passenger Cars"</f>
        <v xml:space="preserve">        VW Passenger Cars</v>
      </c>
      <c r="B74" t="str">
        <f t="shared" si="11"/>
        <v>VOW GR Equity</v>
      </c>
      <c r="C74" t="str">
        <f t="shared" ref="C74:C84" si="13">"BI047"</f>
        <v>BI047</v>
      </c>
      <c r="D74" t="str">
        <f t="shared" ref="D74:D84" si="14">"BICS_SEGMENT_DATA"</f>
        <v>BICS_SEGMENT_DATA</v>
      </c>
      <c r="E74" t="str">
        <f t="shared" si="12"/>
        <v>Dynamic</v>
      </c>
      <c r="F74" t="str">
        <f ca="1">IF(AND(ISNUMBER($F$219),$B$156=1),$F$219,HLOOKUP(INDIRECT(ADDRESS(2,COLUMN())),OFFSET($BN$2,0,0,ROW()-1,60),ROW()-1,FALSE))</f>
        <v/>
      </c>
      <c r="G74">
        <f ca="1">IF(AND(ISNUMBER($G$219),$B$156=1),$G$219,HLOOKUP(INDIRECT(ADDRESS(2,COLUMN())),OFFSET($BN$2,0,0,ROW()-1,60),ROW()-1,FALSE))</f>
        <v>1622154</v>
      </c>
      <c r="H74">
        <f ca="1">IF(AND(ISNUMBER($H$219),$B$156=1),$H$219,HLOOKUP(INDIRECT(ADDRESS(2,COLUMN())),OFFSET($BN$2,0,0,ROW()-1,60),ROW()-1,FALSE))</f>
        <v>1504150</v>
      </c>
      <c r="I74">
        <f ca="1">IF(AND(ISNUMBER($I$219),$B$156=1),$I$219,HLOOKUP(INDIRECT(ADDRESS(2,COLUMN())),OFFSET($BN$2,0,0,ROW()-1,60),ROW()-1,FALSE))</f>
        <v>1593403</v>
      </c>
      <c r="J74">
        <f ca="1">IF(AND(ISNUMBER($J$219),$B$156=1),$J$219,HLOOKUP(INDIRECT(ADDRESS(2,COLUMN())),OFFSET($BN$2,0,0,ROW()-1,60),ROW()-1,FALSE))</f>
        <v>1525293</v>
      </c>
      <c r="K74">
        <f ca="1">IF(AND(ISNUMBER($K$219),$B$156=1),$K$219,HLOOKUP(INDIRECT(ADDRESS(2,COLUMN())),OFFSET($BN$2,0,0,ROW()-1,60),ROW()-1,FALSE))</f>
        <v>1739302</v>
      </c>
      <c r="L74">
        <f ca="1">IF(AND(ISNUMBER($L$219),$B$156=1),$L$219,HLOOKUP(INDIRECT(ADDRESS(2,COLUMN())),OFFSET($BN$2,0,0,ROW()-1,60),ROW()-1,FALSE))</f>
        <v>1555770</v>
      </c>
      <c r="M74">
        <f ca="1">IF(AND(ISNUMBER($M$219),$B$156=1),$M$219,HLOOKUP(INDIRECT(ADDRESS(2,COLUMN())),OFFSET($BN$2,0,0,ROW()-1,60),ROW()-1,FALSE))</f>
        <v>1494208</v>
      </c>
      <c r="N74">
        <f ca="1">IF(AND(ISNUMBER($N$219),$B$156=1),$N$219,HLOOKUP(INDIRECT(ADDRESS(2,COLUMN())),OFFSET($BN$2,0,0,ROW()-1,60),ROW()-1,FALSE))</f>
        <v>1440924</v>
      </c>
      <c r="O74">
        <f ca="1">IF(AND(ISNUMBER($O$219),$B$156=1),$O$219,HLOOKUP(INDIRECT(ADDRESS(2,COLUMN())),OFFSET($BN$2,0,0,ROW()-1,60),ROW()-1,FALSE))</f>
        <v>1605411</v>
      </c>
      <c r="P74">
        <f ca="1">IF(AND(ISNUMBER($P$219),$B$156=1),$P$219,HLOOKUP(INDIRECT(ADDRESS(2,COLUMN())),OFFSET($BN$2,0,0,ROW()-1,60),ROW()-1,FALSE))</f>
        <v>1449943</v>
      </c>
      <c r="Q74">
        <f ca="1">IF(AND(ISNUMBER($Q$219),$B$156=1),$Q$219,HLOOKUP(INDIRECT(ADDRESS(2,COLUMN())),OFFSET($BN$2,0,0,ROW()-1,60),ROW()-1,FALSE))</f>
        <v>1465431</v>
      </c>
      <c r="R74">
        <f ca="1">IF(AND(ISNUMBER($R$219),$B$156=1),$R$219,HLOOKUP(INDIRECT(ADDRESS(2,COLUMN())),OFFSET($BN$2,0,0,ROW()-1,60),ROW()-1,FALSE))</f>
        <v>1459522</v>
      </c>
      <c r="S74">
        <f ca="1">IF(AND(ISNUMBER($S$219),$B$156=1),$S$219,HLOOKUP(INDIRECT(ADDRESS(2,COLUMN())),OFFSET($BN$2,0,0,ROW()-1,60),ROW()-1,FALSE))</f>
        <v>1473806</v>
      </c>
      <c r="T74">
        <f ca="1">IF(AND(ISNUMBER($T$219),$B$156=1),$T$219,HLOOKUP(INDIRECT(ADDRESS(2,COLUMN())),OFFSET($BN$2,0,0,ROW()-1,60),ROW()-1,FALSE))</f>
        <v>1403894</v>
      </c>
      <c r="U74">
        <f ca="1">IF(AND(ISNUMBER($U$219),$B$156=1),$U$219,HLOOKUP(INDIRECT(ADDRESS(2,COLUMN())),OFFSET($BN$2,0,0,ROW()-1,60),ROW()-1,FALSE))</f>
        <v>1466262</v>
      </c>
      <c r="V74">
        <f ca="1">IF(AND(ISNUMBER($V$219),$B$156=1),$V$219,HLOOKUP(INDIRECT(ADDRESS(2,COLUMN())),OFFSET($BN$2,0,0,ROW()-1,60),ROW()-1,FALSE))</f>
        <v>1479446</v>
      </c>
      <c r="W74">
        <f ca="1">IF(AND(ISNUMBER($W$219),$B$156=1),$W$219,HLOOKUP(INDIRECT(ADDRESS(2,COLUMN())),OFFSET($BN$2,0,0,ROW()-1,60),ROW()-1,FALSE))</f>
        <v>1537432</v>
      </c>
      <c r="X74">
        <f ca="1">IF(AND(ISNUMBER($X$219),$B$156=1),$X$219,HLOOKUP(INDIRECT(ADDRESS(2,COLUMN())),OFFSET($BN$2,0,0,ROW()-1,60),ROW()-1,FALSE))</f>
        <v>1497432</v>
      </c>
      <c r="Y74">
        <f ca="1">IF(AND(ISNUMBER($Y$219),$B$156=1),$Y$219,HLOOKUP(INDIRECT(ADDRESS(2,COLUMN())),OFFSET($BN$2,0,0,ROW()-1,60),ROW()-1,FALSE))</f>
        <v>1584861</v>
      </c>
      <c r="Z74">
        <f ca="1">IF(AND(ISNUMBER($Z$219),$B$156=1),$Z$219,HLOOKUP(INDIRECT(ADDRESS(2,COLUMN())),OFFSET($BN$2,0,0,ROW()-1,60),ROW()-1,FALSE))</f>
        <v>1480967</v>
      </c>
      <c r="AA74">
        <f ca="1">IF(AND(ISNUMBER($AA$219),$B$156=1),$AA$219,HLOOKUP(INDIRECT(ADDRESS(2,COLUMN())),OFFSET($BN$2,0,0,ROW()-1,60),ROW()-1,FALSE))</f>
        <v>1565390</v>
      </c>
      <c r="AB74">
        <f ca="1">IF(AND(ISNUMBER($AB$219),$B$156=1),$AB$219,HLOOKUP(INDIRECT(ADDRESS(2,COLUMN())),OFFSET($BN$2,0,0,ROW()-1,60),ROW()-1,FALSE))</f>
        <v>1453933</v>
      </c>
      <c r="AC74">
        <f ca="1">IF(AND(ISNUMBER($AC$219),$B$156=1),$AC$219,HLOOKUP(INDIRECT(ADDRESS(2,COLUMN())),OFFSET($BN$2,0,0,ROW()-1,60),ROW()-1,FALSE))</f>
        <v>1484898</v>
      </c>
      <c r="AD74">
        <f ca="1">IF(AND(ISNUMBER($AD$219),$B$156=1),$AD$219,HLOOKUP(INDIRECT(ADDRESS(2,COLUMN())),OFFSET($BN$2,0,0,ROW()-1,60),ROW()-1,FALSE))</f>
        <v>1425779</v>
      </c>
      <c r="AE74">
        <f ca="1">IF(AND(ISNUMBER($AE$219),$B$156=1),$AE$219,HLOOKUP(INDIRECT(ADDRESS(2,COLUMN())),OFFSET($BN$2,0,0,ROW()-1,60),ROW()-1,FALSE))</f>
        <v>1524347</v>
      </c>
      <c r="AF74">
        <f ca="1">IF(AND(ISNUMBER($AF$219),$B$156=1),$AF$219,HLOOKUP(INDIRECT(ADDRESS(2,COLUMN())),OFFSET($BN$2,0,0,ROW()-1,60),ROW()-1,FALSE))</f>
        <v>1427060</v>
      </c>
      <c r="AG74">
        <f ca="1">IF(AND(ISNUMBER($AG$219),$B$156=1),$AG$219,HLOOKUP(INDIRECT(ADDRESS(2,COLUMN())),OFFSET($BN$2,0,0,ROW()-1,60),ROW()-1,FALSE))</f>
        <v>1431650</v>
      </c>
      <c r="AH74">
        <f ca="1">IF(AND(ISNUMBER($AH$219),$B$156=1),$AH$219,HLOOKUP(INDIRECT(ADDRESS(2,COLUMN())),OFFSET($BN$2,0,0,ROW()-1,60),ROW()-1,FALSE))</f>
        <v>1355392</v>
      </c>
      <c r="AI74">
        <f ca="1">IF(AND(ISNUMBER($AI$219),$B$156=1),$AI$219,HLOOKUP(INDIRECT(ADDRESS(2,COLUMN())),OFFSET($BN$2,0,0,ROW()-1,60),ROW()-1,FALSE))</f>
        <v>1280402</v>
      </c>
      <c r="AJ74">
        <f ca="1">IF(AND(ISNUMBER($AJ$219),$B$156=1),$AJ$219,HLOOKUP(INDIRECT(ADDRESS(2,COLUMN())),OFFSET($BN$2,0,0,ROW()-1,60),ROW()-1,FALSE))</f>
        <v>1280444</v>
      </c>
      <c r="AK74">
        <f ca="1">IF(AND(ISNUMBER($AK$219),$B$156=1),$AK$219,HLOOKUP(INDIRECT(ADDRESS(2,COLUMN())),OFFSET($BN$2,0,0,ROW()-1,60),ROW()-1,FALSE))</f>
        <v>1304038</v>
      </c>
      <c r="AL74">
        <f ca="1">IF(AND(ISNUMBER($AL$219),$B$156=1),$AL$219,HLOOKUP(INDIRECT(ADDRESS(2,COLUMN())),OFFSET($BN$2,0,0,ROW()-1,60),ROW()-1,FALSE))</f>
        <v>1226151</v>
      </c>
      <c r="AM74">
        <f ca="1">IF(AND(ISNUMBER($AM$219),$B$156=1),$AM$219,HLOOKUP(INDIRECT(ADDRESS(2,COLUMN())),OFFSET($BN$2,0,0,ROW()-1,60),ROW()-1,FALSE))</f>
        <v>1110524</v>
      </c>
      <c r="AN74">
        <f ca="1">IF(AND(ISNUMBER($AN$219),$B$156=1),$AN$219,HLOOKUP(INDIRECT(ADDRESS(2,COLUMN())),OFFSET($BN$2,0,0,ROW()-1,60),ROW()-1,FALSE))</f>
        <v>1128570</v>
      </c>
      <c r="AO74">
        <f ca="1">IF(AND(ISNUMBER($AO$219),$B$156=1),$AO$219,HLOOKUP(INDIRECT(ADDRESS(2,COLUMN())),OFFSET($BN$2,0,0,ROW()-1,60),ROW()-1,FALSE))</f>
        <v>1153128</v>
      </c>
      <c r="AP74">
        <f ca="1">IF(AND(ISNUMBER($AP$219),$B$156=1),$AP$219,HLOOKUP(INDIRECT(ADDRESS(2,COLUMN())),OFFSET($BN$2,0,0,ROW()-1,60),ROW()-1,FALSE))</f>
        <v>1110605</v>
      </c>
      <c r="AQ74">
        <f ca="1">IF(AND(ISNUMBER($AQ$219),$B$156=1),$AQ$219,HLOOKUP(INDIRECT(ADDRESS(2,COLUMN())),OFFSET($BN$2,0,0,ROW()-1,60),ROW()-1,FALSE))</f>
        <v>933568</v>
      </c>
      <c r="AR74">
        <f ca="1">IF(AND(ISNUMBER($AR$219),$B$156=1),$AR$219,HLOOKUP(INDIRECT(ADDRESS(2,COLUMN())),OFFSET($BN$2,0,0,ROW()-1,60),ROW()-1,FALSE))</f>
        <v>1071907</v>
      </c>
      <c r="AS74">
        <f ca="1">IF(AND(ISNUMBER($AS$219),$B$156=1),$AS$219,HLOOKUP(INDIRECT(ADDRESS(2,COLUMN())),OFFSET($BN$2,0,0,ROW()-1,60),ROW()-1,FALSE))</f>
        <v>1072748</v>
      </c>
      <c r="AT74">
        <f ca="1">IF(AND(ISNUMBER($AT$219),$B$156=1),$AT$219,HLOOKUP(INDIRECT(ADDRESS(2,COLUMN())),OFFSET($BN$2,0,0,ROW()-1,60),ROW()-1,FALSE))</f>
        <v>876231</v>
      </c>
      <c r="AU74">
        <f ca="1">IF(AND(ISNUMBER($AU$219),$B$156=1),$AU$219,HLOOKUP(INDIRECT(ADDRESS(2,COLUMN())),OFFSET($BN$2,0,0,ROW()-1,60),ROW()-1,FALSE))</f>
        <v>858642</v>
      </c>
      <c r="AV74">
        <f ca="1">IF(AND(ISNUMBER($AV$219),$B$156=1),$AV$219,HLOOKUP(INDIRECT(ADDRESS(2,COLUMN())),OFFSET($BN$2,0,0,ROW()-1,60),ROW()-1,FALSE))</f>
        <v>901594</v>
      </c>
      <c r="AW74">
        <f ca="1">IF(AND(ISNUMBER($AW$219),$B$156=1),$AW$219,HLOOKUP(INDIRECT(ADDRESS(2,COLUMN())),OFFSET($BN$2,0,0,ROW()-1,60),ROW()-1,FALSE))</f>
        <v>987179</v>
      </c>
      <c r="AX74">
        <f ca="1">IF(AND(ISNUMBER($AX$219),$B$156=1),$AX$219,HLOOKUP(INDIRECT(ADDRESS(2,COLUMN())),OFFSET($BN$2,0,0,ROW()-1,60),ROW()-1,FALSE))</f>
        <v>920209</v>
      </c>
      <c r="AY74">
        <f ca="1">IF(AND(ISNUMBER($AY$219),$B$156=1),$AY$219,HLOOKUP(INDIRECT(ADDRESS(2,COLUMN())),OFFSET($BN$2,0,0,ROW()-1,60),ROW()-1,FALSE))</f>
        <v>937228</v>
      </c>
      <c r="AZ74">
        <f ca="1">IF(AND(ISNUMBER($AZ$219),$B$156=1),$AZ$219,HLOOKUP(INDIRECT(ADDRESS(2,COLUMN())),OFFSET($BN$2,0,0,ROW()-1,60),ROW()-1,FALSE))</f>
        <v>921873</v>
      </c>
      <c r="BA74">
        <f ca="1">IF(AND(ISNUMBER($BA$219),$B$156=1),$BA$219,HLOOKUP(INDIRECT(ADDRESS(2,COLUMN())),OFFSET($BN$2,0,0,ROW()-1,60),ROW()-1,FALSE))</f>
        <v>953301</v>
      </c>
      <c r="BB74">
        <f ca="1">IF(AND(ISNUMBER($BB$219),$B$156=1),$BB$219,HLOOKUP(INDIRECT(ADDRESS(2,COLUMN())),OFFSET($BN$2,0,0,ROW()-1,60),ROW()-1,FALSE))</f>
        <v>850193</v>
      </c>
      <c r="BC74">
        <f ca="1">IF(AND(ISNUMBER($BC$219),$B$156=1),$BC$219,HLOOKUP(INDIRECT(ADDRESS(2,COLUMN())),OFFSET($BN$2,0,0,ROW()-1,60),ROW()-1,FALSE))</f>
        <v>877795</v>
      </c>
      <c r="BD74">
        <f ca="1">IF(AND(ISNUMBER($BD$219),$B$156=1),$BD$219,HLOOKUP(INDIRECT(ADDRESS(2,COLUMN())),OFFSET($BN$2,0,0,ROW()-1,60),ROW()-1,FALSE))</f>
        <v>839681</v>
      </c>
      <c r="BE74">
        <f ca="1">IF(AND(ISNUMBER($BE$219),$B$156=1),$BE$219,HLOOKUP(INDIRECT(ADDRESS(2,COLUMN())),OFFSET($BN$2,0,0,ROW()-1,60),ROW()-1,FALSE))</f>
        <v>882700</v>
      </c>
      <c r="BF74" t="str">
        <f ca="1">IF(AND(ISNUMBER($BF$219),$B$156=1),$BF$219,HLOOKUP(INDIRECT(ADDRESS(2,COLUMN())),OFFSET($BN$2,0,0,ROW()-1,60),ROW()-1,FALSE))</f>
        <v/>
      </c>
      <c r="BG74" t="str">
        <f ca="1">IF(AND(ISNUMBER($BG$219),$B$156=1),$BG$219,HLOOKUP(INDIRECT(ADDRESS(2,COLUMN())),OFFSET($BN$2,0,0,ROW()-1,60),ROW()-1,FALSE))</f>
        <v/>
      </c>
      <c r="BH74" t="str">
        <f ca="1">IF(AND(ISNUMBER($BH$219),$B$156=1),$BH$219,HLOOKUP(INDIRECT(ADDRESS(2,COLUMN())),OFFSET($BN$2,0,0,ROW()-1,60),ROW()-1,FALSE))</f>
        <v/>
      </c>
      <c r="BI74">
        <f ca="1">IF(AND(ISNUMBER($BI$219),$B$156=1),$BI$219,HLOOKUP(INDIRECT(ADDRESS(2,COLUMN())),OFFSET($BN$2,0,0,ROW()-1,60),ROW()-1,FALSE))</f>
        <v>926137</v>
      </c>
      <c r="BJ74">
        <f ca="1">IF(AND(ISNUMBER($BJ$219),$B$156=1),$BJ$219,HLOOKUP(INDIRECT(ADDRESS(2,COLUMN())),OFFSET($BN$2,0,0,ROW()-1,60),ROW()-1,FALSE))</f>
        <v>798728</v>
      </c>
      <c r="BK74" t="str">
        <f ca="1">IF(AND(ISNUMBER($BK$219),$B$156=1),$BK$219,HLOOKUP(INDIRECT(ADDRESS(2,COLUMN())),OFFSET($BN$2,0,0,ROW()-1,60),ROW()-1,FALSE))</f>
        <v/>
      </c>
      <c r="BL74" t="str">
        <f ca="1">IF(AND(ISNUMBER($BL$219),$B$156=1),$BL$219,HLOOKUP(INDIRECT(ADDRESS(2,COLUMN())),OFFSET($BN$2,0,0,ROW()-1,60),ROW()-1,FALSE))</f>
        <v/>
      </c>
      <c r="BM74" t="str">
        <f ca="1">IF(AND(ISNUMBER($BM$219),$B$156=1),$BM$219,HLOOKUP(INDIRECT(ADDRESS(2,COLUMN())),OFFSET($BN$2,0,0,ROW()-1,60),ROW()-1,FALSE))</f>
        <v/>
      </c>
      <c r="BN74" t="str">
        <f>""</f>
        <v/>
      </c>
      <c r="BO74">
        <f>1622154</f>
        <v>1622154</v>
      </c>
      <c r="BP74">
        <f>1504150</f>
        <v>1504150</v>
      </c>
      <c r="BQ74">
        <f>1593403</f>
        <v>1593403</v>
      </c>
      <c r="BR74">
        <f>1525293</f>
        <v>1525293</v>
      </c>
      <c r="BS74">
        <f>1739302</f>
        <v>1739302</v>
      </c>
      <c r="BT74">
        <f>1555770</f>
        <v>1555770</v>
      </c>
      <c r="BU74">
        <f>1494208</f>
        <v>1494208</v>
      </c>
      <c r="BV74">
        <f>1440924</f>
        <v>1440924</v>
      </c>
      <c r="BW74">
        <f>1605411</f>
        <v>1605411</v>
      </c>
      <c r="BX74">
        <f>1449943</f>
        <v>1449943</v>
      </c>
      <c r="BY74">
        <f>1465431</f>
        <v>1465431</v>
      </c>
      <c r="BZ74">
        <f>1459522</f>
        <v>1459522</v>
      </c>
      <c r="CA74">
        <f>1473806</f>
        <v>1473806</v>
      </c>
      <c r="CB74">
        <f>1403894</f>
        <v>1403894</v>
      </c>
      <c r="CC74">
        <f>1466262</f>
        <v>1466262</v>
      </c>
      <c r="CD74">
        <f>1479446</f>
        <v>1479446</v>
      </c>
      <c r="CE74">
        <f>1537432</f>
        <v>1537432</v>
      </c>
      <c r="CF74">
        <f>1497432</f>
        <v>1497432</v>
      </c>
      <c r="CG74">
        <f>1584861</f>
        <v>1584861</v>
      </c>
      <c r="CH74">
        <f>1480967</f>
        <v>1480967</v>
      </c>
      <c r="CI74">
        <f>1565390</f>
        <v>1565390</v>
      </c>
      <c r="CJ74">
        <f>1453933</f>
        <v>1453933</v>
      </c>
      <c r="CK74">
        <f>1484898</f>
        <v>1484898</v>
      </c>
      <c r="CL74">
        <f>1425779</f>
        <v>1425779</v>
      </c>
      <c r="CM74">
        <f>1524347</f>
        <v>1524347</v>
      </c>
      <c r="CN74">
        <f>1427060</f>
        <v>1427060</v>
      </c>
      <c r="CO74">
        <f>1431650</f>
        <v>1431650</v>
      </c>
      <c r="CP74">
        <f>1355392</f>
        <v>1355392</v>
      </c>
      <c r="CQ74">
        <f>1280402</f>
        <v>1280402</v>
      </c>
      <c r="CR74">
        <f>1280444</f>
        <v>1280444</v>
      </c>
      <c r="CS74">
        <f>1304038</f>
        <v>1304038</v>
      </c>
      <c r="CT74">
        <f>1226151</f>
        <v>1226151</v>
      </c>
      <c r="CU74">
        <f>1110524</f>
        <v>1110524</v>
      </c>
      <c r="CV74">
        <f>1128570</f>
        <v>1128570</v>
      </c>
      <c r="CW74">
        <f>1153128</f>
        <v>1153128</v>
      </c>
      <c r="CX74">
        <f>1110605</f>
        <v>1110605</v>
      </c>
      <c r="CY74">
        <f>933568</f>
        <v>933568</v>
      </c>
      <c r="CZ74">
        <f>1071907</f>
        <v>1071907</v>
      </c>
      <c r="DA74">
        <f>1072748</f>
        <v>1072748</v>
      </c>
      <c r="DB74">
        <f>876231</f>
        <v>876231</v>
      </c>
      <c r="DC74">
        <f>858642</f>
        <v>858642</v>
      </c>
      <c r="DD74">
        <f>901594</f>
        <v>901594</v>
      </c>
      <c r="DE74">
        <f>987179</f>
        <v>987179</v>
      </c>
      <c r="DF74">
        <f>920209</f>
        <v>920209</v>
      </c>
      <c r="DG74">
        <f>937228</f>
        <v>937228</v>
      </c>
      <c r="DH74">
        <f>921873</f>
        <v>921873</v>
      </c>
      <c r="DI74">
        <f>953301</f>
        <v>953301</v>
      </c>
      <c r="DJ74">
        <f>850193</f>
        <v>850193</v>
      </c>
      <c r="DK74">
        <f>877795</f>
        <v>877795</v>
      </c>
      <c r="DL74">
        <f>839681</f>
        <v>839681</v>
      </c>
      <c r="DM74">
        <f>882700</f>
        <v>882700</v>
      </c>
      <c r="DN74" t="str">
        <f>""</f>
        <v/>
      </c>
      <c r="DO74" t="str">
        <f>""</f>
        <v/>
      </c>
      <c r="DP74" t="str">
        <f>""</f>
        <v/>
      </c>
      <c r="DQ74">
        <f>926137</f>
        <v>926137</v>
      </c>
      <c r="DR74">
        <f>798728</f>
        <v>798728</v>
      </c>
      <c r="DS74" t="str">
        <f>""</f>
        <v/>
      </c>
      <c r="DT74" t="str">
        <f>""</f>
        <v/>
      </c>
      <c r="DU74" t="str">
        <f>""</f>
        <v/>
      </c>
    </row>
    <row r="75" spans="1:125" x14ac:dyDescent="0.25">
      <c r="A75" t="str">
        <f>"        Audi"</f>
        <v xml:space="preserve">        Audi</v>
      </c>
      <c r="B75" t="str">
        <f t="shared" si="11"/>
        <v>VOW GR Equity</v>
      </c>
      <c r="C75" t="str">
        <f t="shared" si="13"/>
        <v>BI047</v>
      </c>
      <c r="D75" t="str">
        <f t="shared" si="14"/>
        <v>BICS_SEGMENT_DATA</v>
      </c>
      <c r="E75" t="str">
        <f t="shared" si="12"/>
        <v>Dynamic</v>
      </c>
      <c r="F75" t="str">
        <f ca="1">IF(AND(ISNUMBER($F$220),$B$156=1),$F$220,HLOOKUP(INDIRECT(ADDRESS(2,COLUMN())),OFFSET($BN$2,0,0,ROW()-1,60),ROW()-1,FALSE))</f>
        <v/>
      </c>
      <c r="G75">
        <f ca="1">IF(AND(ISNUMBER($G$220),$B$156=1),$G$220,HLOOKUP(INDIRECT(ADDRESS(2,COLUMN())),OFFSET($BN$2,0,0,ROW()-1,60),ROW()-1,FALSE))</f>
        <v>404282</v>
      </c>
      <c r="H75">
        <f ca="1">IF(AND(ISNUMBER($H$220),$B$156=1),$H$220,HLOOKUP(INDIRECT(ADDRESS(2,COLUMN())),OFFSET($BN$2,0,0,ROW()-1,60),ROW()-1,FALSE))</f>
        <v>458436</v>
      </c>
      <c r="I75">
        <f ca="1">IF(AND(ISNUMBER($I$220),$B$156=1),$I$220,HLOOKUP(INDIRECT(ADDRESS(2,COLUMN())),OFFSET($BN$2,0,0,ROW()-1,60),ROW()-1,FALSE))</f>
        <v>485494</v>
      </c>
      <c r="J75">
        <f ca="1">IF(AND(ISNUMBER($J$220),$B$156=1),$J$220,HLOOKUP(INDIRECT(ADDRESS(2,COLUMN())),OFFSET($BN$2,0,0,ROW()-1,60),ROW()-1,FALSE))</f>
        <v>463788</v>
      </c>
      <c r="K75">
        <f ca="1">IF(AND(ISNUMBER($K$220),$B$156=1),$K$220,HLOOKUP(INDIRECT(ADDRESS(2,COLUMN())),OFFSET($BN$2,0,0,ROW()-1,60),ROW()-1,FALSE))</f>
        <v>497327</v>
      </c>
      <c r="L75">
        <f ca="1">IF(AND(ISNUMBER($L$220),$B$156=1),$L$220,HLOOKUP(INDIRECT(ADDRESS(2,COLUMN())),OFFSET($BN$2,0,0,ROW()-1,60),ROW()-1,FALSE))</f>
        <v>471780</v>
      </c>
      <c r="M75">
        <f ca="1">IF(AND(ISNUMBER($M$220),$B$156=1),$M$220,HLOOKUP(INDIRECT(ADDRESS(2,COLUMN())),OFFSET($BN$2,0,0,ROW()-1,60),ROW()-1,FALSE))</f>
        <v>486080</v>
      </c>
      <c r="N75">
        <f ca="1">IF(AND(ISNUMBER($N$220),$B$156=1),$N$220,HLOOKUP(INDIRECT(ADDRESS(2,COLUMN())),OFFSET($BN$2,0,0,ROW()-1,60),ROW()-1,FALSE))</f>
        <v>422603</v>
      </c>
      <c r="O75">
        <f ca="1">IF(AND(ISNUMBER($O$220),$B$156=1),$O$220,HLOOKUP(INDIRECT(ADDRESS(2,COLUMN())),OFFSET($BN$2,0,0,ROW()-1,60),ROW()-1,FALSE))</f>
        <v>458955</v>
      </c>
      <c r="P75">
        <f ca="1">IF(AND(ISNUMBER($P$220),$B$156=1),$P$220,HLOOKUP(INDIRECT(ADDRESS(2,COLUMN())),OFFSET($BN$2,0,0,ROW()-1,60),ROW()-1,FALSE))</f>
        <v>455565</v>
      </c>
      <c r="Q75">
        <f ca="1">IF(AND(ISNUMBER($Q$220),$B$156=1),$Q$220,HLOOKUP(INDIRECT(ADDRESS(2,COLUMN())),OFFSET($BN$2,0,0,ROW()-1,60),ROW()-1,FALSE))</f>
        <v>497464</v>
      </c>
      <c r="R75">
        <f ca="1">IF(AND(ISNUMBER($R$220),$B$156=1),$R$220,HLOOKUP(INDIRECT(ADDRESS(2,COLUMN())),OFFSET($BN$2,0,0,ROW()-1,60),ROW()-1,FALSE))</f>
        <v>455754</v>
      </c>
      <c r="S75">
        <f ca="1">IF(AND(ISNUMBER($S$220),$B$156=1),$S$220,HLOOKUP(INDIRECT(ADDRESS(2,COLUMN())),OFFSET($BN$2,0,0,ROW()-1,60),ROW()-1,FALSE))</f>
        <v>455363</v>
      </c>
      <c r="T75">
        <f ca="1">IF(AND(ISNUMBER($T$220),$B$156=1),$T$220,HLOOKUP(INDIRECT(ADDRESS(2,COLUMN())),OFFSET($BN$2,0,0,ROW()-1,60),ROW()-1,FALSE))</f>
        <v>445611</v>
      </c>
      <c r="U75">
        <f ca="1">IF(AND(ISNUMBER($U$220),$B$156=1),$U$220,HLOOKUP(INDIRECT(ADDRESS(2,COLUMN())),OFFSET($BN$2,0,0,ROW()-1,60),ROW()-1,FALSE))</f>
        <v>464101</v>
      </c>
      <c r="V75">
        <f ca="1">IF(AND(ISNUMBER($V$220),$B$156=1),$V$220,HLOOKUP(INDIRECT(ADDRESS(2,COLUMN())),OFFSET($BN$2,0,0,ROW()-1,60),ROW()-1,FALSE))</f>
        <v>438171</v>
      </c>
      <c r="W75">
        <f ca="1">IF(AND(ISNUMBER($W$220),$B$156=1),$W$220,HLOOKUP(INDIRECT(ADDRESS(2,COLUMN())),OFFSET($BN$2,0,0,ROW()-1,60),ROW()-1,FALSE))</f>
        <v>442484</v>
      </c>
      <c r="X75">
        <f ca="1">IF(AND(ISNUMBER($X$220),$B$156=1),$X$220,HLOOKUP(INDIRECT(ADDRESS(2,COLUMN())),OFFSET($BN$2,0,0,ROW()-1,60),ROW()-1,FALSE))</f>
        <v>429288</v>
      </c>
      <c r="Y75">
        <f ca="1">IF(AND(ISNUMBER($Y$220),$B$156=1),$Y$220,HLOOKUP(INDIRECT(ADDRESS(2,COLUMN())),OFFSET($BN$2,0,0,ROW()-1,60),ROW()-1,FALSE))</f>
        <v>456509</v>
      </c>
      <c r="Z75">
        <f ca="1">IF(AND(ISNUMBER($Z$220),$B$156=1),$Z$220,HLOOKUP(INDIRECT(ADDRESS(2,COLUMN())),OFFSET($BN$2,0,0,ROW()-1,60),ROW()-1,FALSE))</f>
        <v>412846</v>
      </c>
      <c r="AA75">
        <f ca="1">IF(AND(ISNUMBER($AA$220),$B$156=1),$AA$220,HLOOKUP(INDIRECT(ADDRESS(2,COLUMN())),OFFSET($BN$2,0,0,ROW()-1,60),ROW()-1,FALSE))</f>
        <v>399252</v>
      </c>
      <c r="AB75">
        <f ca="1">IF(AND(ISNUMBER($AB$220),$B$156=1),$AB$220,HLOOKUP(INDIRECT(ADDRESS(2,COLUMN())),OFFSET($BN$2,0,0,ROW()-1,60),ROW()-1,FALSE))</f>
        <v>400281</v>
      </c>
      <c r="AC75">
        <f ca="1">IF(AND(ISNUMBER($AC$220),$B$156=1),$AC$220,HLOOKUP(INDIRECT(ADDRESS(2,COLUMN())),OFFSET($BN$2,0,0,ROW()-1,60),ROW()-1,FALSE))</f>
        <v>410973</v>
      </c>
      <c r="AD75">
        <f ca="1">IF(AND(ISNUMBER($AD$220),$B$156=1),$AD$220,HLOOKUP(INDIRECT(ADDRESS(2,COLUMN())),OFFSET($BN$2,0,0,ROW()-1,60),ROW()-1,FALSE))</f>
        <v>369494</v>
      </c>
      <c r="AE75">
        <f ca="1">IF(AND(ISNUMBER($AE$220),$B$156=1),$AE$220,HLOOKUP(INDIRECT(ADDRESS(2,COLUMN())),OFFSET($BN$2,0,0,ROW()-1,60),ROW()-1,FALSE))</f>
        <v>357583</v>
      </c>
      <c r="AF75">
        <f ca="1">IF(AND(ISNUMBER($AF$220),$B$156=1),$AF$220,HLOOKUP(INDIRECT(ADDRESS(2,COLUMN())),OFFSET($BN$2,0,0,ROW()-1,60),ROW()-1,FALSE))</f>
        <v>364303</v>
      </c>
      <c r="AG75">
        <f ca="1">IF(AND(ISNUMBER($AG$220),$B$156=1),$AG$220,HLOOKUP(INDIRECT(ADDRESS(2,COLUMN())),OFFSET($BN$2,0,0,ROW()-1,60),ROW()-1,FALSE))</f>
        <v>387100</v>
      </c>
      <c r="AH75">
        <f ca="1">IF(AND(ISNUMBER($AH$220),$B$156=1),$AH$220,HLOOKUP(INDIRECT(ADDRESS(2,COLUMN())),OFFSET($BN$2,0,0,ROW()-1,60),ROW()-1,FALSE))</f>
        <v>346137</v>
      </c>
      <c r="AI75">
        <f ca="1">IF(AND(ISNUMBER($AI$220),$B$156=1),$AI$220,HLOOKUP(INDIRECT(ADDRESS(2,COLUMN())),OFFSET($BN$2,0,0,ROW()-1,60),ROW()-1,FALSE))</f>
        <v>329505</v>
      </c>
      <c r="AJ75">
        <f ca="1">IF(AND(ISNUMBER($AJ$220),$B$156=1),$AJ$220,HLOOKUP(INDIRECT(ADDRESS(2,COLUMN())),OFFSET($BN$2,0,0,ROW()-1,60),ROW()-1,FALSE))</f>
        <v>320262</v>
      </c>
      <c r="AK75">
        <f ca="1">IF(AND(ISNUMBER($AK$220),$B$156=1),$AK$220,HLOOKUP(INDIRECT(ADDRESS(2,COLUMN())),OFFSET($BN$2,0,0,ROW()-1,60),ROW()-1,FALSE))</f>
        <v>340360</v>
      </c>
      <c r="AL75">
        <f ca="1">IF(AND(ISNUMBER($AL$220),$B$156=1),$AL$220,HLOOKUP(INDIRECT(ADDRESS(2,COLUMN())),OFFSET($BN$2,0,0,ROW()-1,60),ROW()-1,FALSE))</f>
        <v>312532</v>
      </c>
      <c r="AM75">
        <f ca="1">IF(AND(ISNUMBER($AM$220),$B$156=1),$AM$220,HLOOKUP(INDIRECT(ADDRESS(2,COLUMN())),OFFSET($BN$2,0,0,ROW()-1,60),ROW()-1,FALSE))</f>
        <v>263104</v>
      </c>
      <c r="AN75">
        <f ca="1">IF(AND(ISNUMBER($AN$220),$B$156=1),$AN$220,HLOOKUP(INDIRECT(ADDRESS(2,COLUMN())),OFFSET($BN$2,0,0,ROW()-1,60),ROW()-1,FALSE))</f>
        <v>274368</v>
      </c>
      <c r="AO75">
        <f ca="1">IF(AND(ISNUMBER($AO$220),$B$156=1),$AO$220,HLOOKUP(INDIRECT(ADDRESS(2,COLUMN())),OFFSET($BN$2,0,0,ROW()-1,60),ROW()-1,FALSE))</f>
        <v>290862</v>
      </c>
      <c r="AP75">
        <f ca="1">IF(AND(ISNUMBER($AP$220),$B$156=1),$AP$220,HLOOKUP(INDIRECT(ADDRESS(2,COLUMN())),OFFSET($BN$2,0,0,ROW()-1,60),ROW()-1,FALSE))</f>
        <v>264077</v>
      </c>
      <c r="AQ75">
        <f ca="1">IF(AND(ISNUMBER($AQ$220),$B$156=1),$AQ$220,HLOOKUP(INDIRECT(ADDRESS(2,COLUMN())),OFFSET($BN$2,0,0,ROW()-1,60),ROW()-1,FALSE))</f>
        <v>244373</v>
      </c>
      <c r="AR75">
        <f ca="1">IF(AND(ISNUMBER($AR$220),$B$156=1),$AR$220,HLOOKUP(INDIRECT(ADDRESS(2,COLUMN())),OFFSET($BN$2,0,0,ROW()-1,60),ROW()-1,FALSE))</f>
        <v>239378</v>
      </c>
      <c r="AS75">
        <f ca="1">IF(AND(ISNUMBER($AS$220),$B$156=1),$AS$220,HLOOKUP(INDIRECT(ADDRESS(2,COLUMN())),OFFSET($BN$2,0,0,ROW()-1,60),ROW()-1,FALSE))</f>
        <v>255951</v>
      </c>
      <c r="AT75">
        <f ca="1">IF(AND(ISNUMBER($AT$220),$B$156=1),$AT$220,HLOOKUP(INDIRECT(ADDRESS(2,COLUMN())),OFFSET($BN$2,0,0,ROW()-1,60),ROW()-1,FALSE))</f>
        <v>210027</v>
      </c>
      <c r="AU75">
        <f ca="1">IF(AND(ISNUMBER($AU$220),$B$156=1),$AU$220,HLOOKUP(INDIRECT(ADDRESS(2,COLUMN())),OFFSET($BN$2,0,0,ROW()-1,60),ROW()-1,FALSE))</f>
        <v>241180</v>
      </c>
      <c r="AV75">
        <f ca="1">IF(AND(ISNUMBER($AV$220),$B$156=1),$AV$220,HLOOKUP(INDIRECT(ADDRESS(2,COLUMN())),OFFSET($BN$2,0,0,ROW()-1,60),ROW()-1,FALSE))</f>
        <v>246078</v>
      </c>
      <c r="AW75">
        <f ca="1">IF(AND(ISNUMBER($AW$220),$B$156=1),$AW$220,HLOOKUP(INDIRECT(ADDRESS(2,COLUMN())),OFFSET($BN$2,0,0,ROW()-1,60),ROW()-1,FALSE))</f>
        <v>264943</v>
      </c>
      <c r="AX75">
        <f ca="1">IF(AND(ISNUMBER($AX$220),$B$156=1),$AX$220,HLOOKUP(INDIRECT(ADDRESS(2,COLUMN())),OFFSET($BN$2,0,0,ROW()-1,60),ROW()-1,FALSE))</f>
        <v>251268</v>
      </c>
      <c r="AY75">
        <f ca="1">IF(AND(ISNUMBER($AY$220),$B$156=1),$AY$220,HLOOKUP(INDIRECT(ADDRESS(2,COLUMN())),OFFSET($BN$2,0,0,ROW()-1,60),ROW()-1,FALSE))</f>
        <v>223834</v>
      </c>
      <c r="AZ75">
        <f ca="1">IF(AND(ISNUMBER($AZ$220),$B$156=1),$AZ$220,HLOOKUP(INDIRECT(ADDRESS(2,COLUMN())),OFFSET($BN$2,0,0,ROW()-1,60),ROW()-1,FALSE))</f>
        <v>232238</v>
      </c>
      <c r="BA75">
        <f ca="1">IF(AND(ISNUMBER($BA$220),$B$156=1),$BA$220,HLOOKUP(INDIRECT(ADDRESS(2,COLUMN())),OFFSET($BN$2,0,0,ROW()-1,60),ROW()-1,FALSE))</f>
        <v>260915</v>
      </c>
      <c r="BB75">
        <f ca="1">IF(AND(ISNUMBER($BB$220),$B$156=1),$BB$220,HLOOKUP(INDIRECT(ADDRESS(2,COLUMN())),OFFSET($BN$2,0,0,ROW()-1,60),ROW()-1,FALSE))</f>
        <v>248164</v>
      </c>
      <c r="BC75">
        <f ca="1">IF(AND(ISNUMBER($BC$220),$B$156=1),$BC$220,HLOOKUP(INDIRECT(ADDRESS(2,COLUMN())),OFFSET($BN$2,0,0,ROW()-1,60),ROW()-1,FALSE))</f>
        <v>220475</v>
      </c>
      <c r="BD75">
        <f ca="1">IF(AND(ISNUMBER($BD$220),$B$156=1),$BD$220,HLOOKUP(INDIRECT(ADDRESS(2,COLUMN())),OFFSET($BN$2,0,0,ROW()-1,60),ROW()-1,FALSE))</f>
        <v>221205</v>
      </c>
      <c r="BE75">
        <f ca="1">IF(AND(ISNUMBER($BE$220),$B$156=1),$BE$220,HLOOKUP(INDIRECT(ADDRESS(2,COLUMN())),OFFSET($BN$2,0,0,ROW()-1,60),ROW()-1,FALSE))</f>
        <v>236706</v>
      </c>
      <c r="BF75" t="str">
        <f ca="1">IF(AND(ISNUMBER($BF$220),$B$156=1),$BF$220,HLOOKUP(INDIRECT(ADDRESS(2,COLUMN())),OFFSET($BN$2,0,0,ROW()-1,60),ROW()-1,FALSE))</f>
        <v/>
      </c>
      <c r="BG75" t="str">
        <f ca="1">IF(AND(ISNUMBER($BG$220),$B$156=1),$BG$220,HLOOKUP(INDIRECT(ADDRESS(2,COLUMN())),OFFSET($BN$2,0,0,ROW()-1,60),ROW()-1,FALSE))</f>
        <v/>
      </c>
      <c r="BH75" t="str">
        <f ca="1">IF(AND(ISNUMBER($BH$220),$B$156=1),$BH$220,HLOOKUP(INDIRECT(ADDRESS(2,COLUMN())),OFFSET($BN$2,0,0,ROW()-1,60),ROW()-1,FALSE))</f>
        <v/>
      </c>
      <c r="BI75">
        <f ca="1">IF(AND(ISNUMBER($BI$220),$B$156=1),$BI$220,HLOOKUP(INDIRECT(ADDRESS(2,COLUMN())),OFFSET($BN$2,0,0,ROW()-1,60),ROW()-1,FALSE))</f>
        <v>343308</v>
      </c>
      <c r="BJ75">
        <f ca="1">IF(AND(ISNUMBER($BJ$220),$B$156=1),$BJ$220,HLOOKUP(INDIRECT(ADDRESS(2,COLUMN())),OFFSET($BN$2,0,0,ROW()-1,60),ROW()-1,FALSE))</f>
        <v>294788</v>
      </c>
      <c r="BK75" t="str">
        <f ca="1">IF(AND(ISNUMBER($BK$220),$B$156=1),$BK$220,HLOOKUP(INDIRECT(ADDRESS(2,COLUMN())),OFFSET($BN$2,0,0,ROW()-1,60),ROW()-1,FALSE))</f>
        <v/>
      </c>
      <c r="BL75" t="str">
        <f ca="1">IF(AND(ISNUMBER($BL$220),$B$156=1),$BL$220,HLOOKUP(INDIRECT(ADDRESS(2,COLUMN())),OFFSET($BN$2,0,0,ROW()-1,60),ROW()-1,FALSE))</f>
        <v/>
      </c>
      <c r="BM75" t="str">
        <f ca="1">IF(AND(ISNUMBER($BM$220),$B$156=1),$BM$220,HLOOKUP(INDIRECT(ADDRESS(2,COLUMN())),OFFSET($BN$2,0,0,ROW()-1,60),ROW()-1,FALSE))</f>
        <v/>
      </c>
      <c r="BN75" t="str">
        <f>""</f>
        <v/>
      </c>
      <c r="BO75">
        <f>404282</f>
        <v>404282</v>
      </c>
      <c r="BP75">
        <f>458436</f>
        <v>458436</v>
      </c>
      <c r="BQ75">
        <f>485494</f>
        <v>485494</v>
      </c>
      <c r="BR75">
        <f>463788</f>
        <v>463788</v>
      </c>
      <c r="BS75">
        <f>497327</f>
        <v>497327</v>
      </c>
      <c r="BT75">
        <f>471780</f>
        <v>471780</v>
      </c>
      <c r="BU75">
        <f>486080</f>
        <v>486080</v>
      </c>
      <c r="BV75">
        <f>422603</f>
        <v>422603</v>
      </c>
      <c r="BW75">
        <f>458955</f>
        <v>458955</v>
      </c>
      <c r="BX75">
        <f>455565</f>
        <v>455565</v>
      </c>
      <c r="BY75">
        <f>497464</f>
        <v>497464</v>
      </c>
      <c r="BZ75">
        <f>455754</f>
        <v>455754</v>
      </c>
      <c r="CA75">
        <f>455363</f>
        <v>455363</v>
      </c>
      <c r="CB75">
        <f>445611</f>
        <v>445611</v>
      </c>
      <c r="CC75">
        <f>464101</f>
        <v>464101</v>
      </c>
      <c r="CD75">
        <f>438171</f>
        <v>438171</v>
      </c>
      <c r="CE75">
        <f>442484</f>
        <v>442484</v>
      </c>
      <c r="CF75">
        <f>429288</f>
        <v>429288</v>
      </c>
      <c r="CG75">
        <f>456509</f>
        <v>456509</v>
      </c>
      <c r="CH75">
        <f>412846</f>
        <v>412846</v>
      </c>
      <c r="CI75">
        <f>399252</f>
        <v>399252</v>
      </c>
      <c r="CJ75">
        <f>400281</f>
        <v>400281</v>
      </c>
      <c r="CK75">
        <f>410973</f>
        <v>410973</v>
      </c>
      <c r="CL75">
        <f>369494</f>
        <v>369494</v>
      </c>
      <c r="CM75">
        <f>357583</f>
        <v>357583</v>
      </c>
      <c r="CN75">
        <f>364303</f>
        <v>364303</v>
      </c>
      <c r="CO75">
        <f>387100</f>
        <v>387100</v>
      </c>
      <c r="CP75">
        <f>346137</f>
        <v>346137</v>
      </c>
      <c r="CQ75">
        <f>329505</f>
        <v>329505</v>
      </c>
      <c r="CR75">
        <f>320262</f>
        <v>320262</v>
      </c>
      <c r="CS75">
        <f>340360</f>
        <v>340360</v>
      </c>
      <c r="CT75">
        <f>312532</f>
        <v>312532</v>
      </c>
      <c r="CU75">
        <f>263104</f>
        <v>263104</v>
      </c>
      <c r="CV75">
        <f>274368</f>
        <v>274368</v>
      </c>
      <c r="CW75">
        <f>290862</f>
        <v>290862</v>
      </c>
      <c r="CX75">
        <f>264077</f>
        <v>264077</v>
      </c>
      <c r="CY75">
        <f>244373</f>
        <v>244373</v>
      </c>
      <c r="CZ75">
        <f>239378</f>
        <v>239378</v>
      </c>
      <c r="DA75">
        <f>255951</f>
        <v>255951</v>
      </c>
      <c r="DB75">
        <f>210027</f>
        <v>210027</v>
      </c>
      <c r="DC75">
        <f>241180</f>
        <v>241180</v>
      </c>
      <c r="DD75">
        <f>246078</f>
        <v>246078</v>
      </c>
      <c r="DE75">
        <f>264943</f>
        <v>264943</v>
      </c>
      <c r="DF75">
        <f>251268</f>
        <v>251268</v>
      </c>
      <c r="DG75">
        <f>223834</f>
        <v>223834</v>
      </c>
      <c r="DH75">
        <f>232238</f>
        <v>232238</v>
      </c>
      <c r="DI75">
        <f>260915</f>
        <v>260915</v>
      </c>
      <c r="DJ75">
        <f>248164</f>
        <v>248164</v>
      </c>
      <c r="DK75">
        <f>220475</f>
        <v>220475</v>
      </c>
      <c r="DL75">
        <f>221205</f>
        <v>221205</v>
      </c>
      <c r="DM75">
        <f>236706</f>
        <v>236706</v>
      </c>
      <c r="DN75" t="str">
        <f>""</f>
        <v/>
      </c>
      <c r="DO75" t="str">
        <f>""</f>
        <v/>
      </c>
      <c r="DP75" t="str">
        <f>""</f>
        <v/>
      </c>
      <c r="DQ75">
        <f>343308</f>
        <v>343308</v>
      </c>
      <c r="DR75">
        <f>294788</f>
        <v>294788</v>
      </c>
      <c r="DS75" t="str">
        <f>""</f>
        <v/>
      </c>
      <c r="DT75" t="str">
        <f>""</f>
        <v/>
      </c>
      <c r="DU75" t="str">
        <f>""</f>
        <v/>
      </c>
    </row>
    <row r="76" spans="1:125" x14ac:dyDescent="0.25">
      <c r="A76" t="str">
        <f>"        Skoda"</f>
        <v xml:space="preserve">        Skoda</v>
      </c>
      <c r="B76" t="str">
        <f t="shared" si="11"/>
        <v>VOW GR Equity</v>
      </c>
      <c r="C76" t="str">
        <f t="shared" si="13"/>
        <v>BI047</v>
      </c>
      <c r="D76" t="str">
        <f t="shared" si="14"/>
        <v>BICS_SEGMENT_DATA</v>
      </c>
      <c r="E76" t="str">
        <f t="shared" si="12"/>
        <v>Dynamic</v>
      </c>
      <c r="F76" t="str">
        <f ca="1">IF(AND(ISNUMBER($F$221),$B$156=1),$F$221,HLOOKUP(INDIRECT(ADDRESS(2,COLUMN())),OFFSET($BN$2,0,0,ROW()-1,60),ROW()-1,FALSE))</f>
        <v/>
      </c>
      <c r="G76">
        <f ca="1">IF(AND(ISNUMBER($G$221),$B$156=1),$G$221,HLOOKUP(INDIRECT(ADDRESS(2,COLUMN())),OFFSET($BN$2,0,0,ROW()-1,60),ROW()-1,FALSE))</f>
        <v>314936</v>
      </c>
      <c r="H76">
        <f ca="1">IF(AND(ISNUMBER($H$221),$B$156=1),$H$221,HLOOKUP(INDIRECT(ADDRESS(2,COLUMN())),OFFSET($BN$2,0,0,ROW()-1,60),ROW()-1,FALSE))</f>
        <v>286329</v>
      </c>
      <c r="I76">
        <f ca="1">IF(AND(ISNUMBER($I$221),$B$156=1),$I$221,HLOOKUP(INDIRECT(ADDRESS(2,COLUMN())),OFFSET($BN$2,0,0,ROW()-1,60),ROW()-1,FALSE))</f>
        <v>336019</v>
      </c>
      <c r="J76">
        <f ca="1">IF(AND(ISNUMBER($J$221),$B$156=1),$J$221,HLOOKUP(INDIRECT(ADDRESS(2,COLUMN())),OFFSET($BN$2,0,0,ROW()-1,60),ROW()-1,FALSE))</f>
        <v>316716</v>
      </c>
      <c r="K76">
        <f ca="1">IF(AND(ISNUMBER($K$221),$B$156=1),$K$221,HLOOKUP(INDIRECT(ADDRESS(2,COLUMN())),OFFSET($BN$2,0,0,ROW()-1,60),ROW()-1,FALSE))</f>
        <v>329453</v>
      </c>
      <c r="L76">
        <f ca="1">IF(AND(ISNUMBER($L$221),$B$156=1),$L$221,HLOOKUP(INDIRECT(ADDRESS(2,COLUMN())),OFFSET($BN$2,0,0,ROW()-1,60),ROW()-1,FALSE))</f>
        <v>286069</v>
      </c>
      <c r="M76">
        <f ca="1">IF(AND(ISNUMBER($M$221),$B$156=1),$M$221,HLOOKUP(INDIRECT(ADDRESS(2,COLUMN())),OFFSET($BN$2,0,0,ROW()-1,60),ROW()-1,FALSE))</f>
        <v>301531</v>
      </c>
      <c r="N76">
        <f ca="1">IF(AND(ISNUMBER($N$221),$B$156=1),$N$221,HLOOKUP(INDIRECT(ADDRESS(2,COLUMN())),OFFSET($BN$2,0,0,ROW()-1,60),ROW()-1,FALSE))</f>
        <v>283482</v>
      </c>
      <c r="O76">
        <f ca="1">IF(AND(ISNUMBER($O$221),$B$156=1),$O$221,HLOOKUP(INDIRECT(ADDRESS(2,COLUMN())),OFFSET($BN$2,0,0,ROW()-1,60),ROW()-1,FALSE))</f>
        <v>285596</v>
      </c>
      <c r="P76">
        <f ca="1">IF(AND(ISNUMBER($P$221),$B$156=1),$P$221,HLOOKUP(INDIRECT(ADDRESS(2,COLUMN())),OFFSET($BN$2,0,0,ROW()-1,60),ROW()-1,FALSE))</f>
        <v>271528</v>
      </c>
      <c r="Q76">
        <f ca="1">IF(AND(ISNUMBER($Q$221),$B$156=1),$Q$221,HLOOKUP(INDIRECT(ADDRESS(2,COLUMN())),OFFSET($BN$2,0,0,ROW()-1,60),ROW()-1,FALSE))</f>
        <v>292728</v>
      </c>
      <c r="R76">
        <f ca="1">IF(AND(ISNUMBER($R$221),$B$156=1),$R$221,HLOOKUP(INDIRECT(ADDRESS(2,COLUMN())),OFFSET($BN$2,0,0,ROW()-1,60),ROW()-1,FALSE))</f>
        <v>276625</v>
      </c>
      <c r="S76">
        <f ca="1">IF(AND(ISNUMBER($S$221),$B$156=1),$S$221,HLOOKUP(INDIRECT(ADDRESS(2,COLUMN())),OFFSET($BN$2,0,0,ROW()-1,60),ROW()-1,FALSE))</f>
        <v>264043</v>
      </c>
      <c r="T76">
        <f ca="1">IF(AND(ISNUMBER($T$221),$B$156=1),$T$221,HLOOKUP(INDIRECT(ADDRESS(2,COLUMN())),OFFSET($BN$2,0,0,ROW()-1,60),ROW()-1,FALSE))</f>
        <v>247158</v>
      </c>
      <c r="U76">
        <f ca="1">IF(AND(ISNUMBER($U$221),$B$156=1),$U$221,HLOOKUP(INDIRECT(ADDRESS(2,COLUMN())),OFFSET($BN$2,0,0,ROW()-1,60),ROW()-1,FALSE))</f>
        <v>279203</v>
      </c>
      <c r="V76">
        <f ca="1">IF(AND(ISNUMBER($V$221),$B$156=1),$V$221,HLOOKUP(INDIRECT(ADDRESS(2,COLUMN())),OFFSET($BN$2,0,0,ROW()-1,60),ROW()-1,FALSE))</f>
        <v>265097</v>
      </c>
      <c r="W76">
        <f ca="1">IF(AND(ISNUMBER($W$221),$B$156=1),$W$221,HLOOKUP(INDIRECT(ADDRESS(2,COLUMN())),OFFSET($BN$2,0,0,ROW()-1,60),ROW()-1,FALSE))</f>
        <v>263164</v>
      </c>
      <c r="X76">
        <f ca="1">IF(AND(ISNUMBER($X$221),$B$156=1),$X$221,HLOOKUP(INDIRECT(ADDRESS(2,COLUMN())),OFFSET($BN$2,0,0,ROW()-1,60),ROW()-1,FALSE))</f>
        <v>251563</v>
      </c>
      <c r="Y76">
        <f ca="1">IF(AND(ISNUMBER($Y$221),$B$156=1),$Y$221,HLOOKUP(INDIRECT(ADDRESS(2,COLUMN())),OFFSET($BN$2,0,0,ROW()-1,60),ROW()-1,FALSE))</f>
        <v>275315</v>
      </c>
      <c r="Z76">
        <f ca="1">IF(AND(ISNUMBER($Z$221),$B$156=1),$Z$221,HLOOKUP(INDIRECT(ADDRESS(2,COLUMN())),OFFSET($BN$2,0,0,ROW()-1,60),ROW()-1,FALSE))</f>
        <v>247184</v>
      </c>
      <c r="AA76">
        <f ca="1">IF(AND(ISNUMBER($AA$221),$B$156=1),$AA$221,HLOOKUP(INDIRECT(ADDRESS(2,COLUMN())),OFFSET($BN$2,0,0,ROW()-1,60),ROW()-1,FALSE))</f>
        <v>235854</v>
      </c>
      <c r="AB76">
        <f ca="1">IF(AND(ISNUMBER($AB$221),$B$156=1),$AB$221,HLOOKUP(INDIRECT(ADDRESS(2,COLUMN())),OFFSET($BN$2,0,0,ROW()-1,60),ROW()-1,FALSE))</f>
        <v>220351</v>
      </c>
      <c r="AC76">
        <f ca="1">IF(AND(ISNUMBER($AC$221),$B$156=1),$AC$221,HLOOKUP(INDIRECT(ADDRESS(2,COLUMN())),OFFSET($BN$2,0,0,ROW()-1,60),ROW()-1,FALSE))</f>
        <v>244162</v>
      </c>
      <c r="AD76">
        <f ca="1">IF(AND(ISNUMBER($AD$221),$B$156=1),$AD$221,HLOOKUP(INDIRECT(ADDRESS(2,COLUMN())),OFFSET($BN$2,0,0,ROW()-1,60),ROW()-1,FALSE))</f>
        <v>220433</v>
      </c>
      <c r="AE76">
        <f ca="1">IF(AND(ISNUMBER($AE$221),$B$156=1),$AE$221,HLOOKUP(INDIRECT(ADDRESS(2,COLUMN())),OFFSET($BN$2,0,0,ROW()-1,60),ROW()-1,FALSE))</f>
        <v>222011</v>
      </c>
      <c r="AF76">
        <f ca="1">IF(AND(ISNUMBER($AF$221),$B$156=1),$AF$221,HLOOKUP(INDIRECT(ADDRESS(2,COLUMN())),OFFSET($BN$2,0,0,ROW()-1,60),ROW()-1,FALSE))</f>
        <v>224222</v>
      </c>
      <c r="AG76">
        <f ca="1">IF(AND(ISNUMBER($AG$221),$B$156=1),$AG$221,HLOOKUP(INDIRECT(ADDRESS(2,COLUMN())),OFFSET($BN$2,0,0,ROW()-1,60),ROW()-1,FALSE))</f>
        <v>250237</v>
      </c>
      <c r="AH76">
        <f ca="1">IF(AND(ISNUMBER($AH$221),$B$156=1),$AH$221,HLOOKUP(INDIRECT(ADDRESS(2,COLUMN())),OFFSET($BN$2,0,0,ROW()-1,60),ROW()-1,FALSE))</f>
        <v>242732</v>
      </c>
      <c r="AI76">
        <f ca="1">IF(AND(ISNUMBER($AI$221),$B$156=1),$AI$221,HLOOKUP(INDIRECT(ADDRESS(2,COLUMN())),OFFSET($BN$2,0,0,ROW()-1,60),ROW()-1,FALSE))</f>
        <v>214411</v>
      </c>
      <c r="AJ76">
        <f ca="1">IF(AND(ISNUMBER($AJ$221),$B$156=1),$AJ$221,HLOOKUP(INDIRECT(ADDRESS(2,COLUMN())),OFFSET($BN$2,0,0,ROW()-1,60),ROW()-1,FALSE))</f>
        <v>210075</v>
      </c>
      <c r="AK76">
        <f ca="1">IF(AND(ISNUMBER($AK$221),$B$156=1),$AK$221,HLOOKUP(INDIRECT(ADDRESS(2,COLUMN())),OFFSET($BN$2,0,0,ROW()-1,60),ROW()-1,FALSE))</f>
        <v>237574</v>
      </c>
      <c r="AL76">
        <f ca="1">IF(AND(ISNUMBER($AL$221),$B$156=1),$AL$221,HLOOKUP(INDIRECT(ADDRESS(2,COLUMN())),OFFSET($BN$2,0,0,ROW()-1,60),ROW()-1,FALSE))</f>
        <v>217124</v>
      </c>
      <c r="AM76">
        <f ca="1">IF(AND(ISNUMBER($AM$221),$B$156=1),$AM$221,HLOOKUP(INDIRECT(ADDRESS(2,COLUMN())),OFFSET($BN$2,0,0,ROW()-1,60),ROW()-1,FALSE))</f>
        <v>193610</v>
      </c>
      <c r="AN76">
        <f ca="1">IF(AND(ISNUMBER($AN$221),$B$156=1),$AN$221,HLOOKUP(INDIRECT(ADDRESS(2,COLUMN())),OFFSET($BN$2,0,0,ROW()-1,60),ROW()-1,FALSE))</f>
        <v>190243</v>
      </c>
      <c r="AO76">
        <f ca="1">IF(AND(ISNUMBER($AO$221),$B$156=1),$AO$221,HLOOKUP(INDIRECT(ADDRESS(2,COLUMN())),OFFSET($BN$2,0,0,ROW()-1,60),ROW()-1,FALSE))</f>
        <v>199846</v>
      </c>
      <c r="AP76">
        <f ca="1">IF(AND(ISNUMBER($AP$221),$B$156=1),$AP$221,HLOOKUP(INDIRECT(ADDRESS(2,COLUMN())),OFFSET($BN$2,0,0,ROW()-1,60),ROW()-1,FALSE))</f>
        <v>178901</v>
      </c>
      <c r="AQ76">
        <f ca="1">IF(AND(ISNUMBER($AQ$221),$B$156=1),$AQ$221,HLOOKUP(INDIRECT(ADDRESS(2,COLUMN())),OFFSET($BN$2,0,0,ROW()-1,60),ROW()-1,FALSE))</f>
        <v>179601</v>
      </c>
      <c r="AR76">
        <f ca="1">IF(AND(ISNUMBER($AR$221),$B$156=1),$AR$221,HLOOKUP(INDIRECT(ADDRESS(2,COLUMN())),OFFSET($BN$2,0,0,ROW()-1,60),ROW()-1,FALSE))</f>
        <v>174984</v>
      </c>
      <c r="AS76">
        <f ca="1">IF(AND(ISNUMBER($AS$221),$B$156=1),$AS$221,HLOOKUP(INDIRECT(ADDRESS(2,COLUMN())),OFFSET($BN$2,0,0,ROW()-1,60),ROW()-1,FALSE))</f>
        <v>186562</v>
      </c>
      <c r="AT76">
        <f ca="1">IF(AND(ISNUMBER($AT$221),$B$156=1),$AT$221,HLOOKUP(INDIRECT(ADDRESS(2,COLUMN())),OFFSET($BN$2,0,0,ROW()-1,60),ROW()-1,FALSE))</f>
        <v>143079</v>
      </c>
      <c r="AU76">
        <f ca="1">IF(AND(ISNUMBER($AU$221),$B$156=1),$AU$221,HLOOKUP(INDIRECT(ADDRESS(2,COLUMN())),OFFSET($BN$2,0,0,ROW()-1,60),ROW()-1,FALSE))</f>
        <v>143606</v>
      </c>
      <c r="AV76">
        <f ca="1">IF(AND(ISNUMBER($AV$221),$B$156=1),$AV$221,HLOOKUP(INDIRECT(ADDRESS(2,COLUMN())),OFFSET($BN$2,0,0,ROW()-1,60),ROW()-1,FALSE))</f>
        <v>164258</v>
      </c>
      <c r="AW76">
        <f ca="1">IF(AND(ISNUMBER($AW$221),$B$156=1),$AW$221,HLOOKUP(INDIRECT(ADDRESS(2,COLUMN())),OFFSET($BN$2,0,0,ROW()-1,60),ROW()-1,FALSE))</f>
        <v>193192</v>
      </c>
      <c r="AX76">
        <f ca="1">IF(AND(ISNUMBER($AX$221),$B$156=1),$AX$221,HLOOKUP(INDIRECT(ADDRESS(2,COLUMN())),OFFSET($BN$2,0,0,ROW()-1,60),ROW()-1,FALSE))</f>
        <v>173474</v>
      </c>
      <c r="AY76">
        <f ca="1">IF(AND(ISNUMBER($AY$221),$B$156=1),$AY$221,HLOOKUP(INDIRECT(ADDRESS(2,COLUMN())),OFFSET($BN$2,0,0,ROW()-1,60),ROW()-1,FALSE))</f>
        <v>167603</v>
      </c>
      <c r="AZ76">
        <f ca="1">IF(AND(ISNUMBER($AZ$221),$B$156=1),$AZ$221,HLOOKUP(INDIRECT(ADDRESS(2,COLUMN())),OFFSET($BN$2,0,0,ROW()-1,60),ROW()-1,FALSE))</f>
        <v>151367</v>
      </c>
      <c r="BA76">
        <f ca="1">IF(AND(ISNUMBER($BA$221),$B$156=1),$BA$221,HLOOKUP(INDIRECT(ADDRESS(2,COLUMN())),OFFSET($BN$2,0,0,ROW()-1,60),ROW()-1,FALSE))</f>
        <v>161136</v>
      </c>
      <c r="BB76">
        <f ca="1">IF(AND(ISNUMBER($BB$221),$B$156=1),$BB$221,HLOOKUP(INDIRECT(ADDRESS(2,COLUMN())),OFFSET($BN$2,0,0,ROW()-1,60),ROW()-1,FALSE))</f>
        <v>149926</v>
      </c>
      <c r="BC76">
        <f ca="1">IF(AND(ISNUMBER($BC$221),$B$156=1),$BC$221,HLOOKUP(INDIRECT(ADDRESS(2,COLUMN())),OFFSET($BN$2,0,0,ROW()-1,60),ROW()-1,FALSE))</f>
        <v>138948</v>
      </c>
      <c r="BD76">
        <f ca="1">IF(AND(ISNUMBER($BD$221),$B$156=1),$BD$221,HLOOKUP(INDIRECT(ADDRESS(2,COLUMN())),OFFSET($BN$2,0,0,ROW()-1,60),ROW()-1,FALSE))</f>
        <v>135815</v>
      </c>
      <c r="BE76">
        <f ca="1">IF(AND(ISNUMBER($BE$221),$B$156=1),$BE$221,HLOOKUP(INDIRECT(ADDRESS(2,COLUMN())),OFFSET($BN$2,0,0,ROW()-1,60),ROW()-1,FALSE))</f>
        <v>145126</v>
      </c>
      <c r="BF76" t="str">
        <f ca="1">IF(AND(ISNUMBER($BF$221),$B$156=1),$BF$221,HLOOKUP(INDIRECT(ADDRESS(2,COLUMN())),OFFSET($BN$2,0,0,ROW()-1,60),ROW()-1,FALSE))</f>
        <v/>
      </c>
      <c r="BG76" t="str">
        <f ca="1">IF(AND(ISNUMBER($BG$221),$B$156=1),$BG$221,HLOOKUP(INDIRECT(ADDRESS(2,COLUMN())),OFFSET($BN$2,0,0,ROW()-1,60),ROW()-1,FALSE))</f>
        <v/>
      </c>
      <c r="BH76" t="str">
        <f ca="1">IF(AND(ISNUMBER($BH$221),$B$156=1),$BH$221,HLOOKUP(INDIRECT(ADDRESS(2,COLUMN())),OFFSET($BN$2,0,0,ROW()-1,60),ROW()-1,FALSE))</f>
        <v/>
      </c>
      <c r="BI76" t="str">
        <f ca="1">IF(AND(ISNUMBER($BI$221),$B$156=1),$BI$221,HLOOKUP(INDIRECT(ADDRESS(2,COLUMN())),OFFSET($BN$2,0,0,ROW()-1,60),ROW()-1,FALSE))</f>
        <v/>
      </c>
      <c r="BJ76" t="str">
        <f ca="1">IF(AND(ISNUMBER($BJ$221),$B$156=1),$BJ$221,HLOOKUP(INDIRECT(ADDRESS(2,COLUMN())),OFFSET($BN$2,0,0,ROW()-1,60),ROW()-1,FALSE))</f>
        <v/>
      </c>
      <c r="BK76" t="str">
        <f ca="1">IF(AND(ISNUMBER($BK$221),$B$156=1),$BK$221,HLOOKUP(INDIRECT(ADDRESS(2,COLUMN())),OFFSET($BN$2,0,0,ROW()-1,60),ROW()-1,FALSE))</f>
        <v/>
      </c>
      <c r="BL76" t="str">
        <f ca="1">IF(AND(ISNUMBER($BL$221),$B$156=1),$BL$221,HLOOKUP(INDIRECT(ADDRESS(2,COLUMN())),OFFSET($BN$2,0,0,ROW()-1,60),ROW()-1,FALSE))</f>
        <v/>
      </c>
      <c r="BM76" t="str">
        <f ca="1">IF(AND(ISNUMBER($BM$221),$B$156=1),$BM$221,HLOOKUP(INDIRECT(ADDRESS(2,COLUMN())),OFFSET($BN$2,0,0,ROW()-1,60),ROW()-1,FALSE))</f>
        <v/>
      </c>
      <c r="BN76" t="str">
        <f>""</f>
        <v/>
      </c>
      <c r="BO76">
        <f>314936</f>
        <v>314936</v>
      </c>
      <c r="BP76">
        <f>286329</f>
        <v>286329</v>
      </c>
      <c r="BQ76">
        <f>336019</f>
        <v>336019</v>
      </c>
      <c r="BR76">
        <f>316716</f>
        <v>316716</v>
      </c>
      <c r="BS76">
        <f>329453</f>
        <v>329453</v>
      </c>
      <c r="BT76">
        <f>286069</f>
        <v>286069</v>
      </c>
      <c r="BU76">
        <f>301531</f>
        <v>301531</v>
      </c>
      <c r="BV76">
        <f>283482</f>
        <v>283482</v>
      </c>
      <c r="BW76">
        <f>285596</f>
        <v>285596</v>
      </c>
      <c r="BX76">
        <f>271528</f>
        <v>271528</v>
      </c>
      <c r="BY76">
        <f>292728</f>
        <v>292728</v>
      </c>
      <c r="BZ76">
        <f>276625</f>
        <v>276625</v>
      </c>
      <c r="CA76">
        <f>264043</f>
        <v>264043</v>
      </c>
      <c r="CB76">
        <f>247158</f>
        <v>247158</v>
      </c>
      <c r="CC76">
        <f>279203</f>
        <v>279203</v>
      </c>
      <c r="CD76">
        <f>265097</f>
        <v>265097</v>
      </c>
      <c r="CE76">
        <f>263164</f>
        <v>263164</v>
      </c>
      <c r="CF76">
        <f>251563</f>
        <v>251563</v>
      </c>
      <c r="CG76">
        <f>275315</f>
        <v>275315</v>
      </c>
      <c r="CH76">
        <f>247184</f>
        <v>247184</v>
      </c>
      <c r="CI76">
        <f>235854</f>
        <v>235854</v>
      </c>
      <c r="CJ76">
        <f>220351</f>
        <v>220351</v>
      </c>
      <c r="CK76">
        <f>244162</f>
        <v>244162</v>
      </c>
      <c r="CL76">
        <f>220433</f>
        <v>220433</v>
      </c>
      <c r="CM76">
        <f>222011</f>
        <v>222011</v>
      </c>
      <c r="CN76">
        <f>224222</f>
        <v>224222</v>
      </c>
      <c r="CO76">
        <f>250237</f>
        <v>250237</v>
      </c>
      <c r="CP76">
        <f>242732</f>
        <v>242732</v>
      </c>
      <c r="CQ76">
        <f>214411</f>
        <v>214411</v>
      </c>
      <c r="CR76">
        <f>210075</f>
        <v>210075</v>
      </c>
      <c r="CS76">
        <f>237574</f>
        <v>237574</v>
      </c>
      <c r="CT76">
        <f>217124</f>
        <v>217124</v>
      </c>
      <c r="CU76">
        <f>193610</f>
        <v>193610</v>
      </c>
      <c r="CV76">
        <f>190243</f>
        <v>190243</v>
      </c>
      <c r="CW76">
        <f>199846</f>
        <v>199846</v>
      </c>
      <c r="CX76">
        <f>178901</f>
        <v>178901</v>
      </c>
      <c r="CY76">
        <f>179601</f>
        <v>179601</v>
      </c>
      <c r="CZ76">
        <f>174984</f>
        <v>174984</v>
      </c>
      <c r="DA76">
        <f>186562</f>
        <v>186562</v>
      </c>
      <c r="DB76">
        <f>143079</f>
        <v>143079</v>
      </c>
      <c r="DC76">
        <f>143606</f>
        <v>143606</v>
      </c>
      <c r="DD76">
        <f>164258</f>
        <v>164258</v>
      </c>
      <c r="DE76">
        <f>193192</f>
        <v>193192</v>
      </c>
      <c r="DF76">
        <f>173474</f>
        <v>173474</v>
      </c>
      <c r="DG76">
        <f>167603</f>
        <v>167603</v>
      </c>
      <c r="DH76">
        <f>151367</f>
        <v>151367</v>
      </c>
      <c r="DI76">
        <f>161136</f>
        <v>161136</v>
      </c>
      <c r="DJ76">
        <f>149926</f>
        <v>149926</v>
      </c>
      <c r="DK76">
        <f>138948</f>
        <v>138948</v>
      </c>
      <c r="DL76">
        <f>135815</f>
        <v>135815</v>
      </c>
      <c r="DM76">
        <f>145126</f>
        <v>145126</v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  <c r="DT76" t="str">
        <f>""</f>
        <v/>
      </c>
      <c r="DU76" t="str">
        <f>""</f>
        <v/>
      </c>
    </row>
    <row r="77" spans="1:125" x14ac:dyDescent="0.25">
      <c r="A77" t="str">
        <f>"        VW Commercial Vehicles (Light)"</f>
        <v xml:space="preserve">        VW Commercial Vehicles (Light)</v>
      </c>
      <c r="B77" t="str">
        <f t="shared" si="11"/>
        <v>VOW GR Equity</v>
      </c>
      <c r="C77" t="str">
        <f t="shared" si="13"/>
        <v>BI047</v>
      </c>
      <c r="D77" t="str">
        <f t="shared" si="14"/>
        <v>BICS_SEGMENT_DATA</v>
      </c>
      <c r="E77" t="str">
        <f t="shared" si="12"/>
        <v>Dynamic</v>
      </c>
      <c r="F77" t="str">
        <f ca="1">IF(AND(ISNUMBER($F$222),$B$156=1),$F$222,HLOOKUP(INDIRECT(ADDRESS(2,COLUMN())),OFFSET($BN$2,0,0,ROW()-1,60),ROW()-1,FALSE))</f>
        <v/>
      </c>
      <c r="G77">
        <f ca="1">IF(AND(ISNUMBER($G$222),$B$156=1),$G$222,HLOOKUP(INDIRECT(ADDRESS(2,COLUMN())),OFFSET($BN$2,0,0,ROW()-1,60),ROW()-1,FALSE))</f>
        <v>128558</v>
      </c>
      <c r="H77">
        <f ca="1">IF(AND(ISNUMBER($H$222),$B$156=1),$H$222,HLOOKUP(INDIRECT(ADDRESS(2,COLUMN())),OFFSET($BN$2,0,0,ROW()-1,60),ROW()-1,FALSE))</f>
        <v>112642</v>
      </c>
      <c r="I77">
        <f ca="1">IF(AND(ISNUMBER($I$222),$B$156=1),$I$222,HLOOKUP(INDIRECT(ADDRESS(2,COLUMN())),OFFSET($BN$2,0,0,ROW()-1,60),ROW()-1,FALSE))</f>
        <v>144094</v>
      </c>
      <c r="J77">
        <f ca="1">IF(AND(ISNUMBER($J$222),$B$156=1),$J$222,HLOOKUP(INDIRECT(ADDRESS(2,COLUMN())),OFFSET($BN$2,0,0,ROW()-1,60),ROW()-1,FALSE))</f>
        <v>114706</v>
      </c>
      <c r="K77">
        <f ca="1">IF(AND(ISNUMBER($K$222),$B$156=1),$K$222,HLOOKUP(INDIRECT(ADDRESS(2,COLUMN())),OFFSET($BN$2,0,0,ROW()-1,60),ROW()-1,FALSE))</f>
        <v>129966</v>
      </c>
      <c r="L77">
        <f ca="1">IF(AND(ISNUMBER($L$222),$B$156=1),$L$222,HLOOKUP(INDIRECT(ADDRESS(2,COLUMN())),OFFSET($BN$2,0,0,ROW()-1,60),ROW()-1,FALSE))</f>
        <v>117933</v>
      </c>
      <c r="M77">
        <f ca="1">IF(AND(ISNUMBER($M$222),$B$156=1),$M$222,HLOOKUP(INDIRECT(ADDRESS(2,COLUMN())),OFFSET($BN$2,0,0,ROW()-1,60),ROW()-1,FALSE))</f>
        <v>128105</v>
      </c>
      <c r="N77">
        <f ca="1">IF(AND(ISNUMBER($N$222),$B$156=1),$N$222,HLOOKUP(INDIRECT(ADDRESS(2,COLUMN())),OFFSET($BN$2,0,0,ROW()-1,60),ROW()-1,FALSE))</f>
        <v>121846</v>
      </c>
      <c r="O77">
        <f ca="1">IF(AND(ISNUMBER($O$222),$B$156=1),$O$222,HLOOKUP(INDIRECT(ADDRESS(2,COLUMN())),OFFSET($BN$2,0,0,ROW()-1,60),ROW()-1,FALSE))</f>
        <v>127141</v>
      </c>
      <c r="P77">
        <f ca="1">IF(AND(ISNUMBER($P$222),$B$156=1),$P$222,HLOOKUP(INDIRECT(ADDRESS(2,COLUMN())),OFFSET($BN$2,0,0,ROW()-1,60),ROW()-1,FALSE))</f>
        <v>111967</v>
      </c>
      <c r="Q77">
        <f ca="1">IF(AND(ISNUMBER($Q$222),$B$156=1),$Q$222,HLOOKUP(INDIRECT(ADDRESS(2,COLUMN())),OFFSET($BN$2,0,0,ROW()-1,60),ROW()-1,FALSE))</f>
        <v>125688</v>
      </c>
      <c r="R77">
        <f ca="1">IF(AND(ISNUMBER($R$222),$B$156=1),$R$222,HLOOKUP(INDIRECT(ADDRESS(2,COLUMN())),OFFSET($BN$2,0,0,ROW()-1,60),ROW()-1,FALSE))</f>
        <v>113136</v>
      </c>
      <c r="S77">
        <f ca="1">IF(AND(ISNUMBER($S$222),$B$156=1),$S$222,HLOOKUP(INDIRECT(ADDRESS(2,COLUMN())),OFFSET($BN$2,0,0,ROW()-1,60),ROW()-1,FALSE))</f>
        <v>109353</v>
      </c>
      <c r="T77">
        <f ca="1">IF(AND(ISNUMBER($T$222),$B$156=1),$T$222,HLOOKUP(INDIRECT(ADDRESS(2,COLUMN())),OFFSET($BN$2,0,0,ROW()-1,60),ROW()-1,FALSE))</f>
        <v>98287</v>
      </c>
      <c r="U77">
        <f ca="1">IF(AND(ISNUMBER($U$222),$B$156=1),$U$222,HLOOKUP(INDIRECT(ADDRESS(2,COLUMN())),OFFSET($BN$2,0,0,ROW()-1,60),ROW()-1,FALSE))</f>
        <v>114678</v>
      </c>
      <c r="V77">
        <f ca="1">IF(AND(ISNUMBER($V$222),$B$156=1),$V$222,HLOOKUP(INDIRECT(ADDRESS(2,COLUMN())),OFFSET($BN$2,0,0,ROW()-1,60),ROW()-1,FALSE))</f>
        <v>108483</v>
      </c>
      <c r="W77">
        <f ca="1">IF(AND(ISNUMBER($W$222),$B$156=1),$W$222,HLOOKUP(INDIRECT(ADDRESS(2,COLUMN())),OFFSET($BN$2,0,0,ROW()-1,60),ROW()-1,FALSE))</f>
        <v>138261</v>
      </c>
      <c r="X77">
        <f ca="1">IF(AND(ISNUMBER($X$222),$B$156=1),$X$222,HLOOKUP(INDIRECT(ADDRESS(2,COLUMN())),OFFSET($BN$2,0,0,ROW()-1,60),ROW()-1,FALSE))</f>
        <v>107333</v>
      </c>
      <c r="Y77">
        <f ca="1">IF(AND(ISNUMBER($Y$222),$B$156=1),$Y$222,HLOOKUP(INDIRECT(ADDRESS(2,COLUMN())),OFFSET($BN$2,0,0,ROW()-1,60),ROW()-1,FALSE))</f>
        <v>100133</v>
      </c>
      <c r="Z77">
        <f ca="1">IF(AND(ISNUMBER($Z$222),$B$156=1),$Z$222,HLOOKUP(INDIRECT(ADDRESS(2,COLUMN())),OFFSET($BN$2,0,0,ROW()-1,60),ROW()-1,FALSE))</f>
        <v>120867</v>
      </c>
      <c r="AA77">
        <f ca="1">IF(AND(ISNUMBER($AA$222),$B$156=1),$AA$222,HLOOKUP(INDIRECT(ADDRESS(2,COLUMN())),OFFSET($BN$2,0,0,ROW()-1,60),ROW()-1,FALSE))</f>
        <v>145305</v>
      </c>
      <c r="AB77">
        <f ca="1">IF(AND(ISNUMBER($AB$222),$B$156=1),$AB$222,HLOOKUP(INDIRECT(ADDRESS(2,COLUMN())),OFFSET($BN$2,0,0,ROW()-1,60),ROW()-1,FALSE))</f>
        <v>135901</v>
      </c>
      <c r="AC77">
        <f ca="1">IF(AND(ISNUMBER($AC$222),$B$156=1),$AC$222,HLOOKUP(INDIRECT(ADDRESS(2,COLUMN())),OFFSET($BN$2,0,0,ROW()-1,60),ROW()-1,FALSE))</f>
        <v>146540</v>
      </c>
      <c r="AD77">
        <f ca="1">IF(AND(ISNUMBER($AD$222),$B$156=1),$AD$222,HLOOKUP(INDIRECT(ADDRESS(2,COLUMN())),OFFSET($BN$2,0,0,ROW()-1,60),ROW()-1,FALSE))</f>
        <v>123746</v>
      </c>
      <c r="AE77">
        <f ca="1">IF(AND(ISNUMBER($AE$222),$B$156=1),$AE$222,HLOOKUP(INDIRECT(ADDRESS(2,COLUMN())),OFFSET($BN$2,0,0,ROW()-1,60),ROW()-1,FALSE))</f>
        <v>141071</v>
      </c>
      <c r="AF77">
        <f ca="1">IF(AND(ISNUMBER($AF$222),$B$156=1),$AF$222,HLOOKUP(INDIRECT(ADDRESS(2,COLUMN())),OFFSET($BN$2,0,0,ROW()-1,60),ROW()-1,FALSE))</f>
        <v>139267</v>
      </c>
      <c r="AG77">
        <f ca="1">IF(AND(ISNUMBER($AG$222),$B$156=1),$AG$222,HLOOKUP(INDIRECT(ADDRESS(2,COLUMN())),OFFSET($BN$2,0,0,ROW()-1,60),ROW()-1,FALSE))</f>
        <v>139301</v>
      </c>
      <c r="AH77">
        <f ca="1">IF(AND(ISNUMBER($AH$222),$B$156=1),$AH$222,HLOOKUP(INDIRECT(ADDRESS(2,COLUMN())),OFFSET($BN$2,0,0,ROW()-1,60),ROW()-1,FALSE))</f>
        <v>130731</v>
      </c>
      <c r="AI77">
        <f ca="1">IF(AND(ISNUMBER($AI$222),$B$156=1),$AI$222,HLOOKUP(INDIRECT(ADDRESS(2,COLUMN())),OFFSET($BN$2,0,0,ROW()-1,60),ROW()-1,FALSE))</f>
        <v>138815</v>
      </c>
      <c r="AJ77">
        <f ca="1">IF(AND(ISNUMBER($AJ$222),$B$156=1),$AJ$222,HLOOKUP(INDIRECT(ADDRESS(2,COLUMN())),OFFSET($BN$2,0,0,ROW()-1,60),ROW()-1,FALSE))</f>
        <v>129766</v>
      </c>
      <c r="AK77">
        <f ca="1">IF(AND(ISNUMBER($AK$222),$B$156=1),$AK$222,HLOOKUP(INDIRECT(ADDRESS(2,COLUMN())),OFFSET($BN$2,0,0,ROW()-1,60),ROW()-1,FALSE))</f>
        <v>139122</v>
      </c>
      <c r="AL77">
        <f ca="1">IF(AND(ISNUMBER($AL$222),$B$156=1),$AL$222,HLOOKUP(INDIRECT(ADDRESS(2,COLUMN())),OFFSET($BN$2,0,0,ROW()-1,60),ROW()-1,FALSE))</f>
        <v>121175</v>
      </c>
      <c r="AM77">
        <f ca="1">IF(AND(ISNUMBER($AM$222),$B$156=1),$AM$222,HLOOKUP(INDIRECT(ADDRESS(2,COLUMN())),OFFSET($BN$2,0,0,ROW()-1,60),ROW()-1,FALSE))</f>
        <v>124914</v>
      </c>
      <c r="AN77">
        <f ca="1">IF(AND(ISNUMBER($AN$222),$B$156=1),$AN$222,HLOOKUP(INDIRECT(ADDRESS(2,COLUMN())),OFFSET($BN$2,0,0,ROW()-1,60),ROW()-1,FALSE))</f>
        <v>108382</v>
      </c>
      <c r="AO77">
        <f ca="1">IF(AND(ISNUMBER($AO$222),$B$156=1),$AO$222,HLOOKUP(INDIRECT(ADDRESS(2,COLUMN())),OFFSET($BN$2,0,0,ROW()-1,60),ROW()-1,FALSE))</f>
        <v>113350</v>
      </c>
      <c r="AP77">
        <f ca="1">IF(AND(ISNUMBER($AP$222),$B$156=1),$AP$222,HLOOKUP(INDIRECT(ADDRESS(2,COLUMN())),OFFSET($BN$2,0,0,ROW()-1,60),ROW()-1,FALSE))</f>
        <v>88938</v>
      </c>
      <c r="AQ77">
        <f ca="1">IF(AND(ISNUMBER($AQ$222),$B$156=1),$AQ$222,HLOOKUP(INDIRECT(ADDRESS(2,COLUMN())),OFFSET($BN$2,0,0,ROW()-1,60),ROW()-1,FALSE))</f>
        <v>93376</v>
      </c>
      <c r="AR77">
        <f ca="1">IF(AND(ISNUMBER($AR$222),$B$156=1),$AR$222,HLOOKUP(INDIRECT(ADDRESS(2,COLUMN())),OFFSET($BN$2,0,0,ROW()-1,60),ROW()-1,FALSE))</f>
        <v>82063</v>
      </c>
      <c r="AS77">
        <f ca="1">IF(AND(ISNUMBER($AS$222),$B$156=1),$AS$222,HLOOKUP(INDIRECT(ADDRESS(2,COLUMN())),OFFSET($BN$2,0,0,ROW()-1,60),ROW()-1,FALSE))</f>
        <v>94160</v>
      </c>
      <c r="AT77">
        <f ca="1">IF(AND(ISNUMBER($AT$222),$B$156=1),$AT$222,HLOOKUP(INDIRECT(ADDRESS(2,COLUMN())),OFFSET($BN$2,0,0,ROW()-1,60),ROW()-1,FALSE))</f>
        <v>85106</v>
      </c>
      <c r="AU77">
        <f ca="1">IF(AND(ISNUMBER($AU$222),$B$156=1),$AU$222,HLOOKUP(INDIRECT(ADDRESS(2,COLUMN())),OFFSET($BN$2,0,0,ROW()-1,60),ROW()-1,FALSE))</f>
        <v>116286</v>
      </c>
      <c r="AV77">
        <f ca="1">IF(AND(ISNUMBER($AV$222),$B$156=1),$AV$222,HLOOKUP(INDIRECT(ADDRESS(2,COLUMN())),OFFSET($BN$2,0,0,ROW()-1,60),ROW()-1,FALSE))</f>
        <v>123137</v>
      </c>
      <c r="AW77">
        <f ca="1">IF(AND(ISNUMBER($AW$222),$B$156=1),$AW$222,HLOOKUP(INDIRECT(ADDRESS(2,COLUMN())),OFFSET($BN$2,0,0,ROW()-1,60),ROW()-1,FALSE))</f>
        <v>140223</v>
      </c>
      <c r="AX77">
        <f ca="1">IF(AND(ISNUMBER($AX$222),$B$156=1),$AX$222,HLOOKUP(INDIRECT(ADDRESS(2,COLUMN())),OFFSET($BN$2,0,0,ROW()-1,60),ROW()-1,FALSE))</f>
        <v>123379</v>
      </c>
      <c r="AY77">
        <f ca="1">IF(AND(ISNUMBER($AY$222),$B$156=1),$AY$222,HLOOKUP(INDIRECT(ADDRESS(2,COLUMN())),OFFSET($BN$2,0,0,ROW()-1,60),ROW()-1,FALSE))</f>
        <v>132479</v>
      </c>
      <c r="AZ77">
        <f ca="1">IF(AND(ISNUMBER($AZ$222),$B$156=1),$AZ$222,HLOOKUP(INDIRECT(ADDRESS(2,COLUMN())),OFFSET($BN$2,0,0,ROW()-1,60),ROW()-1,FALSE))</f>
        <v>122765</v>
      </c>
      <c r="BA77">
        <f ca="1">IF(AND(ISNUMBER($BA$222),$B$156=1),$BA$222,HLOOKUP(INDIRECT(ADDRESS(2,COLUMN())),OFFSET($BN$2,0,0,ROW()-1,60),ROW()-1,FALSE))</f>
        <v>123309</v>
      </c>
      <c r="BB77">
        <f ca="1">IF(AND(ISNUMBER($BB$222),$B$156=1),$BB$222,HLOOKUP(INDIRECT(ADDRESS(2,COLUMN())),OFFSET($BN$2,0,0,ROW()-1,60),ROW()-1,FALSE))</f>
        <v>110103</v>
      </c>
      <c r="BC77">
        <f ca="1">IF(AND(ISNUMBER($BC$222),$B$156=1),$BC$222,HLOOKUP(INDIRECT(ADDRESS(2,COLUMN())),OFFSET($BN$2,0,0,ROW()-1,60),ROW()-1,FALSE))</f>
        <v>121807</v>
      </c>
      <c r="BD77">
        <f ca="1">IF(AND(ISNUMBER($BD$222),$B$156=1),$BD$222,HLOOKUP(INDIRECT(ADDRESS(2,COLUMN())),OFFSET($BN$2,0,0,ROW()-1,60),ROW()-1,FALSE))</f>
        <v>104553</v>
      </c>
      <c r="BE77">
        <f ca="1">IF(AND(ISNUMBER($BE$222),$B$156=1),$BE$222,HLOOKUP(INDIRECT(ADDRESS(2,COLUMN())),OFFSET($BN$2,0,0,ROW()-1,60),ROW()-1,FALSE))</f>
        <v>115562</v>
      </c>
      <c r="BF77" t="str">
        <f ca="1">IF(AND(ISNUMBER($BF$222),$B$156=1),$BF$222,HLOOKUP(INDIRECT(ADDRESS(2,COLUMN())),OFFSET($BN$2,0,0,ROW()-1,60),ROW()-1,FALSE))</f>
        <v/>
      </c>
      <c r="BG77" t="str">
        <f ca="1">IF(AND(ISNUMBER($BG$222),$B$156=1),$BG$222,HLOOKUP(INDIRECT(ADDRESS(2,COLUMN())),OFFSET($BN$2,0,0,ROW()-1,60),ROW()-1,FALSE))</f>
        <v/>
      </c>
      <c r="BH77" t="str">
        <f ca="1">IF(AND(ISNUMBER($BH$222),$B$156=1),$BH$222,HLOOKUP(INDIRECT(ADDRESS(2,COLUMN())),OFFSET($BN$2,0,0,ROW()-1,60),ROW()-1,FALSE))</f>
        <v/>
      </c>
      <c r="BI77">
        <f ca="1">IF(AND(ISNUMBER($BI$222),$B$156=1),$BI$222,HLOOKUP(INDIRECT(ADDRESS(2,COLUMN())),OFFSET($BN$2,0,0,ROW()-1,60),ROW()-1,FALSE))</f>
        <v>106370</v>
      </c>
      <c r="BJ77">
        <f ca="1">IF(AND(ISNUMBER($BJ$222),$B$156=1),$BJ$222,HLOOKUP(INDIRECT(ADDRESS(2,COLUMN())),OFFSET($BN$2,0,0,ROW()-1,60),ROW()-1,FALSE))</f>
        <v>89277</v>
      </c>
      <c r="BK77" t="str">
        <f ca="1">IF(AND(ISNUMBER($BK$222),$B$156=1),$BK$222,HLOOKUP(INDIRECT(ADDRESS(2,COLUMN())),OFFSET($BN$2,0,0,ROW()-1,60),ROW()-1,FALSE))</f>
        <v/>
      </c>
      <c r="BL77" t="str">
        <f ca="1">IF(AND(ISNUMBER($BL$222),$B$156=1),$BL$222,HLOOKUP(INDIRECT(ADDRESS(2,COLUMN())),OFFSET($BN$2,0,0,ROW()-1,60),ROW()-1,FALSE))</f>
        <v/>
      </c>
      <c r="BM77" t="str">
        <f ca="1">IF(AND(ISNUMBER($BM$222),$B$156=1),$BM$222,HLOOKUP(INDIRECT(ADDRESS(2,COLUMN())),OFFSET($BN$2,0,0,ROW()-1,60),ROW()-1,FALSE))</f>
        <v/>
      </c>
      <c r="BN77" t="str">
        <f>""</f>
        <v/>
      </c>
      <c r="BO77">
        <f>128558</f>
        <v>128558</v>
      </c>
      <c r="BP77">
        <f>112642</f>
        <v>112642</v>
      </c>
      <c r="BQ77">
        <f>144094</f>
        <v>144094</v>
      </c>
      <c r="BR77">
        <f>114706</f>
        <v>114706</v>
      </c>
      <c r="BS77">
        <f>129966</f>
        <v>129966</v>
      </c>
      <c r="BT77">
        <f>117933</f>
        <v>117933</v>
      </c>
      <c r="BU77">
        <f>128105</f>
        <v>128105</v>
      </c>
      <c r="BV77">
        <f>121846</f>
        <v>121846</v>
      </c>
      <c r="BW77">
        <f>127141</f>
        <v>127141</v>
      </c>
      <c r="BX77">
        <f>111967</f>
        <v>111967</v>
      </c>
      <c r="BY77">
        <f>125688</f>
        <v>125688</v>
      </c>
      <c r="BZ77">
        <f>113136</f>
        <v>113136</v>
      </c>
      <c r="CA77">
        <f>109353</f>
        <v>109353</v>
      </c>
      <c r="CB77">
        <f>98287</f>
        <v>98287</v>
      </c>
      <c r="CC77">
        <f>114678</f>
        <v>114678</v>
      </c>
      <c r="CD77">
        <f>108483</f>
        <v>108483</v>
      </c>
      <c r="CE77">
        <f>138261</f>
        <v>138261</v>
      </c>
      <c r="CF77">
        <f>107333</f>
        <v>107333</v>
      </c>
      <c r="CG77">
        <f>100133</f>
        <v>100133</v>
      </c>
      <c r="CH77">
        <f>120867</f>
        <v>120867</v>
      </c>
      <c r="CI77">
        <f>145305</f>
        <v>145305</v>
      </c>
      <c r="CJ77">
        <f>135901</f>
        <v>135901</v>
      </c>
      <c r="CK77">
        <f>146540</f>
        <v>146540</v>
      </c>
      <c r="CL77">
        <f>123746</f>
        <v>123746</v>
      </c>
      <c r="CM77">
        <f>141071</f>
        <v>141071</v>
      </c>
      <c r="CN77">
        <f>139267</f>
        <v>139267</v>
      </c>
      <c r="CO77">
        <f>139301</f>
        <v>139301</v>
      </c>
      <c r="CP77">
        <f>130731</f>
        <v>130731</v>
      </c>
      <c r="CQ77">
        <f>138815</f>
        <v>138815</v>
      </c>
      <c r="CR77">
        <f>129766</f>
        <v>129766</v>
      </c>
      <c r="CS77">
        <f>139122</f>
        <v>139122</v>
      </c>
      <c r="CT77">
        <f>121175</f>
        <v>121175</v>
      </c>
      <c r="CU77">
        <f>124914</f>
        <v>124914</v>
      </c>
      <c r="CV77">
        <f>108382</f>
        <v>108382</v>
      </c>
      <c r="CW77">
        <f>113350</f>
        <v>113350</v>
      </c>
      <c r="CX77">
        <f>88938</f>
        <v>88938</v>
      </c>
      <c r="CY77">
        <f>93376</f>
        <v>93376</v>
      </c>
      <c r="CZ77">
        <f>82063</f>
        <v>82063</v>
      </c>
      <c r="DA77">
        <f>94160</f>
        <v>94160</v>
      </c>
      <c r="DB77">
        <f>85106</f>
        <v>85106</v>
      </c>
      <c r="DC77">
        <f>116286</f>
        <v>116286</v>
      </c>
      <c r="DD77">
        <f>123137</f>
        <v>123137</v>
      </c>
      <c r="DE77">
        <f>140223</f>
        <v>140223</v>
      </c>
      <c r="DF77">
        <f>123379</f>
        <v>123379</v>
      </c>
      <c r="DG77">
        <f>132479</f>
        <v>132479</v>
      </c>
      <c r="DH77">
        <f>122765</f>
        <v>122765</v>
      </c>
      <c r="DI77">
        <f>123309</f>
        <v>123309</v>
      </c>
      <c r="DJ77">
        <f>110103</f>
        <v>110103</v>
      </c>
      <c r="DK77">
        <f>121807</f>
        <v>121807</v>
      </c>
      <c r="DL77">
        <f>104553</f>
        <v>104553</v>
      </c>
      <c r="DM77">
        <f>115562</f>
        <v>115562</v>
      </c>
      <c r="DN77" t="str">
        <f>""</f>
        <v/>
      </c>
      <c r="DO77" t="str">
        <f>""</f>
        <v/>
      </c>
      <c r="DP77" t="str">
        <f>""</f>
        <v/>
      </c>
      <c r="DQ77">
        <f>106370</f>
        <v>106370</v>
      </c>
      <c r="DR77">
        <f>89277</f>
        <v>89277</v>
      </c>
      <c r="DS77" t="str">
        <f>""</f>
        <v/>
      </c>
      <c r="DT77" t="str">
        <f>""</f>
        <v/>
      </c>
      <c r="DU77" t="str">
        <f>""</f>
        <v/>
      </c>
    </row>
    <row r="78" spans="1:125" x14ac:dyDescent="0.25">
      <c r="A78" t="str">
        <f>"        SEAT"</f>
        <v xml:space="preserve">        SEAT</v>
      </c>
      <c r="B78" t="str">
        <f t="shared" si="11"/>
        <v>VOW GR Equity</v>
      </c>
      <c r="C78" t="str">
        <f t="shared" si="13"/>
        <v>BI047</v>
      </c>
      <c r="D78" t="str">
        <f t="shared" si="14"/>
        <v>BICS_SEGMENT_DATA</v>
      </c>
      <c r="E78" t="str">
        <f t="shared" si="12"/>
        <v>Dynamic</v>
      </c>
      <c r="F78" t="str">
        <f ca="1">IF(AND(ISNUMBER($F$223),$B$156=1),$F$223,HLOOKUP(INDIRECT(ADDRESS(2,COLUMN())),OFFSET($BN$2,0,0,ROW()-1,60),ROW()-1,FALSE))</f>
        <v/>
      </c>
      <c r="G78">
        <f ca="1">IF(AND(ISNUMBER($G$223),$B$156=1),$G$223,HLOOKUP(INDIRECT(ADDRESS(2,COLUMN())),OFFSET($BN$2,0,0,ROW()-1,60),ROW()-1,FALSE))</f>
        <v>102423</v>
      </c>
      <c r="H78">
        <f ca="1">IF(AND(ISNUMBER($H$223),$B$156=1),$H$223,HLOOKUP(INDIRECT(ADDRESS(2,COLUMN())),OFFSET($BN$2,0,0,ROW()-1,60),ROW()-1,FALSE))</f>
        <v>125629</v>
      </c>
      <c r="I78">
        <f ca="1">IF(AND(ISNUMBER($I$223),$B$156=1),$I$223,HLOOKUP(INDIRECT(ADDRESS(2,COLUMN())),OFFSET($BN$2,0,0,ROW()-1,60),ROW()-1,FALSE))</f>
        <v>150714</v>
      </c>
      <c r="J78">
        <f ca="1">IF(AND(ISNUMBER($J$223),$B$156=1),$J$223,HLOOKUP(INDIRECT(ADDRESS(2,COLUMN())),OFFSET($BN$2,0,0,ROW()-1,60),ROW()-1,FALSE))</f>
        <v>139234</v>
      </c>
      <c r="K78">
        <f ca="1">IF(AND(ISNUMBER($K$223),$B$156=1),$K$223,HLOOKUP(INDIRECT(ADDRESS(2,COLUMN())),OFFSET($BN$2,0,0,ROW()-1,60),ROW()-1,FALSE))</f>
        <v>113535</v>
      </c>
      <c r="L78">
        <f ca="1">IF(AND(ISNUMBER($L$223),$B$156=1),$L$223,HLOOKUP(INDIRECT(ADDRESS(2,COLUMN())),OFFSET($BN$2,0,0,ROW()-1,60),ROW()-1,FALSE))</f>
        <v>108401</v>
      </c>
      <c r="M78">
        <f ca="1">IF(AND(ISNUMBER($M$223),$B$156=1),$M$223,HLOOKUP(INDIRECT(ADDRESS(2,COLUMN())),OFFSET($BN$2,0,0,ROW()-1,60),ROW()-1,FALSE))</f>
        <v>129221</v>
      </c>
      <c r="N78">
        <f ca="1">IF(AND(ISNUMBER($N$223),$B$156=1),$N$223,HLOOKUP(INDIRECT(ADDRESS(2,COLUMN())),OFFSET($BN$2,0,0,ROW()-1,60),ROW()-1,FALSE))</f>
        <v>117272</v>
      </c>
      <c r="O78">
        <f ca="1">IF(AND(ISNUMBER($O$223),$B$156=1),$O$223,HLOOKUP(INDIRECT(ADDRESS(2,COLUMN())),OFFSET($BN$2,0,0,ROW()-1,60),ROW()-1,FALSE))</f>
        <v>95815</v>
      </c>
      <c r="P78">
        <f ca="1">IF(AND(ISNUMBER($P$223),$B$156=1),$P$223,HLOOKUP(INDIRECT(ADDRESS(2,COLUMN())),OFFSET($BN$2,0,0,ROW()-1,60),ROW()-1,FALSE))</f>
        <v>96045</v>
      </c>
      <c r="Q78">
        <f ca="1">IF(AND(ISNUMBER($Q$223),$B$156=1),$Q$223,HLOOKUP(INDIRECT(ADDRESS(2,COLUMN())),OFFSET($BN$2,0,0,ROW()-1,60),ROW()-1,FALSE))</f>
        <v>113929</v>
      </c>
      <c r="R78">
        <f ca="1">IF(AND(ISNUMBER($R$223),$B$156=1),$R$223,HLOOKUP(INDIRECT(ADDRESS(2,COLUMN())),OFFSET($BN$2,0,0,ROW()-1,60),ROW()-1,FALSE))</f>
        <v>102914</v>
      </c>
      <c r="S78">
        <f ca="1">IF(AND(ISNUMBER($S$223),$B$156=1),$S$223,HLOOKUP(INDIRECT(ADDRESS(2,COLUMN())),OFFSET($BN$2,0,0,ROW()-1,60),ROW()-1,FALSE))</f>
        <v>91658</v>
      </c>
      <c r="T78">
        <f ca="1">IF(AND(ISNUMBER($T$223),$B$156=1),$T$223,HLOOKUP(INDIRECT(ADDRESS(2,COLUMN())),OFFSET($BN$2,0,0,ROW()-1,60),ROW()-1,FALSE))</f>
        <v>91919</v>
      </c>
      <c r="U78">
        <f ca="1">IF(AND(ISNUMBER($U$223),$B$156=1),$U$223,HLOOKUP(INDIRECT(ADDRESS(2,COLUMN())),OFFSET($BN$2,0,0,ROW()-1,60),ROW()-1,FALSE))</f>
        <v>113720</v>
      </c>
      <c r="V78">
        <f ca="1">IF(AND(ISNUMBER($V$223),$B$156=1),$V$223,HLOOKUP(INDIRECT(ADDRESS(2,COLUMN())),OFFSET($BN$2,0,0,ROW()-1,60),ROW()-1,FALSE))</f>
        <v>102740</v>
      </c>
      <c r="W78">
        <f ca="1">IF(AND(ISNUMBER($W$223),$B$156=1),$W$223,HLOOKUP(INDIRECT(ADDRESS(2,COLUMN())),OFFSET($BN$2,0,0,ROW()-1,60),ROW()-1,FALSE))</f>
        <v>96522</v>
      </c>
      <c r="X78">
        <f ca="1">IF(AND(ISNUMBER($X$223),$B$156=1),$X$223,HLOOKUP(INDIRECT(ADDRESS(2,COLUMN())),OFFSET($BN$2,0,0,ROW()-1,60),ROW()-1,FALSE))</f>
        <v>93861</v>
      </c>
      <c r="Y78">
        <f ca="1">IF(AND(ISNUMBER($Y$223),$B$156=1),$Y$223,HLOOKUP(INDIRECT(ADDRESS(2,COLUMN())),OFFSET($BN$2,0,0,ROW()-1,60),ROW()-1,FALSE))</f>
        <v>106752</v>
      </c>
      <c r="Z78">
        <f ca="1">IF(AND(ISNUMBER($Z$223),$B$156=1),$Z$223,HLOOKUP(INDIRECT(ADDRESS(2,COLUMN())),OFFSET($BN$2,0,0,ROW()-1,60),ROW()-1,FALSE))</f>
        <v>93401</v>
      </c>
      <c r="AA78">
        <f ca="1">IF(AND(ISNUMBER($AA$223),$B$156=1),$AA$223,HLOOKUP(INDIRECT(ADDRESS(2,COLUMN())),OFFSET($BN$2,0,0,ROW()-1,60),ROW()-1,FALSE))</f>
        <v>88942</v>
      </c>
      <c r="AB78">
        <f ca="1">IF(AND(ISNUMBER($AB$223),$B$156=1),$AB$223,HLOOKUP(INDIRECT(ADDRESS(2,COLUMN())),OFFSET($BN$2,0,0,ROW()-1,60),ROW()-1,FALSE))</f>
        <v>83922</v>
      </c>
      <c r="AC78">
        <f ca="1">IF(AND(ISNUMBER($AC$223),$B$156=1),$AC$223,HLOOKUP(INDIRECT(ADDRESS(2,COLUMN())),OFFSET($BN$2,0,0,ROW()-1,60),ROW()-1,FALSE))</f>
        <v>95050</v>
      </c>
      <c r="AD78">
        <f ca="1">IF(AND(ISNUMBER($AD$223),$B$156=1),$AD$223,HLOOKUP(INDIRECT(ADDRESS(2,COLUMN())),OFFSET($BN$2,0,0,ROW()-1,60),ROW()-1,FALSE))</f>
        <v>87077</v>
      </c>
      <c r="AE78">
        <f ca="1">IF(AND(ISNUMBER($AE$223),$B$156=1),$AE$223,HLOOKUP(INDIRECT(ADDRESS(2,COLUMN())),OFFSET($BN$2,0,0,ROW()-1,60),ROW()-1,FALSE))</f>
        <v>82825</v>
      </c>
      <c r="AF78">
        <f ca="1">IF(AND(ISNUMBER($AF$223),$B$156=1),$AF$223,HLOOKUP(INDIRECT(ADDRESS(2,COLUMN())),OFFSET($BN$2,0,0,ROW()-1,60),ROW()-1,FALSE))</f>
        <v>74852</v>
      </c>
      <c r="AG78">
        <f ca="1">IF(AND(ISNUMBER($AG$223),$B$156=1),$AG$223,HLOOKUP(INDIRECT(ADDRESS(2,COLUMN())),OFFSET($BN$2,0,0,ROW()-1,60),ROW()-1,FALSE))</f>
        <v>83206</v>
      </c>
      <c r="AH78">
        <f ca="1">IF(AND(ISNUMBER($AH$223),$B$156=1),$AH$223,HLOOKUP(INDIRECT(ADDRESS(2,COLUMN())),OFFSET($BN$2,0,0,ROW()-1,60),ROW()-1,FALSE))</f>
        <v>80119</v>
      </c>
      <c r="AI78">
        <f ca="1">IF(AND(ISNUMBER($AI$223),$B$156=1),$AI$223,HLOOKUP(INDIRECT(ADDRESS(2,COLUMN())),OFFSET($BN$2,0,0,ROW()-1,60),ROW()-1,FALSE))</f>
        <v>83251</v>
      </c>
      <c r="AJ78">
        <f ca="1">IF(AND(ISNUMBER($AJ$223),$B$156=1),$AJ$223,HLOOKUP(INDIRECT(ADDRESS(2,COLUMN())),OFFSET($BN$2,0,0,ROW()-1,60),ROW()-1,FALSE))</f>
        <v>80342</v>
      </c>
      <c r="AK78">
        <f ca="1">IF(AND(ISNUMBER($AK$223),$B$156=1),$AK$223,HLOOKUP(INDIRECT(ADDRESS(2,COLUMN())),OFFSET($BN$2,0,0,ROW()-1,60),ROW()-1,FALSE))</f>
        <v>95764</v>
      </c>
      <c r="AL78">
        <f ca="1">IF(AND(ISNUMBER($AL$223),$B$156=1),$AL$223,HLOOKUP(INDIRECT(ADDRESS(2,COLUMN())),OFFSET($BN$2,0,0,ROW()-1,60),ROW()-1,FALSE))</f>
        <v>90652</v>
      </c>
      <c r="AM78">
        <f ca="1">IF(AND(ISNUMBER($AM$223),$B$156=1),$AM$223,HLOOKUP(INDIRECT(ADDRESS(2,COLUMN())),OFFSET($BN$2,0,0,ROW()-1,60),ROW()-1,FALSE))</f>
        <v>80447</v>
      </c>
      <c r="AN78">
        <f ca="1">IF(AND(ISNUMBER($AN$223),$B$156=1),$AN$223,HLOOKUP(INDIRECT(ADDRESS(2,COLUMN())),OFFSET($BN$2,0,0,ROW()-1,60),ROW()-1,FALSE))</f>
        <v>77222</v>
      </c>
      <c r="AO78">
        <f ca="1">IF(AND(ISNUMBER($AO$223),$B$156=1),$AO$223,HLOOKUP(INDIRECT(ADDRESS(2,COLUMN())),OFFSET($BN$2,0,0,ROW()-1,60),ROW()-1,FALSE))</f>
        <v>93496</v>
      </c>
      <c r="AP78">
        <f ca="1">IF(AND(ISNUMBER($AP$223),$B$156=1),$AP$223,HLOOKUP(INDIRECT(ADDRESS(2,COLUMN())),OFFSET($BN$2,0,0,ROW()-1,60),ROW()-1,FALSE))</f>
        <v>88336</v>
      </c>
      <c r="AQ78">
        <f ca="1">IF(AND(ISNUMBER($AQ$223),$B$156=1),$AQ$223,HLOOKUP(INDIRECT(ADDRESS(2,COLUMN())),OFFSET($BN$2,0,0,ROW()-1,60),ROW()-1,FALSE))</f>
        <v>81242</v>
      </c>
      <c r="AR78">
        <f ca="1">IF(AND(ISNUMBER($AR$223),$B$156=1),$AR$223,HLOOKUP(INDIRECT(ADDRESS(2,COLUMN())),OFFSET($BN$2,0,0,ROW()-1,60),ROW()-1,FALSE))</f>
        <v>82063</v>
      </c>
      <c r="AS78">
        <f ca="1">IF(AND(ISNUMBER($AS$223),$B$156=1),$AS$223,HLOOKUP(INDIRECT(ADDRESS(2,COLUMN())),OFFSET($BN$2,0,0,ROW()-1,60),ROW()-1,FALSE))</f>
        <v>96685</v>
      </c>
      <c r="AT78">
        <f ca="1">IF(AND(ISNUMBER($AT$223),$B$156=1),$AT$223,HLOOKUP(INDIRECT(ADDRESS(2,COLUMN())),OFFSET($BN$2,0,0,ROW()-1,60),ROW()-1,FALSE))</f>
        <v>76693</v>
      </c>
      <c r="AU78">
        <f ca="1">IF(AND(ISNUMBER($AU$223),$B$156=1),$AU$223,HLOOKUP(INDIRECT(ADDRESS(2,COLUMN())),OFFSET($BN$2,0,0,ROW()-1,60),ROW()-1,FALSE))</f>
        <v>80412</v>
      </c>
      <c r="AV78">
        <f ca="1">IF(AND(ISNUMBER($AV$223),$B$156=1),$AV$223,HLOOKUP(INDIRECT(ADDRESS(2,COLUMN())),OFFSET($BN$2,0,0,ROW()-1,60),ROW()-1,FALSE))</f>
        <v>81549</v>
      </c>
      <c r="AW78">
        <f ca="1">IF(AND(ISNUMBER($AW$223),$B$156=1),$AW$223,HLOOKUP(INDIRECT(ADDRESS(2,COLUMN())),OFFSET($BN$2,0,0,ROW()-1,60),ROW()-1,FALSE))</f>
        <v>105524</v>
      </c>
      <c r="AX78">
        <f ca="1">IF(AND(ISNUMBER($AX$223),$B$156=1),$AX$223,HLOOKUP(INDIRECT(ADDRESS(2,COLUMN())),OFFSET($BN$2,0,0,ROW()-1,60),ROW()-1,FALSE))</f>
        <v>100619</v>
      </c>
      <c r="AY78">
        <f ca="1">IF(AND(ISNUMBER($AY$223),$B$156=1),$AY$223,HLOOKUP(INDIRECT(ADDRESS(2,COLUMN())),OFFSET($BN$2,0,0,ROW()-1,60),ROW()-1,FALSE))</f>
        <v>111499</v>
      </c>
      <c r="AZ78">
        <f ca="1">IF(AND(ISNUMBER($AZ$223),$B$156=1),$AZ$223,HLOOKUP(INDIRECT(ADDRESS(2,COLUMN())),OFFSET($BN$2,0,0,ROW()-1,60),ROW()-1,FALSE))</f>
        <v>97421</v>
      </c>
      <c r="BA78">
        <f ca="1">IF(AND(ISNUMBER($BA$223),$B$156=1),$BA$223,HLOOKUP(INDIRECT(ADDRESS(2,COLUMN())),OFFSET($BN$2,0,0,ROW()-1,60),ROW()-1,FALSE))</f>
        <v>113944</v>
      </c>
      <c r="BB78">
        <f ca="1">IF(AND(ISNUMBER($BB$223),$B$156=1),$BB$223,HLOOKUP(INDIRECT(ADDRESS(2,COLUMN())),OFFSET($BN$2,0,0,ROW()-1,60),ROW()-1,FALSE))</f>
        <v>108160</v>
      </c>
      <c r="BC78">
        <f ca="1">IF(AND(ISNUMBER($BC$223),$B$156=1),$BC$223,HLOOKUP(INDIRECT(ADDRESS(2,COLUMN())),OFFSET($BN$2,0,0,ROW()-1,60),ROW()-1,FALSE))</f>
        <v>105776</v>
      </c>
      <c r="BD78">
        <f ca="1">IF(AND(ISNUMBER($BD$223),$B$156=1),$BD$223,HLOOKUP(INDIRECT(ADDRESS(2,COLUMN())),OFFSET($BN$2,0,0,ROW()-1,60),ROW()-1,FALSE))</f>
        <v>97467</v>
      </c>
      <c r="BE78">
        <f ca="1">IF(AND(ISNUMBER($BE$223),$B$156=1),$BE$223,HLOOKUP(INDIRECT(ADDRESS(2,COLUMN())),OFFSET($BN$2,0,0,ROW()-1,60),ROW()-1,FALSE))</f>
        <v>118996</v>
      </c>
      <c r="BF78" t="str">
        <f ca="1">IF(AND(ISNUMBER($BF$223),$B$156=1),$BF$223,HLOOKUP(INDIRECT(ADDRESS(2,COLUMN())),OFFSET($BN$2,0,0,ROW()-1,60),ROW()-1,FALSE))</f>
        <v/>
      </c>
      <c r="BG78" t="str">
        <f ca="1">IF(AND(ISNUMBER($BG$223),$B$156=1),$BG$223,HLOOKUP(INDIRECT(ADDRESS(2,COLUMN())),OFFSET($BN$2,0,0,ROW()-1,60),ROW()-1,FALSE))</f>
        <v/>
      </c>
      <c r="BH78" t="str">
        <f ca="1">IF(AND(ISNUMBER($BH$223),$B$156=1),$BH$223,HLOOKUP(INDIRECT(ADDRESS(2,COLUMN())),OFFSET($BN$2,0,0,ROW()-1,60),ROW()-1,FALSE))</f>
        <v/>
      </c>
      <c r="BI78" t="str">
        <f ca="1">IF(AND(ISNUMBER($BI$223),$B$156=1),$BI$223,HLOOKUP(INDIRECT(ADDRESS(2,COLUMN())),OFFSET($BN$2,0,0,ROW()-1,60),ROW()-1,FALSE))</f>
        <v/>
      </c>
      <c r="BJ78" t="str">
        <f ca="1">IF(AND(ISNUMBER($BJ$223),$B$156=1),$BJ$223,HLOOKUP(INDIRECT(ADDRESS(2,COLUMN())),OFFSET($BN$2,0,0,ROW()-1,60),ROW()-1,FALSE))</f>
        <v/>
      </c>
      <c r="BK78" t="str">
        <f ca="1">IF(AND(ISNUMBER($BK$223),$B$156=1),$BK$223,HLOOKUP(INDIRECT(ADDRESS(2,COLUMN())),OFFSET($BN$2,0,0,ROW()-1,60),ROW()-1,FALSE))</f>
        <v/>
      </c>
      <c r="BL78" t="str">
        <f ca="1">IF(AND(ISNUMBER($BL$223),$B$156=1),$BL$223,HLOOKUP(INDIRECT(ADDRESS(2,COLUMN())),OFFSET($BN$2,0,0,ROW()-1,60),ROW()-1,FALSE))</f>
        <v/>
      </c>
      <c r="BM78" t="str">
        <f ca="1">IF(AND(ISNUMBER($BM$223),$B$156=1),$BM$223,HLOOKUP(INDIRECT(ADDRESS(2,COLUMN())),OFFSET($BN$2,0,0,ROW()-1,60),ROW()-1,FALSE))</f>
        <v/>
      </c>
      <c r="BN78" t="str">
        <f>""</f>
        <v/>
      </c>
      <c r="BO78">
        <f>102423</f>
        <v>102423</v>
      </c>
      <c r="BP78">
        <f>125629</f>
        <v>125629</v>
      </c>
      <c r="BQ78">
        <f>150714</f>
        <v>150714</v>
      </c>
      <c r="BR78">
        <f>139234</f>
        <v>139234</v>
      </c>
      <c r="BS78">
        <f>113535</f>
        <v>113535</v>
      </c>
      <c r="BT78">
        <f>108401</f>
        <v>108401</v>
      </c>
      <c r="BU78">
        <f>129221</f>
        <v>129221</v>
      </c>
      <c r="BV78">
        <f>117272</f>
        <v>117272</v>
      </c>
      <c r="BW78">
        <f>95815</f>
        <v>95815</v>
      </c>
      <c r="BX78">
        <f>96045</f>
        <v>96045</v>
      </c>
      <c r="BY78">
        <f>113929</f>
        <v>113929</v>
      </c>
      <c r="BZ78">
        <f>102914</f>
        <v>102914</v>
      </c>
      <c r="CA78">
        <f>91658</f>
        <v>91658</v>
      </c>
      <c r="CB78">
        <f>91919</f>
        <v>91919</v>
      </c>
      <c r="CC78">
        <f>113720</f>
        <v>113720</v>
      </c>
      <c r="CD78">
        <f>102740</f>
        <v>102740</v>
      </c>
      <c r="CE78">
        <f>96522</f>
        <v>96522</v>
      </c>
      <c r="CF78">
        <f>93861</f>
        <v>93861</v>
      </c>
      <c r="CG78">
        <f>106752</f>
        <v>106752</v>
      </c>
      <c r="CH78">
        <f>93401</f>
        <v>93401</v>
      </c>
      <c r="CI78">
        <f>88942</f>
        <v>88942</v>
      </c>
      <c r="CJ78">
        <f>83922</f>
        <v>83922</v>
      </c>
      <c r="CK78">
        <f>95050</f>
        <v>95050</v>
      </c>
      <c r="CL78">
        <f>87077</f>
        <v>87077</v>
      </c>
      <c r="CM78">
        <f>82825</f>
        <v>82825</v>
      </c>
      <c r="CN78">
        <f>74852</f>
        <v>74852</v>
      </c>
      <c r="CO78">
        <f>83206</f>
        <v>83206</v>
      </c>
      <c r="CP78">
        <f>80119</f>
        <v>80119</v>
      </c>
      <c r="CQ78">
        <f>83251</f>
        <v>83251</v>
      </c>
      <c r="CR78">
        <f>80342</f>
        <v>80342</v>
      </c>
      <c r="CS78">
        <f>95764</f>
        <v>95764</v>
      </c>
      <c r="CT78">
        <f>90652</f>
        <v>90652</v>
      </c>
      <c r="CU78">
        <f>80447</f>
        <v>80447</v>
      </c>
      <c r="CV78">
        <f>77222</f>
        <v>77222</v>
      </c>
      <c r="CW78">
        <f>93496</f>
        <v>93496</v>
      </c>
      <c r="CX78">
        <f>88336</f>
        <v>88336</v>
      </c>
      <c r="CY78">
        <f>81242</f>
        <v>81242</v>
      </c>
      <c r="CZ78">
        <f>82063</f>
        <v>82063</v>
      </c>
      <c r="DA78">
        <f>96685</f>
        <v>96685</v>
      </c>
      <c r="DB78">
        <f>76693</f>
        <v>76693</v>
      </c>
      <c r="DC78">
        <f>80412</f>
        <v>80412</v>
      </c>
      <c r="DD78">
        <f>81549</f>
        <v>81549</v>
      </c>
      <c r="DE78">
        <f>105524</f>
        <v>105524</v>
      </c>
      <c r="DF78">
        <f>100619</f>
        <v>100619</v>
      </c>
      <c r="DG78">
        <f>111499</f>
        <v>111499</v>
      </c>
      <c r="DH78">
        <f>97421</f>
        <v>97421</v>
      </c>
      <c r="DI78">
        <f>113944</f>
        <v>113944</v>
      </c>
      <c r="DJ78">
        <f>108160</f>
        <v>108160</v>
      </c>
      <c r="DK78">
        <f>105776</f>
        <v>105776</v>
      </c>
      <c r="DL78">
        <f>97467</f>
        <v>97467</v>
      </c>
      <c r="DM78">
        <f>118996</f>
        <v>118996</v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  <c r="DT78" t="str">
        <f>""</f>
        <v/>
      </c>
      <c r="DU78" t="str">
        <f>""</f>
        <v/>
      </c>
    </row>
    <row r="79" spans="1:125" x14ac:dyDescent="0.25">
      <c r="A79" t="str">
        <f>"        MAN"</f>
        <v xml:space="preserve">        MAN</v>
      </c>
      <c r="B79" t="str">
        <f t="shared" si="11"/>
        <v>VOW GR Equity</v>
      </c>
      <c r="C79" t="str">
        <f t="shared" si="13"/>
        <v>BI047</v>
      </c>
      <c r="D79" t="str">
        <f t="shared" si="14"/>
        <v>BICS_SEGMENT_DATA</v>
      </c>
      <c r="E79" t="str">
        <f t="shared" si="12"/>
        <v>Dynamic</v>
      </c>
      <c r="F79" t="str">
        <f ca="1">IF(AND(ISNUMBER($F$224),$B$156=1),$F$224,HLOOKUP(INDIRECT(ADDRESS(2,COLUMN())),OFFSET($BN$2,0,0,ROW()-1,60),ROW()-1,FALSE))</f>
        <v/>
      </c>
      <c r="G79">
        <f ca="1">IF(AND(ISNUMBER($G$224),$B$156=1),$G$224,HLOOKUP(INDIRECT(ADDRESS(2,COLUMN())),OFFSET($BN$2,0,0,ROW()-1,60),ROW()-1,FALSE))</f>
        <v>39311</v>
      </c>
      <c r="H79">
        <f ca="1">IF(AND(ISNUMBER($H$224),$B$156=1),$H$224,HLOOKUP(INDIRECT(ADDRESS(2,COLUMN())),OFFSET($BN$2,0,0,ROW()-1,60),ROW()-1,FALSE))</f>
        <v>32333</v>
      </c>
      <c r="I79">
        <f ca="1">IF(AND(ISNUMBER($I$224),$B$156=1),$I$224,HLOOKUP(INDIRECT(ADDRESS(2,COLUMN())),OFFSET($BN$2,0,0,ROW()-1,60),ROW()-1,FALSE))</f>
        <v>34775</v>
      </c>
      <c r="J79">
        <f ca="1">IF(AND(ISNUMBER($J$224),$B$156=1),$J$224,HLOOKUP(INDIRECT(ADDRESS(2,COLUMN())),OFFSET($BN$2,0,0,ROW()-1,60),ROW()-1,FALSE))</f>
        <v>30581</v>
      </c>
      <c r="K79">
        <f ca="1">IF(AND(ISNUMBER($K$224),$B$156=1),$K$224,HLOOKUP(INDIRECT(ADDRESS(2,COLUMN())),OFFSET($BN$2,0,0,ROW()-1,60),ROW()-1,FALSE))</f>
        <v>33792</v>
      </c>
      <c r="L79">
        <f ca="1">IF(AND(ISNUMBER($L$224),$B$156=1),$L$224,HLOOKUP(INDIRECT(ADDRESS(2,COLUMN())),OFFSET($BN$2,0,0,ROW()-1,60),ROW()-1,FALSE))</f>
        <v>27619</v>
      </c>
      <c r="M79">
        <f ca="1">IF(AND(ISNUMBER($M$224),$B$156=1),$M$224,HLOOKUP(INDIRECT(ADDRESS(2,COLUMN())),OFFSET($BN$2,0,0,ROW()-1,60),ROW()-1,FALSE))</f>
        <v>27508</v>
      </c>
      <c r="N79">
        <f ca="1">IF(AND(ISNUMBER($N$224),$B$156=1),$N$224,HLOOKUP(INDIRECT(ADDRESS(2,COLUMN())),OFFSET($BN$2,0,0,ROW()-1,60),ROW()-1,FALSE))</f>
        <v>25215</v>
      </c>
      <c r="O79">
        <f ca="1">IF(AND(ISNUMBER($O$224),$B$156=1),$O$224,HLOOKUP(INDIRECT(ADDRESS(2,COLUMN())),OFFSET($BN$2,0,0,ROW()-1,60),ROW()-1,FALSE))</f>
        <v>28110</v>
      </c>
      <c r="P79">
        <f ca="1">IF(AND(ISNUMBER($P$224),$B$156=1),$P$224,HLOOKUP(INDIRECT(ADDRESS(2,COLUMN())),OFFSET($BN$2,0,0,ROW()-1,60),ROW()-1,FALSE))</f>
        <v>24794</v>
      </c>
      <c r="Q79">
        <f ca="1">IF(AND(ISNUMBER($Q$224),$B$156=1),$Q$224,HLOOKUP(INDIRECT(ADDRESS(2,COLUMN())),OFFSET($BN$2,0,0,ROW()-1,60),ROW()-1,FALSE))</f>
        <v>25885</v>
      </c>
      <c r="R79">
        <f ca="1">IF(AND(ISNUMBER($R$224),$B$156=1),$R$224,HLOOKUP(INDIRECT(ADDRESS(2,COLUMN())),OFFSET($BN$2,0,0,ROW()-1,60),ROW()-1,FALSE))</f>
        <v>23446</v>
      </c>
      <c r="S79">
        <f ca="1">IF(AND(ISNUMBER($S$224),$B$156=1),$S$224,HLOOKUP(INDIRECT(ADDRESS(2,COLUMN())),OFFSET($BN$2,0,0,ROW()-1,60),ROW()-1,FALSE))</f>
        <v>28029</v>
      </c>
      <c r="T79">
        <f ca="1">IF(AND(ISNUMBER($T$224),$B$156=1),$T$224,HLOOKUP(INDIRECT(ADDRESS(2,COLUMN())),OFFSET($BN$2,0,0,ROW()-1,60),ROW()-1,FALSE))</f>
        <v>24569</v>
      </c>
      <c r="U79">
        <f ca="1">IF(AND(ISNUMBER($U$224),$B$156=1),$U$224,HLOOKUP(INDIRECT(ADDRESS(2,COLUMN())),OFFSET($BN$2,0,0,ROW()-1,60),ROW()-1,FALSE))</f>
        <v>27826</v>
      </c>
      <c r="V79">
        <f ca="1">IF(AND(ISNUMBER($V$224),$B$156=1),$V$224,HLOOKUP(INDIRECT(ADDRESS(2,COLUMN())),OFFSET($BN$2,0,0,ROW()-1,60),ROW()-1,FALSE))</f>
        <v>22050</v>
      </c>
      <c r="W79">
        <f ca="1">IF(AND(ISNUMBER($W$224),$B$156=1),$W$224,HLOOKUP(INDIRECT(ADDRESS(2,COLUMN())),OFFSET($BN$2,0,0,ROW()-1,60),ROW()-1,FALSE))</f>
        <v>34410</v>
      </c>
      <c r="X79">
        <f ca="1">IF(AND(ISNUMBER($X$224),$B$156=1),$X$224,HLOOKUP(INDIRECT(ADDRESS(2,COLUMN())),OFFSET($BN$2,0,0,ROW()-1,60),ROW()-1,FALSE))</f>
        <v>28043</v>
      </c>
      <c r="Y79">
        <f ca="1">IF(AND(ISNUMBER($Y$224),$B$156=1),$Y$224,HLOOKUP(INDIRECT(ADDRESS(2,COLUMN())),OFFSET($BN$2,0,0,ROW()-1,60),ROW()-1,FALSE))</f>
        <v>31614</v>
      </c>
      <c r="Z79">
        <f ca="1">IF(AND(ISNUMBER($Z$224),$B$156=1),$Z$224,HLOOKUP(INDIRECT(ADDRESS(2,COLUMN())),OFFSET($BN$2,0,0,ROW()-1,60),ROW()-1,FALSE))</f>
        <v>26386</v>
      </c>
      <c r="AA79">
        <f ca="1">IF(AND(ISNUMBER($AA$224),$B$156=1),$AA$224,HLOOKUP(INDIRECT(ADDRESS(2,COLUMN())),OFFSET($BN$2,0,0,ROW()-1,60),ROW()-1,FALSE))</f>
        <v>42451</v>
      </c>
      <c r="AB79">
        <f ca="1">IF(AND(ISNUMBER($AB$224),$B$156=1),$AB$224,HLOOKUP(INDIRECT(ADDRESS(2,COLUMN())),OFFSET($BN$2,0,0,ROW()-1,60),ROW()-1,FALSE))</f>
        <v>33471</v>
      </c>
      <c r="AC79">
        <f ca="1">IF(AND(ISNUMBER($AC$224),$B$156=1),$AC$224,HLOOKUP(INDIRECT(ADDRESS(2,COLUMN())),OFFSET($BN$2,0,0,ROW()-1,60),ROW()-1,FALSE))</f>
        <v>34752</v>
      </c>
      <c r="AD79">
        <f ca="1">IF(AND(ISNUMBER($AD$224),$B$156=1),$AD$224,HLOOKUP(INDIRECT(ADDRESS(2,COLUMN())),OFFSET($BN$2,0,0,ROW()-1,60),ROW()-1,FALSE))</f>
        <v>30798</v>
      </c>
      <c r="AE79">
        <f ca="1">IF(AND(ISNUMBER($AE$224),$B$156=1),$AE$224,HLOOKUP(INDIRECT(ADDRESS(2,COLUMN())),OFFSET($BN$2,0,0,ROW()-1,60),ROW()-1,FALSE))</f>
        <v>34984</v>
      </c>
      <c r="AF79">
        <f ca="1">IF(AND(ISNUMBER($AF$224),$B$156=1),$AF$224,HLOOKUP(INDIRECT(ADDRESS(2,COLUMN())),OFFSET($BN$2,0,0,ROW()-1,60),ROW()-1,FALSE))</f>
        <v>32904</v>
      </c>
      <c r="AG79">
        <f ca="1">IF(AND(ISNUMBER($AG$224),$B$156=1),$AG$224,HLOOKUP(INDIRECT(ADDRESS(2,COLUMN())),OFFSET($BN$2,0,0,ROW()-1,60),ROW()-1,FALSE))</f>
        <v>33381</v>
      </c>
      <c r="AH79">
        <f ca="1">IF(AND(ISNUMBER($AH$224),$B$156=1),$AH$224,HLOOKUP(INDIRECT(ADDRESS(2,COLUMN())),OFFSET($BN$2,0,0,ROW()-1,60),ROW()-1,FALSE))</f>
        <v>35002</v>
      </c>
      <c r="AI79">
        <f ca="1">IF(AND(ISNUMBER($AI$224),$B$156=1),$AI$224,HLOOKUP(INDIRECT(ADDRESS(2,COLUMN())),OFFSET($BN$2,0,0,ROW()-1,60),ROW()-1,FALSE))</f>
        <v>40636</v>
      </c>
      <c r="AJ79">
        <f ca="1">IF(AND(ISNUMBER($AJ$224),$B$156=1),$AJ$224,HLOOKUP(INDIRECT(ADDRESS(2,COLUMN())),OFFSET($BN$2,0,0,ROW()-1,60),ROW()-1,FALSE))</f>
        <v>39208</v>
      </c>
      <c r="AK79" t="str">
        <f ca="1">IF(AND(ISNUMBER($AK$224),$B$156=1),$AK$224,HLOOKUP(INDIRECT(ADDRESS(2,COLUMN())),OFFSET($BN$2,0,0,ROW()-1,60),ROW()-1,FALSE))</f>
        <v/>
      </c>
      <c r="AL79" t="str">
        <f ca="1">IF(AND(ISNUMBER($AL$224),$B$156=1),$AL$224,HLOOKUP(INDIRECT(ADDRESS(2,COLUMN())),OFFSET($BN$2,0,0,ROW()-1,60),ROW()-1,FALSE))</f>
        <v/>
      </c>
      <c r="AM79" t="str">
        <f ca="1">IF(AND(ISNUMBER($AM$224),$B$156=1),$AM$224,HLOOKUP(INDIRECT(ADDRESS(2,COLUMN())),OFFSET($BN$2,0,0,ROW()-1,60),ROW()-1,FALSE))</f>
        <v/>
      </c>
      <c r="AN79" t="str">
        <f ca="1">IF(AND(ISNUMBER($AN$224),$B$156=1),$AN$224,HLOOKUP(INDIRECT(ADDRESS(2,COLUMN())),OFFSET($BN$2,0,0,ROW()-1,60),ROW()-1,FALSE))</f>
        <v/>
      </c>
      <c r="AO79" t="str">
        <f ca="1">IF(AND(ISNUMBER($AO$224),$B$156=1),$AO$224,HLOOKUP(INDIRECT(ADDRESS(2,COLUMN())),OFFSET($BN$2,0,0,ROW()-1,60),ROW()-1,FALSE))</f>
        <v/>
      </c>
      <c r="AP79" t="str">
        <f ca="1">IF(AND(ISNUMBER($AP$224),$B$156=1),$AP$224,HLOOKUP(INDIRECT(ADDRESS(2,COLUMN())),OFFSET($BN$2,0,0,ROW()-1,60),ROW()-1,FALSE))</f>
        <v/>
      </c>
      <c r="AQ79" t="str">
        <f ca="1">IF(AND(ISNUMBER($AQ$224),$B$156=1),$AQ$224,HLOOKUP(INDIRECT(ADDRESS(2,COLUMN())),OFFSET($BN$2,0,0,ROW()-1,60),ROW()-1,FALSE))</f>
        <v/>
      </c>
      <c r="AR79" t="str">
        <f ca="1">IF(AND(ISNUMBER($AR$224),$B$156=1),$AR$224,HLOOKUP(INDIRECT(ADDRESS(2,COLUMN())),OFFSET($BN$2,0,0,ROW()-1,60),ROW()-1,FALSE))</f>
        <v/>
      </c>
      <c r="AS79" t="str">
        <f ca="1">IF(AND(ISNUMBER($AS$224),$B$156=1),$AS$224,HLOOKUP(INDIRECT(ADDRESS(2,COLUMN())),OFFSET($BN$2,0,0,ROW()-1,60),ROW()-1,FALSE))</f>
        <v/>
      </c>
      <c r="AT79" t="str">
        <f ca="1">IF(AND(ISNUMBER($AT$224),$B$156=1),$AT$224,HLOOKUP(INDIRECT(ADDRESS(2,COLUMN())),OFFSET($BN$2,0,0,ROW()-1,60),ROW()-1,FALSE))</f>
        <v/>
      </c>
      <c r="AU79" t="str">
        <f ca="1">IF(AND(ISNUMBER($AU$224),$B$156=1),$AU$224,HLOOKUP(INDIRECT(ADDRESS(2,COLUMN())),OFFSET($BN$2,0,0,ROW()-1,60),ROW()-1,FALSE))</f>
        <v/>
      </c>
      <c r="AV79" t="str">
        <f ca="1">IF(AND(ISNUMBER($AV$224),$B$156=1),$AV$224,HLOOKUP(INDIRECT(ADDRESS(2,COLUMN())),OFFSET($BN$2,0,0,ROW()-1,60),ROW()-1,FALSE))</f>
        <v/>
      </c>
      <c r="AW79" t="str">
        <f ca="1">IF(AND(ISNUMBER($AW$224),$B$156=1),$AW$224,HLOOKUP(INDIRECT(ADDRESS(2,COLUMN())),OFFSET($BN$2,0,0,ROW()-1,60),ROW()-1,FALSE))</f>
        <v/>
      </c>
      <c r="AX79" t="str">
        <f ca="1">IF(AND(ISNUMBER($AX$224),$B$156=1),$AX$224,HLOOKUP(INDIRECT(ADDRESS(2,COLUMN())),OFFSET($BN$2,0,0,ROW()-1,60),ROW()-1,FALSE))</f>
        <v/>
      </c>
      <c r="AY79" t="str">
        <f ca="1">IF(AND(ISNUMBER($AY$224),$B$156=1),$AY$224,HLOOKUP(INDIRECT(ADDRESS(2,COLUMN())),OFFSET($BN$2,0,0,ROW()-1,60),ROW()-1,FALSE))</f>
        <v/>
      </c>
      <c r="AZ79" t="str">
        <f ca="1">IF(AND(ISNUMBER($AZ$224),$B$156=1),$AZ$224,HLOOKUP(INDIRECT(ADDRESS(2,COLUMN())),OFFSET($BN$2,0,0,ROW()-1,60),ROW()-1,FALSE))</f>
        <v/>
      </c>
      <c r="BA79" t="str">
        <f ca="1">IF(AND(ISNUMBER($BA$224),$B$156=1),$BA$224,HLOOKUP(INDIRECT(ADDRESS(2,COLUMN())),OFFSET($BN$2,0,0,ROW()-1,60),ROW()-1,FALSE))</f>
        <v/>
      </c>
      <c r="BB79" t="str">
        <f ca="1">IF(AND(ISNUMBER($BB$224),$B$156=1),$BB$224,HLOOKUP(INDIRECT(ADDRESS(2,COLUMN())),OFFSET($BN$2,0,0,ROW()-1,60),ROW()-1,FALSE))</f>
        <v/>
      </c>
      <c r="BC79" t="str">
        <f ca="1">IF(AND(ISNUMBER($BC$224),$B$156=1),$BC$224,HLOOKUP(INDIRECT(ADDRESS(2,COLUMN())),OFFSET($BN$2,0,0,ROW()-1,60),ROW()-1,FALSE))</f>
        <v/>
      </c>
      <c r="BD79" t="str">
        <f ca="1">IF(AND(ISNUMBER($BD$224),$B$156=1),$BD$224,HLOOKUP(INDIRECT(ADDRESS(2,COLUMN())),OFFSET($BN$2,0,0,ROW()-1,60),ROW()-1,FALSE))</f>
        <v/>
      </c>
      <c r="BE79" t="str">
        <f ca="1">IF(AND(ISNUMBER($BE$224),$B$156=1),$BE$224,HLOOKUP(INDIRECT(ADDRESS(2,COLUMN())),OFFSET($BN$2,0,0,ROW()-1,60),ROW()-1,FALSE))</f>
        <v/>
      </c>
      <c r="BF79" t="str">
        <f ca="1">IF(AND(ISNUMBER($BF$224),$B$156=1),$BF$224,HLOOKUP(INDIRECT(ADDRESS(2,COLUMN())),OFFSET($BN$2,0,0,ROW()-1,60),ROW()-1,FALSE))</f>
        <v/>
      </c>
      <c r="BG79" t="str">
        <f ca="1">IF(AND(ISNUMBER($BG$224),$B$156=1),$BG$224,HLOOKUP(INDIRECT(ADDRESS(2,COLUMN())),OFFSET($BN$2,0,0,ROW()-1,60),ROW()-1,FALSE))</f>
        <v/>
      </c>
      <c r="BH79" t="str">
        <f ca="1">IF(AND(ISNUMBER($BH$224),$B$156=1),$BH$224,HLOOKUP(INDIRECT(ADDRESS(2,COLUMN())),OFFSET($BN$2,0,0,ROW()-1,60),ROW()-1,FALSE))</f>
        <v/>
      </c>
      <c r="BI79" t="str">
        <f ca="1">IF(AND(ISNUMBER($BI$224),$B$156=1),$BI$224,HLOOKUP(INDIRECT(ADDRESS(2,COLUMN())),OFFSET($BN$2,0,0,ROW()-1,60),ROW()-1,FALSE))</f>
        <v/>
      </c>
      <c r="BJ79" t="str">
        <f ca="1">IF(AND(ISNUMBER($BJ$224),$B$156=1),$BJ$224,HLOOKUP(INDIRECT(ADDRESS(2,COLUMN())),OFFSET($BN$2,0,0,ROW()-1,60),ROW()-1,FALSE))</f>
        <v/>
      </c>
      <c r="BK79" t="str">
        <f ca="1">IF(AND(ISNUMBER($BK$224),$B$156=1),$BK$224,HLOOKUP(INDIRECT(ADDRESS(2,COLUMN())),OFFSET($BN$2,0,0,ROW()-1,60),ROW()-1,FALSE))</f>
        <v/>
      </c>
      <c r="BL79" t="str">
        <f ca="1">IF(AND(ISNUMBER($BL$224),$B$156=1),$BL$224,HLOOKUP(INDIRECT(ADDRESS(2,COLUMN())),OFFSET($BN$2,0,0,ROW()-1,60),ROW()-1,FALSE))</f>
        <v/>
      </c>
      <c r="BM79" t="str">
        <f ca="1">IF(AND(ISNUMBER($BM$224),$B$156=1),$BM$224,HLOOKUP(INDIRECT(ADDRESS(2,COLUMN())),OFFSET($BN$2,0,0,ROW()-1,60),ROW()-1,FALSE))</f>
        <v/>
      </c>
      <c r="BN79" t="str">
        <f>""</f>
        <v/>
      </c>
      <c r="BO79">
        <f>39311</f>
        <v>39311</v>
      </c>
      <c r="BP79">
        <f>32333</f>
        <v>32333</v>
      </c>
      <c r="BQ79">
        <f>34775</f>
        <v>34775</v>
      </c>
      <c r="BR79">
        <f>30581</f>
        <v>30581</v>
      </c>
      <c r="BS79">
        <f>33792</f>
        <v>33792</v>
      </c>
      <c r="BT79">
        <f>27619</f>
        <v>27619</v>
      </c>
      <c r="BU79">
        <f>27508</f>
        <v>27508</v>
      </c>
      <c r="BV79">
        <f>25215</f>
        <v>25215</v>
      </c>
      <c r="BW79">
        <f>28110</f>
        <v>28110</v>
      </c>
      <c r="BX79">
        <f>24794</f>
        <v>24794</v>
      </c>
      <c r="BY79">
        <f>25885</f>
        <v>25885</v>
      </c>
      <c r="BZ79">
        <f>23446</f>
        <v>23446</v>
      </c>
      <c r="CA79">
        <f>28029</f>
        <v>28029</v>
      </c>
      <c r="CB79">
        <f>24569</f>
        <v>24569</v>
      </c>
      <c r="CC79">
        <f>27826</f>
        <v>27826</v>
      </c>
      <c r="CD79">
        <f>22050</f>
        <v>22050</v>
      </c>
      <c r="CE79">
        <f>34410</f>
        <v>34410</v>
      </c>
      <c r="CF79">
        <f>28043</f>
        <v>28043</v>
      </c>
      <c r="CG79">
        <f>31614</f>
        <v>31614</v>
      </c>
      <c r="CH79">
        <f>26386</f>
        <v>26386</v>
      </c>
      <c r="CI79">
        <f>42451</f>
        <v>42451</v>
      </c>
      <c r="CJ79">
        <f>33471</f>
        <v>33471</v>
      </c>
      <c r="CK79">
        <f>34752</f>
        <v>34752</v>
      </c>
      <c r="CL79">
        <f>30798</f>
        <v>30798</v>
      </c>
      <c r="CM79">
        <f>34984</f>
        <v>34984</v>
      </c>
      <c r="CN79">
        <f>32904</f>
        <v>32904</v>
      </c>
      <c r="CO79">
        <f>33381</f>
        <v>33381</v>
      </c>
      <c r="CP79">
        <f>35002</f>
        <v>35002</v>
      </c>
      <c r="CQ79">
        <f>40636</f>
        <v>40636</v>
      </c>
      <c r="CR79">
        <f>39208</f>
        <v>39208</v>
      </c>
      <c r="CS79" t="str">
        <f>""</f>
        <v/>
      </c>
      <c r="CT79" t="str">
        <f>""</f>
        <v/>
      </c>
      <c r="CU79" t="str">
        <f>""</f>
        <v/>
      </c>
      <c r="CV79" t="str">
        <f>""</f>
        <v/>
      </c>
      <c r="CW79" t="str">
        <f>""</f>
        <v/>
      </c>
      <c r="CX79" t="str">
        <f>""</f>
        <v/>
      </c>
      <c r="CY79" t="str">
        <f>""</f>
        <v/>
      </c>
      <c r="CZ79" t="str">
        <f>""</f>
        <v/>
      </c>
      <c r="DA79" t="str">
        <f>""</f>
        <v/>
      </c>
      <c r="DB79" t="str">
        <f>""</f>
        <v/>
      </c>
      <c r="DC79" t="str">
        <f>""</f>
        <v/>
      </c>
      <c r="DD79" t="str">
        <f>""</f>
        <v/>
      </c>
      <c r="DE79" t="str">
        <f>""</f>
        <v/>
      </c>
      <c r="DF79" t="str">
        <f>""</f>
        <v/>
      </c>
      <c r="DG79" t="str">
        <f>""</f>
        <v/>
      </c>
      <c r="DH79" t="str">
        <f>""</f>
        <v/>
      </c>
      <c r="DI79" t="str">
        <f>""</f>
        <v/>
      </c>
      <c r="DJ79" t="str">
        <f>""</f>
        <v/>
      </c>
      <c r="DK79" t="str">
        <f>""</f>
        <v/>
      </c>
      <c r="DL79" t="str">
        <f>""</f>
        <v/>
      </c>
      <c r="DM79" t="str">
        <f>""</f>
        <v/>
      </c>
      <c r="DN79" t="str">
        <f>""</f>
        <v/>
      </c>
      <c r="DO79" t="str">
        <f>""</f>
        <v/>
      </c>
      <c r="DP79" t="str">
        <f>""</f>
        <v/>
      </c>
      <c r="DQ79" t="str">
        <f>""</f>
        <v/>
      </c>
      <c r="DR79" t="str">
        <f>""</f>
        <v/>
      </c>
      <c r="DS79" t="str">
        <f>""</f>
        <v/>
      </c>
      <c r="DT79" t="str">
        <f>""</f>
        <v/>
      </c>
      <c r="DU79" t="str">
        <f>""</f>
        <v/>
      </c>
    </row>
    <row r="80" spans="1:125" x14ac:dyDescent="0.25">
      <c r="A80" t="str">
        <f>"        Scania"</f>
        <v xml:space="preserve">        Scania</v>
      </c>
      <c r="B80" t="str">
        <f t="shared" si="11"/>
        <v>VOW GR Equity</v>
      </c>
      <c r="C80" t="str">
        <f t="shared" si="13"/>
        <v>BI047</v>
      </c>
      <c r="D80" t="str">
        <f t="shared" si="14"/>
        <v>BICS_SEGMENT_DATA</v>
      </c>
      <c r="E80" t="str">
        <f t="shared" si="12"/>
        <v>Dynamic</v>
      </c>
      <c r="F80" t="str">
        <f ca="1">IF(AND(ISNUMBER($F$225),$B$156=1),$F$225,HLOOKUP(INDIRECT(ADDRESS(2,COLUMN())),OFFSET($BN$2,0,0,ROW()-1,60),ROW()-1,FALSE))</f>
        <v/>
      </c>
      <c r="G80">
        <f ca="1">IF(AND(ISNUMBER($G$225),$B$156=1),$G$225,HLOOKUP(INDIRECT(ADDRESS(2,COLUMN())),OFFSET($BN$2,0,0,ROW()-1,60),ROW()-1,FALSE))</f>
        <v>449361</v>
      </c>
      <c r="H80">
        <f ca="1">IF(AND(ISNUMBER($H$225),$B$156=1),$H$225,HLOOKUP(INDIRECT(ADDRESS(2,COLUMN())),OFFSET($BN$2,0,0,ROW()-1,60),ROW()-1,FALSE))</f>
        <v>21861</v>
      </c>
      <c r="I80">
        <f ca="1">IF(AND(ISNUMBER($I$225),$B$156=1),$I$225,HLOOKUP(INDIRECT(ADDRESS(2,COLUMN())),OFFSET($BN$2,0,0,ROW()-1,60),ROW()-1,FALSE))</f>
        <v>24138</v>
      </c>
      <c r="J80">
        <f ca="1">IF(AND(ISNUMBER($J$225),$B$156=1),$J$225,HLOOKUP(INDIRECT(ADDRESS(2,COLUMN())),OFFSET($BN$2,0,0,ROW()-1,60),ROW()-1,FALSE))</f>
        <v>22640</v>
      </c>
      <c r="K80">
        <f ca="1">IF(AND(ISNUMBER($K$225),$B$156=1),$K$225,HLOOKUP(INDIRECT(ADDRESS(2,COLUMN())),OFFSET($BN$2,0,0,ROW()-1,60),ROW()-1,FALSE))</f>
        <v>26818</v>
      </c>
      <c r="L80">
        <f ca="1">IF(AND(ISNUMBER($L$225),$B$156=1),$L$225,HLOOKUP(INDIRECT(ADDRESS(2,COLUMN())),OFFSET($BN$2,0,0,ROW()-1,60),ROW()-1,FALSE))</f>
        <v>20351</v>
      </c>
      <c r="M80">
        <f ca="1">IF(AND(ISNUMBER($M$225),$B$156=1),$M$225,HLOOKUP(INDIRECT(ADDRESS(2,COLUMN())),OFFSET($BN$2,0,0,ROW()-1,60),ROW()-1,FALSE))</f>
        <v>22952</v>
      </c>
      <c r="N80">
        <f ca="1">IF(AND(ISNUMBER($N$225),$B$156=1),$N$225,HLOOKUP(INDIRECT(ADDRESS(2,COLUMN())),OFFSET($BN$2,0,0,ROW()-1,60),ROW()-1,FALSE))</f>
        <v>20656</v>
      </c>
      <c r="O80">
        <f ca="1">IF(AND(ISNUMBER($O$225),$B$156=1),$O$225,HLOOKUP(INDIRECT(ADDRESS(2,COLUMN())),OFFSET($BN$2,0,0,ROW()-1,60),ROW()-1,FALSE))</f>
        <v>22614</v>
      </c>
      <c r="P80">
        <f ca="1">IF(AND(ISNUMBER($P$225),$B$156=1),$P$225,HLOOKUP(INDIRECT(ADDRESS(2,COLUMN())),OFFSET($BN$2,0,0,ROW()-1,60),ROW()-1,FALSE))</f>
        <v>18422</v>
      </c>
      <c r="Q80">
        <f ca="1">IF(AND(ISNUMBER($Q$225),$B$156=1),$Q$225,HLOOKUP(INDIRECT(ADDRESS(2,COLUMN())),OFFSET($BN$2,0,0,ROW()-1,60),ROW()-1,FALSE))</f>
        <v>21870</v>
      </c>
      <c r="R80">
        <f ca="1">IF(AND(ISNUMBER($R$225),$B$156=1),$R$225,HLOOKUP(INDIRECT(ADDRESS(2,COLUMN())),OFFSET($BN$2,0,0,ROW()-1,60),ROW()-1,FALSE))</f>
        <v>18440</v>
      </c>
      <c r="S80">
        <f ca="1">IF(AND(ISNUMBER($S$225),$B$156=1),$S$225,HLOOKUP(INDIRECT(ADDRESS(2,COLUMN())),OFFSET($BN$2,0,0,ROW()-1,60),ROW()-1,FALSE))</f>
        <v>21626</v>
      </c>
      <c r="T80">
        <f ca="1">IF(AND(ISNUMBER($T$225),$B$156=1),$T$225,HLOOKUP(INDIRECT(ADDRESS(2,COLUMN())),OFFSET($BN$2,0,0,ROW()-1,60),ROW()-1,FALSE))</f>
        <v>17946</v>
      </c>
      <c r="U80">
        <f ca="1">IF(AND(ISNUMBER($U$225),$B$156=1),$U$225,HLOOKUP(INDIRECT(ADDRESS(2,COLUMN())),OFFSET($BN$2,0,0,ROW()-1,60),ROW()-1,FALSE))</f>
        <v>19489</v>
      </c>
      <c r="V80">
        <f ca="1">IF(AND(ISNUMBER($V$225),$B$156=1),$V$225,HLOOKUP(INDIRECT(ADDRESS(2,COLUMN())),OFFSET($BN$2,0,0,ROW()-1,60),ROW()-1,FALSE))</f>
        <v>17500</v>
      </c>
      <c r="W80">
        <f ca="1">IF(AND(ISNUMBER($W$225),$B$156=1),$W$225,HLOOKUP(INDIRECT(ADDRESS(2,COLUMN())),OFFSET($BN$2,0,0,ROW()-1,60),ROW()-1,FALSE))</f>
        <v>23589</v>
      </c>
      <c r="X80">
        <f ca="1">IF(AND(ISNUMBER($X$225),$B$156=1),$X$225,HLOOKUP(INDIRECT(ADDRESS(2,COLUMN())),OFFSET($BN$2,0,0,ROW()-1,60),ROW()-1,FALSE))</f>
        <v>17802</v>
      </c>
      <c r="Y80">
        <f ca="1">IF(AND(ISNUMBER($Y$225),$B$156=1),$Y$225,HLOOKUP(INDIRECT(ADDRESS(2,COLUMN())),OFFSET($BN$2,0,0,ROW()-1,60),ROW()-1,FALSE))</f>
        <v>19156</v>
      </c>
      <c r="Z80">
        <f ca="1">IF(AND(ISNUMBER($Z$225),$B$156=1),$Z$225,HLOOKUP(INDIRECT(ADDRESS(2,COLUMN())),OFFSET($BN$2,0,0,ROW()-1,60),ROW()-1,FALSE))</f>
        <v>18844</v>
      </c>
      <c r="AA80">
        <f ca="1">IF(AND(ISNUMBER($AA$225),$B$156=1),$AA$225,HLOOKUP(INDIRECT(ADDRESS(2,COLUMN())),OFFSET($BN$2,0,0,ROW()-1,60),ROW()-1,FALSE))</f>
        <v>24240</v>
      </c>
      <c r="AB80">
        <f ca="1">IF(AND(ISNUMBER($AB$225),$B$156=1),$AB$225,HLOOKUP(INDIRECT(ADDRESS(2,COLUMN())),OFFSET($BN$2,0,0,ROW()-1,60),ROW()-1,FALSE))</f>
        <v>18244</v>
      </c>
      <c r="AC80">
        <f ca="1">IF(AND(ISNUMBER($AC$225),$B$156=1),$AC$225,HLOOKUP(INDIRECT(ADDRESS(2,COLUMN())),OFFSET($BN$2,0,0,ROW()-1,60),ROW()-1,FALSE))</f>
        <v>21042</v>
      </c>
      <c r="AD80">
        <f ca="1">IF(AND(ISNUMBER($AD$225),$B$156=1),$AD$225,HLOOKUP(INDIRECT(ADDRESS(2,COLUMN())),OFFSET($BN$2,0,0,ROW()-1,60),ROW()-1,FALSE))</f>
        <v>16938</v>
      </c>
      <c r="AE80">
        <f ca="1">IF(AND(ISNUMBER($AE$225),$B$156=1),$AE$225,HLOOKUP(INDIRECT(ADDRESS(2,COLUMN())),OFFSET($BN$2,0,0,ROW()-1,60),ROW()-1,FALSE))</f>
        <v>20121</v>
      </c>
      <c r="AF80">
        <f ca="1">IF(AND(ISNUMBER($AF$225),$B$156=1),$AF$225,HLOOKUP(INDIRECT(ADDRESS(2,COLUMN())),OFFSET($BN$2,0,0,ROW()-1,60),ROW()-1,FALSE))</f>
        <v>14847</v>
      </c>
      <c r="AG80">
        <f ca="1">IF(AND(ISNUMBER($AG$225),$B$156=1),$AG$225,HLOOKUP(INDIRECT(ADDRESS(2,COLUMN())),OFFSET($BN$2,0,0,ROW()-1,60),ROW()-1,FALSE))</f>
        <v>15794</v>
      </c>
      <c r="AH80">
        <f ca="1">IF(AND(ISNUMBER($AH$225),$B$156=1),$AH$225,HLOOKUP(INDIRECT(ADDRESS(2,COLUMN())),OFFSET($BN$2,0,0,ROW()-1,60),ROW()-1,FALSE))</f>
        <v>16238</v>
      </c>
      <c r="AI80">
        <f ca="1">IF(AND(ISNUMBER($AI$225),$B$156=1),$AI$225,HLOOKUP(INDIRECT(ADDRESS(2,COLUMN())),OFFSET($BN$2,0,0,ROW()-1,60),ROW()-1,FALSE))</f>
        <v>21015</v>
      </c>
      <c r="AJ80">
        <f ca="1">IF(AND(ISNUMBER($AJ$225),$B$156=1),$AJ$225,HLOOKUP(INDIRECT(ADDRESS(2,COLUMN())),OFFSET($BN$2,0,0,ROW()-1,60),ROW()-1,FALSE))</f>
        <v>18685</v>
      </c>
      <c r="AK80">
        <f ca="1">IF(AND(ISNUMBER($AK$225),$B$156=1),$AK$225,HLOOKUP(INDIRECT(ADDRESS(2,COLUMN())),OFFSET($BN$2,0,0,ROW()-1,60),ROW()-1,FALSE))</f>
        <v>21235</v>
      </c>
      <c r="AL80">
        <f ca="1">IF(AND(ISNUMBER($AL$225),$B$156=1),$AL$225,HLOOKUP(INDIRECT(ADDRESS(2,COLUMN())),OFFSET($BN$2,0,0,ROW()-1,60),ROW()-1,FALSE))</f>
        <v>19065</v>
      </c>
      <c r="AM80">
        <f ca="1">IF(AND(ISNUMBER($AM$225),$B$156=1),$AM$225,HLOOKUP(INDIRECT(ADDRESS(2,COLUMN())),OFFSET($BN$2,0,0,ROW()-1,60),ROW()-1,FALSE))</f>
        <v>20163</v>
      </c>
      <c r="AN80">
        <f ca="1">IF(AND(ISNUMBER($AN$225),$B$156=1),$AN$225,HLOOKUP(INDIRECT(ADDRESS(2,COLUMN())),OFFSET($BN$2,0,0,ROW()-1,60),ROW()-1,FALSE))</f>
        <v>15228</v>
      </c>
      <c r="AO80">
        <f ca="1">IF(AND(ISNUMBER($AO$225),$B$156=1),$AO$225,HLOOKUP(INDIRECT(ADDRESS(2,COLUMN())),OFFSET($BN$2,0,0,ROW()-1,60),ROW()-1,FALSE))</f>
        <v>16374</v>
      </c>
      <c r="AP80">
        <f ca="1">IF(AND(ISNUMBER($AP$225),$B$156=1),$AP$225,HLOOKUP(INDIRECT(ADDRESS(2,COLUMN())),OFFSET($BN$2,0,0,ROW()-1,60),ROW()-1,FALSE))</f>
        <v>11947</v>
      </c>
      <c r="AQ80">
        <f ca="1">IF(AND(ISNUMBER($AQ$225),$B$156=1),$AQ$225,HLOOKUP(INDIRECT(ADDRESS(2,COLUMN())),OFFSET($BN$2,0,0,ROW()-1,60),ROW()-1,FALSE))</f>
        <v>13753</v>
      </c>
      <c r="AR80">
        <f ca="1">IF(AND(ISNUMBER($AR$225),$B$156=1),$AR$225,HLOOKUP(INDIRECT(ADDRESS(2,COLUMN())),OFFSET($BN$2,0,0,ROW()-1,60),ROW()-1,FALSE))</f>
        <v>9023</v>
      </c>
      <c r="AS80">
        <f ca="1">IF(AND(ISNUMBER($AS$225),$B$156=1),$AS$225,HLOOKUP(INDIRECT(ADDRESS(2,COLUMN())),OFFSET($BN$2,0,0,ROW()-1,60),ROW()-1,FALSE))</f>
        <v>9363</v>
      </c>
      <c r="AT80">
        <f ca="1">IF(AND(ISNUMBER($AT$225),$B$156=1),$AT$225,HLOOKUP(INDIRECT(ADDRESS(2,COLUMN())),OFFSET($BN$2,0,0,ROW()-1,60),ROW()-1,FALSE))</f>
        <v>11304</v>
      </c>
      <c r="AU80">
        <f ca="1">IF(AND(ISNUMBER($AU$225),$B$156=1),$AU$225,HLOOKUP(INDIRECT(ADDRESS(2,COLUMN())),OFFSET($BN$2,0,0,ROW()-1,60),ROW()-1,FALSE))</f>
        <v>17975</v>
      </c>
      <c r="AV80">
        <f ca="1">IF(AND(ISNUMBER($AV$225),$B$156=1),$AV$225,HLOOKUP(INDIRECT(ADDRESS(2,COLUMN())),OFFSET($BN$2,0,0,ROW()-1,60),ROW()-1,FALSE))</f>
        <v>12552</v>
      </c>
      <c r="AW80" t="str">
        <f ca="1">IF(AND(ISNUMBER($AW$225),$B$156=1),$AW$225,HLOOKUP(INDIRECT(ADDRESS(2,COLUMN())),OFFSET($BN$2,0,0,ROW()-1,60),ROW()-1,FALSE))</f>
        <v/>
      </c>
      <c r="AX80" t="str">
        <f ca="1">IF(AND(ISNUMBER($AX$225),$B$156=1),$AX$225,HLOOKUP(INDIRECT(ADDRESS(2,COLUMN())),OFFSET($BN$2,0,0,ROW()-1,60),ROW()-1,FALSE))</f>
        <v/>
      </c>
      <c r="AY80" t="str">
        <f ca="1">IF(AND(ISNUMBER($AY$225),$B$156=1),$AY$225,HLOOKUP(INDIRECT(ADDRESS(2,COLUMN())),OFFSET($BN$2,0,0,ROW()-1,60),ROW()-1,FALSE))</f>
        <v/>
      </c>
      <c r="AZ80" t="str">
        <f ca="1">IF(AND(ISNUMBER($AZ$225),$B$156=1),$AZ$225,HLOOKUP(INDIRECT(ADDRESS(2,COLUMN())),OFFSET($BN$2,0,0,ROW()-1,60),ROW()-1,FALSE))</f>
        <v/>
      </c>
      <c r="BA80" t="str">
        <f ca="1">IF(AND(ISNUMBER($BA$225),$B$156=1),$BA$225,HLOOKUP(INDIRECT(ADDRESS(2,COLUMN())),OFFSET($BN$2,0,0,ROW()-1,60),ROW()-1,FALSE))</f>
        <v/>
      </c>
      <c r="BB80" t="str">
        <f ca="1">IF(AND(ISNUMBER($BB$225),$B$156=1),$BB$225,HLOOKUP(INDIRECT(ADDRESS(2,COLUMN())),OFFSET($BN$2,0,0,ROW()-1,60),ROW()-1,FALSE))</f>
        <v/>
      </c>
      <c r="BC80" t="str">
        <f ca="1">IF(AND(ISNUMBER($BC$225),$B$156=1),$BC$225,HLOOKUP(INDIRECT(ADDRESS(2,COLUMN())),OFFSET($BN$2,0,0,ROW()-1,60),ROW()-1,FALSE))</f>
        <v/>
      </c>
      <c r="BD80" t="str">
        <f ca="1">IF(AND(ISNUMBER($BD$225),$B$156=1),$BD$225,HLOOKUP(INDIRECT(ADDRESS(2,COLUMN())),OFFSET($BN$2,0,0,ROW()-1,60),ROW()-1,FALSE))</f>
        <v/>
      </c>
      <c r="BE80" t="str">
        <f ca="1">IF(AND(ISNUMBER($BE$225),$B$156=1),$BE$225,HLOOKUP(INDIRECT(ADDRESS(2,COLUMN())),OFFSET($BN$2,0,0,ROW()-1,60),ROW()-1,FALSE))</f>
        <v/>
      </c>
      <c r="BF80" t="str">
        <f ca="1">IF(AND(ISNUMBER($BF$225),$B$156=1),$BF$225,HLOOKUP(INDIRECT(ADDRESS(2,COLUMN())),OFFSET($BN$2,0,0,ROW()-1,60),ROW()-1,FALSE))</f>
        <v/>
      </c>
      <c r="BG80" t="str">
        <f ca="1">IF(AND(ISNUMBER($BG$225),$B$156=1),$BG$225,HLOOKUP(INDIRECT(ADDRESS(2,COLUMN())),OFFSET($BN$2,0,0,ROW()-1,60),ROW()-1,FALSE))</f>
        <v/>
      </c>
      <c r="BH80" t="str">
        <f ca="1">IF(AND(ISNUMBER($BH$225),$B$156=1),$BH$225,HLOOKUP(INDIRECT(ADDRESS(2,COLUMN())),OFFSET($BN$2,0,0,ROW()-1,60),ROW()-1,FALSE))</f>
        <v/>
      </c>
      <c r="BI80" t="str">
        <f ca="1">IF(AND(ISNUMBER($BI$225),$B$156=1),$BI$225,HLOOKUP(INDIRECT(ADDRESS(2,COLUMN())),OFFSET($BN$2,0,0,ROW()-1,60),ROW()-1,FALSE))</f>
        <v/>
      </c>
      <c r="BJ80" t="str">
        <f ca="1">IF(AND(ISNUMBER($BJ$225),$B$156=1),$BJ$225,HLOOKUP(INDIRECT(ADDRESS(2,COLUMN())),OFFSET($BN$2,0,0,ROW()-1,60),ROW()-1,FALSE))</f>
        <v/>
      </c>
      <c r="BK80" t="str">
        <f ca="1">IF(AND(ISNUMBER($BK$225),$B$156=1),$BK$225,HLOOKUP(INDIRECT(ADDRESS(2,COLUMN())),OFFSET($BN$2,0,0,ROW()-1,60),ROW()-1,FALSE))</f>
        <v/>
      </c>
      <c r="BL80" t="str">
        <f ca="1">IF(AND(ISNUMBER($BL$225),$B$156=1),$BL$225,HLOOKUP(INDIRECT(ADDRESS(2,COLUMN())),OFFSET($BN$2,0,0,ROW()-1,60),ROW()-1,FALSE))</f>
        <v/>
      </c>
      <c r="BM80" t="str">
        <f ca="1">IF(AND(ISNUMBER($BM$225),$B$156=1),$BM$225,HLOOKUP(INDIRECT(ADDRESS(2,COLUMN())),OFFSET($BN$2,0,0,ROW()-1,60),ROW()-1,FALSE))</f>
        <v/>
      </c>
      <c r="BN80" t="str">
        <f>""</f>
        <v/>
      </c>
      <c r="BO80">
        <f>449361</f>
        <v>449361</v>
      </c>
      <c r="BP80">
        <f>21861</f>
        <v>21861</v>
      </c>
      <c r="BQ80">
        <f>24138</f>
        <v>24138</v>
      </c>
      <c r="BR80">
        <f>22640</f>
        <v>22640</v>
      </c>
      <c r="BS80">
        <f>26818</f>
        <v>26818</v>
      </c>
      <c r="BT80">
        <f>20351</f>
        <v>20351</v>
      </c>
      <c r="BU80">
        <f>22952</f>
        <v>22952</v>
      </c>
      <c r="BV80">
        <f>20656</f>
        <v>20656</v>
      </c>
      <c r="BW80">
        <f>22614</f>
        <v>22614</v>
      </c>
      <c r="BX80">
        <f>18422</f>
        <v>18422</v>
      </c>
      <c r="BY80">
        <f>21870</f>
        <v>21870</v>
      </c>
      <c r="BZ80">
        <f>18440</f>
        <v>18440</v>
      </c>
      <c r="CA80">
        <f>21626</f>
        <v>21626</v>
      </c>
      <c r="CB80">
        <f>17946</f>
        <v>17946</v>
      </c>
      <c r="CC80">
        <f>19489</f>
        <v>19489</v>
      </c>
      <c r="CD80">
        <f>17500</f>
        <v>17500</v>
      </c>
      <c r="CE80">
        <f>23589</f>
        <v>23589</v>
      </c>
      <c r="CF80">
        <f>17802</f>
        <v>17802</v>
      </c>
      <c r="CG80">
        <f>19156</f>
        <v>19156</v>
      </c>
      <c r="CH80">
        <f>18844</f>
        <v>18844</v>
      </c>
      <c r="CI80">
        <f>24240</f>
        <v>24240</v>
      </c>
      <c r="CJ80">
        <f>18244</f>
        <v>18244</v>
      </c>
      <c r="CK80">
        <f>21042</f>
        <v>21042</v>
      </c>
      <c r="CL80">
        <f>16938</f>
        <v>16938</v>
      </c>
      <c r="CM80">
        <f>20121</f>
        <v>20121</v>
      </c>
      <c r="CN80">
        <f>14847</f>
        <v>14847</v>
      </c>
      <c r="CO80">
        <f>15794</f>
        <v>15794</v>
      </c>
      <c r="CP80">
        <f>16238</f>
        <v>16238</v>
      </c>
      <c r="CQ80">
        <f>21015</f>
        <v>21015</v>
      </c>
      <c r="CR80">
        <f>18685</f>
        <v>18685</v>
      </c>
      <c r="CS80">
        <f>21235</f>
        <v>21235</v>
      </c>
      <c r="CT80">
        <f>19065</f>
        <v>19065</v>
      </c>
      <c r="CU80">
        <f>20163</f>
        <v>20163</v>
      </c>
      <c r="CV80">
        <f>15228</f>
        <v>15228</v>
      </c>
      <c r="CW80">
        <f>16374</f>
        <v>16374</v>
      </c>
      <c r="CX80">
        <f>11947</f>
        <v>11947</v>
      </c>
      <c r="CY80">
        <f>13753</f>
        <v>13753</v>
      </c>
      <c r="CZ80">
        <f>9023</f>
        <v>9023</v>
      </c>
      <c r="DA80">
        <f>9363</f>
        <v>9363</v>
      </c>
      <c r="DB80">
        <f>11304</f>
        <v>11304</v>
      </c>
      <c r="DC80">
        <f>17975</f>
        <v>17975</v>
      </c>
      <c r="DD80">
        <f>12552</f>
        <v>12552</v>
      </c>
      <c r="DE80" t="str">
        <f>""</f>
        <v/>
      </c>
      <c r="DF80" t="str">
        <f>""</f>
        <v/>
      </c>
      <c r="DG80" t="str">
        <f>""</f>
        <v/>
      </c>
      <c r="DH80" t="str">
        <f>""</f>
        <v/>
      </c>
      <c r="DI80" t="str">
        <f>""</f>
        <v/>
      </c>
      <c r="DJ80" t="str">
        <f>""</f>
        <v/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</row>
    <row r="81" spans="1:125" x14ac:dyDescent="0.25">
      <c r="A81" t="str">
        <f>"        Porsche"</f>
        <v xml:space="preserve">        Porsche</v>
      </c>
      <c r="B81" t="str">
        <f t="shared" si="11"/>
        <v>VOW GR Equity</v>
      </c>
      <c r="C81" t="str">
        <f t="shared" si="13"/>
        <v>BI047</v>
      </c>
      <c r="D81" t="str">
        <f t="shared" si="14"/>
        <v>BICS_SEGMENT_DATA</v>
      </c>
      <c r="E81" t="str">
        <f t="shared" si="12"/>
        <v>Dynamic</v>
      </c>
      <c r="F81" t="str">
        <f ca="1">IF(AND(ISNUMBER($F$226),$B$156=1),$F$226,HLOOKUP(INDIRECT(ADDRESS(2,COLUMN())),OFFSET($BN$2,0,0,ROW()-1,60),ROW()-1,FALSE))</f>
        <v/>
      </c>
      <c r="G81">
        <f ca="1">IF(AND(ISNUMBER($G$226),$B$156=1),$G$226,HLOOKUP(INDIRECT(ADDRESS(2,COLUMN())),OFFSET($BN$2,0,0,ROW()-1,60),ROW()-1,FALSE))</f>
        <v>59438</v>
      </c>
      <c r="H81">
        <f ca="1">IF(AND(ISNUMBER($H$226),$B$156=1),$H$226,HLOOKUP(INDIRECT(ADDRESS(2,COLUMN())),OFFSET($BN$2,0,0,ROW()-1,60),ROW()-1,FALSE))</f>
        <v>65962</v>
      </c>
      <c r="I81">
        <f ca="1">IF(AND(ISNUMBER($I$226),$B$156=1),$I$226,HLOOKUP(INDIRECT(ADDRESS(2,COLUMN())),OFFSET($BN$2,0,0,ROW()-1,60),ROW()-1,FALSE))</f>
        <v>67122</v>
      </c>
      <c r="J81">
        <f ca="1">IF(AND(ISNUMBER($J$226),$B$156=1),$J$226,HLOOKUP(INDIRECT(ADDRESS(2,COLUMN())),OFFSET($BN$2,0,0,ROW()-1,60),ROW()-1,FALSE))</f>
        <v>63478</v>
      </c>
      <c r="K81">
        <f ca="1">IF(AND(ISNUMBER($K$226),$B$156=1),$K$226,HLOOKUP(INDIRECT(ADDRESS(2,COLUMN())),OFFSET($BN$2,0,0,ROW()-1,60),ROW()-1,FALSE))</f>
        <v>60477</v>
      </c>
      <c r="L81">
        <f ca="1">IF(AND(ISNUMBER($L$226),$B$156=1),$L$226,HLOOKUP(INDIRECT(ADDRESS(2,COLUMN())),OFFSET($BN$2,0,0,ROW()-1,60),ROW()-1,FALSE))</f>
        <v>59401</v>
      </c>
      <c r="M81">
        <f ca="1">IF(AND(ISNUMBER($M$226),$B$156=1),$M$226,HLOOKUP(INDIRECT(ADDRESS(2,COLUMN())),OFFSET($BN$2,0,0,ROW()-1,60),ROW()-1,FALSE))</f>
        <v>66808</v>
      </c>
      <c r="N81">
        <f ca="1">IF(AND(ISNUMBER($N$226),$B$156=1),$N$226,HLOOKUP(INDIRECT(ADDRESS(2,COLUMN())),OFFSET($BN$2,0,0,ROW()-1,60),ROW()-1,FALSE))</f>
        <v>59689</v>
      </c>
      <c r="O81">
        <f ca="1">IF(AND(ISNUMBER($O$226),$B$156=1),$O$226,HLOOKUP(INDIRECT(ADDRESS(2,COLUMN())),OFFSET($BN$2,0,0,ROW()-1,60),ROW()-1,FALSE))</f>
        <v>59464</v>
      </c>
      <c r="P81">
        <f ca="1">IF(AND(ISNUMBER($P$226),$B$156=1),$P$226,HLOOKUP(INDIRECT(ADDRESS(2,COLUMN())),OFFSET($BN$2,0,0,ROW()-1,60),ROW()-1,FALSE))</f>
        <v>60351</v>
      </c>
      <c r="Q81">
        <f ca="1">IF(AND(ISNUMBER($Q$226),$B$156=1),$Q$226,HLOOKUP(INDIRECT(ADDRESS(2,COLUMN())),OFFSET($BN$2,0,0,ROW()-1,60),ROW()-1,FALSE))</f>
        <v>61989</v>
      </c>
      <c r="R81">
        <f ca="1">IF(AND(ISNUMBER($R$226),$B$156=1),$R$226,HLOOKUP(INDIRECT(ADDRESS(2,COLUMN())),OFFSET($BN$2,0,0,ROW()-1,60),ROW()-1,FALSE))</f>
        <v>55974</v>
      </c>
      <c r="S81">
        <f ca="1">IF(AND(ISNUMBER($S$226),$B$156=1),$S$226,HLOOKUP(INDIRECT(ADDRESS(2,COLUMN())),OFFSET($BN$2,0,0,ROW()-1,60),ROW()-1,FALSE))</f>
        <v>52036</v>
      </c>
      <c r="T81">
        <f ca="1">IF(AND(ISNUMBER($T$226),$B$156=1),$T$226,HLOOKUP(INDIRECT(ADDRESS(2,COLUMN())),OFFSET($BN$2,0,0,ROW()-1,60),ROW()-1,FALSE))</f>
        <v>59101</v>
      </c>
      <c r="U81">
        <f ca="1">IF(AND(ISNUMBER($U$226),$B$156=1),$U$226,HLOOKUP(INDIRECT(ADDRESS(2,COLUMN())),OFFSET($BN$2,0,0,ROW()-1,60),ROW()-1,FALSE))</f>
        <v>62882</v>
      </c>
      <c r="V81">
        <f ca="1">IF(AND(ISNUMBER($V$226),$B$156=1),$V$226,HLOOKUP(INDIRECT(ADDRESS(2,COLUMN())),OFFSET($BN$2,0,0,ROW()-1,60),ROW()-1,FALSE))</f>
        <v>51102</v>
      </c>
      <c r="W81">
        <f ca="1">IF(AND(ISNUMBER($W$226),$B$156=1),$W$226,HLOOKUP(INDIRECT(ADDRESS(2,COLUMN())),OFFSET($BN$2,0,0,ROW()-1,60),ROW()-1,FALSE))</f>
        <v>54207</v>
      </c>
      <c r="X81">
        <f ca="1">IF(AND(ISNUMBER($X$226),$B$156=1),$X$226,HLOOKUP(INDIRECT(ADDRESS(2,COLUMN())),OFFSET($BN$2,0,0,ROW()-1,60),ROW()-1,FALSE))</f>
        <v>47839</v>
      </c>
      <c r="Y81">
        <f ca="1">IF(AND(ISNUMBER($Y$226),$B$156=1),$Y$226,HLOOKUP(INDIRECT(ADDRESS(2,COLUMN())),OFFSET($BN$2,0,0,ROW()-1,60),ROW()-1,FALSE))</f>
        <v>49140</v>
      </c>
      <c r="Z81">
        <f ca="1">IF(AND(ISNUMBER($Z$226),$B$156=1),$Z$226,HLOOKUP(INDIRECT(ADDRESS(2,COLUMN())),OFFSET($BN$2,0,0,ROW()-1,60),ROW()-1,FALSE))</f>
        <v>38663</v>
      </c>
      <c r="AA81">
        <f ca="1">IF(AND(ISNUMBER($AA$226),$B$156=1),$AA$226,HLOOKUP(INDIRECT(ADDRESS(2,COLUMN())),OFFSET($BN$2,0,0,ROW()-1,60),ROW()-1,FALSE))</f>
        <v>42353</v>
      </c>
      <c r="AB81">
        <f ca="1">IF(AND(ISNUMBER($AB$226),$B$156=1),$AB$226,HLOOKUP(INDIRECT(ADDRESS(2,COLUMN())),OFFSET($BN$2,0,0,ROW()-1,60),ROW()-1,FALSE))</f>
        <v>38182</v>
      </c>
      <c r="AC81">
        <f ca="1">IF(AND(ISNUMBER($AC$226),$B$156=1),$AC$226,HLOOKUP(INDIRECT(ADDRESS(2,COLUMN())),OFFSET($BN$2,0,0,ROW()-1,60),ROW()-1,FALSE))</f>
        <v>44556</v>
      </c>
      <c r="AD81">
        <f ca="1">IF(AND(ISNUMBER($AD$226),$B$156=1),$AD$226,HLOOKUP(INDIRECT(ADDRESS(2,COLUMN())),OFFSET($BN$2,0,0,ROW()-1,60),ROW()-1,FALSE))</f>
        <v>37009</v>
      </c>
      <c r="AE81">
        <f ca="1">IF(AND(ISNUMBER($AE$226),$B$156=1),$AE$226,HLOOKUP(INDIRECT(ADDRESS(2,COLUMN())),OFFSET($BN$2,0,0,ROW()-1,60),ROW()-1,FALSE))</f>
        <v>36713</v>
      </c>
      <c r="AF81">
        <f ca="1">IF(AND(ISNUMBER($AF$226),$B$156=1),$AF$226,HLOOKUP(INDIRECT(ADDRESS(2,COLUMN())),OFFSET($BN$2,0,0,ROW()-1,60),ROW()-1,FALSE))</f>
        <v>22800</v>
      </c>
      <c r="AG81">
        <f ca="1">IF(AND(ISNUMBER($AG$226),$B$156=1),$AG$226,HLOOKUP(INDIRECT(ADDRESS(2,COLUMN())),OFFSET($BN$2,0,0,ROW()-1,60),ROW()-1,FALSE))</f>
        <v>0</v>
      </c>
      <c r="AH81" t="str">
        <f ca="1">IF(AND(ISNUMBER($AH$226),$B$156=1),$AH$226,HLOOKUP(INDIRECT(ADDRESS(2,COLUMN())),OFFSET($BN$2,0,0,ROW()-1,60),ROW()-1,FALSE))</f>
        <v/>
      </c>
      <c r="AI81" t="str">
        <f ca="1">IF(AND(ISNUMBER($AI$226),$B$156=1),$AI$226,HLOOKUP(INDIRECT(ADDRESS(2,COLUMN())),OFFSET($BN$2,0,0,ROW()-1,60),ROW()-1,FALSE))</f>
        <v/>
      </c>
      <c r="AJ81" t="str">
        <f ca="1">IF(AND(ISNUMBER($AJ$226),$B$156=1),$AJ$226,HLOOKUP(INDIRECT(ADDRESS(2,COLUMN())),OFFSET($BN$2,0,0,ROW()-1,60),ROW()-1,FALSE))</f>
        <v/>
      </c>
      <c r="AK81" t="str">
        <f ca="1">IF(AND(ISNUMBER($AK$226),$B$156=1),$AK$226,HLOOKUP(INDIRECT(ADDRESS(2,COLUMN())),OFFSET($BN$2,0,0,ROW()-1,60),ROW()-1,FALSE))</f>
        <v/>
      </c>
      <c r="AL81" t="str">
        <f ca="1">IF(AND(ISNUMBER($AL$226),$B$156=1),$AL$226,HLOOKUP(INDIRECT(ADDRESS(2,COLUMN())),OFFSET($BN$2,0,0,ROW()-1,60),ROW()-1,FALSE))</f>
        <v/>
      </c>
      <c r="AM81" t="str">
        <f ca="1">IF(AND(ISNUMBER($AM$226),$B$156=1),$AM$226,HLOOKUP(INDIRECT(ADDRESS(2,COLUMN())),OFFSET($BN$2,0,0,ROW()-1,60),ROW()-1,FALSE))</f>
        <v/>
      </c>
      <c r="AN81" t="str">
        <f ca="1">IF(AND(ISNUMBER($AN$226),$B$156=1),$AN$226,HLOOKUP(INDIRECT(ADDRESS(2,COLUMN())),OFFSET($BN$2,0,0,ROW()-1,60),ROW()-1,FALSE))</f>
        <v/>
      </c>
      <c r="AO81" t="str">
        <f ca="1">IF(AND(ISNUMBER($AO$226),$B$156=1),$AO$226,HLOOKUP(INDIRECT(ADDRESS(2,COLUMN())),OFFSET($BN$2,0,0,ROW()-1,60),ROW()-1,FALSE))</f>
        <v/>
      </c>
      <c r="AP81" t="str">
        <f ca="1">IF(AND(ISNUMBER($AP$226),$B$156=1),$AP$226,HLOOKUP(INDIRECT(ADDRESS(2,COLUMN())),OFFSET($BN$2,0,0,ROW()-1,60),ROW()-1,FALSE))</f>
        <v/>
      </c>
      <c r="AQ81" t="str">
        <f ca="1">IF(AND(ISNUMBER($AQ$226),$B$156=1),$AQ$226,HLOOKUP(INDIRECT(ADDRESS(2,COLUMN())),OFFSET($BN$2,0,0,ROW()-1,60),ROW()-1,FALSE))</f>
        <v/>
      </c>
      <c r="AR81" t="str">
        <f ca="1">IF(AND(ISNUMBER($AR$226),$B$156=1),$AR$226,HLOOKUP(INDIRECT(ADDRESS(2,COLUMN())),OFFSET($BN$2,0,0,ROW()-1,60),ROW()-1,FALSE))</f>
        <v/>
      </c>
      <c r="AS81" t="str">
        <f ca="1">IF(AND(ISNUMBER($AS$226),$B$156=1),$AS$226,HLOOKUP(INDIRECT(ADDRESS(2,COLUMN())),OFFSET($BN$2,0,0,ROW()-1,60),ROW()-1,FALSE))</f>
        <v/>
      </c>
      <c r="AT81" t="str">
        <f ca="1">IF(AND(ISNUMBER($AT$226),$B$156=1),$AT$226,HLOOKUP(INDIRECT(ADDRESS(2,COLUMN())),OFFSET($BN$2,0,0,ROW()-1,60),ROW()-1,FALSE))</f>
        <v/>
      </c>
      <c r="AU81" t="str">
        <f ca="1">IF(AND(ISNUMBER($AU$226),$B$156=1),$AU$226,HLOOKUP(INDIRECT(ADDRESS(2,COLUMN())),OFFSET($BN$2,0,0,ROW()-1,60),ROW()-1,FALSE))</f>
        <v/>
      </c>
      <c r="AV81" t="str">
        <f ca="1">IF(AND(ISNUMBER($AV$226),$B$156=1),$AV$226,HLOOKUP(INDIRECT(ADDRESS(2,COLUMN())),OFFSET($BN$2,0,0,ROW()-1,60),ROW()-1,FALSE))</f>
        <v/>
      </c>
      <c r="AW81" t="str">
        <f ca="1">IF(AND(ISNUMBER($AW$226),$B$156=1),$AW$226,HLOOKUP(INDIRECT(ADDRESS(2,COLUMN())),OFFSET($BN$2,0,0,ROW()-1,60),ROW()-1,FALSE))</f>
        <v/>
      </c>
      <c r="AX81" t="str">
        <f ca="1">IF(AND(ISNUMBER($AX$226),$B$156=1),$AX$226,HLOOKUP(INDIRECT(ADDRESS(2,COLUMN())),OFFSET($BN$2,0,0,ROW()-1,60),ROW()-1,FALSE))</f>
        <v/>
      </c>
      <c r="AY81" t="str">
        <f ca="1">IF(AND(ISNUMBER($AY$226),$B$156=1),$AY$226,HLOOKUP(INDIRECT(ADDRESS(2,COLUMN())),OFFSET($BN$2,0,0,ROW()-1,60),ROW()-1,FALSE))</f>
        <v/>
      </c>
      <c r="AZ81" t="str">
        <f ca="1">IF(AND(ISNUMBER($AZ$226),$B$156=1),$AZ$226,HLOOKUP(INDIRECT(ADDRESS(2,COLUMN())),OFFSET($BN$2,0,0,ROW()-1,60),ROW()-1,FALSE))</f>
        <v/>
      </c>
      <c r="BA81" t="str">
        <f ca="1">IF(AND(ISNUMBER($BA$226),$B$156=1),$BA$226,HLOOKUP(INDIRECT(ADDRESS(2,COLUMN())),OFFSET($BN$2,0,0,ROW()-1,60),ROW()-1,FALSE))</f>
        <v/>
      </c>
      <c r="BB81" t="str">
        <f ca="1">IF(AND(ISNUMBER($BB$226),$B$156=1),$BB$226,HLOOKUP(INDIRECT(ADDRESS(2,COLUMN())),OFFSET($BN$2,0,0,ROW()-1,60),ROW()-1,FALSE))</f>
        <v/>
      </c>
      <c r="BC81" t="str">
        <f ca="1">IF(AND(ISNUMBER($BC$226),$B$156=1),$BC$226,HLOOKUP(INDIRECT(ADDRESS(2,COLUMN())),OFFSET($BN$2,0,0,ROW()-1,60),ROW()-1,FALSE))</f>
        <v/>
      </c>
      <c r="BD81" t="str">
        <f ca="1">IF(AND(ISNUMBER($BD$226),$B$156=1),$BD$226,HLOOKUP(INDIRECT(ADDRESS(2,COLUMN())),OFFSET($BN$2,0,0,ROW()-1,60),ROW()-1,FALSE))</f>
        <v/>
      </c>
      <c r="BE81" t="str">
        <f ca="1">IF(AND(ISNUMBER($BE$226),$B$156=1),$BE$226,HLOOKUP(INDIRECT(ADDRESS(2,COLUMN())),OFFSET($BN$2,0,0,ROW()-1,60),ROW()-1,FALSE))</f>
        <v/>
      </c>
      <c r="BF81" t="str">
        <f ca="1">IF(AND(ISNUMBER($BF$226),$B$156=1),$BF$226,HLOOKUP(INDIRECT(ADDRESS(2,COLUMN())),OFFSET($BN$2,0,0,ROW()-1,60),ROW()-1,FALSE))</f>
        <v/>
      </c>
      <c r="BG81" t="str">
        <f ca="1">IF(AND(ISNUMBER($BG$226),$B$156=1),$BG$226,HLOOKUP(INDIRECT(ADDRESS(2,COLUMN())),OFFSET($BN$2,0,0,ROW()-1,60),ROW()-1,FALSE))</f>
        <v/>
      </c>
      <c r="BH81" t="str">
        <f ca="1">IF(AND(ISNUMBER($BH$226),$B$156=1),$BH$226,HLOOKUP(INDIRECT(ADDRESS(2,COLUMN())),OFFSET($BN$2,0,0,ROW()-1,60),ROW()-1,FALSE))</f>
        <v/>
      </c>
      <c r="BI81" t="str">
        <f ca="1">IF(AND(ISNUMBER($BI$226),$B$156=1),$BI$226,HLOOKUP(INDIRECT(ADDRESS(2,COLUMN())),OFFSET($BN$2,0,0,ROW()-1,60),ROW()-1,FALSE))</f>
        <v/>
      </c>
      <c r="BJ81" t="str">
        <f ca="1">IF(AND(ISNUMBER($BJ$226),$B$156=1),$BJ$226,HLOOKUP(INDIRECT(ADDRESS(2,COLUMN())),OFFSET($BN$2,0,0,ROW()-1,60),ROW()-1,FALSE))</f>
        <v/>
      </c>
      <c r="BK81" t="str">
        <f ca="1">IF(AND(ISNUMBER($BK$226),$B$156=1),$BK$226,HLOOKUP(INDIRECT(ADDRESS(2,COLUMN())),OFFSET($BN$2,0,0,ROW()-1,60),ROW()-1,FALSE))</f>
        <v/>
      </c>
      <c r="BL81" t="str">
        <f ca="1">IF(AND(ISNUMBER($BL$226),$B$156=1),$BL$226,HLOOKUP(INDIRECT(ADDRESS(2,COLUMN())),OFFSET($BN$2,0,0,ROW()-1,60),ROW()-1,FALSE))</f>
        <v/>
      </c>
      <c r="BM81" t="str">
        <f ca="1">IF(AND(ISNUMBER($BM$226),$B$156=1),$BM$226,HLOOKUP(INDIRECT(ADDRESS(2,COLUMN())),OFFSET($BN$2,0,0,ROW()-1,60),ROW()-1,FALSE))</f>
        <v/>
      </c>
      <c r="BN81" t="str">
        <f>""</f>
        <v/>
      </c>
      <c r="BO81">
        <f>59438</f>
        <v>59438</v>
      </c>
      <c r="BP81">
        <f>65962</f>
        <v>65962</v>
      </c>
      <c r="BQ81">
        <f>67122</f>
        <v>67122</v>
      </c>
      <c r="BR81">
        <f>63478</f>
        <v>63478</v>
      </c>
      <c r="BS81">
        <f>60477</f>
        <v>60477</v>
      </c>
      <c r="BT81">
        <f>59401</f>
        <v>59401</v>
      </c>
      <c r="BU81">
        <f>66808</f>
        <v>66808</v>
      </c>
      <c r="BV81">
        <f>59689</f>
        <v>59689</v>
      </c>
      <c r="BW81">
        <f>59464</f>
        <v>59464</v>
      </c>
      <c r="BX81">
        <f>60351</f>
        <v>60351</v>
      </c>
      <c r="BY81">
        <f>61989</f>
        <v>61989</v>
      </c>
      <c r="BZ81">
        <f>55974</f>
        <v>55974</v>
      </c>
      <c r="CA81">
        <f>52036</f>
        <v>52036</v>
      </c>
      <c r="CB81">
        <f>59101</f>
        <v>59101</v>
      </c>
      <c r="CC81">
        <f>62882</f>
        <v>62882</v>
      </c>
      <c r="CD81">
        <f>51102</f>
        <v>51102</v>
      </c>
      <c r="CE81">
        <f>54207</f>
        <v>54207</v>
      </c>
      <c r="CF81">
        <f>47839</f>
        <v>47839</v>
      </c>
      <c r="CG81">
        <f>49140</f>
        <v>49140</v>
      </c>
      <c r="CH81">
        <f>38663</f>
        <v>38663</v>
      </c>
      <c r="CI81">
        <f>42353</f>
        <v>42353</v>
      </c>
      <c r="CJ81">
        <f>38182</f>
        <v>38182</v>
      </c>
      <c r="CK81">
        <f>44556</f>
        <v>44556</v>
      </c>
      <c r="CL81">
        <f>37009</f>
        <v>37009</v>
      </c>
      <c r="CM81">
        <f>36713</f>
        <v>36713</v>
      </c>
      <c r="CN81">
        <f>22800</f>
        <v>22800</v>
      </c>
      <c r="CO81">
        <f>0</f>
        <v>0</v>
      </c>
      <c r="CP81" t="str">
        <f>""</f>
        <v/>
      </c>
      <c r="CQ81" t="str">
        <f>""</f>
        <v/>
      </c>
      <c r="CR81" t="str">
        <f>""</f>
        <v/>
      </c>
      <c r="CS81" t="str">
        <f>""</f>
        <v/>
      </c>
      <c r="CT81" t="str">
        <f>""</f>
        <v/>
      </c>
      <c r="CU81" t="str">
        <f>""</f>
        <v/>
      </c>
      <c r="CV81" t="str">
        <f>""</f>
        <v/>
      </c>
      <c r="CW81" t="str">
        <f>""</f>
        <v/>
      </c>
      <c r="CX81" t="str">
        <f>""</f>
        <v/>
      </c>
      <c r="CY81" t="str">
        <f>""</f>
        <v/>
      </c>
      <c r="CZ81" t="str">
        <f>""</f>
        <v/>
      </c>
      <c r="DA81" t="str">
        <f>""</f>
        <v/>
      </c>
      <c r="DB81" t="str">
        <f>""</f>
        <v/>
      </c>
      <c r="DC81" t="str">
        <f>""</f>
        <v/>
      </c>
      <c r="DD81" t="str">
        <f>""</f>
        <v/>
      </c>
      <c r="DE81" t="str">
        <f>""</f>
        <v/>
      </c>
      <c r="DF81" t="str">
        <f>""</f>
        <v/>
      </c>
      <c r="DG81" t="str">
        <f>""</f>
        <v/>
      </c>
      <c r="DH81" t="str">
        <f>""</f>
        <v/>
      </c>
      <c r="DI81" t="str">
        <f>""</f>
        <v/>
      </c>
      <c r="DJ81" t="str">
        <f>""</f>
        <v/>
      </c>
      <c r="DK81" t="str">
        <f>""</f>
        <v/>
      </c>
      <c r="DL81" t="str">
        <f>""</f>
        <v/>
      </c>
      <c r="DM81" t="str">
        <f>""</f>
        <v/>
      </c>
      <c r="DN81" t="str">
        <f>""</f>
        <v/>
      </c>
      <c r="DO81" t="str">
        <f>""</f>
        <v/>
      </c>
      <c r="DP81" t="str">
        <f>""</f>
        <v/>
      </c>
      <c r="DQ81" t="str">
        <f>""</f>
        <v/>
      </c>
      <c r="DR81" t="str">
        <f>""</f>
        <v/>
      </c>
      <c r="DS81" t="str">
        <f>""</f>
        <v/>
      </c>
      <c r="DT81" t="str">
        <f>""</f>
        <v/>
      </c>
      <c r="DU81" t="str">
        <f>""</f>
        <v/>
      </c>
    </row>
    <row r="82" spans="1:125" x14ac:dyDescent="0.25">
      <c r="A82" t="str">
        <f>"        Bentley"</f>
        <v xml:space="preserve">        Bentley</v>
      </c>
      <c r="B82" t="str">
        <f t="shared" si="11"/>
        <v>VOW GR Equity</v>
      </c>
      <c r="C82" t="str">
        <f t="shared" si="13"/>
        <v>BI047</v>
      </c>
      <c r="D82" t="str">
        <f t="shared" si="14"/>
        <v>BICS_SEGMENT_DATA</v>
      </c>
      <c r="E82" t="str">
        <f t="shared" si="12"/>
        <v>Dynamic</v>
      </c>
      <c r="F82" t="str">
        <f ca="1">IF(AND(ISNUMBER($F$227),$B$156=1),$F$227,HLOOKUP(INDIRECT(ADDRESS(2,COLUMN())),OFFSET($BN$2,0,0,ROW()-1,60),ROW()-1,FALSE))</f>
        <v/>
      </c>
      <c r="G82" t="str">
        <f ca="1">IF(AND(ISNUMBER($G$227),$B$156=1),$G$227,HLOOKUP(INDIRECT(ADDRESS(2,COLUMN())),OFFSET($BN$2,0,0,ROW()-1,60),ROW()-1,FALSE))</f>
        <v/>
      </c>
      <c r="H82">
        <f ca="1">IF(AND(ISNUMBER($H$227),$B$156=1),$H$227,HLOOKUP(INDIRECT(ADDRESS(2,COLUMN())),OFFSET($BN$2,0,0,ROW()-1,60),ROW()-1,FALSE))</f>
        <v>2677</v>
      </c>
      <c r="I82">
        <f ca="1">IF(AND(ISNUMBER($I$227),$B$156=1),$I$227,HLOOKUP(INDIRECT(ADDRESS(2,COLUMN())),OFFSET($BN$2,0,0,ROW()-1,60),ROW()-1,FALSE))</f>
        <v>2232</v>
      </c>
      <c r="J82">
        <f ca="1">IF(AND(ISNUMBER($J$227),$B$156=1),$J$227,HLOOKUP(INDIRECT(ADDRESS(2,COLUMN())),OFFSET($BN$2,0,0,ROW()-1,60),ROW()-1,FALSE))</f>
        <v>2198</v>
      </c>
      <c r="K82">
        <f ca="1">IF(AND(ISNUMBER($K$227),$B$156=1),$K$227,HLOOKUP(INDIRECT(ADDRESS(2,COLUMN())),OFFSET($BN$2,0,0,ROW()-1,60),ROW()-1,FALSE))</f>
        <v>3199</v>
      </c>
      <c r="L82">
        <f ca="1">IF(AND(ISNUMBER($L$227),$B$156=1),$L$227,HLOOKUP(INDIRECT(ADDRESS(2,COLUMN())),OFFSET($BN$2,0,0,ROW()-1,60),ROW()-1,FALSE))</f>
        <v>2652</v>
      </c>
      <c r="M82">
        <f ca="1">IF(AND(ISNUMBER($M$227),$B$156=1),$M$227,HLOOKUP(INDIRECT(ADDRESS(2,COLUMN())),OFFSET($BN$2,0,0,ROW()-1,60),ROW()-1,FALSE))</f>
        <v>2861</v>
      </c>
      <c r="N82">
        <f ca="1">IF(AND(ISNUMBER($N$227),$B$156=1),$N$227,HLOOKUP(INDIRECT(ADDRESS(2,COLUMN())),OFFSET($BN$2,0,0,ROW()-1,60),ROW()-1,FALSE))</f>
        <v>2377</v>
      </c>
      <c r="O82">
        <f ca="1">IF(AND(ISNUMBER($O$227),$B$156=1),$O$227,HLOOKUP(INDIRECT(ADDRESS(2,COLUMN())),OFFSET($BN$2,0,0,ROW()-1,60),ROW()-1,FALSE))</f>
        <v>3948</v>
      </c>
      <c r="P82">
        <f ca="1">IF(AND(ISNUMBER($P$227),$B$156=1),$P$227,HLOOKUP(INDIRECT(ADDRESS(2,COLUMN())),OFFSET($BN$2,0,0,ROW()-1,60),ROW()-1,FALSE))</f>
        <v>3064</v>
      </c>
      <c r="Q82">
        <f ca="1">IF(AND(ISNUMBER($Q$227),$B$156=1),$Q$227,HLOOKUP(INDIRECT(ADDRESS(2,COLUMN())),OFFSET($BN$2,0,0,ROW()-1,60),ROW()-1,FALSE))</f>
        <v>2457</v>
      </c>
      <c r="R82">
        <f ca="1">IF(AND(ISNUMBER($R$227),$B$156=1),$R$227,HLOOKUP(INDIRECT(ADDRESS(2,COLUMN())),OFFSET($BN$2,0,0,ROW()-1,60),ROW()-1,FALSE))</f>
        <v>1554</v>
      </c>
      <c r="S82">
        <f ca="1">IF(AND(ISNUMBER($S$227),$B$156=1),$S$227,HLOOKUP(INDIRECT(ADDRESS(2,COLUMN())),OFFSET($BN$2,0,0,ROW()-1,60),ROW()-1,FALSE))</f>
        <v>3246</v>
      </c>
      <c r="T82">
        <f ca="1">IF(AND(ISNUMBER($T$227),$B$156=1),$T$227,HLOOKUP(INDIRECT(ADDRESS(2,COLUMN())),OFFSET($BN$2,0,0,ROW()-1,60),ROW()-1,FALSE))</f>
        <v>2215</v>
      </c>
      <c r="U82">
        <f ca="1">IF(AND(ISNUMBER($U$227),$B$156=1),$U$227,HLOOKUP(INDIRECT(ADDRESS(2,COLUMN())),OFFSET($BN$2,0,0,ROW()-1,60),ROW()-1,FALSE))</f>
        <v>2407</v>
      </c>
      <c r="V82">
        <f ca="1">IF(AND(ISNUMBER($V$227),$B$156=1),$V$227,HLOOKUP(INDIRECT(ADDRESS(2,COLUMN())),OFFSET($BN$2,0,0,ROW()-1,60),ROW()-1,FALSE))</f>
        <v>2232</v>
      </c>
      <c r="W82">
        <f ca="1">IF(AND(ISNUMBER($W$227),$B$156=1),$W$227,HLOOKUP(INDIRECT(ADDRESS(2,COLUMN())),OFFSET($BN$2,0,0,ROW()-1,60),ROW()-1,FALSE))</f>
        <v>3235</v>
      </c>
      <c r="X82">
        <f ca="1">IF(AND(ISNUMBER($X$227),$B$156=1),$X$227,HLOOKUP(INDIRECT(ADDRESS(2,COLUMN())),OFFSET($BN$2,0,0,ROW()-1,60),ROW()-1,FALSE))</f>
        <v>2532</v>
      </c>
      <c r="Y82">
        <f ca="1">IF(AND(ISNUMBER($Y$227),$B$156=1),$Y$227,HLOOKUP(INDIRECT(ADDRESS(2,COLUMN())),OFFSET($BN$2,0,0,ROW()-1,60),ROW()-1,FALSE))</f>
        <v>2674</v>
      </c>
      <c r="Z82">
        <f ca="1">IF(AND(ISNUMBER($Z$227),$B$156=1),$Z$227,HLOOKUP(INDIRECT(ADDRESS(2,COLUMN())),OFFSET($BN$2,0,0,ROW()-1,60),ROW()-1,FALSE))</f>
        <v>2580</v>
      </c>
      <c r="AA82">
        <f ca="1">IF(AND(ISNUMBER($AA$227),$B$156=1),$AA$227,HLOOKUP(INDIRECT(ADDRESS(2,COLUMN())),OFFSET($BN$2,0,0,ROW()-1,60),ROW()-1,FALSE))</f>
        <v>3604</v>
      </c>
      <c r="AB82">
        <f ca="1">IF(AND(ISNUMBER($AB$227),$B$156=1),$AB$227,HLOOKUP(INDIRECT(ADDRESS(2,COLUMN())),OFFSET($BN$2,0,0,ROW()-1,60),ROW()-1,FALSE))</f>
        <v>2237</v>
      </c>
      <c r="AC82">
        <f ca="1">IF(AND(ISNUMBER($AC$227),$B$156=1),$AC$227,HLOOKUP(INDIRECT(ADDRESS(2,COLUMN())),OFFSET($BN$2,0,0,ROW()-1,60),ROW()-1,FALSE))</f>
        <v>2067</v>
      </c>
      <c r="AD82">
        <f ca="1">IF(AND(ISNUMBER($AD$227),$B$156=1),$AD$227,HLOOKUP(INDIRECT(ADDRESS(2,COLUMN())),OFFSET($BN$2,0,0,ROW()-1,60),ROW()-1,FALSE))</f>
        <v>2212</v>
      </c>
      <c r="AE82">
        <f ca="1">IF(AND(ISNUMBER($AE$227),$B$156=1),$AE$227,HLOOKUP(INDIRECT(ADDRESS(2,COLUMN())),OFFSET($BN$2,0,0,ROW()-1,60),ROW()-1,FALSE))</f>
        <v>2541</v>
      </c>
      <c r="AF82">
        <f ca="1">IF(AND(ISNUMBER($AF$227),$B$156=1),$AF$227,HLOOKUP(INDIRECT(ADDRESS(2,COLUMN())),OFFSET($BN$2,0,0,ROW()-1,60),ROW()-1,FALSE))</f>
        <v>2040</v>
      </c>
      <c r="AG82">
        <f ca="1">IF(AND(ISNUMBER($AG$227),$B$156=1),$AG$227,HLOOKUP(INDIRECT(ADDRESS(2,COLUMN())),OFFSET($BN$2,0,0,ROW()-1,60),ROW()-1,FALSE))</f>
        <v>2170</v>
      </c>
      <c r="AH82">
        <f ca="1">IF(AND(ISNUMBER($AH$227),$B$156=1),$AH$227,HLOOKUP(INDIRECT(ADDRESS(2,COLUMN())),OFFSET($BN$2,0,0,ROW()-1,60),ROW()-1,FALSE))</f>
        <v>1759</v>
      </c>
      <c r="AI82">
        <f ca="1">IF(AND(ISNUMBER($AI$227),$B$156=1),$AI$227,HLOOKUP(INDIRECT(ADDRESS(2,COLUMN())),OFFSET($BN$2,0,0,ROW()-1,60),ROW()-1,FALSE))</f>
        <v>2244</v>
      </c>
      <c r="AJ82">
        <f ca="1">IF(AND(ISNUMBER($AJ$227),$B$156=1),$AJ$227,HLOOKUP(INDIRECT(ADDRESS(2,COLUMN())),OFFSET($BN$2,0,0,ROW()-1,60),ROW()-1,FALSE))</f>
        <v>1781</v>
      </c>
      <c r="AK82">
        <f ca="1">IF(AND(ISNUMBER($AK$227),$B$156=1),$AK$227,HLOOKUP(INDIRECT(ADDRESS(2,COLUMN())),OFFSET($BN$2,0,0,ROW()-1,60),ROW()-1,FALSE))</f>
        <v>1778</v>
      </c>
      <c r="AL82">
        <f ca="1">IF(AND(ISNUMBER($AL$227),$B$156=1),$AL$227,HLOOKUP(INDIRECT(ADDRESS(2,COLUMN())),OFFSET($BN$2,0,0,ROW()-1,60),ROW()-1,FALSE))</f>
        <v>1200</v>
      </c>
      <c r="AM82">
        <f ca="1">IF(AND(ISNUMBER($AM$227),$B$156=1),$AM$227,HLOOKUP(INDIRECT(ADDRESS(2,COLUMN())),OFFSET($BN$2,0,0,ROW()-1,60),ROW()-1,FALSE))</f>
        <v>1466</v>
      </c>
      <c r="AN82">
        <f ca="1">IF(AND(ISNUMBER($AN$227),$B$156=1),$AN$227,HLOOKUP(INDIRECT(ADDRESS(2,COLUMN())),OFFSET($BN$2,0,0,ROW()-1,60),ROW()-1,FALSE))</f>
        <v>1162</v>
      </c>
      <c r="AO82">
        <f ca="1">IF(AND(ISNUMBER($AO$227),$B$156=1),$AO$227,HLOOKUP(INDIRECT(ADDRESS(2,COLUMN())),OFFSET($BN$2,0,0,ROW()-1,60),ROW()-1,FALSE))</f>
        <v>1310</v>
      </c>
      <c r="AP82">
        <f ca="1">IF(AND(ISNUMBER($AP$227),$B$156=1),$AP$227,HLOOKUP(INDIRECT(ADDRESS(2,COLUMN())),OFFSET($BN$2,0,0,ROW()-1,60),ROW()-1,FALSE))</f>
        <v>1179</v>
      </c>
      <c r="AQ82">
        <f ca="1">IF(AND(ISNUMBER($AQ$227),$B$156=1),$AQ$227,HLOOKUP(INDIRECT(ADDRESS(2,COLUMN())),OFFSET($BN$2,0,0,ROW()-1,60),ROW()-1,FALSE))</f>
        <v>1303</v>
      </c>
      <c r="AR82">
        <f ca="1">IF(AND(ISNUMBER($AR$227),$B$156=1),$AR$227,HLOOKUP(INDIRECT(ADDRESS(2,COLUMN())),OFFSET($BN$2,0,0,ROW()-1,60),ROW()-1,FALSE))</f>
        <v>1072</v>
      </c>
      <c r="AS82">
        <f ca="1">IF(AND(ISNUMBER($AS$227),$B$156=1),$AS$227,HLOOKUP(INDIRECT(ADDRESS(2,COLUMN())),OFFSET($BN$2,0,0,ROW()-1,60),ROW()-1,FALSE))</f>
        <v>1222</v>
      </c>
      <c r="AT82">
        <f ca="1">IF(AND(ISNUMBER($AT$227),$B$156=1),$AT$227,HLOOKUP(INDIRECT(ADDRESS(2,COLUMN())),OFFSET($BN$2,0,0,ROW()-1,60),ROW()-1,FALSE))</f>
        <v>1019</v>
      </c>
      <c r="AU82">
        <f ca="1">IF(AND(ISNUMBER($AU$227),$B$156=1),$AU$227,HLOOKUP(INDIRECT(ADDRESS(2,COLUMN())),OFFSET($BN$2,0,0,ROW()-1,60),ROW()-1,FALSE))</f>
        <v>1367</v>
      </c>
      <c r="AV82">
        <f ca="1">IF(AND(ISNUMBER($AV$227),$B$156=1),$AV$227,HLOOKUP(INDIRECT(ADDRESS(2,COLUMN())),OFFSET($BN$2,0,0,ROW()-1,60),ROW()-1,FALSE))</f>
        <v>1518</v>
      </c>
      <c r="AW82">
        <f ca="1">IF(AND(ISNUMBER($AW$227),$B$156=1),$AW$227,HLOOKUP(INDIRECT(ADDRESS(2,COLUMN())),OFFSET($BN$2,0,0,ROW()-1,60),ROW()-1,FALSE))</f>
        <v>2428</v>
      </c>
      <c r="AX82">
        <f ca="1">IF(AND(ISNUMBER($AX$227),$B$156=1),$AX$227,HLOOKUP(INDIRECT(ADDRESS(2,COLUMN())),OFFSET($BN$2,0,0,ROW()-1,60),ROW()-1,FALSE))</f>
        <v>2292</v>
      </c>
      <c r="AY82">
        <f ca="1">IF(AND(ISNUMBER($AY$227),$B$156=1),$AY$227,HLOOKUP(INDIRECT(ADDRESS(2,COLUMN())),OFFSET($BN$2,0,0,ROW()-1,60),ROW()-1,FALSE))</f>
        <v>2180</v>
      </c>
      <c r="AZ82">
        <f ca="1">IF(AND(ISNUMBER($AZ$227),$B$156=1),$AZ$227,HLOOKUP(INDIRECT(ADDRESS(2,COLUMN())),OFFSET($BN$2,0,0,ROW()-1,60),ROW()-1,FALSE))</f>
        <v>2180</v>
      </c>
      <c r="BA82">
        <f ca="1">IF(AND(ISNUMBER($BA$227),$B$156=1),$BA$227,HLOOKUP(INDIRECT(ADDRESS(2,COLUMN())),OFFSET($BN$2,0,0,ROW()-1,60),ROW()-1,FALSE))</f>
        <v>2866</v>
      </c>
      <c r="BB82">
        <f ca="1">IF(AND(ISNUMBER($BB$227),$B$156=1),$BB$227,HLOOKUP(INDIRECT(ADDRESS(2,COLUMN())),OFFSET($BN$2,0,0,ROW()-1,60),ROW()-1,FALSE))</f>
        <v>2788</v>
      </c>
      <c r="BC82">
        <f ca="1">IF(AND(ISNUMBER($BC$227),$B$156=1),$BC$227,HLOOKUP(INDIRECT(ADDRESS(2,COLUMN())),OFFSET($BN$2,0,0,ROW()-1,60),ROW()-1,FALSE))</f>
        <v>2787</v>
      </c>
      <c r="BD82">
        <f ca="1">IF(AND(ISNUMBER($BD$227),$B$156=1),$BD$227,HLOOKUP(INDIRECT(ADDRESS(2,COLUMN())),OFFSET($BN$2,0,0,ROW()-1,60),ROW()-1,FALSE))</f>
        <v>1839</v>
      </c>
      <c r="BE82">
        <f ca="1">IF(AND(ISNUMBER($BE$227),$B$156=1),$BE$227,HLOOKUP(INDIRECT(ADDRESS(2,COLUMN())),OFFSET($BN$2,0,0,ROW()-1,60),ROW()-1,FALSE))</f>
        <v>2446</v>
      </c>
      <c r="BF82" t="str">
        <f ca="1">IF(AND(ISNUMBER($BF$227),$B$156=1),$BF$227,HLOOKUP(INDIRECT(ADDRESS(2,COLUMN())),OFFSET($BN$2,0,0,ROW()-1,60),ROW()-1,FALSE))</f>
        <v/>
      </c>
      <c r="BG82" t="str">
        <f ca="1">IF(AND(ISNUMBER($BG$227),$B$156=1),$BG$227,HLOOKUP(INDIRECT(ADDRESS(2,COLUMN())),OFFSET($BN$2,0,0,ROW()-1,60),ROW()-1,FALSE))</f>
        <v/>
      </c>
      <c r="BH82" t="str">
        <f ca="1">IF(AND(ISNUMBER($BH$227),$B$156=1),$BH$227,HLOOKUP(INDIRECT(ADDRESS(2,COLUMN())),OFFSET($BN$2,0,0,ROW()-1,60),ROW()-1,FALSE))</f>
        <v/>
      </c>
      <c r="BI82" t="str">
        <f ca="1">IF(AND(ISNUMBER($BI$227),$B$156=1),$BI$227,HLOOKUP(INDIRECT(ADDRESS(2,COLUMN())),OFFSET($BN$2,0,0,ROW()-1,60),ROW()-1,FALSE))</f>
        <v/>
      </c>
      <c r="BJ82" t="str">
        <f ca="1">IF(AND(ISNUMBER($BJ$227),$B$156=1),$BJ$227,HLOOKUP(INDIRECT(ADDRESS(2,COLUMN())),OFFSET($BN$2,0,0,ROW()-1,60),ROW()-1,FALSE))</f>
        <v/>
      </c>
      <c r="BK82" t="str">
        <f ca="1">IF(AND(ISNUMBER($BK$227),$B$156=1),$BK$227,HLOOKUP(INDIRECT(ADDRESS(2,COLUMN())),OFFSET($BN$2,0,0,ROW()-1,60),ROW()-1,FALSE))</f>
        <v/>
      </c>
      <c r="BL82" t="str">
        <f ca="1">IF(AND(ISNUMBER($BL$227),$B$156=1),$BL$227,HLOOKUP(INDIRECT(ADDRESS(2,COLUMN())),OFFSET($BN$2,0,0,ROW()-1,60),ROW()-1,FALSE))</f>
        <v/>
      </c>
      <c r="BM82" t="str">
        <f ca="1">IF(AND(ISNUMBER($BM$227),$B$156=1),$BM$227,HLOOKUP(INDIRECT(ADDRESS(2,COLUMN())),OFFSET($BN$2,0,0,ROW()-1,60),ROW()-1,FALSE))</f>
        <v/>
      </c>
      <c r="BN82" t="str">
        <f>""</f>
        <v/>
      </c>
      <c r="BO82" t="str">
        <f>""</f>
        <v/>
      </c>
      <c r="BP82">
        <f>2677</f>
        <v>2677</v>
      </c>
      <c r="BQ82">
        <f>2232</f>
        <v>2232</v>
      </c>
      <c r="BR82">
        <f>2198</f>
        <v>2198</v>
      </c>
      <c r="BS82">
        <f>3199</f>
        <v>3199</v>
      </c>
      <c r="BT82">
        <f>2652</f>
        <v>2652</v>
      </c>
      <c r="BU82">
        <f>2861</f>
        <v>2861</v>
      </c>
      <c r="BV82">
        <f>2377</f>
        <v>2377</v>
      </c>
      <c r="BW82">
        <f>3948</f>
        <v>3948</v>
      </c>
      <c r="BX82">
        <f>3064</f>
        <v>3064</v>
      </c>
      <c r="BY82">
        <f>2457</f>
        <v>2457</v>
      </c>
      <c r="BZ82">
        <f>1554</f>
        <v>1554</v>
      </c>
      <c r="CA82">
        <f>3246</f>
        <v>3246</v>
      </c>
      <c r="CB82">
        <f>2215</f>
        <v>2215</v>
      </c>
      <c r="CC82">
        <f>2407</f>
        <v>2407</v>
      </c>
      <c r="CD82">
        <f>2232</f>
        <v>2232</v>
      </c>
      <c r="CE82">
        <f>3235</f>
        <v>3235</v>
      </c>
      <c r="CF82">
        <f>2532</f>
        <v>2532</v>
      </c>
      <c r="CG82">
        <f>2674</f>
        <v>2674</v>
      </c>
      <c r="CH82">
        <f>2580</f>
        <v>2580</v>
      </c>
      <c r="CI82">
        <f>3604</f>
        <v>3604</v>
      </c>
      <c r="CJ82">
        <f>2237</f>
        <v>2237</v>
      </c>
      <c r="CK82">
        <f>2067</f>
        <v>2067</v>
      </c>
      <c r="CL82">
        <f>2212</f>
        <v>2212</v>
      </c>
      <c r="CM82">
        <f>2541</f>
        <v>2541</v>
      </c>
      <c r="CN82">
        <f>2040</f>
        <v>2040</v>
      </c>
      <c r="CO82">
        <f>2170</f>
        <v>2170</v>
      </c>
      <c r="CP82">
        <f>1759</f>
        <v>1759</v>
      </c>
      <c r="CQ82">
        <f>2244</f>
        <v>2244</v>
      </c>
      <c r="CR82">
        <f>1781</f>
        <v>1781</v>
      </c>
      <c r="CS82">
        <f>1778</f>
        <v>1778</v>
      </c>
      <c r="CT82">
        <f>1200</f>
        <v>1200</v>
      </c>
      <c r="CU82">
        <f>1466</f>
        <v>1466</v>
      </c>
      <c r="CV82">
        <f>1162</f>
        <v>1162</v>
      </c>
      <c r="CW82">
        <f>1310</f>
        <v>1310</v>
      </c>
      <c r="CX82">
        <f>1179</f>
        <v>1179</v>
      </c>
      <c r="CY82">
        <f>1303</f>
        <v>1303</v>
      </c>
      <c r="CZ82">
        <f>1072</f>
        <v>1072</v>
      </c>
      <c r="DA82">
        <f>1222</f>
        <v>1222</v>
      </c>
      <c r="DB82">
        <f>1019</f>
        <v>1019</v>
      </c>
      <c r="DC82">
        <f>1367</f>
        <v>1367</v>
      </c>
      <c r="DD82">
        <f>1518</f>
        <v>1518</v>
      </c>
      <c r="DE82">
        <f>2428</f>
        <v>2428</v>
      </c>
      <c r="DF82">
        <f>2292</f>
        <v>2292</v>
      </c>
      <c r="DG82">
        <f>2180</f>
        <v>2180</v>
      </c>
      <c r="DH82">
        <f>2180</f>
        <v>2180</v>
      </c>
      <c r="DI82">
        <f>2866</f>
        <v>2866</v>
      </c>
      <c r="DJ82">
        <f>2788</f>
        <v>2788</v>
      </c>
      <c r="DK82">
        <f>2787</f>
        <v>2787</v>
      </c>
      <c r="DL82">
        <f>1839</f>
        <v>1839</v>
      </c>
      <c r="DM82">
        <f>2446</f>
        <v>2446</v>
      </c>
      <c r="DN82" t="str">
        <f>""</f>
        <v/>
      </c>
      <c r="DO82" t="str">
        <f>""</f>
        <v/>
      </c>
      <c r="DP82" t="str">
        <f>""</f>
        <v/>
      </c>
      <c r="DQ82" t="str">
        <f>""</f>
        <v/>
      </c>
      <c r="DR82" t="str">
        <f>""</f>
        <v/>
      </c>
      <c r="DS82" t="str">
        <f>""</f>
        <v/>
      </c>
      <c r="DT82" t="str">
        <f>""</f>
        <v/>
      </c>
      <c r="DU82" t="str">
        <f>""</f>
        <v/>
      </c>
    </row>
    <row r="83" spans="1:125" x14ac:dyDescent="0.25">
      <c r="A83" t="str">
        <f>"        Lamborghini"</f>
        <v xml:space="preserve">        Lamborghini</v>
      </c>
      <c r="B83" t="str">
        <f t="shared" si="11"/>
        <v>VOW GR Equity</v>
      </c>
      <c r="C83" t="str">
        <f t="shared" si="13"/>
        <v>BI047</v>
      </c>
      <c r="D83" t="str">
        <f t="shared" si="14"/>
        <v>BICS_SEGMENT_DATA</v>
      </c>
      <c r="E83" t="str">
        <f t="shared" si="12"/>
        <v>Dynamic</v>
      </c>
      <c r="F83" t="str">
        <f ca="1">IF(AND(ISNUMBER($F$228),$B$156=1),$F$228,HLOOKUP(INDIRECT(ADDRESS(2,COLUMN())),OFFSET($BN$2,0,0,ROW()-1,60),ROW()-1,FALSE))</f>
        <v/>
      </c>
      <c r="G83" t="str">
        <f ca="1">IF(AND(ISNUMBER($G$228),$B$156=1),$G$228,HLOOKUP(INDIRECT(ADDRESS(2,COLUMN())),OFFSET($BN$2,0,0,ROW()-1,60),ROW()-1,FALSE))</f>
        <v/>
      </c>
      <c r="H83">
        <f ca="1">IF(AND(ISNUMBER($H$228),$B$156=1),$H$228,HLOOKUP(INDIRECT(ADDRESS(2,COLUMN())),OFFSET($BN$2,0,0,ROW()-1,60),ROW()-1,FALSE))</f>
        <v>1227</v>
      </c>
      <c r="I83">
        <f ca="1">IF(AND(ISNUMBER($I$228),$B$156=1),$I$228,HLOOKUP(INDIRECT(ADDRESS(2,COLUMN())),OFFSET($BN$2,0,0,ROW()-1,60),ROW()-1,FALSE))</f>
        <v>1203</v>
      </c>
      <c r="J83">
        <f ca="1">IF(AND(ISNUMBER($J$228),$B$156=1),$J$228,HLOOKUP(INDIRECT(ADDRESS(2,COLUMN())),OFFSET($BN$2,0,0,ROW()-1,60),ROW()-1,FALSE))</f>
        <v>1124</v>
      </c>
      <c r="K83">
        <f ca="1">IF(AND(ISNUMBER($K$228),$B$156=1),$K$228,HLOOKUP(INDIRECT(ADDRESS(2,COLUMN())),OFFSET($BN$2,0,0,ROW()-1,60),ROW()-1,FALSE))</f>
        <v>885</v>
      </c>
      <c r="L83">
        <f ca="1">IF(AND(ISNUMBER($L$228),$B$156=1),$L$228,HLOOKUP(INDIRECT(ADDRESS(2,COLUMN())),OFFSET($BN$2,0,0,ROW()-1,60),ROW()-1,FALSE))</f>
        <v>839</v>
      </c>
      <c r="M83">
        <f ca="1">IF(AND(ISNUMBER($M$228),$B$156=1),$M$228,HLOOKUP(INDIRECT(ADDRESS(2,COLUMN())),OFFSET($BN$2,0,0,ROW()-1,60),ROW()-1,FALSE))</f>
        <v>1104</v>
      </c>
      <c r="N83">
        <f ca="1">IF(AND(ISNUMBER($N$228),$B$156=1),$N$228,HLOOKUP(INDIRECT(ADDRESS(2,COLUMN())),OFFSET($BN$2,0,0,ROW()-1,60),ROW()-1,FALSE))</f>
        <v>987</v>
      </c>
      <c r="O83">
        <f ca="1">IF(AND(ISNUMBER($O$228),$B$156=1),$O$228,HLOOKUP(INDIRECT(ADDRESS(2,COLUMN())),OFFSET($BN$2,0,0,ROW()-1,60),ROW()-1,FALSE))</f>
        <v>590</v>
      </c>
      <c r="P83">
        <f ca="1">IF(AND(ISNUMBER($P$228),$B$156=1),$P$228,HLOOKUP(INDIRECT(ADDRESS(2,COLUMN())),OFFSET($BN$2,0,0,ROW()-1,60),ROW()-1,FALSE))</f>
        <v>854</v>
      </c>
      <c r="Q83">
        <f ca="1">IF(AND(ISNUMBER($Q$228),$B$156=1),$Q$228,HLOOKUP(INDIRECT(ADDRESS(2,COLUMN())),OFFSET($BN$2,0,0,ROW()-1,60),ROW()-1,FALSE))</f>
        <v>1085</v>
      </c>
      <c r="R83">
        <f ca="1">IF(AND(ISNUMBER($R$228),$B$156=1),$R$228,HLOOKUP(INDIRECT(ADDRESS(2,COLUMN())),OFFSET($BN$2,0,0,ROW()-1,60),ROW()-1,FALSE))</f>
        <v>928</v>
      </c>
      <c r="S83">
        <f ca="1">IF(AND(ISNUMBER($S$228),$B$156=1),$S$228,HLOOKUP(INDIRECT(ADDRESS(2,COLUMN())),OFFSET($BN$2,0,0,ROW()-1,60),ROW()-1,FALSE))</f>
        <v>549</v>
      </c>
      <c r="T83">
        <f ca="1">IF(AND(ISNUMBER($T$228),$B$156=1),$T$228,HLOOKUP(INDIRECT(ADDRESS(2,COLUMN())),OFFSET($BN$2,0,0,ROW()-1,60),ROW()-1,FALSE))</f>
        <v>814</v>
      </c>
      <c r="U83">
        <f ca="1">IF(AND(ISNUMBER($U$228),$B$156=1),$U$228,HLOOKUP(INDIRECT(ADDRESS(2,COLUMN())),OFFSET($BN$2,0,0,ROW()-1,60),ROW()-1,FALSE))</f>
        <v>998</v>
      </c>
      <c r="V83">
        <f ca="1">IF(AND(ISNUMBER($V$228),$B$156=1),$V$228,HLOOKUP(INDIRECT(ADDRESS(2,COLUMN())),OFFSET($BN$2,0,0,ROW()-1,60),ROW()-1,FALSE))</f>
        <v>884</v>
      </c>
      <c r="W83">
        <f ca="1">IF(AND(ISNUMBER($W$228),$B$156=1),$W$228,HLOOKUP(INDIRECT(ADDRESS(2,COLUMN())),OFFSET($BN$2,0,0,ROW()-1,60),ROW()-1,FALSE))</f>
        <v>960</v>
      </c>
      <c r="X83">
        <f ca="1">IF(AND(ISNUMBER($X$228),$B$156=1),$X$228,HLOOKUP(INDIRECT(ADDRESS(2,COLUMN())),OFFSET($BN$2,0,0,ROW()-1,60),ROW()-1,FALSE))</f>
        <v>614</v>
      </c>
      <c r="Y83">
        <f ca="1">IF(AND(ISNUMBER($Y$228),$B$156=1),$Y$228,HLOOKUP(INDIRECT(ADDRESS(2,COLUMN())),OFFSET($BN$2,0,0,ROW()-1,60),ROW()-1,FALSE))</f>
        <v>427</v>
      </c>
      <c r="Z83">
        <f ca="1">IF(AND(ISNUMBER($Z$228),$B$156=1),$Z$228,HLOOKUP(INDIRECT(ADDRESS(2,COLUMN())),OFFSET($BN$2,0,0,ROW()-1,60),ROW()-1,FALSE))</f>
        <v>529</v>
      </c>
      <c r="AA83">
        <f ca="1">IF(AND(ISNUMBER($AA$228),$B$156=1),$AA$228,HLOOKUP(INDIRECT(ADDRESS(2,COLUMN())),OFFSET($BN$2,0,0,ROW()-1,60),ROW()-1,FALSE))</f>
        <v>433</v>
      </c>
      <c r="AB83">
        <f ca="1">IF(AND(ISNUMBER($AB$228),$B$156=1),$AB$228,HLOOKUP(INDIRECT(ADDRESS(2,COLUMN())),OFFSET($BN$2,0,0,ROW()-1,60),ROW()-1,FALSE))</f>
        <v>522</v>
      </c>
      <c r="AC83">
        <f ca="1">IF(AND(ISNUMBER($AC$228),$B$156=1),$AC$228,HLOOKUP(INDIRECT(ADDRESS(2,COLUMN())),OFFSET($BN$2,0,0,ROW()-1,60),ROW()-1,FALSE))</f>
        <v>647</v>
      </c>
      <c r="AD83">
        <f ca="1">IF(AND(ISNUMBER($AD$228),$B$156=1),$AD$228,HLOOKUP(INDIRECT(ADDRESS(2,COLUMN())),OFFSET($BN$2,0,0,ROW()-1,60),ROW()-1,FALSE))</f>
        <v>519</v>
      </c>
      <c r="AE83">
        <f ca="1">IF(AND(ISNUMBER($AE$228),$B$156=1),$AE$228,HLOOKUP(INDIRECT(ADDRESS(2,COLUMN())),OFFSET($BN$2,0,0,ROW()-1,60),ROW()-1,FALSE))</f>
        <v>542</v>
      </c>
      <c r="AF83">
        <f ca="1">IF(AND(ISNUMBER($AF$228),$B$156=1),$AF$228,HLOOKUP(INDIRECT(ADDRESS(2,COLUMN())),OFFSET($BN$2,0,0,ROW()-1,60),ROW()-1,FALSE))</f>
        <v>432</v>
      </c>
      <c r="AG83">
        <f ca="1">IF(AND(ISNUMBER($AG$228),$B$156=1),$AG$228,HLOOKUP(INDIRECT(ADDRESS(2,COLUMN())),OFFSET($BN$2,0,0,ROW()-1,60),ROW()-1,FALSE))</f>
        <v>604</v>
      </c>
      <c r="AH83">
        <f ca="1">IF(AND(ISNUMBER($AH$228),$B$156=1),$AH$228,HLOOKUP(INDIRECT(ADDRESS(2,COLUMN())),OFFSET($BN$2,0,0,ROW()-1,60),ROW()-1,FALSE))</f>
        <v>505</v>
      </c>
      <c r="AI83">
        <f ca="1">IF(AND(ISNUMBER($AI$228),$B$156=1),$AI$228,HLOOKUP(INDIRECT(ADDRESS(2,COLUMN())),OFFSET($BN$2,0,0,ROW()-1,60),ROW()-1,FALSE))</f>
        <v>520</v>
      </c>
      <c r="AJ83">
        <f ca="1">IF(AND(ISNUMBER($AJ$228),$B$156=1),$AJ$228,HLOOKUP(INDIRECT(ADDRESS(2,COLUMN())),OFFSET($BN$2,0,0,ROW()-1,60),ROW()-1,FALSE))</f>
        <v>408</v>
      </c>
      <c r="AK83">
        <f ca="1">IF(AND(ISNUMBER($AK$228),$B$156=1),$AK$228,HLOOKUP(INDIRECT(ADDRESS(2,COLUMN())),OFFSET($BN$2,0,0,ROW()-1,60),ROW()-1,FALSE))</f>
        <v>381</v>
      </c>
      <c r="AL83">
        <f ca="1">IF(AND(ISNUMBER($AL$228),$B$156=1),$AL$228,HLOOKUP(INDIRECT(ADDRESS(2,COLUMN())),OFFSET($BN$2,0,0,ROW()-1,60),ROW()-1,FALSE))</f>
        <v>293</v>
      </c>
      <c r="AM83">
        <f ca="1">IF(AND(ISNUMBER($AM$228),$B$156=1),$AM$228,HLOOKUP(INDIRECT(ADDRESS(2,COLUMN())),OFFSET($BN$2,0,0,ROW()-1,60),ROW()-1,FALSE))</f>
        <v>300</v>
      </c>
      <c r="AN83">
        <f ca="1">IF(AND(ISNUMBER($AN$228),$B$156=1),$AN$228,HLOOKUP(INDIRECT(ADDRESS(2,COLUMN())),OFFSET($BN$2,0,0,ROW()-1,60),ROW()-1,FALSE))</f>
        <v>328</v>
      </c>
      <c r="AO83">
        <f ca="1">IF(AND(ISNUMBER($AO$228),$B$156=1),$AO$228,HLOOKUP(INDIRECT(ADDRESS(2,COLUMN())),OFFSET($BN$2,0,0,ROW()-1,60),ROW()-1,FALSE))</f>
        <v>374</v>
      </c>
      <c r="AP83">
        <f ca="1">IF(AND(ISNUMBER($AP$228),$B$156=1),$AP$228,HLOOKUP(INDIRECT(ADDRESS(2,COLUMN())),OFFSET($BN$2,0,0,ROW()-1,60),ROW()-1,FALSE))</f>
        <v>300</v>
      </c>
      <c r="AQ83">
        <f ca="1">IF(AND(ISNUMBER($AQ$228),$B$156=1),$AQ$228,HLOOKUP(INDIRECT(ADDRESS(2,COLUMN())),OFFSET($BN$2,0,0,ROW()-1,60),ROW()-1,FALSE))</f>
        <v>305</v>
      </c>
      <c r="AR83">
        <f ca="1">IF(AND(ISNUMBER($AR$228),$B$156=1),$AR$228,HLOOKUP(INDIRECT(ADDRESS(2,COLUMN())),OFFSET($BN$2,0,0,ROW()-1,60),ROW()-1,FALSE))</f>
        <v>385</v>
      </c>
      <c r="AS83">
        <f ca="1">IF(AND(ISNUMBER($AS$228),$B$156=1),$AS$228,HLOOKUP(INDIRECT(ADDRESS(2,COLUMN())),OFFSET($BN$2,0,0,ROW()-1,60),ROW()-1,FALSE))</f>
        <v>421</v>
      </c>
      <c r="AT83">
        <f ca="1">IF(AND(ISNUMBER($AT$228),$B$156=1),$AT$228,HLOOKUP(INDIRECT(ADDRESS(2,COLUMN())),OFFSET($BN$2,0,0,ROW()-1,60),ROW()-1,FALSE))</f>
        <v>404</v>
      </c>
      <c r="AU83">
        <f ca="1">IF(AND(ISNUMBER($AU$228),$B$156=1),$AU$228,HLOOKUP(INDIRECT(ADDRESS(2,COLUMN())),OFFSET($BN$2,0,0,ROW()-1,60),ROW()-1,FALSE))</f>
        <v>514</v>
      </c>
      <c r="AV83">
        <f ca="1">IF(AND(ISNUMBER($AV$228),$B$156=1),$AV$228,HLOOKUP(INDIRECT(ADDRESS(2,COLUMN())),OFFSET($BN$2,0,0,ROW()-1,60),ROW()-1,FALSE))</f>
        <v>607</v>
      </c>
      <c r="AW83">
        <f ca="1">IF(AND(ISNUMBER($AW$228),$B$156=1),$AW$228,HLOOKUP(INDIRECT(ADDRESS(2,COLUMN())),OFFSET($BN$2,0,0,ROW()-1,60),ROW()-1,FALSE))</f>
        <v>670</v>
      </c>
      <c r="AX83">
        <f ca="1">IF(AND(ISNUMBER($AX$228),$B$156=1),$AX$228,HLOOKUP(INDIRECT(ADDRESS(2,COLUMN())),OFFSET($BN$2,0,0,ROW()-1,60),ROW()-1,FALSE))</f>
        <v>639</v>
      </c>
      <c r="AY83">
        <f ca="1">IF(AND(ISNUMBER($AY$228),$B$156=1),$AY$228,HLOOKUP(INDIRECT(ADDRESS(2,COLUMN())),OFFSET($BN$2,0,0,ROW()-1,60),ROW()-1,FALSE))</f>
        <v>595</v>
      </c>
      <c r="AZ83">
        <f ca="1">IF(AND(ISNUMBER($AZ$228),$B$156=1),$AZ$228,HLOOKUP(INDIRECT(ADDRESS(2,COLUMN())),OFFSET($BN$2,0,0,ROW()-1,60),ROW()-1,FALSE))</f>
        <v>572</v>
      </c>
      <c r="BA83">
        <f ca="1">IF(AND(ISNUMBER($BA$228),$B$156=1),$BA$228,HLOOKUP(INDIRECT(ADDRESS(2,COLUMN())),OFFSET($BN$2,0,0,ROW()-1,60),ROW()-1,FALSE))</f>
        <v>712</v>
      </c>
      <c r="BB83">
        <f ca="1">IF(AND(ISNUMBER($BB$228),$B$156=1),$BB$228,HLOOKUP(INDIRECT(ADDRESS(2,COLUMN())),OFFSET($BN$2,0,0,ROW()-1,60),ROW()-1,FALSE))</f>
        <v>527</v>
      </c>
      <c r="BC83">
        <f ca="1">IF(AND(ISNUMBER($BC$228),$B$156=1),$BC$228,HLOOKUP(INDIRECT(ADDRESS(2,COLUMN())),OFFSET($BN$2,0,0,ROW()-1,60),ROW()-1,FALSE))</f>
        <v>586</v>
      </c>
      <c r="BD83">
        <f ca="1">IF(AND(ISNUMBER($BD$228),$B$156=1),$BD$228,HLOOKUP(INDIRECT(ADDRESS(2,COLUMN())),OFFSET($BN$2,0,0,ROW()-1,60),ROW()-1,FALSE))</f>
        <v>554</v>
      </c>
      <c r="BE83">
        <f ca="1">IF(AND(ISNUMBER($BE$228),$B$156=1),$BE$228,HLOOKUP(INDIRECT(ADDRESS(2,COLUMN())),OFFSET($BN$2,0,0,ROW()-1,60),ROW()-1,FALSE))</f>
        <v>613</v>
      </c>
      <c r="BF83" t="str">
        <f ca="1">IF(AND(ISNUMBER($BF$228),$B$156=1),$BF$228,HLOOKUP(INDIRECT(ADDRESS(2,COLUMN())),OFFSET($BN$2,0,0,ROW()-1,60),ROW()-1,FALSE))</f>
        <v/>
      </c>
      <c r="BG83" t="str">
        <f ca="1">IF(AND(ISNUMBER($BG$228),$B$156=1),$BG$228,HLOOKUP(INDIRECT(ADDRESS(2,COLUMN())),OFFSET($BN$2,0,0,ROW()-1,60),ROW()-1,FALSE))</f>
        <v/>
      </c>
      <c r="BH83" t="str">
        <f ca="1">IF(AND(ISNUMBER($BH$228),$B$156=1),$BH$228,HLOOKUP(INDIRECT(ADDRESS(2,COLUMN())),OFFSET($BN$2,0,0,ROW()-1,60),ROW()-1,FALSE))</f>
        <v/>
      </c>
      <c r="BI83" t="str">
        <f ca="1">IF(AND(ISNUMBER($BI$228),$B$156=1),$BI$228,HLOOKUP(INDIRECT(ADDRESS(2,COLUMN())),OFFSET($BN$2,0,0,ROW()-1,60),ROW()-1,FALSE))</f>
        <v/>
      </c>
      <c r="BJ83" t="str">
        <f ca="1">IF(AND(ISNUMBER($BJ$228),$B$156=1),$BJ$228,HLOOKUP(INDIRECT(ADDRESS(2,COLUMN())),OFFSET($BN$2,0,0,ROW()-1,60),ROW()-1,FALSE))</f>
        <v/>
      </c>
      <c r="BK83" t="str">
        <f ca="1">IF(AND(ISNUMBER($BK$228),$B$156=1),$BK$228,HLOOKUP(INDIRECT(ADDRESS(2,COLUMN())),OFFSET($BN$2,0,0,ROW()-1,60),ROW()-1,FALSE))</f>
        <v/>
      </c>
      <c r="BL83" t="str">
        <f ca="1">IF(AND(ISNUMBER($BL$228),$B$156=1),$BL$228,HLOOKUP(INDIRECT(ADDRESS(2,COLUMN())),OFFSET($BN$2,0,0,ROW()-1,60),ROW()-1,FALSE))</f>
        <v/>
      </c>
      <c r="BM83" t="str">
        <f ca="1">IF(AND(ISNUMBER($BM$228),$B$156=1),$BM$228,HLOOKUP(INDIRECT(ADDRESS(2,COLUMN())),OFFSET($BN$2,0,0,ROW()-1,60),ROW()-1,FALSE))</f>
        <v/>
      </c>
      <c r="BN83" t="str">
        <f>""</f>
        <v/>
      </c>
      <c r="BO83" t="str">
        <f>""</f>
        <v/>
      </c>
      <c r="BP83">
        <f>1227</f>
        <v>1227</v>
      </c>
      <c r="BQ83">
        <f>1203</f>
        <v>1203</v>
      </c>
      <c r="BR83">
        <f>1124</f>
        <v>1124</v>
      </c>
      <c r="BS83">
        <f>885</f>
        <v>885</v>
      </c>
      <c r="BT83">
        <f>839</f>
        <v>839</v>
      </c>
      <c r="BU83">
        <f>1104</f>
        <v>1104</v>
      </c>
      <c r="BV83">
        <f>987</f>
        <v>987</v>
      </c>
      <c r="BW83">
        <f>590</f>
        <v>590</v>
      </c>
      <c r="BX83">
        <f>854</f>
        <v>854</v>
      </c>
      <c r="BY83">
        <f>1085</f>
        <v>1085</v>
      </c>
      <c r="BZ83">
        <f>928</f>
        <v>928</v>
      </c>
      <c r="CA83">
        <f>549</f>
        <v>549</v>
      </c>
      <c r="CB83">
        <f>814</f>
        <v>814</v>
      </c>
      <c r="CC83">
        <f>998</f>
        <v>998</v>
      </c>
      <c r="CD83">
        <f>884</f>
        <v>884</v>
      </c>
      <c r="CE83">
        <f>960</f>
        <v>960</v>
      </c>
      <c r="CF83">
        <f>614</f>
        <v>614</v>
      </c>
      <c r="CG83">
        <f>427</f>
        <v>427</v>
      </c>
      <c r="CH83">
        <f>529</f>
        <v>529</v>
      </c>
      <c r="CI83">
        <f>433</f>
        <v>433</v>
      </c>
      <c r="CJ83">
        <f>522</f>
        <v>522</v>
      </c>
      <c r="CK83">
        <f>647</f>
        <v>647</v>
      </c>
      <c r="CL83">
        <f>519</f>
        <v>519</v>
      </c>
      <c r="CM83">
        <f>542</f>
        <v>542</v>
      </c>
      <c r="CN83">
        <f>432</f>
        <v>432</v>
      </c>
      <c r="CO83">
        <f>604</f>
        <v>604</v>
      </c>
      <c r="CP83">
        <f>505</f>
        <v>505</v>
      </c>
      <c r="CQ83">
        <f>520</f>
        <v>520</v>
      </c>
      <c r="CR83">
        <f>408</f>
        <v>408</v>
      </c>
      <c r="CS83">
        <f>381</f>
        <v>381</v>
      </c>
      <c r="CT83">
        <f>293</f>
        <v>293</v>
      </c>
      <c r="CU83">
        <f>300</f>
        <v>300</v>
      </c>
      <c r="CV83">
        <f>328</f>
        <v>328</v>
      </c>
      <c r="CW83">
        <f>374</f>
        <v>374</v>
      </c>
      <c r="CX83">
        <f>300</f>
        <v>300</v>
      </c>
      <c r="CY83">
        <f>305</f>
        <v>305</v>
      </c>
      <c r="CZ83">
        <f>385</f>
        <v>385</v>
      </c>
      <c r="DA83">
        <f>421</f>
        <v>421</v>
      </c>
      <c r="DB83">
        <f>404</f>
        <v>404</v>
      </c>
      <c r="DC83">
        <f>514</f>
        <v>514</v>
      </c>
      <c r="DD83">
        <f>607</f>
        <v>607</v>
      </c>
      <c r="DE83">
        <f>670</f>
        <v>670</v>
      </c>
      <c r="DF83">
        <f>639</f>
        <v>639</v>
      </c>
      <c r="DG83">
        <f>595</f>
        <v>595</v>
      </c>
      <c r="DH83">
        <f>572</f>
        <v>572</v>
      </c>
      <c r="DI83">
        <f>712</f>
        <v>712</v>
      </c>
      <c r="DJ83">
        <f>527</f>
        <v>527</v>
      </c>
      <c r="DK83">
        <f>586</f>
        <v>586</v>
      </c>
      <c r="DL83">
        <f>554</f>
        <v>554</v>
      </c>
      <c r="DM83">
        <f>613</f>
        <v>613</v>
      </c>
      <c r="DN83" t="str">
        <f>""</f>
        <v/>
      </c>
      <c r="DO83" t="str">
        <f>""</f>
        <v/>
      </c>
      <c r="DP83" t="str">
        <f>""</f>
        <v/>
      </c>
      <c r="DQ83" t="str">
        <f>""</f>
        <v/>
      </c>
      <c r="DR83" t="str">
        <f>""</f>
        <v/>
      </c>
      <c r="DS83" t="str">
        <f>""</f>
        <v/>
      </c>
      <c r="DT83" t="str">
        <f>""</f>
        <v/>
      </c>
      <c r="DU83" t="str">
        <f>""</f>
        <v/>
      </c>
    </row>
    <row r="84" spans="1:125" x14ac:dyDescent="0.25">
      <c r="A84" t="str">
        <f>"        Bugatti"</f>
        <v xml:space="preserve">        Bugatti</v>
      </c>
      <c r="B84" t="str">
        <f t="shared" si="11"/>
        <v>VOW GR Equity</v>
      </c>
      <c r="C84" t="str">
        <f t="shared" si="13"/>
        <v>BI047</v>
      </c>
      <c r="D84" t="str">
        <f t="shared" si="14"/>
        <v>BICS_SEGMENT_DATA</v>
      </c>
      <c r="E84" t="str">
        <f t="shared" si="12"/>
        <v>Dynamic</v>
      </c>
      <c r="F84" t="str">
        <f ca="1">IF(AND(ISNUMBER($F$229),$B$156=1),$F$229,HLOOKUP(INDIRECT(ADDRESS(2,COLUMN())),OFFSET($BN$2,0,0,ROW()-1,60),ROW()-1,FALSE))</f>
        <v/>
      </c>
      <c r="G84" t="str">
        <f ca="1">IF(AND(ISNUMBER($G$229),$B$156=1),$G$229,HLOOKUP(INDIRECT(ADDRESS(2,COLUMN())),OFFSET($BN$2,0,0,ROW()-1,60),ROW()-1,FALSE))</f>
        <v/>
      </c>
      <c r="H84">
        <f ca="1">IF(AND(ISNUMBER($H$229),$B$156=1),$H$229,HLOOKUP(INDIRECT(ADDRESS(2,COLUMN())),OFFSET($BN$2,0,0,ROW()-1,60),ROW()-1,FALSE))</f>
        <v>18</v>
      </c>
      <c r="I84">
        <f ca="1">IF(AND(ISNUMBER($I$229),$B$156=1),$I$229,HLOOKUP(INDIRECT(ADDRESS(2,COLUMN())),OFFSET($BN$2,0,0,ROW()-1,60),ROW()-1,FALSE))</f>
        <v>17</v>
      </c>
      <c r="J84">
        <f ca="1">IF(AND(ISNUMBER($J$229),$B$156=1),$J$229,HLOOKUP(INDIRECT(ADDRESS(2,COLUMN())),OFFSET($BN$2,0,0,ROW()-1,60),ROW()-1,FALSE))</f>
        <v>17</v>
      </c>
      <c r="K84">
        <f ca="1">IF(AND(ISNUMBER($K$229),$B$156=1),$K$229,HLOOKUP(INDIRECT(ADDRESS(2,COLUMN())),OFFSET($BN$2,0,0,ROW()-1,60),ROW()-1,FALSE))</f>
        <v>29</v>
      </c>
      <c r="L84">
        <f ca="1">IF(AND(ISNUMBER($L$229),$B$156=1),$L$229,HLOOKUP(INDIRECT(ADDRESS(2,COLUMN())),OFFSET($BN$2,0,0,ROW()-1,60),ROW()-1,FALSE))</f>
        <v>22</v>
      </c>
      <c r="M84">
        <f ca="1">IF(AND(ISNUMBER($M$229),$B$156=1),$M$229,HLOOKUP(INDIRECT(ADDRESS(2,COLUMN())),OFFSET($BN$2,0,0,ROW()-1,60),ROW()-1,FALSE))</f>
        <v>18</v>
      </c>
      <c r="N84">
        <f ca="1">IF(AND(ISNUMBER($N$229),$B$156=1),$N$229,HLOOKUP(INDIRECT(ADDRESS(2,COLUMN())),OFFSET($BN$2,0,0,ROW()-1,60),ROW()-1,FALSE))</f>
        <v>2</v>
      </c>
      <c r="O84">
        <f ca="1">IF(AND(ISNUMBER($O$229),$B$156=1),$O$229,HLOOKUP(INDIRECT(ADDRESS(2,COLUMN())),OFFSET($BN$2,0,0,ROW()-1,60),ROW()-1,FALSE))</f>
        <v>0</v>
      </c>
      <c r="P84">
        <f ca="1">IF(AND(ISNUMBER($P$229),$B$156=1),$P$229,HLOOKUP(INDIRECT(ADDRESS(2,COLUMN())),OFFSET($BN$2,0,0,ROW()-1,60),ROW()-1,FALSE))</f>
        <v>1</v>
      </c>
      <c r="Q84">
        <f ca="1">IF(AND(ISNUMBER($Q$229),$B$156=1),$Q$229,HLOOKUP(INDIRECT(ADDRESS(2,COLUMN())),OFFSET($BN$2,0,0,ROW()-1,60),ROW()-1,FALSE))</f>
        <v>0</v>
      </c>
      <c r="R84">
        <f ca="1">IF(AND(ISNUMBER($R$229),$B$156=1),$R$229,HLOOKUP(INDIRECT(ADDRESS(2,COLUMN())),OFFSET($BN$2,0,0,ROW()-1,60),ROW()-1,FALSE))</f>
        <v>0</v>
      </c>
      <c r="S84">
        <f ca="1">IF(AND(ISNUMBER($S$229),$B$156=1),$S$229,HLOOKUP(INDIRECT(ADDRESS(2,COLUMN())),OFFSET($BN$2,0,0,ROW()-1,60),ROW()-1,FALSE))</f>
        <v>4</v>
      </c>
      <c r="T84">
        <f ca="1">IF(AND(ISNUMBER($T$229),$B$156=1),$T$229,HLOOKUP(INDIRECT(ADDRESS(2,COLUMN())),OFFSET($BN$2,0,0,ROW()-1,60),ROW()-1,FALSE))</f>
        <v>2</v>
      </c>
      <c r="U84">
        <f ca="1">IF(AND(ISNUMBER($U$229),$B$156=1),$U$229,HLOOKUP(INDIRECT(ADDRESS(2,COLUMN())),OFFSET($BN$2,0,0,ROW()-1,60),ROW()-1,FALSE))</f>
        <v>7</v>
      </c>
      <c r="V84">
        <f ca="1">IF(AND(ISNUMBER($V$229),$B$156=1),$V$229,HLOOKUP(INDIRECT(ADDRESS(2,COLUMN())),OFFSET($BN$2,0,0,ROW()-1,60),ROW()-1,FALSE))</f>
        <v>10</v>
      </c>
      <c r="W84">
        <f ca="1">IF(AND(ISNUMBER($W$229),$B$156=1),$W$229,HLOOKUP(INDIRECT(ADDRESS(2,COLUMN())),OFFSET($BN$2,0,0,ROW()-1,60),ROW()-1,FALSE))</f>
        <v>9</v>
      </c>
      <c r="X84">
        <f ca="1">IF(AND(ISNUMBER($X$229),$B$156=1),$X$229,HLOOKUP(INDIRECT(ADDRESS(2,COLUMN())),OFFSET($BN$2,0,0,ROW()-1,60),ROW()-1,FALSE))</f>
        <v>17</v>
      </c>
      <c r="Y84">
        <f ca="1">IF(AND(ISNUMBER($Y$229),$B$156=1),$Y$229,HLOOKUP(INDIRECT(ADDRESS(2,COLUMN())),OFFSET($BN$2,0,0,ROW()-1,60),ROW()-1,FALSE))</f>
        <v>11</v>
      </c>
      <c r="Z84">
        <f ca="1">IF(AND(ISNUMBER($Z$229),$B$156=1),$Z$229,HLOOKUP(INDIRECT(ADDRESS(2,COLUMN())),OFFSET($BN$2,0,0,ROW()-1,60),ROW()-1,FALSE))</f>
        <v>8</v>
      </c>
      <c r="AA84">
        <f ca="1">IF(AND(ISNUMBER($AA$229),$B$156=1),$AA$229,HLOOKUP(INDIRECT(ADDRESS(2,COLUMN())),OFFSET($BN$2,0,0,ROW()-1,60),ROW()-1,FALSE))</f>
        <v>21</v>
      </c>
      <c r="AB84">
        <f ca="1">IF(AND(ISNUMBER($AB$229),$B$156=1),$AB$229,HLOOKUP(INDIRECT(ADDRESS(2,COLUMN())),OFFSET($BN$2,0,0,ROW()-1,60),ROW()-1,FALSE))</f>
        <v>10</v>
      </c>
      <c r="AC84">
        <f ca="1">IF(AND(ISNUMBER($AC$229),$B$156=1),$AC$229,HLOOKUP(INDIRECT(ADDRESS(2,COLUMN())),OFFSET($BN$2,0,0,ROW()-1,60),ROW()-1,FALSE))</f>
        <v>9</v>
      </c>
      <c r="AD84">
        <f ca="1">IF(AND(ISNUMBER($AD$229),$B$156=1),$AD$229,HLOOKUP(INDIRECT(ADDRESS(2,COLUMN())),OFFSET($BN$2,0,0,ROW()-1,60),ROW()-1,FALSE))</f>
        <v>7</v>
      </c>
      <c r="AE84">
        <f ca="1">IF(AND(ISNUMBER($AE$229),$B$156=1),$AE$229,HLOOKUP(INDIRECT(ADDRESS(2,COLUMN())),OFFSET($BN$2,0,0,ROW()-1,60),ROW()-1,FALSE))</f>
        <v>9</v>
      </c>
      <c r="AF84">
        <f ca="1">IF(AND(ISNUMBER($AF$229),$B$156=1),$AF$229,HLOOKUP(INDIRECT(ADDRESS(2,COLUMN())),OFFSET($BN$2,0,0,ROW()-1,60),ROW()-1,FALSE))</f>
        <v>8</v>
      </c>
      <c r="AG84">
        <f ca="1">IF(AND(ISNUMBER($AG$229),$B$156=1),$AG$229,HLOOKUP(INDIRECT(ADDRESS(2,COLUMN())),OFFSET($BN$2,0,0,ROW()-1,60),ROW()-1,FALSE))</f>
        <v>7</v>
      </c>
      <c r="AH84">
        <f ca="1">IF(AND(ISNUMBER($AH$229),$B$156=1),$AH$229,HLOOKUP(INDIRECT(ADDRESS(2,COLUMN())),OFFSET($BN$2,0,0,ROW()-1,60),ROW()-1,FALSE))</f>
        <v>7</v>
      </c>
      <c r="AI84">
        <f ca="1">IF(AND(ISNUMBER($AI$229),$B$156=1),$AI$229,HLOOKUP(INDIRECT(ADDRESS(2,COLUMN())),OFFSET($BN$2,0,0,ROW()-1,60),ROW()-1,FALSE))</f>
        <v>13</v>
      </c>
      <c r="AJ84">
        <f ca="1">IF(AND(ISNUMBER($AJ$229),$B$156=1),$AJ$229,HLOOKUP(INDIRECT(ADDRESS(2,COLUMN())),OFFSET($BN$2,0,0,ROW()-1,60),ROW()-1,FALSE))</f>
        <v>11</v>
      </c>
      <c r="AK84">
        <f ca="1">IF(AND(ISNUMBER($AK$229),$B$156=1),$AK$229,HLOOKUP(INDIRECT(ADDRESS(2,COLUMN())),OFFSET($BN$2,0,0,ROW()-1,60),ROW()-1,FALSE))</f>
        <v>8</v>
      </c>
      <c r="AL84">
        <f ca="1">IF(AND(ISNUMBER($AL$229),$B$156=1),$AL$229,HLOOKUP(INDIRECT(ADDRESS(2,COLUMN())),OFFSET($BN$2,0,0,ROW()-1,60),ROW()-1,FALSE))</f>
        <v>6</v>
      </c>
      <c r="AM84">
        <f ca="1">IF(AND(ISNUMBER($AM$229),$B$156=1),$AM$229,HLOOKUP(INDIRECT(ADDRESS(2,COLUMN())),OFFSET($BN$2,0,0,ROW()-1,60),ROW()-1,FALSE))</f>
        <v>12</v>
      </c>
      <c r="AN84">
        <f ca="1">IF(AND(ISNUMBER($AN$229),$B$156=1),$AN$229,HLOOKUP(INDIRECT(ADDRESS(2,COLUMN())),OFFSET($BN$2,0,0,ROW()-1,60),ROW()-1,FALSE))</f>
        <v>7</v>
      </c>
      <c r="AO84">
        <f ca="1">IF(AND(ISNUMBER($AO$229),$B$156=1),$AO$229,HLOOKUP(INDIRECT(ADDRESS(2,COLUMN())),OFFSET($BN$2,0,0,ROW()-1,60),ROW()-1,FALSE))</f>
        <v>10</v>
      </c>
      <c r="AP84">
        <f ca="1">IF(AND(ISNUMBER($AP$229),$B$156=1),$AP$229,HLOOKUP(INDIRECT(ADDRESS(2,COLUMN())),OFFSET($BN$2,0,0,ROW()-1,60),ROW()-1,FALSE))</f>
        <v>11</v>
      </c>
      <c r="AQ84">
        <f ca="1">IF(AND(ISNUMBER($AQ$229),$B$156=1),$AQ$229,HLOOKUP(INDIRECT(ADDRESS(2,COLUMN())),OFFSET($BN$2,0,0,ROW()-1,60),ROW()-1,FALSE))</f>
        <v>17</v>
      </c>
      <c r="AR84">
        <f ca="1">IF(AND(ISNUMBER($AR$229),$B$156=1),$AR$229,HLOOKUP(INDIRECT(ADDRESS(2,COLUMN())),OFFSET($BN$2,0,0,ROW()-1,60),ROW()-1,FALSE))</f>
        <v>10</v>
      </c>
      <c r="AS84">
        <f ca="1">IF(AND(ISNUMBER($AS$229),$B$156=1),$AS$229,HLOOKUP(INDIRECT(ADDRESS(2,COLUMN())),OFFSET($BN$2,0,0,ROW()-1,60),ROW()-1,FALSE))</f>
        <v>11</v>
      </c>
      <c r="AT84">
        <f ca="1">IF(AND(ISNUMBER($AT$229),$B$156=1),$AT$229,HLOOKUP(INDIRECT(ADDRESS(2,COLUMN())),OFFSET($BN$2,0,0,ROW()-1,60),ROW()-1,FALSE))</f>
        <v>12</v>
      </c>
      <c r="AU84">
        <f ca="1">IF(AND(ISNUMBER($AU$229),$B$156=1),$AU$229,HLOOKUP(INDIRECT(ADDRESS(2,COLUMN())),OFFSET($BN$2,0,0,ROW()-1,60),ROW()-1,FALSE))</f>
        <v>20</v>
      </c>
      <c r="AV84">
        <f ca="1">IF(AND(ISNUMBER($AV$229),$B$156=1),$AV$229,HLOOKUP(INDIRECT(ADDRESS(2,COLUMN())),OFFSET($BN$2,0,0,ROW()-1,60),ROW()-1,FALSE))</f>
        <v>16</v>
      </c>
      <c r="AW84">
        <f ca="1">IF(AND(ISNUMBER($AW$229),$B$156=1),$AW$229,HLOOKUP(INDIRECT(ADDRESS(2,COLUMN())),OFFSET($BN$2,0,0,ROW()-1,60),ROW()-1,FALSE))</f>
        <v>20</v>
      </c>
      <c r="AX84">
        <f ca="1">IF(AND(ISNUMBER($AX$229),$B$156=1),$AX$229,HLOOKUP(INDIRECT(ADDRESS(2,COLUMN())),OFFSET($BN$2,0,0,ROW()-1,60),ROW()-1,FALSE))</f>
        <v>15</v>
      </c>
      <c r="AY84">
        <f ca="1">IF(AND(ISNUMBER($AY$229),$B$156=1),$AY$229,HLOOKUP(INDIRECT(ADDRESS(2,COLUMN())),OFFSET($BN$2,0,0,ROW()-1,60),ROW()-1,FALSE))</f>
        <v>22</v>
      </c>
      <c r="AZ84">
        <f ca="1">IF(AND(ISNUMBER($AZ$229),$B$156=1),$AZ$229,HLOOKUP(INDIRECT(ADDRESS(2,COLUMN())),OFFSET($BN$2,0,0,ROW()-1,60),ROW()-1,FALSE))</f>
        <v>22</v>
      </c>
      <c r="BA84">
        <f ca="1">IF(AND(ISNUMBER($BA$229),$B$156=1),$BA$229,HLOOKUP(INDIRECT(ADDRESS(2,COLUMN())),OFFSET($BN$2,0,0,ROW()-1,60),ROW()-1,FALSE))</f>
        <v>19</v>
      </c>
      <c r="BB84">
        <f ca="1">IF(AND(ISNUMBER($BB$229),$B$156=1),$BB$229,HLOOKUP(INDIRECT(ADDRESS(2,COLUMN())),OFFSET($BN$2,0,0,ROW()-1,60),ROW()-1,FALSE))</f>
        <v>18</v>
      </c>
      <c r="BC84">
        <f ca="1">IF(AND(ISNUMBER($BC$229),$B$156=1),$BC$229,HLOOKUP(INDIRECT(ADDRESS(2,COLUMN())),OFFSET($BN$2,0,0,ROW()-1,60),ROW()-1,FALSE))</f>
        <v>20</v>
      </c>
      <c r="BD84">
        <f ca="1">IF(AND(ISNUMBER($BD$229),$B$156=1),$BD$229,HLOOKUP(INDIRECT(ADDRESS(2,COLUMN())),OFFSET($BN$2,0,0,ROW()-1,60),ROW()-1,FALSE))</f>
        <v>9</v>
      </c>
      <c r="BE84">
        <f ca="1">IF(AND(ISNUMBER($BE$229),$B$156=1),$BE$229,HLOOKUP(INDIRECT(ADDRESS(2,COLUMN())),OFFSET($BN$2,0,0,ROW()-1,60),ROW()-1,FALSE))</f>
        <v>11</v>
      </c>
      <c r="BF84" t="str">
        <f ca="1">IF(AND(ISNUMBER($BF$229),$B$156=1),$BF$229,HLOOKUP(INDIRECT(ADDRESS(2,COLUMN())),OFFSET($BN$2,0,0,ROW()-1,60),ROW()-1,FALSE))</f>
        <v/>
      </c>
      <c r="BG84" t="str">
        <f ca="1">IF(AND(ISNUMBER($BG$229),$B$156=1),$BG$229,HLOOKUP(INDIRECT(ADDRESS(2,COLUMN())),OFFSET($BN$2,0,0,ROW()-1,60),ROW()-1,FALSE))</f>
        <v/>
      </c>
      <c r="BH84" t="str">
        <f ca="1">IF(AND(ISNUMBER($BH$229),$B$156=1),$BH$229,HLOOKUP(INDIRECT(ADDRESS(2,COLUMN())),OFFSET($BN$2,0,0,ROW()-1,60),ROW()-1,FALSE))</f>
        <v/>
      </c>
      <c r="BI84" t="str">
        <f ca="1">IF(AND(ISNUMBER($BI$229),$B$156=1),$BI$229,HLOOKUP(INDIRECT(ADDRESS(2,COLUMN())),OFFSET($BN$2,0,0,ROW()-1,60),ROW()-1,FALSE))</f>
        <v/>
      </c>
      <c r="BJ84" t="str">
        <f ca="1">IF(AND(ISNUMBER($BJ$229),$B$156=1),$BJ$229,HLOOKUP(INDIRECT(ADDRESS(2,COLUMN())),OFFSET($BN$2,0,0,ROW()-1,60),ROW()-1,FALSE))</f>
        <v/>
      </c>
      <c r="BK84" t="str">
        <f ca="1">IF(AND(ISNUMBER($BK$229),$B$156=1),$BK$229,HLOOKUP(INDIRECT(ADDRESS(2,COLUMN())),OFFSET($BN$2,0,0,ROW()-1,60),ROW()-1,FALSE))</f>
        <v/>
      </c>
      <c r="BL84" t="str">
        <f ca="1">IF(AND(ISNUMBER($BL$229),$B$156=1),$BL$229,HLOOKUP(INDIRECT(ADDRESS(2,COLUMN())),OFFSET($BN$2,0,0,ROW()-1,60),ROW()-1,FALSE))</f>
        <v/>
      </c>
      <c r="BM84" t="str">
        <f ca="1">IF(AND(ISNUMBER($BM$229),$B$156=1),$BM$229,HLOOKUP(INDIRECT(ADDRESS(2,COLUMN())),OFFSET($BN$2,0,0,ROW()-1,60),ROW()-1,FALSE))</f>
        <v/>
      </c>
      <c r="BN84" t="str">
        <f>""</f>
        <v/>
      </c>
      <c r="BO84" t="str">
        <f>""</f>
        <v/>
      </c>
      <c r="BP84">
        <f>18</f>
        <v>18</v>
      </c>
      <c r="BQ84">
        <f>17</f>
        <v>17</v>
      </c>
      <c r="BR84">
        <f>17</f>
        <v>17</v>
      </c>
      <c r="BS84">
        <f>29</f>
        <v>29</v>
      </c>
      <c r="BT84">
        <f>22</f>
        <v>22</v>
      </c>
      <c r="BU84">
        <f>18</f>
        <v>18</v>
      </c>
      <c r="BV84">
        <f>2</f>
        <v>2</v>
      </c>
      <c r="BW84">
        <f>0</f>
        <v>0</v>
      </c>
      <c r="BX84">
        <f>1</f>
        <v>1</v>
      </c>
      <c r="BY84">
        <f>0</f>
        <v>0</v>
      </c>
      <c r="BZ84">
        <f>0</f>
        <v>0</v>
      </c>
      <c r="CA84">
        <f>4</f>
        <v>4</v>
      </c>
      <c r="CB84">
        <f>2</f>
        <v>2</v>
      </c>
      <c r="CC84">
        <f>7</f>
        <v>7</v>
      </c>
      <c r="CD84">
        <f>10</f>
        <v>10</v>
      </c>
      <c r="CE84">
        <f>9</f>
        <v>9</v>
      </c>
      <c r="CF84">
        <f>17</f>
        <v>17</v>
      </c>
      <c r="CG84">
        <f>11</f>
        <v>11</v>
      </c>
      <c r="CH84">
        <f>8</f>
        <v>8</v>
      </c>
      <c r="CI84">
        <f>21</f>
        <v>21</v>
      </c>
      <c r="CJ84">
        <f>10</f>
        <v>10</v>
      </c>
      <c r="CK84">
        <f>9</f>
        <v>9</v>
      </c>
      <c r="CL84">
        <f>7</f>
        <v>7</v>
      </c>
      <c r="CM84">
        <f>9</f>
        <v>9</v>
      </c>
      <c r="CN84">
        <f>8</f>
        <v>8</v>
      </c>
      <c r="CO84">
        <f>7</f>
        <v>7</v>
      </c>
      <c r="CP84">
        <f>7</f>
        <v>7</v>
      </c>
      <c r="CQ84">
        <f>13</f>
        <v>13</v>
      </c>
      <c r="CR84">
        <f>11</f>
        <v>11</v>
      </c>
      <c r="CS84">
        <f>8</f>
        <v>8</v>
      </c>
      <c r="CT84">
        <f>6</f>
        <v>6</v>
      </c>
      <c r="CU84">
        <f>12</f>
        <v>12</v>
      </c>
      <c r="CV84">
        <f>7</f>
        <v>7</v>
      </c>
      <c r="CW84">
        <f>10</f>
        <v>10</v>
      </c>
      <c r="CX84">
        <f>11</f>
        <v>11</v>
      </c>
      <c r="CY84">
        <f>17</f>
        <v>17</v>
      </c>
      <c r="CZ84">
        <f>10</f>
        <v>10</v>
      </c>
      <c r="DA84">
        <f>11</f>
        <v>11</v>
      </c>
      <c r="DB84">
        <f>12</f>
        <v>12</v>
      </c>
      <c r="DC84">
        <f>20</f>
        <v>20</v>
      </c>
      <c r="DD84">
        <f>16</f>
        <v>16</v>
      </c>
      <c r="DE84">
        <f>20</f>
        <v>20</v>
      </c>
      <c r="DF84">
        <f>15</f>
        <v>15</v>
      </c>
      <c r="DG84">
        <f>22</f>
        <v>22</v>
      </c>
      <c r="DH84">
        <f>22</f>
        <v>22</v>
      </c>
      <c r="DI84">
        <f>19</f>
        <v>19</v>
      </c>
      <c r="DJ84">
        <f>18</f>
        <v>18</v>
      </c>
      <c r="DK84">
        <f>20</f>
        <v>20</v>
      </c>
      <c r="DL84">
        <f>9</f>
        <v>9</v>
      </c>
      <c r="DM84">
        <f>11</f>
        <v>11</v>
      </c>
      <c r="DN84" t="str">
        <f>""</f>
        <v/>
      </c>
      <c r="DO84" t="str">
        <f>""</f>
        <v/>
      </c>
      <c r="DP84" t="str">
        <f>""</f>
        <v/>
      </c>
      <c r="DQ84" t="str">
        <f>""</f>
        <v/>
      </c>
      <c r="DR84" t="str">
        <f>""</f>
        <v/>
      </c>
      <c r="DS84" t="str">
        <f>""</f>
        <v/>
      </c>
      <c r="DT84" t="str">
        <f>""</f>
        <v/>
      </c>
      <c r="DU84" t="str">
        <f>""</f>
        <v/>
      </c>
    </row>
    <row r="85" spans="1:125" x14ac:dyDescent="0.25">
      <c r="A85" t="str">
        <f>"    General Motors Co"</f>
        <v xml:space="preserve">    General Motors Co</v>
      </c>
      <c r="B85" t="str">
        <f>""</f>
        <v/>
      </c>
      <c r="E85" t="str">
        <f>"Sum"</f>
        <v>Sum</v>
      </c>
      <c r="F85" t="str">
        <f ca="1">IF(ISERROR(IF(SUM($F$86:$F$87) = 0, "", SUM($F$86:$F$87))), "", (IF(SUM($F$86:$F$87) = 0, "", SUM($F$86:$F$87))))</f>
        <v/>
      </c>
      <c r="G85">
        <f ca="1">IF(ISERROR(IF(SUM($G$86:$G$87) = 0, "", SUM($G$86:$G$87))), "", (IF(SUM($G$86:$G$87) = 0, "", SUM($G$86:$G$87))))</f>
        <v>2248000</v>
      </c>
      <c r="H85">
        <f ca="1">IF(ISERROR(IF(SUM($H$86:$H$87) = 0, "", SUM($H$86:$H$87))), "", (IF(SUM($H$86:$H$87) = 0, "", SUM($H$86:$H$87))))</f>
        <v>1977000</v>
      </c>
      <c r="I85">
        <f ca="1">IF(ISERROR(IF(SUM($I$86:$I$87) = 0, "", SUM($I$86:$I$87))), "", (IF(SUM($I$86:$I$87) = 0, "", SUM($I$86:$I$87))))</f>
        <v>2063000</v>
      </c>
      <c r="J85">
        <f ca="1">IF(ISERROR(IF(SUM($J$86:$J$87) = 0, "", SUM($J$86:$J$87))), "", (IF(SUM($J$86:$J$87) = 0, "", SUM($J$86:$J$87))))</f>
        <v>2096000</v>
      </c>
      <c r="K85">
        <f ca="1">IF(ISERROR(IF(SUM($K$86:$K$87) = 0, "", SUM($K$86:$K$87))), "", (IF(SUM($K$86:$K$87) = 0, "", SUM($K$86:$K$87))))</f>
        <v>2596000</v>
      </c>
      <c r="L85">
        <f ca="1">IF(ISERROR(IF(SUM($L$86:$L$87) = 0, "", SUM($L$86:$L$87))), "", (IF(SUM($L$86:$L$87) = 0, "", SUM($L$86:$L$87))))</f>
        <v>2319000</v>
      </c>
      <c r="M85">
        <f ca="1">IF(ISERROR(IF(SUM($M$86:$M$87) = 0, "", SUM($M$86:$M$87))), "", (IF(SUM($M$86:$M$87) = 0, "", SUM($M$86:$M$87))))</f>
        <v>2343000</v>
      </c>
      <c r="N85">
        <f ca="1">IF(ISERROR(IF(SUM($N$86:$N$87) = 0, "", SUM($N$86:$N$87))), "", (IF(SUM($N$86:$N$87) = 0, "", SUM($N$86:$N$87))))</f>
        <v>2344000</v>
      </c>
      <c r="O85">
        <f ca="1">IF(ISERROR(IF(SUM($O$86:$O$87) = 0, "", SUM($O$86:$O$87))), "", (IF(SUM($O$86:$O$87) = 0, "", SUM($O$86:$O$87))))</f>
        <v>2856000</v>
      </c>
      <c r="P85">
        <f ca="1">IF(ISERROR(IF(SUM($P$86:$P$87) = 0, "", SUM($P$86:$P$87))), "", (IF(SUM($P$86:$P$87) = 0, "", SUM($P$86:$P$87))))</f>
        <v>2391000</v>
      </c>
      <c r="Q85">
        <f ca="1">IF(ISERROR(IF(SUM($Q$86:$Q$87) = 0, "", SUM($Q$86:$Q$87))), "", (IF(SUM($Q$86:$Q$87) = 0, "", SUM($Q$86:$Q$87))))</f>
        <v>2390000</v>
      </c>
      <c r="R85">
        <f ca="1">IF(ISERROR(IF(SUM($R$86:$R$87) = 0, "", SUM($R$86:$R$87))), "", (IF(SUM($R$86:$R$87) = 0, "", SUM($R$86:$R$87))))</f>
        <v>2378000</v>
      </c>
      <c r="S85">
        <f ca="1">IF(ISERROR(IF(SUM($S$86:$S$87) = 0, "", SUM($S$86:$S$87))), "", (IF(SUM($S$86:$S$87) = 0, "", SUM($S$86:$S$87))))</f>
        <v>2721000</v>
      </c>
      <c r="T85">
        <f ca="1">IF(ISERROR(IF(SUM($T$86:$T$87) = 0, "", SUM($T$86:$T$87))), "", (IF(SUM($T$86:$T$87) = 0, "", SUM($T$86:$T$87))))</f>
        <v>2376000</v>
      </c>
      <c r="U85">
        <f ca="1">IF(ISERROR(IF(SUM($U$86:$U$87) = 0, "", SUM($U$86:$U$87))), "", (IF(SUM($U$86:$U$87) = 0, "", SUM($U$86:$U$87))))</f>
        <v>2462000</v>
      </c>
      <c r="V85">
        <f ca="1">IF(ISERROR(IF(SUM($V$86:$V$87) = 0, "", SUM($V$86:$V$87))), "", (IF(SUM($V$86:$V$87) = 0, "", SUM($V$86:$V$87))))</f>
        <v>2399000</v>
      </c>
      <c r="W85">
        <f ca="1">IF(ISERROR(IF(SUM($W$86:$W$87) = 0, "", SUM($W$86:$W$87))), "", (IF(SUM($W$86:$W$87) = 0, "", SUM($W$86:$W$87))))</f>
        <v>2553000</v>
      </c>
      <c r="X85">
        <f ca="1">IF(ISERROR(IF(SUM($X$86:$X$87) = 0, "", SUM($X$86:$X$87))), "", (IF(SUM($X$86:$X$87) = 0, "", SUM($X$86:$X$87))))</f>
        <v>2450000</v>
      </c>
      <c r="Y85">
        <f ca="1">IF(ISERROR(IF(SUM($Y$86:$Y$87) = 0, "", SUM($Y$86:$Y$87))), "", (IF(SUM($Y$86:$Y$87) = 0, "", SUM($Y$86:$Y$87))))</f>
        <v>2506000</v>
      </c>
      <c r="Z85">
        <f ca="1">IF(ISERROR(IF(SUM($Z$86:$Z$87) = 0, "", SUM($Z$86:$Z$87))), "", (IF(SUM($Z$86:$Z$87) = 0, "", SUM($Z$86:$Z$87))))</f>
        <v>2416000</v>
      </c>
      <c r="AA85">
        <f ca="1">IF(ISERROR(IF(SUM($AA$86:$AA$87) = 0, "", SUM($AA$86:$AA$87))), "", (IF(SUM($AA$86:$AA$87) = 0, "", SUM($AA$86:$AA$87))))</f>
        <v>2471000</v>
      </c>
      <c r="AB85">
        <f ca="1">IF(ISERROR(IF(SUM($AB$86:$AB$87) = 0, "", SUM($AB$86:$AB$87))), "", (IF(SUM($AB$86:$AB$87) = 0, "", SUM($AB$86:$AB$87))))</f>
        <v>2397000</v>
      </c>
      <c r="AC85">
        <f ca="1">IF(ISERROR(IF(SUM($AC$86:$AC$87) = 0, "", SUM($AC$86:$AC$87))), "", (IF(SUM($AC$86:$AC$87) = 0, "", SUM($AC$86:$AC$87))))</f>
        <v>2492000</v>
      </c>
      <c r="AD85">
        <f ca="1">IF(ISERROR(IF(SUM($AD$86:$AD$87) = 0, "", SUM($AD$86:$AD$87))), "", (IF(SUM($AD$86:$AD$87) = 0, "", SUM($AD$86:$AD$87))))</f>
        <v>2361000</v>
      </c>
      <c r="AE85">
        <f ca="1">IF(ISERROR(IF(SUM($AE$86:$AE$87) = 0, "", SUM($AE$86:$AE$87))), "", (IF(SUM($AE$86:$AE$87) = 0, "", SUM($AE$86:$AE$87))))</f>
        <v>2334000</v>
      </c>
      <c r="AF85">
        <f ca="1">IF(ISERROR(IF(SUM($AF$86:$AF$87) = 0, "", SUM($AF$86:$AF$87))), "", (IF(SUM($AF$86:$AF$87) = 0, "", SUM($AF$86:$AF$87))))</f>
        <v>2273000</v>
      </c>
      <c r="AG85">
        <f ca="1">IF(ISERROR(IF(SUM($AG$86:$AG$87) = 0, "", SUM($AG$86:$AG$87))), "", (IF(SUM($AG$86:$AG$87) = 0, "", SUM($AG$86:$AG$87))))</f>
        <v>2392000</v>
      </c>
      <c r="AH85">
        <f ca="1">IF(ISERROR(IF(SUM($AH$86:$AH$87) = 0, "", SUM($AH$86:$AH$87))), "", (IF(SUM($AH$86:$AH$87) = 0, "", SUM($AH$86:$AH$87))))</f>
        <v>2278000</v>
      </c>
      <c r="AI85">
        <f ca="1">IF(ISERROR(IF(SUM($AI$86:$AI$87) = 0, "", SUM($AI$86:$AI$87))), "", (IF(SUM($AI$86:$AI$87) = 0, "", SUM($AI$86:$AI$87))))</f>
        <v>2236000</v>
      </c>
      <c r="AJ85">
        <f ca="1">IF(ISERROR(IF(SUM($AJ$86:$AJ$87) = 0, "", SUM($AJ$86:$AJ$87))), "", (IF(SUM($AJ$86:$AJ$87) = 0, "", SUM($AJ$86:$AJ$87))))</f>
        <v>2245000</v>
      </c>
      <c r="AK85">
        <f ca="1">IF(ISERROR(IF(SUM($AK$86:$AK$87) = 0, "", SUM($AK$86:$AK$87))), "", (IF(SUM($AK$86:$AK$87) = 0, "", SUM($AK$86:$AK$87))))</f>
        <v>2320000</v>
      </c>
      <c r="AL85">
        <f ca="1">IF(ISERROR(IF(SUM($AL$86:$AL$87) = 0, "", SUM($AL$86:$AL$87))), "", (IF(SUM($AL$86:$AL$87) = 0, "", SUM($AL$86:$AL$87))))</f>
        <v>2218000</v>
      </c>
      <c r="AM85">
        <f ca="1">IF(ISERROR(IF(SUM($AM$86:$AM$87) = 0, "", SUM($AM$86:$AM$87))), "", (IF(SUM($AM$86:$AM$87) = 0, "", SUM($AM$86:$AM$87))))</f>
        <v>2172000</v>
      </c>
      <c r="AN85">
        <f ca="1">IF(ISERROR(IF(SUM($AN$86:$AN$87) = 0, "", SUM($AN$86:$AN$87))), "", (IF(SUM($AN$86:$AN$87) = 0, "", SUM($AN$86:$AN$87))))</f>
        <v>2062000</v>
      </c>
      <c r="AO85">
        <f ca="1">IF(ISERROR(IF(SUM($AO$86:$AO$87) = 0, "", SUM($AO$86:$AO$87))), "", (IF(SUM($AO$86:$AO$87) = 0, "", SUM($AO$86:$AO$87))))</f>
        <v>2162000</v>
      </c>
      <c r="AP85">
        <f ca="1">IF(ISERROR(IF(SUM($AP$86:$AP$87) = 0, "", SUM($AP$86:$AP$87))), "", (IF(SUM($AP$86:$AP$87) = 0, "", SUM($AP$86:$AP$87))))</f>
        <v>1999000</v>
      </c>
      <c r="AQ85">
        <f ca="1">IF(ISERROR(IF(SUM($AQ$86:$AQ$87) = 0, "", SUM($AQ$86:$AQ$87))), "", (IF(SUM($AQ$86:$AQ$87) = 0, "", SUM($AQ$86:$AQ$87))))</f>
        <v>1952000</v>
      </c>
      <c r="AR85">
        <f ca="1">IF(ISERROR(IF(SUM($AR$86:$AR$87) = 0, "", SUM($AR$86:$AR$87))), "", (IF(SUM($AR$86:$AR$87) = 0, "", SUM($AR$86:$AR$87))))</f>
        <v>1972000</v>
      </c>
      <c r="AS85">
        <f ca="1">IF(ISERROR(IF(SUM($AS$86:$AS$87) = 0, "", SUM($AS$86:$AS$87))), "", (IF(SUM($AS$86:$AS$87) = 0, "", SUM($AS$86:$AS$87))))</f>
        <v>3876000</v>
      </c>
      <c r="AT85">
        <f ca="1">IF(ISERROR(IF(SUM($AT$86:$AT$87) = 0, "", SUM($AT$86:$AT$87))), "", (IF(SUM($AT$86:$AT$87) = 0, "", SUM($AT$86:$AT$87))))</f>
        <v>3233000</v>
      </c>
      <c r="AU85">
        <f ca="1">IF(ISERROR(IF(SUM($AU$86:$AU$87) = 0, "", SUM($AU$86:$AU$87))), "", (IF(SUM($AU$86:$AU$87) = 0, "", SUM($AU$86:$AU$87))))</f>
        <v>1701000</v>
      </c>
      <c r="AV85">
        <f ca="1">IF(ISERROR(IF(SUM($AV$86:$AV$87) = 0, "", SUM($AV$86:$AV$87))), "", (IF(SUM($AV$86:$AV$87) = 0, "", SUM($AV$86:$AV$87))))</f>
        <v>2115000</v>
      </c>
      <c r="AW85">
        <f ca="1">IF(ISERROR(IF(SUM($AW$86:$AW$87) = 0, "", SUM($AW$86:$AW$87))), "", (IF(SUM($AW$86:$AW$87) = 0, "", SUM($AW$86:$AW$87))))</f>
        <v>2287000</v>
      </c>
      <c r="AX85">
        <f ca="1">IF(ISERROR(IF(SUM($AX$86:$AX$87) = 0, "", SUM($AX$86:$AX$87))), "", (IF(SUM($AX$86:$AX$87) = 0, "", SUM($AX$86:$AX$87))))</f>
        <v>2253000</v>
      </c>
      <c r="AY85">
        <f ca="1">IF(ISERROR(IF(SUM($AY$86:$AY$87) = 0, "", SUM($AY$86:$AY$87))), "", (IF(SUM($AY$86:$AY$87) = 0, "", SUM($AY$86:$AY$87))))</f>
        <v>2309000</v>
      </c>
      <c r="AZ85">
        <f ca="1">IF(ISERROR(IF(SUM($AZ$86:$AZ$87) = 0, "", SUM($AZ$86:$AZ$87))), "", (IF(SUM($AZ$86:$AZ$87) = 0, "", SUM($AZ$86:$AZ$87))))</f>
        <v>2388000</v>
      </c>
      <c r="BA85">
        <f ca="1">IF(ISERROR(IF(SUM($BA$86:$BA$87) = 0, "", SUM($BA$86:$BA$87))), "", (IF(SUM($BA$86:$BA$87) = 0, "", SUM($BA$86:$BA$87))))</f>
        <v>2406000</v>
      </c>
      <c r="BB85">
        <f ca="1">IF(ISERROR(IF(SUM($BB$86:$BB$87) = 0, "", SUM($BB$86:$BB$87))), "", (IF(SUM($BB$86:$BB$87) = 0, "", SUM($BB$86:$BB$87))))</f>
        <v>2267000</v>
      </c>
      <c r="BC85">
        <f ca="1">IF(ISERROR(IF(SUM($BC$86:$BC$87) = 0, "", SUM($BC$86:$BC$87))), "", (IF(SUM($BC$86:$BC$87) = 0, "", SUM($BC$86:$BC$87))))</f>
        <v>2200000</v>
      </c>
      <c r="BD85">
        <f ca="1">IF(ISERROR(IF(SUM($BD$86:$BD$87) = 0, "", SUM($BD$86:$BD$87))), "", (IF(SUM($BD$86:$BD$87) = 0, "", SUM($BD$86:$BD$87))))</f>
        <v>2295000</v>
      </c>
      <c r="BE85">
        <f ca="1">IF(ISERROR(IF(SUM($BE$86:$BE$87) = 0, "", SUM($BE$86:$BE$87))), "", (IF(SUM($BE$86:$BE$87) = 0, "", SUM($BE$86:$BE$87))))</f>
        <v>2396000</v>
      </c>
      <c r="BF85">
        <f ca="1">IF(ISERROR(IF(SUM($BF$86:$BF$87) = 0, "", SUM($BF$86:$BF$87))), "", (IF(SUM($BF$86:$BF$87) = 0, "", SUM($BF$86:$BF$87))))</f>
        <v>2200000</v>
      </c>
      <c r="BG85">
        <f ca="1">IF(ISERROR(IF(SUM($BG$86:$BG$87) = 0, "", SUM($BG$86:$BG$87))), "", (IF(SUM($BG$86:$BG$87) = 0, "", SUM($BG$86:$BG$87))))</f>
        <v>2104000</v>
      </c>
      <c r="BH85">
        <f ca="1">IF(ISERROR(IF(SUM($BH$86:$BH$87) = 0, "", SUM($BH$86:$BH$87))), "", (IF(SUM($BH$86:$BH$87) = 0, "", SUM($BH$86:$BH$87))))</f>
        <v>2174000</v>
      </c>
      <c r="BI85">
        <f ca="1">IF(ISERROR(IF(SUM($BI$86:$BI$87) = 0, "", SUM($BI$86:$BI$87))), "", (IF(SUM($BI$86:$BI$87) = 0, "", SUM($BI$86:$BI$87))))</f>
        <v>2344000</v>
      </c>
      <c r="BJ85">
        <f ca="1">IF(ISERROR(IF(SUM($BJ$86:$BJ$87) = 0, "", SUM($BJ$86:$BJ$87))), "", (IF(SUM($BJ$86:$BJ$87) = 0, "", SUM($BJ$86:$BJ$87))))</f>
        <v>2211000</v>
      </c>
      <c r="BK85">
        <f ca="1">IF(ISERROR(IF(SUM($BK$86:$BK$87) = 0, "", SUM($BK$86:$BK$87))), "", (IF(SUM($BK$86:$BK$87) = 0, "", SUM($BK$86:$BK$87))))</f>
        <v>2120000</v>
      </c>
      <c r="BL85">
        <f ca="1">IF(ISERROR(IF(SUM($BL$86:$BL$87) = 0, "", SUM($BL$86:$BL$87))), "", (IF(SUM($BL$86:$BL$87) = 0, "", SUM($BL$86:$BL$87))))</f>
        <v>2119000</v>
      </c>
      <c r="BM85">
        <f ca="1">IF(ISERROR(IF(SUM($BM$86:$BM$87) = 0, "", SUM($BM$86:$BM$87))), "", (IF(SUM($BM$86:$BM$87) = 0, "", SUM($BM$86:$BM$87))))</f>
        <v>2402000</v>
      </c>
      <c r="BN85" t="str">
        <f>""</f>
        <v/>
      </c>
      <c r="BO85">
        <f>2248000</f>
        <v>2248000</v>
      </c>
      <c r="BP85">
        <f>1977000</f>
        <v>1977000</v>
      </c>
      <c r="BQ85">
        <f>2063000</f>
        <v>2063000</v>
      </c>
      <c r="BR85">
        <f>2096000</f>
        <v>2096000</v>
      </c>
      <c r="BS85">
        <f>2596000</f>
        <v>2596000</v>
      </c>
      <c r="BT85">
        <f>2319000</f>
        <v>2319000</v>
      </c>
      <c r="BU85">
        <f>2343000</f>
        <v>2343000</v>
      </c>
      <c r="BV85">
        <f>2344000</f>
        <v>2344000</v>
      </c>
      <c r="BW85">
        <f>2856000</f>
        <v>2856000</v>
      </c>
      <c r="BX85">
        <f>2391000</f>
        <v>2391000</v>
      </c>
      <c r="BY85">
        <f>2390000</f>
        <v>2390000</v>
      </c>
      <c r="BZ85">
        <f>2378000</f>
        <v>2378000</v>
      </c>
      <c r="CA85">
        <f>2721000</f>
        <v>2721000</v>
      </c>
      <c r="CB85">
        <f>2376000</f>
        <v>2376000</v>
      </c>
      <c r="CC85">
        <f>2462000</f>
        <v>2462000</v>
      </c>
      <c r="CD85">
        <f>2399000</f>
        <v>2399000</v>
      </c>
      <c r="CE85">
        <f>2553000</f>
        <v>2553000</v>
      </c>
      <c r="CF85">
        <f>2450000</f>
        <v>2450000</v>
      </c>
      <c r="CG85">
        <f>2506000</f>
        <v>2506000</v>
      </c>
      <c r="CH85">
        <f>2416000</f>
        <v>2416000</v>
      </c>
      <c r="CI85">
        <f>2471000</f>
        <v>2471000</v>
      </c>
      <c r="CJ85">
        <f>2397000</f>
        <v>2397000</v>
      </c>
      <c r="CK85">
        <f>2492000</f>
        <v>2492000</v>
      </c>
      <c r="CL85">
        <f>2361000</f>
        <v>2361000</v>
      </c>
      <c r="CM85">
        <f>2334000</f>
        <v>2334000</v>
      </c>
      <c r="CN85">
        <f>2273000</f>
        <v>2273000</v>
      </c>
      <c r="CO85">
        <f>2392000</f>
        <v>2392000</v>
      </c>
      <c r="CP85">
        <f>2278000</f>
        <v>2278000</v>
      </c>
      <c r="CQ85">
        <f>2236000</f>
        <v>2236000</v>
      </c>
      <c r="CR85">
        <f>2245000</f>
        <v>2245000</v>
      </c>
      <c r="CS85">
        <f>2320000</f>
        <v>2320000</v>
      </c>
      <c r="CT85">
        <f>2218000</f>
        <v>2218000</v>
      </c>
      <c r="CU85">
        <f>2172000</f>
        <v>2172000</v>
      </c>
      <c r="CV85">
        <f>2062000</f>
        <v>2062000</v>
      </c>
      <c r="CW85">
        <f>2162000</f>
        <v>2162000</v>
      </c>
      <c r="CX85">
        <f>1999000</f>
        <v>1999000</v>
      </c>
      <c r="CY85">
        <f>1952000</f>
        <v>1952000</v>
      </c>
      <c r="CZ85">
        <f>1972000</f>
        <v>1972000</v>
      </c>
      <c r="DA85">
        <f>3876000</f>
        <v>3876000</v>
      </c>
      <c r="DB85">
        <f>3233000</f>
        <v>3233000</v>
      </c>
      <c r="DC85">
        <f>1701000</f>
        <v>1701000</v>
      </c>
      <c r="DD85">
        <f>2115000</f>
        <v>2115000</v>
      </c>
      <c r="DE85">
        <f>2287000</f>
        <v>2287000</v>
      </c>
      <c r="DF85">
        <f>2253000</f>
        <v>2253000</v>
      </c>
      <c r="DG85">
        <f>2309000</f>
        <v>2309000</v>
      </c>
      <c r="DH85">
        <f>2388000</f>
        <v>2388000</v>
      </c>
      <c r="DI85">
        <f>2406000</f>
        <v>2406000</v>
      </c>
      <c r="DJ85">
        <f>2267000</f>
        <v>2267000</v>
      </c>
      <c r="DK85">
        <f>2200000</f>
        <v>2200000</v>
      </c>
      <c r="DL85">
        <f>2295000</f>
        <v>2295000</v>
      </c>
      <c r="DM85">
        <f>2396000</f>
        <v>2396000</v>
      </c>
      <c r="DN85">
        <f>2200000</f>
        <v>2200000</v>
      </c>
      <c r="DO85">
        <f>2104000</f>
        <v>2104000</v>
      </c>
      <c r="DP85">
        <f>2174000</f>
        <v>2174000</v>
      </c>
      <c r="DQ85">
        <f>2344000</f>
        <v>2344000</v>
      </c>
      <c r="DR85">
        <f>2211000</f>
        <v>2211000</v>
      </c>
      <c r="DS85">
        <f>2120000</f>
        <v>2120000</v>
      </c>
      <c r="DT85">
        <f>2119000</f>
        <v>2119000</v>
      </c>
      <c r="DU85">
        <f>2402000</f>
        <v>2402000</v>
      </c>
    </row>
    <row r="86" spans="1:125" x14ac:dyDescent="0.25">
      <c r="A86" t="str">
        <f>"        New GM"</f>
        <v xml:space="preserve">        New GM</v>
      </c>
      <c r="B86" t="str">
        <f>"GM US Equity"</f>
        <v>GM US Equity</v>
      </c>
      <c r="C86" t="str">
        <f>"FS265"</f>
        <v>FS265</v>
      </c>
      <c r="D86" t="str">
        <f>"AUTO_VEHICLES_SOLD_WW"</f>
        <v>AUTO_VEHICLES_SOLD_WW</v>
      </c>
      <c r="E86" t="str">
        <f>"Dynamic"</f>
        <v>Dynamic</v>
      </c>
      <c r="F86" t="str">
        <f ca="1">IF(AND(ISNUMBER($F$230),$B$156=1),$F$230,HLOOKUP(INDIRECT(ADDRESS(2,COLUMN())),OFFSET($BN$2,0,0,ROW()-1,60),ROW()-1,FALSE))</f>
        <v/>
      </c>
      <c r="G86">
        <f ca="1">IF(AND(ISNUMBER($G$230),$B$156=1),$G$230,HLOOKUP(INDIRECT(ADDRESS(2,COLUMN())),OFFSET($BN$2,0,0,ROW()-1,60),ROW()-1,FALSE))</f>
        <v>2248000</v>
      </c>
      <c r="H86">
        <f ca="1">IF(AND(ISNUMBER($H$230),$B$156=1),$H$230,HLOOKUP(INDIRECT(ADDRESS(2,COLUMN())),OFFSET($BN$2,0,0,ROW()-1,60),ROW()-1,FALSE))</f>
        <v>1977000</v>
      </c>
      <c r="I86">
        <f ca="1">IF(AND(ISNUMBER($I$230),$B$156=1),$I$230,HLOOKUP(INDIRECT(ADDRESS(2,COLUMN())),OFFSET($BN$2,0,0,ROW()-1,60),ROW()-1,FALSE))</f>
        <v>2063000</v>
      </c>
      <c r="J86">
        <f ca="1">IF(AND(ISNUMBER($J$230),$B$156=1),$J$230,HLOOKUP(INDIRECT(ADDRESS(2,COLUMN())),OFFSET($BN$2,0,0,ROW()-1,60),ROW()-1,FALSE))</f>
        <v>2096000</v>
      </c>
      <c r="K86">
        <f ca="1">IF(AND(ISNUMBER($K$230),$B$156=1),$K$230,HLOOKUP(INDIRECT(ADDRESS(2,COLUMN())),OFFSET($BN$2,0,0,ROW()-1,60),ROW()-1,FALSE))</f>
        <v>2596000</v>
      </c>
      <c r="L86">
        <f ca="1">IF(AND(ISNUMBER($L$230),$B$156=1),$L$230,HLOOKUP(INDIRECT(ADDRESS(2,COLUMN())),OFFSET($BN$2,0,0,ROW()-1,60),ROW()-1,FALSE))</f>
        <v>2319000</v>
      </c>
      <c r="M86">
        <f ca="1">IF(AND(ISNUMBER($M$230),$B$156=1),$M$230,HLOOKUP(INDIRECT(ADDRESS(2,COLUMN())),OFFSET($BN$2,0,0,ROW()-1,60),ROW()-1,FALSE))</f>
        <v>2343000</v>
      </c>
      <c r="N86">
        <f ca="1">IF(AND(ISNUMBER($N$230),$B$156=1),$N$230,HLOOKUP(INDIRECT(ADDRESS(2,COLUMN())),OFFSET($BN$2,0,0,ROW()-1,60),ROW()-1,FALSE))</f>
        <v>2344000</v>
      </c>
      <c r="O86">
        <f ca="1">IF(AND(ISNUMBER($O$230),$B$156=1),$O$230,HLOOKUP(INDIRECT(ADDRESS(2,COLUMN())),OFFSET($BN$2,0,0,ROW()-1,60),ROW()-1,FALSE))</f>
        <v>2856000</v>
      </c>
      <c r="P86">
        <f ca="1">IF(AND(ISNUMBER($P$230),$B$156=1),$P$230,HLOOKUP(INDIRECT(ADDRESS(2,COLUMN())),OFFSET($BN$2,0,0,ROW()-1,60),ROW()-1,FALSE))</f>
        <v>2391000</v>
      </c>
      <c r="Q86">
        <f ca="1">IF(AND(ISNUMBER($Q$230),$B$156=1),$Q$230,HLOOKUP(INDIRECT(ADDRESS(2,COLUMN())),OFFSET($BN$2,0,0,ROW()-1,60),ROW()-1,FALSE))</f>
        <v>2390000</v>
      </c>
      <c r="R86">
        <f ca="1">IF(AND(ISNUMBER($R$230),$B$156=1),$R$230,HLOOKUP(INDIRECT(ADDRESS(2,COLUMN())),OFFSET($BN$2,0,0,ROW()-1,60),ROW()-1,FALSE))</f>
        <v>2378000</v>
      </c>
      <c r="S86">
        <f ca="1">IF(AND(ISNUMBER($S$230),$B$156=1),$S$230,HLOOKUP(INDIRECT(ADDRESS(2,COLUMN())),OFFSET($BN$2,0,0,ROW()-1,60),ROW()-1,FALSE))</f>
        <v>2721000</v>
      </c>
      <c r="T86">
        <f ca="1">IF(AND(ISNUMBER($T$230),$B$156=1),$T$230,HLOOKUP(INDIRECT(ADDRESS(2,COLUMN())),OFFSET($BN$2,0,0,ROW()-1,60),ROW()-1,FALSE))</f>
        <v>2376000</v>
      </c>
      <c r="U86">
        <f ca="1">IF(AND(ISNUMBER($U$230),$B$156=1),$U$230,HLOOKUP(INDIRECT(ADDRESS(2,COLUMN())),OFFSET($BN$2,0,0,ROW()-1,60),ROW()-1,FALSE))</f>
        <v>2462000</v>
      </c>
      <c r="V86">
        <f ca="1">IF(AND(ISNUMBER($V$230),$B$156=1),$V$230,HLOOKUP(INDIRECT(ADDRESS(2,COLUMN())),OFFSET($BN$2,0,0,ROW()-1,60),ROW()-1,FALSE))</f>
        <v>2399000</v>
      </c>
      <c r="W86">
        <f ca="1">IF(AND(ISNUMBER($W$230),$B$156=1),$W$230,HLOOKUP(INDIRECT(ADDRESS(2,COLUMN())),OFFSET($BN$2,0,0,ROW()-1,60),ROW()-1,FALSE))</f>
        <v>2553000</v>
      </c>
      <c r="X86">
        <f ca="1">IF(AND(ISNUMBER($X$230),$B$156=1),$X$230,HLOOKUP(INDIRECT(ADDRESS(2,COLUMN())),OFFSET($BN$2,0,0,ROW()-1,60),ROW()-1,FALSE))</f>
        <v>2450000</v>
      </c>
      <c r="Y86">
        <f ca="1">IF(AND(ISNUMBER($Y$230),$B$156=1),$Y$230,HLOOKUP(INDIRECT(ADDRESS(2,COLUMN())),OFFSET($BN$2,0,0,ROW()-1,60),ROW()-1,FALSE))</f>
        <v>2506000</v>
      </c>
      <c r="Z86">
        <f ca="1">IF(AND(ISNUMBER($Z$230),$B$156=1),$Z$230,HLOOKUP(INDIRECT(ADDRESS(2,COLUMN())),OFFSET($BN$2,0,0,ROW()-1,60),ROW()-1,FALSE))</f>
        <v>2416000</v>
      </c>
      <c r="AA86">
        <f ca="1">IF(AND(ISNUMBER($AA$230),$B$156=1),$AA$230,HLOOKUP(INDIRECT(ADDRESS(2,COLUMN())),OFFSET($BN$2,0,0,ROW()-1,60),ROW()-1,FALSE))</f>
        <v>2471000</v>
      </c>
      <c r="AB86">
        <f ca="1">IF(AND(ISNUMBER($AB$230),$B$156=1),$AB$230,HLOOKUP(INDIRECT(ADDRESS(2,COLUMN())),OFFSET($BN$2,0,0,ROW()-1,60),ROW()-1,FALSE))</f>
        <v>2397000</v>
      </c>
      <c r="AC86">
        <f ca="1">IF(AND(ISNUMBER($AC$230),$B$156=1),$AC$230,HLOOKUP(INDIRECT(ADDRESS(2,COLUMN())),OFFSET($BN$2,0,0,ROW()-1,60),ROW()-1,FALSE))</f>
        <v>2492000</v>
      </c>
      <c r="AD86">
        <f ca="1">IF(AND(ISNUMBER($AD$230),$B$156=1),$AD$230,HLOOKUP(INDIRECT(ADDRESS(2,COLUMN())),OFFSET($BN$2,0,0,ROW()-1,60),ROW()-1,FALSE))</f>
        <v>2361000</v>
      </c>
      <c r="AE86">
        <f ca="1">IF(AND(ISNUMBER($AE$230),$B$156=1),$AE$230,HLOOKUP(INDIRECT(ADDRESS(2,COLUMN())),OFFSET($BN$2,0,0,ROW()-1,60),ROW()-1,FALSE))</f>
        <v>2334000</v>
      </c>
      <c r="AF86">
        <f ca="1">IF(AND(ISNUMBER($AF$230),$B$156=1),$AF$230,HLOOKUP(INDIRECT(ADDRESS(2,COLUMN())),OFFSET($BN$2,0,0,ROW()-1,60),ROW()-1,FALSE))</f>
        <v>2273000</v>
      </c>
      <c r="AG86">
        <f ca="1">IF(AND(ISNUMBER($AG$230),$B$156=1),$AG$230,HLOOKUP(INDIRECT(ADDRESS(2,COLUMN())),OFFSET($BN$2,0,0,ROW()-1,60),ROW()-1,FALSE))</f>
        <v>2392000</v>
      </c>
      <c r="AH86">
        <f ca="1">IF(AND(ISNUMBER($AH$230),$B$156=1),$AH$230,HLOOKUP(INDIRECT(ADDRESS(2,COLUMN())),OFFSET($BN$2,0,0,ROW()-1,60),ROW()-1,FALSE))</f>
        <v>2278000</v>
      </c>
      <c r="AI86">
        <f ca="1">IF(AND(ISNUMBER($AI$230),$B$156=1),$AI$230,HLOOKUP(INDIRECT(ADDRESS(2,COLUMN())),OFFSET($BN$2,0,0,ROW()-1,60),ROW()-1,FALSE))</f>
        <v>2236000</v>
      </c>
      <c r="AJ86">
        <f ca="1">IF(AND(ISNUMBER($AJ$230),$B$156=1),$AJ$230,HLOOKUP(INDIRECT(ADDRESS(2,COLUMN())),OFFSET($BN$2,0,0,ROW()-1,60),ROW()-1,FALSE))</f>
        <v>2245000</v>
      </c>
      <c r="AK86">
        <f ca="1">IF(AND(ISNUMBER($AK$230),$B$156=1),$AK$230,HLOOKUP(INDIRECT(ADDRESS(2,COLUMN())),OFFSET($BN$2,0,0,ROW()-1,60),ROW()-1,FALSE))</f>
        <v>2320000</v>
      </c>
      <c r="AL86">
        <f ca="1">IF(AND(ISNUMBER($AL$230),$B$156=1),$AL$230,HLOOKUP(INDIRECT(ADDRESS(2,COLUMN())),OFFSET($BN$2,0,0,ROW()-1,60),ROW()-1,FALSE))</f>
        <v>2218000</v>
      </c>
      <c r="AM86">
        <f ca="1">IF(AND(ISNUMBER($AM$230),$B$156=1),$AM$230,HLOOKUP(INDIRECT(ADDRESS(2,COLUMN())),OFFSET($BN$2,0,0,ROW()-1,60),ROW()-1,FALSE))</f>
        <v>2172000</v>
      </c>
      <c r="AN86">
        <f ca="1">IF(AND(ISNUMBER($AN$230),$B$156=1),$AN$230,HLOOKUP(INDIRECT(ADDRESS(2,COLUMN())),OFFSET($BN$2,0,0,ROW()-1,60),ROW()-1,FALSE))</f>
        <v>2062000</v>
      </c>
      <c r="AO86">
        <f ca="1">IF(AND(ISNUMBER($AO$230),$B$156=1),$AO$230,HLOOKUP(INDIRECT(ADDRESS(2,COLUMN())),OFFSET($BN$2,0,0,ROW()-1,60),ROW()-1,FALSE))</f>
        <v>2162000</v>
      </c>
      <c r="AP86">
        <f ca="1">IF(AND(ISNUMBER($AP$230),$B$156=1),$AP$230,HLOOKUP(INDIRECT(ADDRESS(2,COLUMN())),OFFSET($BN$2,0,0,ROW()-1,60),ROW()-1,FALSE))</f>
        <v>1999000</v>
      </c>
      <c r="AQ86">
        <f ca="1">IF(AND(ISNUMBER($AQ$230),$B$156=1),$AQ$230,HLOOKUP(INDIRECT(ADDRESS(2,COLUMN())),OFFSET($BN$2,0,0,ROW()-1,60),ROW()-1,FALSE))</f>
        <v>1952000</v>
      </c>
      <c r="AR86">
        <f ca="1">IF(AND(ISNUMBER($AR$230),$B$156=1),$AR$230,HLOOKUP(INDIRECT(ADDRESS(2,COLUMN())),OFFSET($BN$2,0,0,ROW()-1,60),ROW()-1,FALSE))</f>
        <v>1972000</v>
      </c>
      <c r="AS86">
        <f ca="1">IF(AND(ISNUMBER($AS$230),$B$156=1),$AS$230,HLOOKUP(INDIRECT(ADDRESS(2,COLUMN())),OFFSET($BN$2,0,0,ROW()-1,60),ROW()-1,FALSE))</f>
        <v>1938000</v>
      </c>
      <c r="AT86">
        <f ca="1">IF(AND(ISNUMBER($AT$230),$B$156=1),$AT$230,HLOOKUP(INDIRECT(ADDRESS(2,COLUMN())),OFFSET($BN$2,0,0,ROW()-1,60),ROW()-1,FALSE))</f>
        <v>1617000</v>
      </c>
      <c r="AU86" t="str">
        <f ca="1">IF(AND(ISNUMBER($AU$230),$B$156=1),$AU$230,HLOOKUP(INDIRECT(ADDRESS(2,COLUMN())),OFFSET($BN$2,0,0,ROW()-1,60),ROW()-1,FALSE))</f>
        <v/>
      </c>
      <c r="AV86" t="str">
        <f ca="1">IF(AND(ISNUMBER($AV$230),$B$156=1),$AV$230,HLOOKUP(INDIRECT(ADDRESS(2,COLUMN())),OFFSET($BN$2,0,0,ROW()-1,60),ROW()-1,FALSE))</f>
        <v/>
      </c>
      <c r="AW86" t="str">
        <f ca="1">IF(AND(ISNUMBER($AW$230),$B$156=1),$AW$230,HLOOKUP(INDIRECT(ADDRESS(2,COLUMN())),OFFSET($BN$2,0,0,ROW()-1,60),ROW()-1,FALSE))</f>
        <v/>
      </c>
      <c r="AX86" t="str">
        <f ca="1">IF(AND(ISNUMBER($AX$230),$B$156=1),$AX$230,HLOOKUP(INDIRECT(ADDRESS(2,COLUMN())),OFFSET($BN$2,0,0,ROW()-1,60),ROW()-1,FALSE))</f>
        <v/>
      </c>
      <c r="AY86" t="str">
        <f ca="1">IF(AND(ISNUMBER($AY$230),$B$156=1),$AY$230,HLOOKUP(INDIRECT(ADDRESS(2,COLUMN())),OFFSET($BN$2,0,0,ROW()-1,60),ROW()-1,FALSE))</f>
        <v/>
      </c>
      <c r="AZ86" t="str">
        <f ca="1">IF(AND(ISNUMBER($AZ$230),$B$156=1),$AZ$230,HLOOKUP(INDIRECT(ADDRESS(2,COLUMN())),OFFSET($BN$2,0,0,ROW()-1,60),ROW()-1,FALSE))</f>
        <v/>
      </c>
      <c r="BA86" t="str">
        <f ca="1">IF(AND(ISNUMBER($BA$230),$B$156=1),$BA$230,HLOOKUP(INDIRECT(ADDRESS(2,COLUMN())),OFFSET($BN$2,0,0,ROW()-1,60),ROW()-1,FALSE))</f>
        <v/>
      </c>
      <c r="BB86" t="str">
        <f ca="1">IF(AND(ISNUMBER($BB$230),$B$156=1),$BB$230,HLOOKUP(INDIRECT(ADDRESS(2,COLUMN())),OFFSET($BN$2,0,0,ROW()-1,60),ROW()-1,FALSE))</f>
        <v/>
      </c>
      <c r="BC86" t="str">
        <f ca="1">IF(AND(ISNUMBER($BC$230),$B$156=1),$BC$230,HLOOKUP(INDIRECT(ADDRESS(2,COLUMN())),OFFSET($BN$2,0,0,ROW()-1,60),ROW()-1,FALSE))</f>
        <v/>
      </c>
      <c r="BD86" t="str">
        <f ca="1">IF(AND(ISNUMBER($BD$230),$B$156=1),$BD$230,HLOOKUP(INDIRECT(ADDRESS(2,COLUMN())),OFFSET($BN$2,0,0,ROW()-1,60),ROW()-1,FALSE))</f>
        <v/>
      </c>
      <c r="BE86" t="str">
        <f ca="1">IF(AND(ISNUMBER($BE$230),$B$156=1),$BE$230,HLOOKUP(INDIRECT(ADDRESS(2,COLUMN())),OFFSET($BN$2,0,0,ROW()-1,60),ROW()-1,FALSE))</f>
        <v/>
      </c>
      <c r="BF86" t="str">
        <f ca="1">IF(AND(ISNUMBER($BF$230),$B$156=1),$BF$230,HLOOKUP(INDIRECT(ADDRESS(2,COLUMN())),OFFSET($BN$2,0,0,ROW()-1,60),ROW()-1,FALSE))</f>
        <v/>
      </c>
      <c r="BG86" t="str">
        <f ca="1">IF(AND(ISNUMBER($BG$230),$B$156=1),$BG$230,HLOOKUP(INDIRECT(ADDRESS(2,COLUMN())),OFFSET($BN$2,0,0,ROW()-1,60),ROW()-1,FALSE))</f>
        <v/>
      </c>
      <c r="BH86" t="str">
        <f ca="1">IF(AND(ISNUMBER($BH$230),$B$156=1),$BH$230,HLOOKUP(INDIRECT(ADDRESS(2,COLUMN())),OFFSET($BN$2,0,0,ROW()-1,60),ROW()-1,FALSE))</f>
        <v/>
      </c>
      <c r="BI86" t="str">
        <f ca="1">IF(AND(ISNUMBER($BI$230),$B$156=1),$BI$230,HLOOKUP(INDIRECT(ADDRESS(2,COLUMN())),OFFSET($BN$2,0,0,ROW()-1,60),ROW()-1,FALSE))</f>
        <v/>
      </c>
      <c r="BJ86" t="str">
        <f ca="1">IF(AND(ISNUMBER($BJ$230),$B$156=1),$BJ$230,HLOOKUP(INDIRECT(ADDRESS(2,COLUMN())),OFFSET($BN$2,0,0,ROW()-1,60),ROW()-1,FALSE))</f>
        <v/>
      </c>
      <c r="BK86" t="str">
        <f ca="1">IF(AND(ISNUMBER($BK$230),$B$156=1),$BK$230,HLOOKUP(INDIRECT(ADDRESS(2,COLUMN())),OFFSET($BN$2,0,0,ROW()-1,60),ROW()-1,FALSE))</f>
        <v/>
      </c>
      <c r="BL86" t="str">
        <f ca="1">IF(AND(ISNUMBER($BL$230),$B$156=1),$BL$230,HLOOKUP(INDIRECT(ADDRESS(2,COLUMN())),OFFSET($BN$2,0,0,ROW()-1,60),ROW()-1,FALSE))</f>
        <v/>
      </c>
      <c r="BM86" t="str">
        <f ca="1">IF(AND(ISNUMBER($BM$230),$B$156=1),$BM$230,HLOOKUP(INDIRECT(ADDRESS(2,COLUMN())),OFFSET($BN$2,0,0,ROW()-1,60),ROW()-1,FALSE))</f>
        <v/>
      </c>
      <c r="BN86" t="str">
        <f>""</f>
        <v/>
      </c>
      <c r="BO86">
        <f>2248000</f>
        <v>2248000</v>
      </c>
      <c r="BP86">
        <f>1977000</f>
        <v>1977000</v>
      </c>
      <c r="BQ86">
        <f>2063000</f>
        <v>2063000</v>
      </c>
      <c r="BR86">
        <f>2096000</f>
        <v>2096000</v>
      </c>
      <c r="BS86">
        <f>2596000</f>
        <v>2596000</v>
      </c>
      <c r="BT86">
        <f>2319000</f>
        <v>2319000</v>
      </c>
      <c r="BU86">
        <f>2343000</f>
        <v>2343000</v>
      </c>
      <c r="BV86">
        <f>2344000</f>
        <v>2344000</v>
      </c>
      <c r="BW86">
        <f>2856000</f>
        <v>2856000</v>
      </c>
      <c r="BX86">
        <f>2391000</f>
        <v>2391000</v>
      </c>
      <c r="BY86">
        <f>2390000</f>
        <v>2390000</v>
      </c>
      <c r="BZ86">
        <f>2378000</f>
        <v>2378000</v>
      </c>
      <c r="CA86">
        <f>2721000</f>
        <v>2721000</v>
      </c>
      <c r="CB86">
        <f>2376000</f>
        <v>2376000</v>
      </c>
      <c r="CC86">
        <f>2462000</f>
        <v>2462000</v>
      </c>
      <c r="CD86">
        <f>2399000</f>
        <v>2399000</v>
      </c>
      <c r="CE86">
        <f>2553000</f>
        <v>2553000</v>
      </c>
      <c r="CF86">
        <f>2450000</f>
        <v>2450000</v>
      </c>
      <c r="CG86">
        <f>2506000</f>
        <v>2506000</v>
      </c>
      <c r="CH86">
        <f>2416000</f>
        <v>2416000</v>
      </c>
      <c r="CI86">
        <f>2471000</f>
        <v>2471000</v>
      </c>
      <c r="CJ86">
        <f>2397000</f>
        <v>2397000</v>
      </c>
      <c r="CK86">
        <f>2492000</f>
        <v>2492000</v>
      </c>
      <c r="CL86">
        <f>2361000</f>
        <v>2361000</v>
      </c>
      <c r="CM86">
        <f>2334000</f>
        <v>2334000</v>
      </c>
      <c r="CN86">
        <f>2273000</f>
        <v>2273000</v>
      </c>
      <c r="CO86">
        <f>2392000</f>
        <v>2392000</v>
      </c>
      <c r="CP86">
        <f>2278000</f>
        <v>2278000</v>
      </c>
      <c r="CQ86">
        <f>2236000</f>
        <v>2236000</v>
      </c>
      <c r="CR86">
        <f>2245000</f>
        <v>2245000</v>
      </c>
      <c r="CS86">
        <f>2320000</f>
        <v>2320000</v>
      </c>
      <c r="CT86">
        <f>2218000</f>
        <v>2218000</v>
      </c>
      <c r="CU86">
        <f>2172000</f>
        <v>2172000</v>
      </c>
      <c r="CV86">
        <f>2062000</f>
        <v>2062000</v>
      </c>
      <c r="CW86">
        <f>2162000</f>
        <v>2162000</v>
      </c>
      <c r="CX86">
        <f>1999000</f>
        <v>1999000</v>
      </c>
      <c r="CY86">
        <f>1952000</f>
        <v>1952000</v>
      </c>
      <c r="CZ86">
        <f>1972000</f>
        <v>1972000</v>
      </c>
      <c r="DA86">
        <f>1938000</f>
        <v>1938000</v>
      </c>
      <c r="DB86">
        <f>1617000</f>
        <v>1617000</v>
      </c>
      <c r="DC86" t="str">
        <f>""</f>
        <v/>
      </c>
      <c r="DD86" t="str">
        <f>""</f>
        <v/>
      </c>
      <c r="DE86" t="str">
        <f>""</f>
        <v/>
      </c>
      <c r="DF86" t="str">
        <f>""</f>
        <v/>
      </c>
      <c r="DG86" t="str">
        <f>""</f>
        <v/>
      </c>
      <c r="DH86" t="str">
        <f>""</f>
        <v/>
      </c>
      <c r="DI86" t="str">
        <f>""</f>
        <v/>
      </c>
      <c r="DJ86" t="str">
        <f>""</f>
        <v/>
      </c>
      <c r="DK86" t="str">
        <f>""</f>
        <v/>
      </c>
      <c r="DL86" t="str">
        <f>""</f>
        <v/>
      </c>
      <c r="DM86" t="str">
        <f>""</f>
        <v/>
      </c>
      <c r="DN86" t="str">
        <f>""</f>
        <v/>
      </c>
      <c r="DO86" t="str">
        <f>""</f>
        <v/>
      </c>
      <c r="DP86" t="str">
        <f>""</f>
        <v/>
      </c>
      <c r="DQ86" t="str">
        <f>""</f>
        <v/>
      </c>
      <c r="DR86" t="str">
        <f>""</f>
        <v/>
      </c>
      <c r="DS86" t="str">
        <f>""</f>
        <v/>
      </c>
      <c r="DT86" t="str">
        <f>""</f>
        <v/>
      </c>
      <c r="DU86" t="str">
        <f>""</f>
        <v/>
      </c>
    </row>
    <row r="87" spans="1:125" x14ac:dyDescent="0.25">
      <c r="A87" t="str">
        <f>"        Old GM"</f>
        <v xml:space="preserve">        Old GM</v>
      </c>
      <c r="B87" t="str">
        <f>"MTLQQ US Equity"</f>
        <v>MTLQQ US Equity</v>
      </c>
      <c r="C87" t="str">
        <f>"FS265"</f>
        <v>FS265</v>
      </c>
      <c r="D87" t="str">
        <f>"AUTO_VEHICLES_SOLD_WW"</f>
        <v>AUTO_VEHICLES_SOLD_WW</v>
      </c>
      <c r="E87" t="str">
        <f>"Dynamic"</f>
        <v>Dynamic</v>
      </c>
      <c r="F87" t="str">
        <f ca="1">IF(AND(ISNUMBER($F$231),$B$156=1),$F$231,HLOOKUP(INDIRECT(ADDRESS(2,COLUMN())),OFFSET($BN$2,0,0,ROW()-1,60),ROW()-1,FALSE))</f>
        <v/>
      </c>
      <c r="G87" t="str">
        <f ca="1">IF(AND(ISNUMBER($G$231),$B$156=1),$G$231,HLOOKUP(INDIRECT(ADDRESS(2,COLUMN())),OFFSET($BN$2,0,0,ROW()-1,60),ROW()-1,FALSE))</f>
        <v/>
      </c>
      <c r="H87" t="str">
        <f ca="1">IF(AND(ISNUMBER($H$231),$B$156=1),$H$231,HLOOKUP(INDIRECT(ADDRESS(2,COLUMN())),OFFSET($BN$2,0,0,ROW()-1,60),ROW()-1,FALSE))</f>
        <v/>
      </c>
      <c r="I87" t="str">
        <f ca="1">IF(AND(ISNUMBER($I$231),$B$156=1),$I$231,HLOOKUP(INDIRECT(ADDRESS(2,COLUMN())),OFFSET($BN$2,0,0,ROW()-1,60),ROW()-1,FALSE))</f>
        <v/>
      </c>
      <c r="J87" t="str">
        <f ca="1">IF(AND(ISNUMBER($J$231),$B$156=1),$J$231,HLOOKUP(INDIRECT(ADDRESS(2,COLUMN())),OFFSET($BN$2,0,0,ROW()-1,60),ROW()-1,FALSE))</f>
        <v/>
      </c>
      <c r="K87" t="str">
        <f ca="1">IF(AND(ISNUMBER($K$231),$B$156=1),$K$231,HLOOKUP(INDIRECT(ADDRESS(2,COLUMN())),OFFSET($BN$2,0,0,ROW()-1,60),ROW()-1,FALSE))</f>
        <v/>
      </c>
      <c r="L87" t="str">
        <f ca="1">IF(AND(ISNUMBER($L$231),$B$156=1),$L$231,HLOOKUP(INDIRECT(ADDRESS(2,COLUMN())),OFFSET($BN$2,0,0,ROW()-1,60),ROW()-1,FALSE))</f>
        <v/>
      </c>
      <c r="M87" t="str">
        <f ca="1">IF(AND(ISNUMBER($M$231),$B$156=1),$M$231,HLOOKUP(INDIRECT(ADDRESS(2,COLUMN())),OFFSET($BN$2,0,0,ROW()-1,60),ROW()-1,FALSE))</f>
        <v/>
      </c>
      <c r="N87" t="str">
        <f ca="1">IF(AND(ISNUMBER($N$231),$B$156=1),$N$231,HLOOKUP(INDIRECT(ADDRESS(2,COLUMN())),OFFSET($BN$2,0,0,ROW()-1,60),ROW()-1,FALSE))</f>
        <v/>
      </c>
      <c r="O87" t="str">
        <f ca="1">IF(AND(ISNUMBER($O$231),$B$156=1),$O$231,HLOOKUP(INDIRECT(ADDRESS(2,COLUMN())),OFFSET($BN$2,0,0,ROW()-1,60),ROW()-1,FALSE))</f>
        <v/>
      </c>
      <c r="P87" t="str">
        <f ca="1">IF(AND(ISNUMBER($P$231),$B$156=1),$P$231,HLOOKUP(INDIRECT(ADDRESS(2,COLUMN())),OFFSET($BN$2,0,0,ROW()-1,60),ROW()-1,FALSE))</f>
        <v/>
      </c>
      <c r="Q87" t="str">
        <f ca="1">IF(AND(ISNUMBER($Q$231),$B$156=1),$Q$231,HLOOKUP(INDIRECT(ADDRESS(2,COLUMN())),OFFSET($BN$2,0,0,ROW()-1,60),ROW()-1,FALSE))</f>
        <v/>
      </c>
      <c r="R87" t="str">
        <f ca="1">IF(AND(ISNUMBER($R$231),$B$156=1),$R$231,HLOOKUP(INDIRECT(ADDRESS(2,COLUMN())),OFFSET($BN$2,0,0,ROW()-1,60),ROW()-1,FALSE))</f>
        <v/>
      </c>
      <c r="S87" t="str">
        <f ca="1">IF(AND(ISNUMBER($S$231),$B$156=1),$S$231,HLOOKUP(INDIRECT(ADDRESS(2,COLUMN())),OFFSET($BN$2,0,0,ROW()-1,60),ROW()-1,FALSE))</f>
        <v/>
      </c>
      <c r="T87" t="str">
        <f ca="1">IF(AND(ISNUMBER($T$231),$B$156=1),$T$231,HLOOKUP(INDIRECT(ADDRESS(2,COLUMN())),OFFSET($BN$2,0,0,ROW()-1,60),ROW()-1,FALSE))</f>
        <v/>
      </c>
      <c r="U87" t="str">
        <f ca="1">IF(AND(ISNUMBER($U$231),$B$156=1),$U$231,HLOOKUP(INDIRECT(ADDRESS(2,COLUMN())),OFFSET($BN$2,0,0,ROW()-1,60),ROW()-1,FALSE))</f>
        <v/>
      </c>
      <c r="V87" t="str">
        <f ca="1">IF(AND(ISNUMBER($V$231),$B$156=1),$V$231,HLOOKUP(INDIRECT(ADDRESS(2,COLUMN())),OFFSET($BN$2,0,0,ROW()-1,60),ROW()-1,FALSE))</f>
        <v/>
      </c>
      <c r="W87" t="str">
        <f ca="1">IF(AND(ISNUMBER($W$231),$B$156=1),$W$231,HLOOKUP(INDIRECT(ADDRESS(2,COLUMN())),OFFSET($BN$2,0,0,ROW()-1,60),ROW()-1,FALSE))</f>
        <v/>
      </c>
      <c r="X87" t="str">
        <f ca="1">IF(AND(ISNUMBER($X$231),$B$156=1),$X$231,HLOOKUP(INDIRECT(ADDRESS(2,COLUMN())),OFFSET($BN$2,0,0,ROW()-1,60),ROW()-1,FALSE))</f>
        <v/>
      </c>
      <c r="Y87" t="str">
        <f ca="1">IF(AND(ISNUMBER($Y$231),$B$156=1),$Y$231,HLOOKUP(INDIRECT(ADDRESS(2,COLUMN())),OFFSET($BN$2,0,0,ROW()-1,60),ROW()-1,FALSE))</f>
        <v/>
      </c>
      <c r="Z87" t="str">
        <f ca="1">IF(AND(ISNUMBER($Z$231),$B$156=1),$Z$231,HLOOKUP(INDIRECT(ADDRESS(2,COLUMN())),OFFSET($BN$2,0,0,ROW()-1,60),ROW()-1,FALSE))</f>
        <v/>
      </c>
      <c r="AA87" t="str">
        <f ca="1">IF(AND(ISNUMBER($AA$231),$B$156=1),$AA$231,HLOOKUP(INDIRECT(ADDRESS(2,COLUMN())),OFFSET($BN$2,0,0,ROW()-1,60),ROW()-1,FALSE))</f>
        <v/>
      </c>
      <c r="AB87" t="str">
        <f ca="1">IF(AND(ISNUMBER($AB$231),$B$156=1),$AB$231,HLOOKUP(INDIRECT(ADDRESS(2,COLUMN())),OFFSET($BN$2,0,0,ROW()-1,60),ROW()-1,FALSE))</f>
        <v/>
      </c>
      <c r="AC87" t="str">
        <f ca="1">IF(AND(ISNUMBER($AC$231),$B$156=1),$AC$231,HLOOKUP(INDIRECT(ADDRESS(2,COLUMN())),OFFSET($BN$2,0,0,ROW()-1,60),ROW()-1,FALSE))</f>
        <v/>
      </c>
      <c r="AD87" t="str">
        <f ca="1">IF(AND(ISNUMBER($AD$231),$B$156=1),$AD$231,HLOOKUP(INDIRECT(ADDRESS(2,COLUMN())),OFFSET($BN$2,0,0,ROW()-1,60),ROW()-1,FALSE))</f>
        <v/>
      </c>
      <c r="AE87" t="str">
        <f ca="1">IF(AND(ISNUMBER($AE$231),$B$156=1),$AE$231,HLOOKUP(INDIRECT(ADDRESS(2,COLUMN())),OFFSET($BN$2,0,0,ROW()-1,60),ROW()-1,FALSE))</f>
        <v/>
      </c>
      <c r="AF87" t="str">
        <f ca="1">IF(AND(ISNUMBER($AF$231),$B$156=1),$AF$231,HLOOKUP(INDIRECT(ADDRESS(2,COLUMN())),OFFSET($BN$2,0,0,ROW()-1,60),ROW()-1,FALSE))</f>
        <v/>
      </c>
      <c r="AG87" t="str">
        <f ca="1">IF(AND(ISNUMBER($AG$231),$B$156=1),$AG$231,HLOOKUP(INDIRECT(ADDRESS(2,COLUMN())),OFFSET($BN$2,0,0,ROW()-1,60),ROW()-1,FALSE))</f>
        <v/>
      </c>
      <c r="AH87" t="str">
        <f ca="1">IF(AND(ISNUMBER($AH$231),$B$156=1),$AH$231,HLOOKUP(INDIRECT(ADDRESS(2,COLUMN())),OFFSET($BN$2,0,0,ROW()-1,60),ROW()-1,FALSE))</f>
        <v/>
      </c>
      <c r="AI87" t="str">
        <f ca="1">IF(AND(ISNUMBER($AI$231),$B$156=1),$AI$231,HLOOKUP(INDIRECT(ADDRESS(2,COLUMN())),OFFSET($BN$2,0,0,ROW()-1,60),ROW()-1,FALSE))</f>
        <v/>
      </c>
      <c r="AJ87" t="str">
        <f ca="1">IF(AND(ISNUMBER($AJ$231),$B$156=1),$AJ$231,HLOOKUP(INDIRECT(ADDRESS(2,COLUMN())),OFFSET($BN$2,0,0,ROW()-1,60),ROW()-1,FALSE))</f>
        <v/>
      </c>
      <c r="AK87" t="str">
        <f ca="1">IF(AND(ISNUMBER($AK$231),$B$156=1),$AK$231,HLOOKUP(INDIRECT(ADDRESS(2,COLUMN())),OFFSET($BN$2,0,0,ROW()-1,60),ROW()-1,FALSE))</f>
        <v/>
      </c>
      <c r="AL87" t="str">
        <f ca="1">IF(AND(ISNUMBER($AL$231),$B$156=1),$AL$231,HLOOKUP(INDIRECT(ADDRESS(2,COLUMN())),OFFSET($BN$2,0,0,ROW()-1,60),ROW()-1,FALSE))</f>
        <v/>
      </c>
      <c r="AM87" t="str">
        <f ca="1">IF(AND(ISNUMBER($AM$231),$B$156=1),$AM$231,HLOOKUP(INDIRECT(ADDRESS(2,COLUMN())),OFFSET($BN$2,0,0,ROW()-1,60),ROW()-1,FALSE))</f>
        <v/>
      </c>
      <c r="AN87" t="str">
        <f ca="1">IF(AND(ISNUMBER($AN$231),$B$156=1),$AN$231,HLOOKUP(INDIRECT(ADDRESS(2,COLUMN())),OFFSET($BN$2,0,0,ROW()-1,60),ROW()-1,FALSE))</f>
        <v/>
      </c>
      <c r="AO87" t="str">
        <f ca="1">IF(AND(ISNUMBER($AO$231),$B$156=1),$AO$231,HLOOKUP(INDIRECT(ADDRESS(2,COLUMN())),OFFSET($BN$2,0,0,ROW()-1,60),ROW()-1,FALSE))</f>
        <v/>
      </c>
      <c r="AP87" t="str">
        <f ca="1">IF(AND(ISNUMBER($AP$231),$B$156=1),$AP$231,HLOOKUP(INDIRECT(ADDRESS(2,COLUMN())),OFFSET($BN$2,0,0,ROW()-1,60),ROW()-1,FALSE))</f>
        <v/>
      </c>
      <c r="AQ87" t="str">
        <f ca="1">IF(AND(ISNUMBER($AQ$231),$B$156=1),$AQ$231,HLOOKUP(INDIRECT(ADDRESS(2,COLUMN())),OFFSET($BN$2,0,0,ROW()-1,60),ROW()-1,FALSE))</f>
        <v/>
      </c>
      <c r="AR87" t="str">
        <f ca="1">IF(AND(ISNUMBER($AR$231),$B$156=1),$AR$231,HLOOKUP(INDIRECT(ADDRESS(2,COLUMN())),OFFSET($BN$2,0,0,ROW()-1,60),ROW()-1,FALSE))</f>
        <v/>
      </c>
      <c r="AS87">
        <f ca="1">IF(AND(ISNUMBER($AS$231),$B$156=1),$AS$231,HLOOKUP(INDIRECT(ADDRESS(2,COLUMN())),OFFSET($BN$2,0,0,ROW()-1,60),ROW()-1,FALSE))</f>
        <v>1938000</v>
      </c>
      <c r="AT87">
        <f ca="1">IF(AND(ISNUMBER($AT$231),$B$156=1),$AT$231,HLOOKUP(INDIRECT(ADDRESS(2,COLUMN())),OFFSET($BN$2,0,0,ROW()-1,60),ROW()-1,FALSE))</f>
        <v>1616000</v>
      </c>
      <c r="AU87">
        <f ca="1">IF(AND(ISNUMBER($AU$231),$B$156=1),$AU$231,HLOOKUP(INDIRECT(ADDRESS(2,COLUMN())),OFFSET($BN$2,0,0,ROW()-1,60),ROW()-1,FALSE))</f>
        <v>1701000</v>
      </c>
      <c r="AV87">
        <f ca="1">IF(AND(ISNUMBER($AV$231),$B$156=1),$AV$231,HLOOKUP(INDIRECT(ADDRESS(2,COLUMN())),OFFSET($BN$2,0,0,ROW()-1,60),ROW()-1,FALSE))</f>
        <v>2115000</v>
      </c>
      <c r="AW87">
        <f ca="1">IF(AND(ISNUMBER($AW$231),$B$156=1),$AW$231,HLOOKUP(INDIRECT(ADDRESS(2,COLUMN())),OFFSET($BN$2,0,0,ROW()-1,60),ROW()-1,FALSE))</f>
        <v>2287000</v>
      </c>
      <c r="AX87">
        <f ca="1">IF(AND(ISNUMBER($AX$231),$B$156=1),$AX$231,HLOOKUP(INDIRECT(ADDRESS(2,COLUMN())),OFFSET($BN$2,0,0,ROW()-1,60),ROW()-1,FALSE))</f>
        <v>2253000</v>
      </c>
      <c r="AY87">
        <f ca="1">IF(AND(ISNUMBER($AY$231),$B$156=1),$AY$231,HLOOKUP(INDIRECT(ADDRESS(2,COLUMN())),OFFSET($BN$2,0,0,ROW()-1,60),ROW()-1,FALSE))</f>
        <v>2309000</v>
      </c>
      <c r="AZ87">
        <f ca="1">IF(AND(ISNUMBER($AZ$231),$B$156=1),$AZ$231,HLOOKUP(INDIRECT(ADDRESS(2,COLUMN())),OFFSET($BN$2,0,0,ROW()-1,60),ROW()-1,FALSE))</f>
        <v>2388000</v>
      </c>
      <c r="BA87">
        <f ca="1">IF(AND(ISNUMBER($BA$231),$B$156=1),$BA$231,HLOOKUP(INDIRECT(ADDRESS(2,COLUMN())),OFFSET($BN$2,0,0,ROW()-1,60),ROW()-1,FALSE))</f>
        <v>2406000</v>
      </c>
      <c r="BB87">
        <f ca="1">IF(AND(ISNUMBER($BB$231),$B$156=1),$BB$231,HLOOKUP(INDIRECT(ADDRESS(2,COLUMN())),OFFSET($BN$2,0,0,ROW()-1,60),ROW()-1,FALSE))</f>
        <v>2267000</v>
      </c>
      <c r="BC87">
        <f ca="1">IF(AND(ISNUMBER($BC$231),$B$156=1),$BC$231,HLOOKUP(INDIRECT(ADDRESS(2,COLUMN())),OFFSET($BN$2,0,0,ROW()-1,60),ROW()-1,FALSE))</f>
        <v>2200000</v>
      </c>
      <c r="BD87">
        <f ca="1">IF(AND(ISNUMBER($BD$231),$B$156=1),$BD$231,HLOOKUP(INDIRECT(ADDRESS(2,COLUMN())),OFFSET($BN$2,0,0,ROW()-1,60),ROW()-1,FALSE))</f>
        <v>2295000</v>
      </c>
      <c r="BE87">
        <f ca="1">IF(AND(ISNUMBER($BE$231),$B$156=1),$BE$231,HLOOKUP(INDIRECT(ADDRESS(2,COLUMN())),OFFSET($BN$2,0,0,ROW()-1,60),ROW()-1,FALSE))</f>
        <v>2396000</v>
      </c>
      <c r="BF87">
        <f ca="1">IF(AND(ISNUMBER($BF$231),$B$156=1),$BF$231,HLOOKUP(INDIRECT(ADDRESS(2,COLUMN())),OFFSET($BN$2,0,0,ROW()-1,60),ROW()-1,FALSE))</f>
        <v>2200000</v>
      </c>
      <c r="BG87">
        <f ca="1">IF(AND(ISNUMBER($BG$231),$B$156=1),$BG$231,HLOOKUP(INDIRECT(ADDRESS(2,COLUMN())),OFFSET($BN$2,0,0,ROW()-1,60),ROW()-1,FALSE))</f>
        <v>2104000</v>
      </c>
      <c r="BH87">
        <f ca="1">IF(AND(ISNUMBER($BH$231),$B$156=1),$BH$231,HLOOKUP(INDIRECT(ADDRESS(2,COLUMN())),OFFSET($BN$2,0,0,ROW()-1,60),ROW()-1,FALSE))</f>
        <v>2174000</v>
      </c>
      <c r="BI87">
        <f ca="1">IF(AND(ISNUMBER($BI$231),$B$156=1),$BI$231,HLOOKUP(INDIRECT(ADDRESS(2,COLUMN())),OFFSET($BN$2,0,0,ROW()-1,60),ROW()-1,FALSE))</f>
        <v>2344000</v>
      </c>
      <c r="BJ87">
        <f ca="1">IF(AND(ISNUMBER($BJ$231),$B$156=1),$BJ$231,HLOOKUP(INDIRECT(ADDRESS(2,COLUMN())),OFFSET($BN$2,0,0,ROW()-1,60),ROW()-1,FALSE))</f>
        <v>2211000</v>
      </c>
      <c r="BK87">
        <f ca="1">IF(AND(ISNUMBER($BK$231),$B$156=1),$BK$231,HLOOKUP(INDIRECT(ADDRESS(2,COLUMN())),OFFSET($BN$2,0,0,ROW()-1,60),ROW()-1,FALSE))</f>
        <v>2120000</v>
      </c>
      <c r="BL87">
        <f ca="1">IF(AND(ISNUMBER($BL$231),$B$156=1),$BL$231,HLOOKUP(INDIRECT(ADDRESS(2,COLUMN())),OFFSET($BN$2,0,0,ROW()-1,60),ROW()-1,FALSE))</f>
        <v>2119000</v>
      </c>
      <c r="BM87">
        <f ca="1">IF(AND(ISNUMBER($BM$231),$B$156=1),$BM$231,HLOOKUP(INDIRECT(ADDRESS(2,COLUMN())),OFFSET($BN$2,0,0,ROW()-1,60),ROW()-1,FALSE))</f>
        <v>2402000</v>
      </c>
      <c r="BN87" t="str">
        <f>""</f>
        <v/>
      </c>
      <c r="BO87" t="str">
        <f>""</f>
        <v/>
      </c>
      <c r="BP87" t="str">
        <f>""</f>
        <v/>
      </c>
      <c r="BQ87" t="str">
        <f>""</f>
        <v/>
      </c>
      <c r="BR87" t="str">
        <f>""</f>
        <v/>
      </c>
      <c r="BS87" t="str">
        <f>""</f>
        <v/>
      </c>
      <c r="BT87" t="str">
        <f>""</f>
        <v/>
      </c>
      <c r="BU87" t="str">
        <f>""</f>
        <v/>
      </c>
      <c r="BV87" t="str">
        <f>""</f>
        <v/>
      </c>
      <c r="BW87" t="str">
        <f>""</f>
        <v/>
      </c>
      <c r="BX87" t="str">
        <f>""</f>
        <v/>
      </c>
      <c r="BY87" t="str">
        <f>""</f>
        <v/>
      </c>
      <c r="BZ87" t="str">
        <f>""</f>
        <v/>
      </c>
      <c r="CA87" t="str">
        <f>""</f>
        <v/>
      </c>
      <c r="CB87" t="str">
        <f>""</f>
        <v/>
      </c>
      <c r="CC87" t="str">
        <f>""</f>
        <v/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  <c r="CH87" t="str">
        <f>""</f>
        <v/>
      </c>
      <c r="CI87" t="str">
        <f>""</f>
        <v/>
      </c>
      <c r="CJ87" t="str">
        <f>""</f>
        <v/>
      </c>
      <c r="CK87" t="str">
        <f>""</f>
        <v/>
      </c>
      <c r="CL87" t="str">
        <f>""</f>
        <v/>
      </c>
      <c r="CM87" t="str">
        <f>""</f>
        <v/>
      </c>
      <c r="CN87" t="str">
        <f>""</f>
        <v/>
      </c>
      <c r="CO87" t="str">
        <f>""</f>
        <v/>
      </c>
      <c r="CP87" t="str">
        <f>""</f>
        <v/>
      </c>
      <c r="CQ87" t="str">
        <f>""</f>
        <v/>
      </c>
      <c r="CR87" t="str">
        <f>""</f>
        <v/>
      </c>
      <c r="CS87" t="str">
        <f>""</f>
        <v/>
      </c>
      <c r="CT87" t="str">
        <f>""</f>
        <v/>
      </c>
      <c r="CU87" t="str">
        <f>""</f>
        <v/>
      </c>
      <c r="CV87" t="str">
        <f>""</f>
        <v/>
      </c>
      <c r="CW87" t="str">
        <f>""</f>
        <v/>
      </c>
      <c r="CX87" t="str">
        <f>""</f>
        <v/>
      </c>
      <c r="CY87" t="str">
        <f>""</f>
        <v/>
      </c>
      <c r="CZ87" t="str">
        <f>""</f>
        <v/>
      </c>
      <c r="DA87">
        <f>1938000</f>
        <v>1938000</v>
      </c>
      <c r="DB87">
        <f>1616000</f>
        <v>1616000</v>
      </c>
      <c r="DC87">
        <f>1701000</f>
        <v>1701000</v>
      </c>
      <c r="DD87">
        <f>2115000</f>
        <v>2115000</v>
      </c>
      <c r="DE87">
        <f>2287000</f>
        <v>2287000</v>
      </c>
      <c r="DF87">
        <f>2253000</f>
        <v>2253000</v>
      </c>
      <c r="DG87">
        <f>2309000</f>
        <v>2309000</v>
      </c>
      <c r="DH87">
        <f>2388000</f>
        <v>2388000</v>
      </c>
      <c r="DI87">
        <f>2406000</f>
        <v>2406000</v>
      </c>
      <c r="DJ87">
        <f>2267000</f>
        <v>2267000</v>
      </c>
      <c r="DK87">
        <f>2200000</f>
        <v>2200000</v>
      </c>
      <c r="DL87">
        <f>2295000</f>
        <v>2295000</v>
      </c>
      <c r="DM87">
        <f>2396000</f>
        <v>2396000</v>
      </c>
      <c r="DN87">
        <f>2200000</f>
        <v>2200000</v>
      </c>
      <c r="DO87">
        <f>2104000</f>
        <v>2104000</v>
      </c>
      <c r="DP87">
        <f>2174000</f>
        <v>2174000</v>
      </c>
      <c r="DQ87">
        <f>2344000</f>
        <v>2344000</v>
      </c>
      <c r="DR87">
        <f>2211000</f>
        <v>2211000</v>
      </c>
      <c r="DS87">
        <f>2120000</f>
        <v>2120000</v>
      </c>
      <c r="DT87">
        <f>2119000</f>
        <v>2119000</v>
      </c>
      <c r="DU87">
        <f>2402000</f>
        <v>2402000</v>
      </c>
    </row>
    <row r="88" spans="1:125" x14ac:dyDescent="0.25">
      <c r="A88" t="str">
        <f>"    Hyundai - Kia Group"</f>
        <v xml:space="preserve">    Hyundai - Kia Group</v>
      </c>
      <c r="B88" t="str">
        <f>""</f>
        <v/>
      </c>
      <c r="E88" t="str">
        <f>"Sum"</f>
        <v>Sum</v>
      </c>
      <c r="F88" t="str">
        <f ca="1">IF(ISERROR(IF(SUM($F$89:$F$90) = 0, "", SUM($F$89:$F$90))), "", (IF(SUM($F$89:$F$90) = 0, "", SUM($F$89:$F$90))))</f>
        <v/>
      </c>
      <c r="G88" t="str">
        <f ca="1">IF(ISERROR(IF(SUM($G$89:$G$90) = 0, "", SUM($G$89:$G$90))), "", (IF(SUM($G$89:$G$90) = 0, "", SUM($G$89:$G$90))))</f>
        <v/>
      </c>
      <c r="H88">
        <f ca="1">IF(ISERROR(IF(SUM($H$89:$H$90) = 0, "", SUM($H$89:$H$90))), "", (IF(SUM($H$89:$H$90) = 0, "", SUM($H$89:$H$90))))</f>
        <v>1788866</v>
      </c>
      <c r="I88">
        <f ca="1">IF(ISERROR(IF(SUM($I$89:$I$90) = 0, "", SUM($I$89:$I$90))), "", (IF(SUM($I$89:$I$90) = 0, "", SUM($I$89:$I$90))))</f>
        <v>928420</v>
      </c>
      <c r="J88">
        <f ca="1">IF(ISERROR(IF(SUM($J$89:$J$90) = 0, "", SUM($J$89:$J$90))), "", (IF(SUM($J$89:$J$90) = 0, "", SUM($J$89:$J$90))))</f>
        <v>1671258</v>
      </c>
      <c r="K88">
        <f ca="1">IF(ISERROR(IF(SUM($K$89:$K$90) = 0, "", SUM($K$89:$K$90))), "", (IF(SUM($K$89:$K$90) = 0, "", SUM($K$89:$K$90))))</f>
        <v>1919623</v>
      </c>
      <c r="L88">
        <f ca="1">IF(ISERROR(IF(SUM($L$89:$L$90) = 0, "", SUM($L$89:$L$90))), "", (IF(SUM($L$89:$L$90) = 0, "", SUM($L$89:$L$90))))</f>
        <v>1761292</v>
      </c>
      <c r="M88">
        <f ca="1">IF(ISERROR(IF(SUM($M$89:$M$90) = 0, "", SUM($M$89:$M$90))), "", (IF(SUM($M$89:$M$90) = 0, "", SUM($M$89:$M$90))))</f>
        <v>1797851</v>
      </c>
      <c r="N88">
        <f ca="1">IF(ISERROR(IF(SUM($N$89:$N$90) = 0, "", SUM($N$89:$N$90))), "", (IF(SUM($N$89:$N$90) = 0, "", SUM($N$89:$N$90))))</f>
        <v>1719396</v>
      </c>
      <c r="O88">
        <f ca="1">IF(ISERROR(IF(SUM($O$89:$O$90) = 0, "", SUM($O$89:$O$90))), "", (IF(SUM($O$89:$O$90) = 0, "", SUM($O$89:$O$90))))</f>
        <v>2197195</v>
      </c>
      <c r="P88">
        <f ca="1">IF(ISERROR(IF(SUM($P$89:$P$90) = 0, "", SUM($P$89:$P$90))), "", (IF(SUM($P$89:$P$90) = 0, "", SUM($P$89:$P$90))))</f>
        <v>1803868</v>
      </c>
      <c r="Q88">
        <f ca="1">IF(ISERROR(IF(SUM($Q$89:$Q$90) = 0, "", SUM($Q$89:$Q$90))), "", (IF(SUM($Q$89:$Q$90) = 0, "", SUM($Q$89:$Q$90))))</f>
        <v>2069388</v>
      </c>
      <c r="R88">
        <f ca="1">IF(ISERROR(IF(SUM($R$89:$R$90) = 0, "", SUM($R$89:$R$90))), "", (IF(SUM($R$89:$R$90) = 0, "", SUM($R$89:$R$90))))</f>
        <v>1793539</v>
      </c>
      <c r="S88">
        <f ca="1">IF(ISERROR(IF(SUM($S$89:$S$90) = 0, "", SUM($S$89:$S$90))), "", (IF(SUM($S$89:$S$90) = 0, "", SUM($S$89:$S$90))))</f>
        <v>2215958</v>
      </c>
      <c r="T88">
        <f ca="1">IF(ISERROR(IF(SUM($T$89:$T$90) = 0, "", SUM($T$89:$T$90))), "", (IF(SUM($T$89:$T$90) = 0, "", SUM($T$89:$T$90))))</f>
        <v>1809779</v>
      </c>
      <c r="U88">
        <f ca="1">IF(ISERROR(IF(SUM($U$89:$U$90) = 0, "", SUM($U$89:$U$90))), "", (IF(SUM($U$89:$U$90) = 0, "", SUM($U$89:$U$90))))</f>
        <v>1980184</v>
      </c>
      <c r="V88">
        <f ca="1">IF(ISERROR(IF(SUM($V$89:$V$90) = 0, "", SUM($V$89:$V$90))), "", (IF(SUM($V$89:$V$90) = 0, "", SUM($V$89:$V$90))))</f>
        <v>1873669</v>
      </c>
      <c r="W88">
        <f ca="1">IF(ISERROR(IF(SUM($W$89:$W$90) = 0, "", SUM($W$89:$W$90))), "", (IF(SUM($W$89:$W$90) = 0, "", SUM($W$89:$W$90))))</f>
        <v>2192215</v>
      </c>
      <c r="X88">
        <f ca="1">IF(ISERROR(IF(SUM($X$89:$X$90) = 0, "", SUM($X$89:$X$90))), "", (IF(SUM($X$89:$X$90) = 0, "", SUM($X$89:$X$90))))</f>
        <v>1737596</v>
      </c>
      <c r="Y88">
        <f ca="1">IF(ISERROR(IF(SUM($Y$89:$Y$90) = 0, "", SUM($Y$89:$Y$90))), "", (IF(SUM($Y$89:$Y$90) = 0, "", SUM($Y$89:$Y$90))))</f>
        <v>2025000</v>
      </c>
      <c r="Z88">
        <f ca="1">IF(ISERROR(IF(SUM($Z$89:$Z$90) = 0, "", SUM($Z$89:$Z$90))), "", (IF(SUM($Z$89:$Z$90) = 0, "", SUM($Z$89:$Z$90))))</f>
        <v>1914189</v>
      </c>
      <c r="AA88">
        <f ca="1">IF(ISERROR(IF(SUM($AA$89:$AA$90) = 0, "", SUM($AA$89:$AA$90))), "", (IF(SUM($AA$89:$AA$90) = 0, "", SUM($AA$89:$AA$90))))</f>
        <v>1904822</v>
      </c>
      <c r="AB88">
        <f ca="1">IF(ISERROR(IF(SUM($AB$89:$AB$90) = 0, "", SUM($AB$89:$AB$90))), "", (IF(SUM($AB$89:$AB$90) = 0, "", SUM($AB$89:$AB$90))))</f>
        <v>1799502</v>
      </c>
      <c r="AC88">
        <f ca="1">IF(ISERROR(IF(SUM($AC$89:$AC$90) = 0, "", SUM($AC$89:$AC$90))), "", (IF(SUM($AC$89:$AC$90) = 0, "", SUM($AC$89:$AC$90))))</f>
        <v>1949412</v>
      </c>
      <c r="AD88">
        <f ca="1">IF(ISERROR(IF(SUM($AD$89:$AD$90) = 0, "", SUM($AD$89:$AD$90))), "", (IF(SUM($AD$89:$AD$90) = 0, "", SUM($AD$89:$AD$90))))</f>
        <v>1825581</v>
      </c>
      <c r="AE88">
        <f ca="1">IF(ISERROR(IF(SUM($AE$89:$AE$90) = 0, "", SUM($AE$89:$AE$90))), "", (IF(SUM($AE$89:$AE$90) = 0, "", SUM($AE$89:$AE$90))))</f>
        <v>675095</v>
      </c>
      <c r="AF88">
        <f ca="1">IF(ISERROR(IF(SUM($AF$89:$AF$90) = 0, "", SUM($AF$89:$AF$90))), "", (IF(SUM($AF$89:$AF$90) = 0, "", SUM($AF$89:$AF$90))))</f>
        <v>1686851</v>
      </c>
      <c r="AG88">
        <f ca="1">IF(ISERROR(IF(SUM($AG$89:$AG$90) = 0, "", SUM($AG$89:$AG$90))), "", (IF(SUM($AG$89:$AG$90) = 0, "", SUM($AG$89:$AG$90))))</f>
        <v>1822147</v>
      </c>
      <c r="AH88">
        <f ca="1">IF(ISERROR(IF(SUM($AH$89:$AH$90) = 0, "", SUM($AH$89:$AH$90))), "", (IF(SUM($AH$89:$AH$90) = 0, "", SUM($AH$89:$AH$90))))</f>
        <v>1708179</v>
      </c>
      <c r="AI88">
        <f ca="1">IF(ISERROR(IF(SUM($AI$89:$AI$90) = 0, "", SUM($AI$89:$AI$90))), "", (IF(SUM($AI$89:$AI$90) = 0, "", SUM($AI$89:$AI$90))))</f>
        <v>1760613</v>
      </c>
      <c r="AJ88">
        <f ca="1">IF(ISERROR(IF(SUM($AJ$89:$AJ$90) = 0, "", SUM($AJ$89:$AJ$90))), "", (IF(SUM($AJ$89:$AJ$90) = 0, "", SUM($AJ$89:$AJ$90))))</f>
        <v>1617186</v>
      </c>
      <c r="AK88">
        <f ca="1">IF(ISERROR(IF(SUM($AK$89:$AK$90) = 0, "", SUM($AK$89:$AK$90))), "", (IF(SUM($AK$89:$AK$90) = 0, "", SUM($AK$89:$AK$90))))</f>
        <v>1683056</v>
      </c>
      <c r="AL88">
        <f ca="1">IF(ISERROR(IF(SUM($AL$89:$AL$90) = 0, "", SUM($AL$89:$AL$90))), "", (IF(SUM($AL$89:$AL$90) = 0, "", SUM($AL$89:$AL$90))))</f>
        <v>1486735</v>
      </c>
      <c r="AM88">
        <f ca="1">IF(ISERROR(IF(SUM($AM$89:$AM$90) = 0, "", SUM($AM$89:$AM$90))), "", (IF(SUM($AM$89:$AM$90) = 0, "", SUM($AM$89:$AM$90))))</f>
        <v>1491665</v>
      </c>
      <c r="AN88">
        <f ca="1">IF(ISERROR(IF(SUM($AN$89:$AN$90) = 0, "", SUM($AN$89:$AN$90))), "", (IF(SUM($AN$89:$AN$90) = 0, "", SUM($AN$89:$AN$90))))</f>
        <v>1423500</v>
      </c>
      <c r="AO88">
        <f ca="1">IF(ISERROR(IF(SUM($AO$89:$AO$90) = 0, "", SUM($AO$89:$AO$90))), "", (IF(SUM($AO$89:$AO$90) = 0, "", SUM($AO$89:$AO$90))))</f>
        <v>927848</v>
      </c>
      <c r="AP88">
        <f ca="1">IF(ISERROR(IF(SUM($AP$89:$AP$90) = 0, "", SUM($AP$89:$AP$90))), "", (IF(SUM($AP$89:$AP$90) = 0, "", SUM($AP$89:$AP$90))))</f>
        <v>846551</v>
      </c>
      <c r="AQ88" t="str">
        <f ca="1">IF(ISERROR(IF(SUM($AQ$89:$AQ$90) = 0, "", SUM($AQ$89:$AQ$90))), "", (IF(SUM($AQ$89:$AQ$90) = 0, "", SUM($AQ$89:$AQ$90))))</f>
        <v/>
      </c>
      <c r="AR88" t="str">
        <f ca="1">IF(ISERROR(IF(SUM($AR$89:$AR$90) = 0, "", SUM($AR$89:$AR$90))), "", (IF(SUM($AR$89:$AR$90) = 0, "", SUM($AR$89:$AR$90))))</f>
        <v/>
      </c>
      <c r="AS88" t="str">
        <f ca="1">IF(ISERROR(IF(SUM($AS$89:$AS$90) = 0, "", SUM($AS$89:$AS$90))), "", (IF(SUM($AS$89:$AS$90) = 0, "", SUM($AS$89:$AS$90))))</f>
        <v/>
      </c>
      <c r="AT88" t="str">
        <f ca="1">IF(ISERROR(IF(SUM($AT$89:$AT$90) = 0, "", SUM($AT$89:$AT$90))), "", (IF(SUM($AT$89:$AT$90) = 0, "", SUM($AT$89:$AT$90))))</f>
        <v/>
      </c>
      <c r="AU88">
        <f ca="1">IF(ISERROR(IF(SUM($AU$89:$AU$90) = 0, "", SUM($AU$89:$AU$90))), "", (IF(SUM($AU$89:$AU$90) = 0, "", SUM($AU$89:$AU$90))))</f>
        <v>1044968</v>
      </c>
      <c r="AV88">
        <f ca="1">IF(ISERROR(IF(SUM($AV$89:$AV$90) = 0, "", SUM($AV$89:$AV$90))), "", (IF(SUM($AV$89:$AV$90) = 0, "", SUM($AV$89:$AV$90))))</f>
        <v>928332</v>
      </c>
      <c r="AW88">
        <f ca="1">IF(ISERROR(IF(SUM($AW$89:$AW$90) = 0, "", SUM($AW$89:$AW$90))), "", (IF(SUM($AW$89:$AW$90) = 0, "", SUM($AW$89:$AW$90))))</f>
        <v>1159239</v>
      </c>
      <c r="AX88">
        <f ca="1">IF(ISERROR(IF(SUM($AX$89:$AX$90) = 0, "", SUM($AX$89:$AX$90))), "", (IF(SUM($AX$89:$AX$90) = 0, "", SUM($AX$89:$AX$90))))</f>
        <v>1047486</v>
      </c>
      <c r="AY88">
        <f ca="1">IF(ISERROR(IF(SUM($AY$89:$AY$90) = 0, "", SUM($AY$89:$AY$90))), "", (IF(SUM($AY$89:$AY$90) = 0, "", SUM($AY$89:$AY$90))))</f>
        <v>1049134</v>
      </c>
      <c r="AZ88">
        <f ca="1">IF(ISERROR(IF(SUM($AZ$89:$AZ$90) = 0, "", SUM($AZ$89:$AZ$90))), "", (IF(SUM($AZ$89:$AZ$90) = 0, "", SUM($AZ$89:$AZ$90))))</f>
        <v>915353</v>
      </c>
      <c r="BA88">
        <f ca="1">IF(ISERROR(IF(SUM($BA$89:$BA$90) = 0, "", SUM($BA$89:$BA$90))), "", (IF(SUM($BA$89:$BA$90) = 0, "", SUM($BA$89:$BA$90))))</f>
        <v>1013011</v>
      </c>
      <c r="BB88">
        <f ca="1">IF(ISERROR(IF(SUM($BB$89:$BB$90) = 0, "", SUM($BB$89:$BB$90))), "", (IF(SUM($BB$89:$BB$90) = 0, "", SUM($BB$89:$BB$90))))</f>
        <v>909130</v>
      </c>
      <c r="BC88">
        <f ca="1">IF(ISERROR(IF(SUM($BC$89:$BC$90) = 0, "", SUM($BC$89:$BC$90))), "", (IF(SUM($BC$89:$BC$90) = 0, "", SUM($BC$89:$BC$90))))</f>
        <v>1014611</v>
      </c>
      <c r="BD88">
        <f ca="1">IF(ISERROR(IF(SUM($BD$89:$BD$90) = 0, "", SUM($BD$89:$BD$90))), "", (IF(SUM($BD$89:$BD$90) = 0, "", SUM($BD$89:$BD$90))))</f>
        <v>870161</v>
      </c>
      <c r="BE88">
        <f ca="1">IF(ISERROR(IF(SUM($BE$89:$BE$90) = 0, "", SUM($BE$89:$BE$90))), "", (IF(SUM($BE$89:$BE$90) = 0, "", SUM($BE$89:$BE$90))))</f>
        <v>970311</v>
      </c>
      <c r="BF88">
        <f ca="1">IF(ISERROR(IF(SUM($BF$89:$BF$90) = 0, "", SUM($BF$89:$BF$90))), "", (IF(SUM($BF$89:$BF$90) = 0, "", SUM($BF$89:$BF$90))))</f>
        <v>851868</v>
      </c>
      <c r="BG88">
        <f ca="1">IF(ISERROR(IF(SUM($BG$89:$BG$90) = 0, "", SUM($BG$89:$BG$90))), "", (IF(SUM($BG$89:$BG$90) = 0, "", SUM($BG$89:$BG$90))))</f>
        <v>997766</v>
      </c>
      <c r="BH88">
        <f ca="1">IF(ISERROR(IF(SUM($BH$89:$BH$90) = 0, "", SUM($BH$89:$BH$90))), "", (IF(SUM($BH$89:$BH$90) = 0, "", SUM($BH$89:$BH$90))))</f>
        <v>853856</v>
      </c>
      <c r="BI88">
        <f ca="1">IF(ISERROR(IF(SUM($BI$89:$BI$90) = 0, "", SUM($BI$89:$BI$90))), "", (IF(SUM($BI$89:$BI$90) = 0, "", SUM($BI$89:$BI$90))))</f>
        <v>909309</v>
      </c>
      <c r="BJ88">
        <f ca="1">IF(ISERROR(IF(SUM($BJ$89:$BJ$90) = 0, "", SUM($BJ$89:$BJ$90))), "", (IF(SUM($BJ$89:$BJ$90) = 0, "", SUM($BJ$89:$BJ$90))))</f>
        <v>798288</v>
      </c>
      <c r="BK88">
        <f ca="1">IF(ISERROR(IF(SUM($BK$89:$BK$90) = 0, "", SUM($BK$89:$BK$90))), "", (IF(SUM($BK$89:$BK$90) = 0, "", SUM($BK$89:$BK$90))))</f>
        <v>879229</v>
      </c>
      <c r="BL88">
        <f ca="1">IF(ISERROR(IF(SUM($BL$89:$BL$90) = 0, "", SUM($BL$89:$BL$90))), "", (IF(SUM($BL$89:$BL$90) = 0, "", SUM($BL$89:$BL$90))))</f>
        <v>767843</v>
      </c>
      <c r="BM88">
        <f ca="1">IF(ISERROR(IF(SUM($BM$89:$BM$90) = 0, "", SUM($BM$89:$BM$90))), "", (IF(SUM($BM$89:$BM$90) = 0, "", SUM($BM$89:$BM$90))))</f>
        <v>783810</v>
      </c>
      <c r="BN88" t="str">
        <f>""</f>
        <v/>
      </c>
      <c r="BO88" t="str">
        <f>""</f>
        <v/>
      </c>
      <c r="BP88">
        <f>1788866</f>
        <v>1788866</v>
      </c>
      <c r="BQ88">
        <f>928420</f>
        <v>928420</v>
      </c>
      <c r="BR88">
        <f>1671258</f>
        <v>1671258</v>
      </c>
      <c r="BS88">
        <f>1919623</f>
        <v>1919623</v>
      </c>
      <c r="BT88">
        <f>1761292</f>
        <v>1761292</v>
      </c>
      <c r="BU88">
        <f>1797851</f>
        <v>1797851</v>
      </c>
      <c r="BV88">
        <f>1719396</f>
        <v>1719396</v>
      </c>
      <c r="BW88">
        <f>2197195</f>
        <v>2197195</v>
      </c>
      <c r="BX88">
        <f>1803868</f>
        <v>1803868</v>
      </c>
      <c r="BY88">
        <f>2069388</f>
        <v>2069388</v>
      </c>
      <c r="BZ88">
        <f>1793539</f>
        <v>1793539</v>
      </c>
      <c r="CA88">
        <f>2215958</f>
        <v>2215958</v>
      </c>
      <c r="CB88">
        <f>1809779</f>
        <v>1809779</v>
      </c>
      <c r="CC88">
        <f>1980184</f>
        <v>1980184</v>
      </c>
      <c r="CD88">
        <f>1873669</f>
        <v>1873669</v>
      </c>
      <c r="CE88">
        <f>2192215</f>
        <v>2192215</v>
      </c>
      <c r="CF88">
        <f>1737596</f>
        <v>1737596</v>
      </c>
      <c r="CG88">
        <f>2025000</f>
        <v>2025000</v>
      </c>
      <c r="CH88">
        <f>1914189</f>
        <v>1914189</v>
      </c>
      <c r="CI88">
        <f>1904822</f>
        <v>1904822</v>
      </c>
      <c r="CJ88">
        <f>1799502</f>
        <v>1799502</v>
      </c>
      <c r="CK88">
        <f>1949412</f>
        <v>1949412</v>
      </c>
      <c r="CL88">
        <f>1825581</f>
        <v>1825581</v>
      </c>
      <c r="CM88">
        <f>675095</f>
        <v>675095</v>
      </c>
      <c r="CN88">
        <f>1686851</f>
        <v>1686851</v>
      </c>
      <c r="CO88">
        <f>1822147</f>
        <v>1822147</v>
      </c>
      <c r="CP88">
        <f>1708179</f>
        <v>1708179</v>
      </c>
      <c r="CQ88">
        <f>1760613</f>
        <v>1760613</v>
      </c>
      <c r="CR88">
        <f>1617186</f>
        <v>1617186</v>
      </c>
      <c r="CS88">
        <f>1683056</f>
        <v>1683056</v>
      </c>
      <c r="CT88">
        <f>1486735</f>
        <v>1486735</v>
      </c>
      <c r="CU88">
        <f>1491665</f>
        <v>1491665</v>
      </c>
      <c r="CV88">
        <f>1423500</f>
        <v>1423500</v>
      </c>
      <c r="CW88">
        <f>927848</f>
        <v>927848</v>
      </c>
      <c r="CX88">
        <f>846551</f>
        <v>846551</v>
      </c>
      <c r="CY88" t="str">
        <f>""</f>
        <v/>
      </c>
      <c r="CZ88" t="str">
        <f>""</f>
        <v/>
      </c>
      <c r="DA88" t="str">
        <f>""</f>
        <v/>
      </c>
      <c r="DB88" t="str">
        <f>""</f>
        <v/>
      </c>
      <c r="DC88">
        <f>1044968</f>
        <v>1044968</v>
      </c>
      <c r="DD88">
        <f>928332</f>
        <v>928332</v>
      </c>
      <c r="DE88">
        <f>1159239</f>
        <v>1159239</v>
      </c>
      <c r="DF88">
        <f>1047486</f>
        <v>1047486</v>
      </c>
      <c r="DG88">
        <f>1049134</f>
        <v>1049134</v>
      </c>
      <c r="DH88">
        <f>915353</f>
        <v>915353</v>
      </c>
      <c r="DI88">
        <f>1013011</f>
        <v>1013011</v>
      </c>
      <c r="DJ88">
        <f>909130</f>
        <v>909130</v>
      </c>
      <c r="DK88">
        <f>1014611</f>
        <v>1014611</v>
      </c>
      <c r="DL88">
        <f>870161</f>
        <v>870161</v>
      </c>
      <c r="DM88">
        <f>970311</f>
        <v>970311</v>
      </c>
      <c r="DN88">
        <f>851868</f>
        <v>851868</v>
      </c>
      <c r="DO88">
        <f>997766</f>
        <v>997766</v>
      </c>
      <c r="DP88">
        <f>853856</f>
        <v>853856</v>
      </c>
      <c r="DQ88">
        <f>909309</f>
        <v>909309</v>
      </c>
      <c r="DR88">
        <f>798288</f>
        <v>798288</v>
      </c>
      <c r="DS88">
        <f>879229</f>
        <v>879229</v>
      </c>
      <c r="DT88">
        <f>767843</f>
        <v>767843</v>
      </c>
      <c r="DU88">
        <f>783810</f>
        <v>783810</v>
      </c>
    </row>
    <row r="89" spans="1:125" x14ac:dyDescent="0.25">
      <c r="A89" t="str">
        <f>"        Hyundai Motor Corp"</f>
        <v xml:space="preserve">        Hyundai Motor Corp</v>
      </c>
      <c r="B89" t="str">
        <f>"005380 KS Equity"</f>
        <v>005380 KS Equity</v>
      </c>
      <c r="C89" t="str">
        <f>"FS265"</f>
        <v>FS265</v>
      </c>
      <c r="D89" t="str">
        <f>"AUTO_VEHICLES_SOLD_WW"</f>
        <v>AUTO_VEHICLES_SOLD_WW</v>
      </c>
      <c r="E89" t="str">
        <f>"Dynamic"</f>
        <v>Dynamic</v>
      </c>
      <c r="F89" t="str">
        <f ca="1">IF(AND(ISNUMBER($F$232),$B$156=1),$F$232,HLOOKUP(INDIRECT(ADDRESS(2,COLUMN())),OFFSET($BN$2,0,0,ROW()-1,60),ROW()-1,FALSE))</f>
        <v/>
      </c>
      <c r="G89" t="str">
        <f ca="1">IF(AND(ISNUMBER($G$232),$B$156=1),$G$232,HLOOKUP(INDIRECT(ADDRESS(2,COLUMN())),OFFSET($BN$2,0,0,ROW()-1,60),ROW()-1,FALSE))</f>
        <v/>
      </c>
      <c r="H89">
        <f ca="1">IF(AND(ISNUMBER($H$232),$B$156=1),$H$232,HLOOKUP(INDIRECT(ADDRESS(2,COLUMN())),OFFSET($BN$2,0,0,ROW()-1,60),ROW()-1,FALSE))</f>
        <v>1092572</v>
      </c>
      <c r="I89">
        <f ca="1">IF(AND(ISNUMBER($I$232),$B$156=1),$I$232,HLOOKUP(INDIRECT(ADDRESS(2,COLUMN())),OFFSET($BN$2,0,0,ROW()-1,60),ROW()-1,FALSE))</f>
        <v>182484</v>
      </c>
      <c r="J89">
        <f ca="1">IF(AND(ISNUMBER($J$232),$B$156=1),$J$232,HLOOKUP(INDIRECT(ADDRESS(2,COLUMN())),OFFSET($BN$2,0,0,ROW()-1,60),ROW()-1,FALSE))</f>
        <v>1018100</v>
      </c>
      <c r="K89">
        <f ca="1">IF(AND(ISNUMBER($K$232),$B$156=1),$K$232,HLOOKUP(INDIRECT(ADDRESS(2,COLUMN())),OFFSET($BN$2,0,0,ROW()-1,60),ROW()-1,FALSE))</f>
        <v>1203558</v>
      </c>
      <c r="L89">
        <f ca="1">IF(AND(ISNUMBER($L$232),$B$156=1),$L$232,HLOOKUP(INDIRECT(ADDRESS(2,COLUMN())),OFFSET($BN$2,0,0,ROW()-1,60),ROW()-1,FALSE))</f>
        <v>1071496</v>
      </c>
      <c r="M89">
        <f ca="1">IF(AND(ISNUMBER($M$232),$B$156=1),$M$232,HLOOKUP(INDIRECT(ADDRESS(2,COLUMN())),OFFSET($BN$2,0,0,ROW()-1,60),ROW()-1,FALSE))</f>
        <v>1108089</v>
      </c>
      <c r="N89">
        <f ca="1">IF(AND(ISNUMBER($N$232),$B$156=1),$N$232,HLOOKUP(INDIRECT(ADDRESS(2,COLUMN())),OFFSET($BN$2,0,0,ROW()-1,60),ROW()-1,FALSE))</f>
        <v>1089600</v>
      </c>
      <c r="O89">
        <f ca="1">IF(AND(ISNUMBER($O$232),$B$156=1),$O$232,HLOOKUP(INDIRECT(ADDRESS(2,COLUMN())),OFFSET($BN$2,0,0,ROW()-1,60),ROW()-1,FALSE))</f>
        <v>1380024</v>
      </c>
      <c r="P89">
        <f ca="1">IF(AND(ISNUMBER($P$232),$B$156=1),$P$232,HLOOKUP(INDIRECT(ADDRESS(2,COLUMN())),OFFSET($BN$2,0,0,ROW()-1,60),ROW()-1,FALSE))</f>
        <v>1084674</v>
      </c>
      <c r="Q89">
        <f ca="1">IF(AND(ISNUMBER($Q$232),$B$156=1),$Q$232,HLOOKUP(INDIRECT(ADDRESS(2,COLUMN())),OFFSET($BN$2,0,0,ROW()-1,60),ROW()-1,FALSE))</f>
        <v>1285860</v>
      </c>
      <c r="R89">
        <f ca="1">IF(AND(ISNUMBER($R$232),$B$156=1),$R$232,HLOOKUP(INDIRECT(ADDRESS(2,COLUMN())),OFFSET($BN$2,0,0,ROW()-1,60),ROW()-1,FALSE))</f>
        <v>1107377</v>
      </c>
      <c r="S89">
        <f ca="1">IF(AND(ISNUMBER($S$232),$B$156=1),$S$232,HLOOKUP(INDIRECT(ADDRESS(2,COLUMN())),OFFSET($BN$2,0,0,ROW()-1,60),ROW()-1,FALSE))</f>
        <v>1425456</v>
      </c>
      <c r="T89">
        <f ca="1">IF(AND(ISNUMBER($T$232),$B$156=1),$T$232,HLOOKUP(INDIRECT(ADDRESS(2,COLUMN())),OFFSET($BN$2,0,0,ROW()-1,60),ROW()-1,FALSE))</f>
        <v>1121796</v>
      </c>
      <c r="U89">
        <f ca="1">IF(AND(ISNUMBER($U$232),$B$156=1),$U$232,HLOOKUP(INDIRECT(ADDRESS(2,COLUMN())),OFFSET($BN$2,0,0,ROW()-1,60),ROW()-1,FALSE))</f>
        <v>1234184</v>
      </c>
      <c r="V89">
        <f ca="1">IF(AND(ISNUMBER($V$232),$B$156=1),$V$232,HLOOKUP(INDIRECT(ADDRESS(2,COLUMN())),OFFSET($BN$2,0,0,ROW()-1,60),ROW()-1,FALSE))</f>
        <v>1182669</v>
      </c>
      <c r="W89">
        <f ca="1">IF(AND(ISNUMBER($W$232),$B$156=1),$W$232,HLOOKUP(INDIRECT(ADDRESS(2,COLUMN())),OFFSET($BN$2,0,0,ROW()-1,60),ROW()-1,FALSE))</f>
        <v>1440784</v>
      </c>
      <c r="X89">
        <f ca="1">IF(AND(ISNUMBER($X$232),$B$156=1),$X$232,HLOOKUP(INDIRECT(ADDRESS(2,COLUMN())),OFFSET($BN$2,0,0,ROW()-1,60),ROW()-1,FALSE))</f>
        <v>1025216</v>
      </c>
      <c r="Y89">
        <f ca="1">IF(AND(ISNUMBER($Y$232),$B$156=1),$Y$232,HLOOKUP(INDIRECT(ADDRESS(2,COLUMN())),OFFSET($BN$2,0,0,ROW()-1,60),ROW()-1,FALSE))</f>
        <v>1269000</v>
      </c>
      <c r="Z89">
        <f ca="1">IF(AND(ISNUMBER($Z$232),$B$156=1),$Z$232,HLOOKUP(INDIRECT(ADDRESS(2,COLUMN())),OFFSET($BN$2,0,0,ROW()-1,60),ROW()-1,FALSE))</f>
        <v>1227000</v>
      </c>
      <c r="AA89">
        <f ca="1">IF(AND(ISNUMBER($AA$232),$B$156=1),$AA$232,HLOOKUP(INDIRECT(ADDRESS(2,COLUMN())),OFFSET($BN$2,0,0,ROW()-1,60),ROW()-1,FALSE))</f>
        <v>1232344</v>
      </c>
      <c r="AB89">
        <f ca="1">IF(AND(ISNUMBER($AB$232),$B$156=1),$AB$232,HLOOKUP(INDIRECT(ADDRESS(2,COLUMN())),OFFSET($BN$2,0,0,ROW()-1,60),ROW()-1,FALSE))</f>
        <v>1109205</v>
      </c>
      <c r="AC89">
        <f ca="1">IF(AND(ISNUMBER($AC$232),$B$156=1),$AC$232,HLOOKUP(INDIRECT(ADDRESS(2,COLUMN())),OFFSET($BN$2,0,0,ROW()-1,60),ROW()-1,FALSE))</f>
        <v>1219118</v>
      </c>
      <c r="AD89">
        <f ca="1">IF(AND(ISNUMBER($AD$232),$B$156=1),$AD$232,HLOOKUP(INDIRECT(ADDRESS(2,COLUMN())),OFFSET($BN$2,0,0,ROW()-1,60),ROW()-1,FALSE))</f>
        <v>1171804</v>
      </c>
      <c r="AE89" t="str">
        <f ca="1">IF(AND(ISNUMBER($AE$232),$B$156=1),$AE$232,HLOOKUP(INDIRECT(ADDRESS(2,COLUMN())),OFFSET($BN$2,0,0,ROW()-1,60),ROW()-1,FALSE))</f>
        <v/>
      </c>
      <c r="AF89">
        <f ca="1">IF(AND(ISNUMBER($AF$232),$B$156=1),$AF$232,HLOOKUP(INDIRECT(ADDRESS(2,COLUMN())),OFFSET($BN$2,0,0,ROW()-1,60),ROW()-1,FALSE))</f>
        <v>1000742</v>
      </c>
      <c r="AG89">
        <f ca="1">IF(AND(ISNUMBER($AG$232),$B$156=1),$AG$232,HLOOKUP(INDIRECT(ADDRESS(2,COLUMN())),OFFSET($BN$2,0,0,ROW()-1,60),ROW()-1,FALSE))</f>
        <v>1110089</v>
      </c>
      <c r="AH89">
        <f ca="1">IF(AND(ISNUMBER($AH$232),$B$156=1),$AH$232,HLOOKUP(INDIRECT(ADDRESS(2,COLUMN())),OFFSET($BN$2,0,0,ROW()-1,60),ROW()-1,FALSE))</f>
        <v>1072680</v>
      </c>
      <c r="AI89">
        <f ca="1">IF(AND(ISNUMBER($AI$232),$B$156=1),$AI$232,HLOOKUP(INDIRECT(ADDRESS(2,COLUMN())),OFFSET($BN$2,0,0,ROW()-1,60),ROW()-1,FALSE))</f>
        <v>1109545</v>
      </c>
      <c r="AJ89">
        <f ca="1">IF(AND(ISNUMBER($AJ$232),$B$156=1),$AJ$232,HLOOKUP(INDIRECT(ADDRESS(2,COLUMN())),OFFSET($BN$2,0,0,ROW()-1,60),ROW()-1,FALSE))</f>
        <v>994020</v>
      </c>
      <c r="AK89">
        <f ca="1">IF(AND(ISNUMBER($AK$232),$B$156=1),$AK$232,HLOOKUP(INDIRECT(ADDRESS(2,COLUMN())),OFFSET($BN$2,0,0,ROW()-1,60),ROW()-1,FALSE))</f>
        <v>1044772</v>
      </c>
      <c r="AL89">
        <f ca="1">IF(AND(ISNUMBER($AL$232),$B$156=1),$AL$232,HLOOKUP(INDIRECT(ADDRESS(2,COLUMN())),OFFSET($BN$2,0,0,ROW()-1,60),ROW()-1,FALSE))</f>
        <v>921585</v>
      </c>
      <c r="AM89">
        <f ca="1">IF(AND(ISNUMBER($AM$232),$B$156=1),$AM$232,HLOOKUP(INDIRECT(ADDRESS(2,COLUMN())),OFFSET($BN$2,0,0,ROW()-1,60),ROW()-1,FALSE))</f>
        <v>948957</v>
      </c>
      <c r="AN89">
        <f ca="1">IF(AND(ISNUMBER($AN$232),$B$156=1),$AN$232,HLOOKUP(INDIRECT(ADDRESS(2,COLUMN())),OFFSET($BN$2,0,0,ROW()-1,60),ROW()-1,FALSE))</f>
        <v>908835</v>
      </c>
      <c r="AO89">
        <f ca="1">IF(AND(ISNUMBER($AO$232),$B$156=1),$AO$232,HLOOKUP(INDIRECT(ADDRESS(2,COLUMN())),OFFSET($BN$2,0,0,ROW()-1,60),ROW()-1,FALSE))</f>
        <v>927848</v>
      </c>
      <c r="AP89">
        <f ca="1">IF(AND(ISNUMBER($AP$232),$B$156=1),$AP$232,HLOOKUP(INDIRECT(ADDRESS(2,COLUMN())),OFFSET($BN$2,0,0,ROW()-1,60),ROW()-1,FALSE))</f>
        <v>846551</v>
      </c>
      <c r="AQ89" t="str">
        <f ca="1">IF(AND(ISNUMBER($AQ$232),$B$156=1),$AQ$232,HLOOKUP(INDIRECT(ADDRESS(2,COLUMN())),OFFSET($BN$2,0,0,ROW()-1,60),ROW()-1,FALSE))</f>
        <v/>
      </c>
      <c r="AR89" t="str">
        <f ca="1">IF(AND(ISNUMBER($AR$232),$B$156=1),$AR$232,HLOOKUP(INDIRECT(ADDRESS(2,COLUMN())),OFFSET($BN$2,0,0,ROW()-1,60),ROW()-1,FALSE))</f>
        <v/>
      </c>
      <c r="AS89" t="str">
        <f ca="1">IF(AND(ISNUMBER($AS$232),$B$156=1),$AS$232,HLOOKUP(INDIRECT(ADDRESS(2,COLUMN())),OFFSET($BN$2,0,0,ROW()-1,60),ROW()-1,FALSE))</f>
        <v/>
      </c>
      <c r="AT89" t="str">
        <f ca="1">IF(AND(ISNUMBER($AT$232),$B$156=1),$AT$232,HLOOKUP(INDIRECT(ADDRESS(2,COLUMN())),OFFSET($BN$2,0,0,ROW()-1,60),ROW()-1,FALSE))</f>
        <v/>
      </c>
      <c r="AU89">
        <f ca="1">IF(AND(ISNUMBER($AU$232),$B$156=1),$AU$232,HLOOKUP(INDIRECT(ADDRESS(2,COLUMN())),OFFSET($BN$2,0,0,ROW()-1,60),ROW()-1,FALSE))</f>
        <v>732619</v>
      </c>
      <c r="AV89">
        <f ca="1">IF(AND(ISNUMBER($AV$232),$B$156=1),$AV$232,HLOOKUP(INDIRECT(ADDRESS(2,COLUMN())),OFFSET($BN$2,0,0,ROW()-1,60),ROW()-1,FALSE))</f>
        <v>583016</v>
      </c>
      <c r="AW89">
        <f ca="1">IF(AND(ISNUMBER($AW$232),$B$156=1),$AW$232,HLOOKUP(INDIRECT(ADDRESS(2,COLUMN())),OFFSET($BN$2,0,0,ROW()-1,60),ROW()-1,FALSE))</f>
        <v>773007</v>
      </c>
      <c r="AX89">
        <f ca="1">IF(AND(ISNUMBER($AX$232),$B$156=1),$AX$232,HLOOKUP(INDIRECT(ADDRESS(2,COLUMN())),OFFSET($BN$2,0,0,ROW()-1,60),ROW()-1,FALSE))</f>
        <v>716801</v>
      </c>
      <c r="AY89">
        <f ca="1">IF(AND(ISNUMBER($AY$232),$B$156=1),$AY$232,HLOOKUP(INDIRECT(ADDRESS(2,COLUMN())),OFFSET($BN$2,0,0,ROW()-1,60),ROW()-1,FALSE))</f>
        <v>708471</v>
      </c>
      <c r="AZ89">
        <f ca="1">IF(AND(ISNUMBER($AZ$232),$B$156=1),$AZ$232,HLOOKUP(INDIRECT(ADDRESS(2,COLUMN())),OFFSET($BN$2,0,0,ROW()-1,60),ROW()-1,FALSE))</f>
        <v>606316</v>
      </c>
      <c r="BA89">
        <f ca="1">IF(AND(ISNUMBER($BA$232),$B$156=1),$BA$232,HLOOKUP(INDIRECT(ADDRESS(2,COLUMN())),OFFSET($BN$2,0,0,ROW()-1,60),ROW()-1,FALSE))</f>
        <v>688500</v>
      </c>
      <c r="BB89">
        <f ca="1">IF(AND(ISNUMBER($BB$232),$B$156=1),$BB$232,HLOOKUP(INDIRECT(ADDRESS(2,COLUMN())),OFFSET($BN$2,0,0,ROW()-1,60),ROW()-1,FALSE))</f>
        <v>614698</v>
      </c>
      <c r="BC89">
        <f ca="1">IF(AND(ISNUMBER($BC$232),$B$156=1),$BC$232,HLOOKUP(INDIRECT(ADDRESS(2,COLUMN())),OFFSET($BN$2,0,0,ROW()-1,60),ROW()-1,FALSE))</f>
        <v>682447</v>
      </c>
      <c r="BD89">
        <f ca="1">IF(AND(ISNUMBER($BD$232),$B$156=1),$BD$232,HLOOKUP(INDIRECT(ADDRESS(2,COLUMN())),OFFSET($BN$2,0,0,ROW()-1,60),ROW()-1,FALSE))</f>
        <v>576791</v>
      </c>
      <c r="BE89">
        <f ca="1">IF(AND(ISNUMBER($BE$232),$B$156=1),$BE$232,HLOOKUP(INDIRECT(ADDRESS(2,COLUMN())),OFFSET($BN$2,0,0,ROW()-1,60),ROW()-1,FALSE))</f>
        <v>638272</v>
      </c>
      <c r="BF89">
        <f ca="1">IF(AND(ISNUMBER($BF$232),$B$156=1),$BF$232,HLOOKUP(INDIRECT(ADDRESS(2,COLUMN())),OFFSET($BN$2,0,0,ROW()-1,60),ROW()-1,FALSE))</f>
        <v>566808</v>
      </c>
      <c r="BG89">
        <f ca="1">IF(AND(ISNUMBER($BG$232),$B$156=1),$BG$232,HLOOKUP(INDIRECT(ADDRESS(2,COLUMN())),OFFSET($BN$2,0,0,ROW()-1,60),ROW()-1,FALSE))</f>
        <v>694448</v>
      </c>
      <c r="BH89">
        <f ca="1">IF(AND(ISNUMBER($BH$232),$B$156=1),$BH$232,HLOOKUP(INDIRECT(ADDRESS(2,COLUMN())),OFFSET($BN$2,0,0,ROW()-1,60),ROW()-1,FALSE))</f>
        <v>544073</v>
      </c>
      <c r="BI89">
        <f ca="1">IF(AND(ISNUMBER($BI$232),$B$156=1),$BI$232,HLOOKUP(INDIRECT(ADDRESS(2,COLUMN())),OFFSET($BN$2,0,0,ROW()-1,60),ROW()-1,FALSE))</f>
        <v>593744</v>
      </c>
      <c r="BJ89">
        <f ca="1">IF(AND(ISNUMBER($BJ$232),$B$156=1),$BJ$232,HLOOKUP(INDIRECT(ADDRESS(2,COLUMN())),OFFSET($BN$2,0,0,ROW()-1,60),ROW()-1,FALSE))</f>
        <v>539542</v>
      </c>
      <c r="BK89">
        <f ca="1">IF(AND(ISNUMBER($BK$232),$B$156=1),$BK$232,HLOOKUP(INDIRECT(ADDRESS(2,COLUMN())),OFFSET($BN$2,0,0,ROW()-1,60),ROW()-1,FALSE))</f>
        <v>623460</v>
      </c>
      <c r="BL89">
        <f ca="1">IF(AND(ISNUMBER($BL$232),$B$156=1),$BL$232,HLOOKUP(INDIRECT(ADDRESS(2,COLUMN())),OFFSET($BN$2,0,0,ROW()-1,60),ROW()-1,FALSE))</f>
        <v>519430</v>
      </c>
      <c r="BM89">
        <f ca="1">IF(AND(ISNUMBER($BM$232),$B$156=1),$BM$232,HLOOKUP(INDIRECT(ADDRESS(2,COLUMN())),OFFSET($BN$2,0,0,ROW()-1,60),ROW()-1,FALSE))</f>
        <v>529130</v>
      </c>
      <c r="BN89" t="str">
        <f>""</f>
        <v/>
      </c>
      <c r="BO89" t="str">
        <f>""</f>
        <v/>
      </c>
      <c r="BP89">
        <f>1092572</f>
        <v>1092572</v>
      </c>
      <c r="BQ89">
        <f>182484</f>
        <v>182484</v>
      </c>
      <c r="BR89">
        <f>1018100</f>
        <v>1018100</v>
      </c>
      <c r="BS89">
        <f>1203558</f>
        <v>1203558</v>
      </c>
      <c r="BT89">
        <f>1071496</f>
        <v>1071496</v>
      </c>
      <c r="BU89">
        <f>1108089</f>
        <v>1108089</v>
      </c>
      <c r="BV89">
        <f>1089600</f>
        <v>1089600</v>
      </c>
      <c r="BW89">
        <f>1380024</f>
        <v>1380024</v>
      </c>
      <c r="BX89">
        <f>1084674</f>
        <v>1084674</v>
      </c>
      <c r="BY89">
        <f>1285860</f>
        <v>1285860</v>
      </c>
      <c r="BZ89">
        <f>1107377</f>
        <v>1107377</v>
      </c>
      <c r="CA89">
        <f>1425456</f>
        <v>1425456</v>
      </c>
      <c r="CB89">
        <f>1121796</f>
        <v>1121796</v>
      </c>
      <c r="CC89">
        <f>1234184</f>
        <v>1234184</v>
      </c>
      <c r="CD89">
        <f>1182669</f>
        <v>1182669</v>
      </c>
      <c r="CE89">
        <f>1440784</f>
        <v>1440784</v>
      </c>
      <c r="CF89">
        <f>1025216</f>
        <v>1025216</v>
      </c>
      <c r="CG89">
        <f>1269000</f>
        <v>1269000</v>
      </c>
      <c r="CH89">
        <f>1227000</f>
        <v>1227000</v>
      </c>
      <c r="CI89">
        <f>1232344</f>
        <v>1232344</v>
      </c>
      <c r="CJ89">
        <f>1109205</f>
        <v>1109205</v>
      </c>
      <c r="CK89">
        <f>1219118</f>
        <v>1219118</v>
      </c>
      <c r="CL89">
        <f>1171804</f>
        <v>1171804</v>
      </c>
      <c r="CM89" t="str">
        <f>""</f>
        <v/>
      </c>
      <c r="CN89">
        <f>1000742</f>
        <v>1000742</v>
      </c>
      <c r="CO89">
        <f>1110089</f>
        <v>1110089</v>
      </c>
      <c r="CP89">
        <f>1072680</f>
        <v>1072680</v>
      </c>
      <c r="CQ89">
        <f>1109545</f>
        <v>1109545</v>
      </c>
      <c r="CR89">
        <f>994020</f>
        <v>994020</v>
      </c>
      <c r="CS89">
        <f>1044772</f>
        <v>1044772</v>
      </c>
      <c r="CT89">
        <f>921585</f>
        <v>921585</v>
      </c>
      <c r="CU89">
        <f>948957</f>
        <v>948957</v>
      </c>
      <c r="CV89">
        <f>908835</f>
        <v>908835</v>
      </c>
      <c r="CW89">
        <f>927848</f>
        <v>927848</v>
      </c>
      <c r="CX89">
        <f>846551</f>
        <v>846551</v>
      </c>
      <c r="CY89" t="str">
        <f>""</f>
        <v/>
      </c>
      <c r="CZ89" t="str">
        <f>""</f>
        <v/>
      </c>
      <c r="DA89" t="str">
        <f>""</f>
        <v/>
      </c>
      <c r="DB89" t="str">
        <f>""</f>
        <v/>
      </c>
      <c r="DC89">
        <f>732619</f>
        <v>732619</v>
      </c>
      <c r="DD89">
        <f>583016</f>
        <v>583016</v>
      </c>
      <c r="DE89">
        <f>773007</f>
        <v>773007</v>
      </c>
      <c r="DF89">
        <f>716801</f>
        <v>716801</v>
      </c>
      <c r="DG89">
        <f>708471</f>
        <v>708471</v>
      </c>
      <c r="DH89">
        <f>606316</f>
        <v>606316</v>
      </c>
      <c r="DI89">
        <f>688500</f>
        <v>688500</v>
      </c>
      <c r="DJ89">
        <f>614698</f>
        <v>614698</v>
      </c>
      <c r="DK89">
        <f>682447</f>
        <v>682447</v>
      </c>
      <c r="DL89">
        <f>576791</f>
        <v>576791</v>
      </c>
      <c r="DM89">
        <f>638272</f>
        <v>638272</v>
      </c>
      <c r="DN89">
        <f>566808</f>
        <v>566808</v>
      </c>
      <c r="DO89">
        <f>694448</f>
        <v>694448</v>
      </c>
      <c r="DP89">
        <f>544073</f>
        <v>544073</v>
      </c>
      <c r="DQ89">
        <f>593744</f>
        <v>593744</v>
      </c>
      <c r="DR89">
        <f>539542</f>
        <v>539542</v>
      </c>
      <c r="DS89">
        <f>623460</f>
        <v>623460</v>
      </c>
      <c r="DT89">
        <f>519430</f>
        <v>519430</v>
      </c>
      <c r="DU89">
        <f>529130</f>
        <v>529130</v>
      </c>
    </row>
    <row r="90" spans="1:125" x14ac:dyDescent="0.25">
      <c r="A90" t="str">
        <f>"        Kia Motors Corp"</f>
        <v xml:space="preserve">        Kia Motors Corp</v>
      </c>
      <c r="B90" t="str">
        <f>"000270 KS Equity"</f>
        <v>000270 KS Equity</v>
      </c>
      <c r="C90" t="str">
        <f>"FS265"</f>
        <v>FS265</v>
      </c>
      <c r="D90" t="str">
        <f>"AUTO_VEHICLES_SOLD_WW"</f>
        <v>AUTO_VEHICLES_SOLD_WW</v>
      </c>
      <c r="E90" t="str">
        <f>"Dynamic"</f>
        <v>Dynamic</v>
      </c>
      <c r="F90" t="str">
        <f ca="1">IF(AND(ISNUMBER($F$233),$B$156=1),$F$233,HLOOKUP(INDIRECT(ADDRESS(2,COLUMN())),OFFSET($BN$2,0,0,ROW()-1,60),ROW()-1,FALSE))</f>
        <v/>
      </c>
      <c r="G90" t="str">
        <f ca="1">IF(AND(ISNUMBER($G$233),$B$156=1),$G$233,HLOOKUP(INDIRECT(ADDRESS(2,COLUMN())),OFFSET($BN$2,0,0,ROW()-1,60),ROW()-1,FALSE))</f>
        <v/>
      </c>
      <c r="H90">
        <f ca="1">IF(AND(ISNUMBER($H$233),$B$156=1),$H$233,HLOOKUP(INDIRECT(ADDRESS(2,COLUMN())),OFFSET($BN$2,0,0,ROW()-1,60),ROW()-1,FALSE))</f>
        <v>696294</v>
      </c>
      <c r="I90">
        <f ca="1">IF(AND(ISNUMBER($I$233),$B$156=1),$I$233,HLOOKUP(INDIRECT(ADDRESS(2,COLUMN())),OFFSET($BN$2,0,0,ROW()-1,60),ROW()-1,FALSE))</f>
        <v>745936</v>
      </c>
      <c r="J90">
        <f ca="1">IF(AND(ISNUMBER($J$233),$B$156=1),$J$233,HLOOKUP(INDIRECT(ADDRESS(2,COLUMN())),OFFSET($BN$2,0,0,ROW()-1,60),ROW()-1,FALSE))</f>
        <v>653158</v>
      </c>
      <c r="K90">
        <f ca="1">IF(AND(ISNUMBER($K$233),$B$156=1),$K$233,HLOOKUP(INDIRECT(ADDRESS(2,COLUMN())),OFFSET($BN$2,0,0,ROW()-1,60),ROW()-1,FALSE))</f>
        <v>716065</v>
      </c>
      <c r="L90">
        <f ca="1">IF(AND(ISNUMBER($L$233),$B$156=1),$L$233,HLOOKUP(INDIRECT(ADDRESS(2,COLUMN())),OFFSET($BN$2,0,0,ROW()-1,60),ROW()-1,FALSE))</f>
        <v>689796</v>
      </c>
      <c r="M90">
        <f ca="1">IF(AND(ISNUMBER($M$233),$B$156=1),$M$233,HLOOKUP(INDIRECT(ADDRESS(2,COLUMN())),OFFSET($BN$2,0,0,ROW()-1,60),ROW()-1,FALSE))</f>
        <v>689762</v>
      </c>
      <c r="N90">
        <f ca="1">IF(AND(ISNUMBER($N$233),$B$156=1),$N$233,HLOOKUP(INDIRECT(ADDRESS(2,COLUMN())),OFFSET($BN$2,0,0,ROW()-1,60),ROW()-1,FALSE))</f>
        <v>629796</v>
      </c>
      <c r="O90">
        <f ca="1">IF(AND(ISNUMBER($O$233),$B$156=1),$O$233,HLOOKUP(INDIRECT(ADDRESS(2,COLUMN())),OFFSET($BN$2,0,0,ROW()-1,60),ROW()-1,FALSE))</f>
        <v>817171</v>
      </c>
      <c r="P90">
        <f ca="1">IF(AND(ISNUMBER($P$233),$B$156=1),$P$233,HLOOKUP(INDIRECT(ADDRESS(2,COLUMN())),OFFSET($BN$2,0,0,ROW()-1,60),ROW()-1,FALSE))</f>
        <v>719194</v>
      </c>
      <c r="Q90">
        <f ca="1">IF(AND(ISNUMBER($Q$233),$B$156=1),$Q$233,HLOOKUP(INDIRECT(ADDRESS(2,COLUMN())),OFFSET($BN$2,0,0,ROW()-1,60),ROW()-1,FALSE))</f>
        <v>783528</v>
      </c>
      <c r="R90">
        <f ca="1">IF(AND(ISNUMBER($R$233),$B$156=1),$R$233,HLOOKUP(INDIRECT(ADDRESS(2,COLUMN())),OFFSET($BN$2,0,0,ROW()-1,60),ROW()-1,FALSE))</f>
        <v>686162</v>
      </c>
      <c r="S90">
        <f ca="1">IF(AND(ISNUMBER($S$233),$B$156=1),$S$233,HLOOKUP(INDIRECT(ADDRESS(2,COLUMN())),OFFSET($BN$2,0,0,ROW()-1,60),ROW()-1,FALSE))</f>
        <v>790502</v>
      </c>
      <c r="T90">
        <f ca="1">IF(AND(ISNUMBER($T$233),$B$156=1),$T$233,HLOOKUP(INDIRECT(ADDRESS(2,COLUMN())),OFFSET($BN$2,0,0,ROW()-1,60),ROW()-1,FALSE))</f>
        <v>687983</v>
      </c>
      <c r="U90">
        <f ca="1">IF(AND(ISNUMBER($U$233),$B$156=1),$U$233,HLOOKUP(INDIRECT(ADDRESS(2,COLUMN())),OFFSET($BN$2,0,0,ROW()-1,60),ROW()-1,FALSE))</f>
        <v>746000</v>
      </c>
      <c r="V90">
        <f ca="1">IF(AND(ISNUMBER($V$233),$B$156=1),$V$233,HLOOKUP(INDIRECT(ADDRESS(2,COLUMN())),OFFSET($BN$2,0,0,ROW()-1,60),ROW()-1,FALSE))</f>
        <v>691000</v>
      </c>
      <c r="W90">
        <f ca="1">IF(AND(ISNUMBER($W$233),$B$156=1),$W$233,HLOOKUP(INDIRECT(ADDRESS(2,COLUMN())),OFFSET($BN$2,0,0,ROW()-1,60),ROW()-1,FALSE))</f>
        <v>751431</v>
      </c>
      <c r="X90">
        <f ca="1">IF(AND(ISNUMBER($X$233),$B$156=1),$X$233,HLOOKUP(INDIRECT(ADDRESS(2,COLUMN())),OFFSET($BN$2,0,0,ROW()-1,60),ROW()-1,FALSE))</f>
        <v>712380</v>
      </c>
      <c r="Y90">
        <f ca="1">IF(AND(ISNUMBER($Y$233),$B$156=1),$Y$233,HLOOKUP(INDIRECT(ADDRESS(2,COLUMN())),OFFSET($BN$2,0,0,ROW()-1,60),ROW()-1,FALSE))</f>
        <v>756000</v>
      </c>
      <c r="Z90">
        <f ca="1">IF(AND(ISNUMBER($Z$233),$B$156=1),$Z$233,HLOOKUP(INDIRECT(ADDRESS(2,COLUMN())),OFFSET($BN$2,0,0,ROW()-1,60),ROW()-1,FALSE))</f>
        <v>687189</v>
      </c>
      <c r="AA90">
        <f ca="1">IF(AND(ISNUMBER($AA$233),$B$156=1),$AA$233,HLOOKUP(INDIRECT(ADDRESS(2,COLUMN())),OFFSET($BN$2,0,0,ROW()-1,60),ROW()-1,FALSE))</f>
        <v>672478</v>
      </c>
      <c r="AB90">
        <f ca="1">IF(AND(ISNUMBER($AB$233),$B$156=1),$AB$233,HLOOKUP(INDIRECT(ADDRESS(2,COLUMN())),OFFSET($BN$2,0,0,ROW()-1,60),ROW()-1,FALSE))</f>
        <v>690297</v>
      </c>
      <c r="AC90">
        <f ca="1">IF(AND(ISNUMBER($AC$233),$B$156=1),$AC$233,HLOOKUP(INDIRECT(ADDRESS(2,COLUMN())),OFFSET($BN$2,0,0,ROW()-1,60),ROW()-1,FALSE))</f>
        <v>730294</v>
      </c>
      <c r="AD90">
        <f ca="1">IF(AND(ISNUMBER($AD$233),$B$156=1),$AD$233,HLOOKUP(INDIRECT(ADDRESS(2,COLUMN())),OFFSET($BN$2,0,0,ROW()-1,60),ROW()-1,FALSE))</f>
        <v>653777</v>
      </c>
      <c r="AE90">
        <f ca="1">IF(AND(ISNUMBER($AE$233),$B$156=1),$AE$233,HLOOKUP(INDIRECT(ADDRESS(2,COLUMN())),OFFSET($BN$2,0,0,ROW()-1,60),ROW()-1,FALSE))</f>
        <v>675095</v>
      </c>
      <c r="AF90">
        <f ca="1">IF(AND(ISNUMBER($AF$233),$B$156=1),$AF$233,HLOOKUP(INDIRECT(ADDRESS(2,COLUMN())),OFFSET($BN$2,0,0,ROW()-1,60),ROW()-1,FALSE))</f>
        <v>686109</v>
      </c>
      <c r="AG90">
        <f ca="1">IF(AND(ISNUMBER($AG$233),$B$156=1),$AG$233,HLOOKUP(INDIRECT(ADDRESS(2,COLUMN())),OFFSET($BN$2,0,0,ROW()-1,60),ROW()-1,FALSE))</f>
        <v>712058</v>
      </c>
      <c r="AH90">
        <f ca="1">IF(AND(ISNUMBER($AH$233),$B$156=1),$AH$233,HLOOKUP(INDIRECT(ADDRESS(2,COLUMN())),OFFSET($BN$2,0,0,ROW()-1,60),ROW()-1,FALSE))</f>
        <v>635499</v>
      </c>
      <c r="AI90">
        <f ca="1">IF(AND(ISNUMBER($AI$233),$B$156=1),$AI$233,HLOOKUP(INDIRECT(ADDRESS(2,COLUMN())),OFFSET($BN$2,0,0,ROW()-1,60),ROW()-1,FALSE))</f>
        <v>651068</v>
      </c>
      <c r="AJ90">
        <f ca="1">IF(AND(ISNUMBER($AJ$233),$B$156=1),$AJ$233,HLOOKUP(INDIRECT(ADDRESS(2,COLUMN())),OFFSET($BN$2,0,0,ROW()-1,60),ROW()-1,FALSE))</f>
        <v>623166</v>
      </c>
      <c r="AK90">
        <f ca="1">IF(AND(ISNUMBER($AK$233),$B$156=1),$AK$233,HLOOKUP(INDIRECT(ADDRESS(2,COLUMN())),OFFSET($BN$2,0,0,ROW()-1,60),ROW()-1,FALSE))</f>
        <v>638284</v>
      </c>
      <c r="AL90">
        <f ca="1">IF(AND(ISNUMBER($AL$233),$B$156=1),$AL$233,HLOOKUP(INDIRECT(ADDRESS(2,COLUMN())),OFFSET($BN$2,0,0,ROW()-1,60),ROW()-1,FALSE))</f>
        <v>565150</v>
      </c>
      <c r="AM90">
        <f ca="1">IF(AND(ISNUMBER($AM$233),$B$156=1),$AM$233,HLOOKUP(INDIRECT(ADDRESS(2,COLUMN())),OFFSET($BN$2,0,0,ROW()-1,60),ROW()-1,FALSE))</f>
        <v>542708</v>
      </c>
      <c r="AN90">
        <f ca="1">IF(AND(ISNUMBER($AN$233),$B$156=1),$AN$233,HLOOKUP(INDIRECT(ADDRESS(2,COLUMN())),OFFSET($BN$2,0,0,ROW()-1,60),ROW()-1,FALSE))</f>
        <v>514665</v>
      </c>
      <c r="AO90" t="str">
        <f ca="1">IF(AND(ISNUMBER($AO$233),$B$156=1),$AO$233,HLOOKUP(INDIRECT(ADDRESS(2,COLUMN())),OFFSET($BN$2,0,0,ROW()-1,60),ROW()-1,FALSE))</f>
        <v/>
      </c>
      <c r="AP90" t="str">
        <f ca="1">IF(AND(ISNUMBER($AP$233),$B$156=1),$AP$233,HLOOKUP(INDIRECT(ADDRESS(2,COLUMN())),OFFSET($BN$2,0,0,ROW()-1,60),ROW()-1,FALSE))</f>
        <v/>
      </c>
      <c r="AQ90" t="str">
        <f ca="1">IF(AND(ISNUMBER($AQ$233),$B$156=1),$AQ$233,HLOOKUP(INDIRECT(ADDRESS(2,COLUMN())),OFFSET($BN$2,0,0,ROW()-1,60),ROW()-1,FALSE))</f>
        <v/>
      </c>
      <c r="AR90" t="str">
        <f ca="1">IF(AND(ISNUMBER($AR$233),$B$156=1),$AR$233,HLOOKUP(INDIRECT(ADDRESS(2,COLUMN())),OFFSET($BN$2,0,0,ROW()-1,60),ROW()-1,FALSE))</f>
        <v/>
      </c>
      <c r="AS90" t="str">
        <f ca="1">IF(AND(ISNUMBER($AS$233),$B$156=1),$AS$233,HLOOKUP(INDIRECT(ADDRESS(2,COLUMN())),OFFSET($BN$2,0,0,ROW()-1,60),ROW()-1,FALSE))</f>
        <v/>
      </c>
      <c r="AT90" t="str">
        <f ca="1">IF(AND(ISNUMBER($AT$233),$B$156=1),$AT$233,HLOOKUP(INDIRECT(ADDRESS(2,COLUMN())),OFFSET($BN$2,0,0,ROW()-1,60),ROW()-1,FALSE))</f>
        <v/>
      </c>
      <c r="AU90">
        <f ca="1">IF(AND(ISNUMBER($AU$233),$B$156=1),$AU$233,HLOOKUP(INDIRECT(ADDRESS(2,COLUMN())),OFFSET($BN$2,0,0,ROW()-1,60),ROW()-1,FALSE))</f>
        <v>312349</v>
      </c>
      <c r="AV90">
        <f ca="1">IF(AND(ISNUMBER($AV$233),$B$156=1),$AV$233,HLOOKUP(INDIRECT(ADDRESS(2,COLUMN())),OFFSET($BN$2,0,0,ROW()-1,60),ROW()-1,FALSE))</f>
        <v>345316</v>
      </c>
      <c r="AW90">
        <f ca="1">IF(AND(ISNUMBER($AW$233),$B$156=1),$AW$233,HLOOKUP(INDIRECT(ADDRESS(2,COLUMN())),OFFSET($BN$2,0,0,ROW()-1,60),ROW()-1,FALSE))</f>
        <v>386232</v>
      </c>
      <c r="AX90">
        <f ca="1">IF(AND(ISNUMBER($AX$233),$B$156=1),$AX$233,HLOOKUP(INDIRECT(ADDRESS(2,COLUMN())),OFFSET($BN$2,0,0,ROW()-1,60),ROW()-1,FALSE))</f>
        <v>330685</v>
      </c>
      <c r="AY90">
        <f ca="1">IF(AND(ISNUMBER($AY$233),$B$156=1),$AY$233,HLOOKUP(INDIRECT(ADDRESS(2,COLUMN())),OFFSET($BN$2,0,0,ROW()-1,60),ROW()-1,FALSE))</f>
        <v>340663</v>
      </c>
      <c r="AZ90">
        <f ca="1">IF(AND(ISNUMBER($AZ$233),$B$156=1),$AZ$233,HLOOKUP(INDIRECT(ADDRESS(2,COLUMN())),OFFSET($BN$2,0,0,ROW()-1,60),ROW()-1,FALSE))</f>
        <v>309037</v>
      </c>
      <c r="BA90">
        <f ca="1">IF(AND(ISNUMBER($BA$233),$B$156=1),$BA$233,HLOOKUP(INDIRECT(ADDRESS(2,COLUMN())),OFFSET($BN$2,0,0,ROW()-1,60),ROW()-1,FALSE))</f>
        <v>324511</v>
      </c>
      <c r="BB90">
        <f ca="1">IF(AND(ISNUMBER($BB$233),$B$156=1),$BB$233,HLOOKUP(INDIRECT(ADDRESS(2,COLUMN())),OFFSET($BN$2,0,0,ROW()-1,60),ROW()-1,FALSE))</f>
        <v>294432</v>
      </c>
      <c r="BC90">
        <f ca="1">IF(AND(ISNUMBER($BC$233),$B$156=1),$BC$233,HLOOKUP(INDIRECT(ADDRESS(2,COLUMN())),OFFSET($BN$2,0,0,ROW()-1,60),ROW()-1,FALSE))</f>
        <v>332164</v>
      </c>
      <c r="BD90">
        <f ca="1">IF(AND(ISNUMBER($BD$233),$B$156=1),$BD$233,HLOOKUP(INDIRECT(ADDRESS(2,COLUMN())),OFFSET($BN$2,0,0,ROW()-1,60),ROW()-1,FALSE))</f>
        <v>293370</v>
      </c>
      <c r="BE90">
        <f ca="1">IF(AND(ISNUMBER($BE$233),$B$156=1),$BE$233,HLOOKUP(INDIRECT(ADDRESS(2,COLUMN())),OFFSET($BN$2,0,0,ROW()-1,60),ROW()-1,FALSE))</f>
        <v>332039</v>
      </c>
      <c r="BF90">
        <f ca="1">IF(AND(ISNUMBER($BF$233),$B$156=1),$BF$233,HLOOKUP(INDIRECT(ADDRESS(2,COLUMN())),OFFSET($BN$2,0,0,ROW()-1,60),ROW()-1,FALSE))</f>
        <v>285060</v>
      </c>
      <c r="BG90">
        <f ca="1">IF(AND(ISNUMBER($BG$233),$B$156=1),$BG$233,HLOOKUP(INDIRECT(ADDRESS(2,COLUMN())),OFFSET($BN$2,0,0,ROW()-1,60),ROW()-1,FALSE))</f>
        <v>303318</v>
      </c>
      <c r="BH90">
        <f ca="1">IF(AND(ISNUMBER($BH$233),$B$156=1),$BH$233,HLOOKUP(INDIRECT(ADDRESS(2,COLUMN())),OFFSET($BN$2,0,0,ROW()-1,60),ROW()-1,FALSE))</f>
        <v>309783</v>
      </c>
      <c r="BI90">
        <f ca="1">IF(AND(ISNUMBER($BI$233),$B$156=1),$BI$233,HLOOKUP(INDIRECT(ADDRESS(2,COLUMN())),OFFSET($BN$2,0,0,ROW()-1,60),ROW()-1,FALSE))</f>
        <v>315565</v>
      </c>
      <c r="BJ90">
        <f ca="1">IF(AND(ISNUMBER($BJ$233),$B$156=1),$BJ$233,HLOOKUP(INDIRECT(ADDRESS(2,COLUMN())),OFFSET($BN$2,0,0,ROW()-1,60),ROW()-1,FALSE))</f>
        <v>258746</v>
      </c>
      <c r="BK90">
        <f ca="1">IF(AND(ISNUMBER($BK$233),$B$156=1),$BK$233,HLOOKUP(INDIRECT(ADDRESS(2,COLUMN())),OFFSET($BN$2,0,0,ROW()-1,60),ROW()-1,FALSE))</f>
        <v>255769</v>
      </c>
      <c r="BL90">
        <f ca="1">IF(AND(ISNUMBER($BL$233),$B$156=1),$BL$233,HLOOKUP(INDIRECT(ADDRESS(2,COLUMN())),OFFSET($BN$2,0,0,ROW()-1,60),ROW()-1,FALSE))</f>
        <v>248413</v>
      </c>
      <c r="BM90">
        <f ca="1">IF(AND(ISNUMBER($BM$233),$B$156=1),$BM$233,HLOOKUP(INDIRECT(ADDRESS(2,COLUMN())),OFFSET($BN$2,0,0,ROW()-1,60),ROW()-1,FALSE))</f>
        <v>254680</v>
      </c>
      <c r="BN90" t="str">
        <f>""</f>
        <v/>
      </c>
      <c r="BO90" t="str">
        <f>""</f>
        <v/>
      </c>
      <c r="BP90">
        <f>696294</f>
        <v>696294</v>
      </c>
      <c r="BQ90">
        <f>745936</f>
        <v>745936</v>
      </c>
      <c r="BR90">
        <f>653158</f>
        <v>653158</v>
      </c>
      <c r="BS90">
        <f>716065</f>
        <v>716065</v>
      </c>
      <c r="BT90">
        <f>689796</f>
        <v>689796</v>
      </c>
      <c r="BU90">
        <f>689762</f>
        <v>689762</v>
      </c>
      <c r="BV90">
        <f>629796</f>
        <v>629796</v>
      </c>
      <c r="BW90">
        <f>817171</f>
        <v>817171</v>
      </c>
      <c r="BX90">
        <f>719194</f>
        <v>719194</v>
      </c>
      <c r="BY90">
        <f>783528</f>
        <v>783528</v>
      </c>
      <c r="BZ90">
        <f>686162</f>
        <v>686162</v>
      </c>
      <c r="CA90">
        <f>790502</f>
        <v>790502</v>
      </c>
      <c r="CB90">
        <f>687983</f>
        <v>687983</v>
      </c>
      <c r="CC90">
        <f>746000</f>
        <v>746000</v>
      </c>
      <c r="CD90">
        <f>691000</f>
        <v>691000</v>
      </c>
      <c r="CE90">
        <f>751431</f>
        <v>751431</v>
      </c>
      <c r="CF90">
        <f>712380</f>
        <v>712380</v>
      </c>
      <c r="CG90">
        <f>756000</f>
        <v>756000</v>
      </c>
      <c r="CH90">
        <f>687189</f>
        <v>687189</v>
      </c>
      <c r="CI90">
        <f>672478</f>
        <v>672478</v>
      </c>
      <c r="CJ90">
        <f>690297</f>
        <v>690297</v>
      </c>
      <c r="CK90">
        <f>730294</f>
        <v>730294</v>
      </c>
      <c r="CL90">
        <f>653777</f>
        <v>653777</v>
      </c>
      <c r="CM90">
        <f>675095</f>
        <v>675095</v>
      </c>
      <c r="CN90">
        <f>686109</f>
        <v>686109</v>
      </c>
      <c r="CO90">
        <f>712058</f>
        <v>712058</v>
      </c>
      <c r="CP90">
        <f>635499</f>
        <v>635499</v>
      </c>
      <c r="CQ90">
        <f>651068</f>
        <v>651068</v>
      </c>
      <c r="CR90">
        <f>623166</f>
        <v>623166</v>
      </c>
      <c r="CS90">
        <f>638284</f>
        <v>638284</v>
      </c>
      <c r="CT90">
        <f>565150</f>
        <v>565150</v>
      </c>
      <c r="CU90">
        <f>542708</f>
        <v>542708</v>
      </c>
      <c r="CV90">
        <f>514665</f>
        <v>514665</v>
      </c>
      <c r="CW90" t="str">
        <f>""</f>
        <v/>
      </c>
      <c r="CX90" t="str">
        <f>""</f>
        <v/>
      </c>
      <c r="CY90" t="str">
        <f>""</f>
        <v/>
      </c>
      <c r="CZ90" t="str">
        <f>""</f>
        <v/>
      </c>
      <c r="DA90" t="str">
        <f>""</f>
        <v/>
      </c>
      <c r="DB90" t="str">
        <f>""</f>
        <v/>
      </c>
      <c r="DC90">
        <f>312349</f>
        <v>312349</v>
      </c>
      <c r="DD90">
        <f>345316</f>
        <v>345316</v>
      </c>
      <c r="DE90">
        <f>386232</f>
        <v>386232</v>
      </c>
      <c r="DF90">
        <f>330685</f>
        <v>330685</v>
      </c>
      <c r="DG90">
        <f>340663</f>
        <v>340663</v>
      </c>
      <c r="DH90">
        <f>309037</f>
        <v>309037</v>
      </c>
      <c r="DI90">
        <f>324511</f>
        <v>324511</v>
      </c>
      <c r="DJ90">
        <f>294432</f>
        <v>294432</v>
      </c>
      <c r="DK90">
        <f>332164</f>
        <v>332164</v>
      </c>
      <c r="DL90">
        <f>293370</f>
        <v>293370</v>
      </c>
      <c r="DM90">
        <f>332039</f>
        <v>332039</v>
      </c>
      <c r="DN90">
        <f>285060</f>
        <v>285060</v>
      </c>
      <c r="DO90">
        <f>303318</f>
        <v>303318</v>
      </c>
      <c r="DP90">
        <f>309783</f>
        <v>309783</v>
      </c>
      <c r="DQ90">
        <f>315565</f>
        <v>315565</v>
      </c>
      <c r="DR90">
        <f>258746</f>
        <v>258746</v>
      </c>
      <c r="DS90">
        <f>255769</f>
        <v>255769</v>
      </c>
      <c r="DT90">
        <f>248413</f>
        <v>248413</v>
      </c>
      <c r="DU90">
        <f>254680</f>
        <v>254680</v>
      </c>
    </row>
    <row r="91" spans="1:125" x14ac:dyDescent="0.25">
      <c r="A91" t="str">
        <f>"    Renault - Nissan - Mitsubishi Alliance"</f>
        <v xml:space="preserve">    Renault - Nissan - Mitsubishi Alliance</v>
      </c>
      <c r="B91" t="str">
        <f>""</f>
        <v/>
      </c>
      <c r="E91" t="str">
        <f>"Sum"</f>
        <v>Sum</v>
      </c>
      <c r="F91" t="str">
        <f ca="1">IF(ISERROR(IF(SUM($F$92:$F$95) = 0, "", SUM($F$92:$F$95))), "", (IF(SUM($F$92:$F$95) = 0, "", SUM($F$92:$F$95))))</f>
        <v/>
      </c>
      <c r="G91" t="str">
        <f ca="1">IF(ISERROR(IF(SUM($G$92:$G$95) = 0, "", SUM($G$92:$G$95))), "", (IF(SUM($G$92:$G$95) = 0, "", SUM($G$92:$G$95))))</f>
        <v/>
      </c>
      <c r="H91">
        <f ca="1">IF(ISERROR(IF(SUM($H$92:$H$95) = 0, "", SUM($H$92:$H$95))), "", (IF(SUM($H$92:$H$95) = 0, "", SUM($H$92:$H$95))))</f>
        <v>902823</v>
      </c>
      <c r="I91">
        <f ca="1">IF(ISERROR(IF(SUM($I$92:$I$95) = 0, "", SUM($I$92:$I$95))), "", (IF(SUM($I$92:$I$95) = 0, "", SUM($I$92:$I$95))))</f>
        <v>1132659</v>
      </c>
      <c r="J91">
        <f ca="1">IF(ISERROR(IF(SUM($J$92:$J$95) = 0, "", SUM($J$92:$J$95))), "", (IF(SUM($J$92:$J$95) = 0, "", SUM($J$92:$J$95))))</f>
        <v>935036</v>
      </c>
      <c r="K91">
        <f ca="1">IF(ISERROR(IF(SUM($K$92:$K$95) = 0, "", SUM($K$92:$K$95))), "", (IF(SUM($K$92:$K$95) = 0, "", SUM($K$92:$K$95))))</f>
        <v>1015774</v>
      </c>
      <c r="L91">
        <f ca="1">IF(ISERROR(IF(SUM($L$92:$L$95) = 0, "", SUM($L$92:$L$95))), "", (IF(SUM($L$92:$L$95) = 0, "", SUM($L$92:$L$95))))</f>
        <v>866621</v>
      </c>
      <c r="M91">
        <f ca="1">IF(ISERROR(IF(SUM($M$92:$M$95) = 0, "", SUM($M$92:$M$95))), "", (IF(SUM($M$92:$M$95) = 0, "", SUM($M$92:$M$95))))</f>
        <v>1005610</v>
      </c>
      <c r="N91">
        <f ca="1">IF(ISERROR(IF(SUM($N$92:$N$95) = 0, "", SUM($N$92:$N$95))), "", (IF(SUM($N$92:$N$95) = 0, "", SUM($N$92:$N$95))))</f>
        <v>873678</v>
      </c>
      <c r="O91">
        <f ca="1">IF(ISERROR(IF(SUM($O$92:$O$95) = 0, "", SUM($O$92:$O$95))), "", (IF(SUM($O$92:$O$95) = 0, "", SUM($O$92:$O$95))))</f>
        <v>892409</v>
      </c>
      <c r="P91">
        <f ca="1">IF(ISERROR(IF(SUM($P$92:$P$95) = 0, "", SUM($P$92:$P$95))), "", (IF(SUM($P$92:$P$95) = 0, "", SUM($P$92:$P$95))))</f>
        <v>722242</v>
      </c>
      <c r="Q91">
        <f ca="1">IF(ISERROR(IF(SUM($Q$92:$Q$95) = 0, "", SUM($Q$92:$Q$95))), "", (IF(SUM($Q$92:$Q$95) = 0, "", SUM($Q$92:$Q$95))))</f>
        <v>875521</v>
      </c>
      <c r="R91">
        <f ca="1">IF(ISERROR(IF(SUM($R$92:$R$95) = 0, "", SUM($R$92:$R$95))), "", (IF(SUM($R$92:$R$95) = 0, "", SUM($R$92:$R$95))))</f>
        <v>692453</v>
      </c>
      <c r="S91">
        <f ca="1">IF(ISERROR(IF(SUM($S$92:$S$95) = 0, "", SUM($S$92:$S$95))), "", (IF(SUM($S$92:$S$95) = 0, "", SUM($S$92:$S$95))))</f>
        <v>2138081</v>
      </c>
      <c r="T91">
        <f ca="1">IF(ISERROR(IF(SUM($T$92:$T$95) = 0, "", SUM($T$92:$T$95))), "", (IF(SUM($T$92:$T$95) = 0, "", SUM($T$92:$T$95))))</f>
        <v>1947801</v>
      </c>
      <c r="U91">
        <f ca="1">IF(ISERROR(IF(SUM($U$92:$U$95) = 0, "", SUM($U$92:$U$95))), "", (IF(SUM($U$92:$U$95) = 0, "", SUM($U$92:$U$95))))</f>
        <v>1998412</v>
      </c>
      <c r="V91">
        <f ca="1">IF(ISERROR(IF(SUM($V$92:$V$95) = 0, "", SUM($V$92:$V$95))), "", (IF(SUM($V$92:$V$95) = 0, "", SUM($V$92:$V$95))))</f>
        <v>1947997</v>
      </c>
      <c r="W91">
        <f ca="1">IF(ISERROR(IF(SUM($W$92:$W$95) = 0, "", SUM($W$92:$W$95))), "", (IF(SUM($W$92:$W$95) = 0, "", SUM($W$92:$W$95))))</f>
        <v>2090309</v>
      </c>
      <c r="X91">
        <f ca="1">IF(ISERROR(IF(SUM($X$92:$X$95) = 0, "", SUM($X$92:$X$95))), "", (IF(SUM($X$92:$X$95) = 0, "", SUM($X$92:$X$95))))</f>
        <v>1933599</v>
      </c>
      <c r="Y91">
        <f ca="1">IF(ISERROR(IF(SUM($Y$92:$Y$95) = 0, "", SUM($Y$92:$Y$95))), "", (IF(SUM($Y$92:$Y$95) = 0, "", SUM($Y$92:$Y$95))))</f>
        <v>1966365</v>
      </c>
      <c r="Z91">
        <f ca="1">IF(ISERROR(IF(SUM($Z$92:$Z$95) = 0, "", SUM($Z$92:$Z$95))), "", (IF(SUM($Z$92:$Z$95) = 0, "", SUM($Z$92:$Z$95))))</f>
        <v>2206150</v>
      </c>
      <c r="AA91">
        <f ca="1">IF(ISERROR(IF(SUM($AA$92:$AA$95) = 0, "", SUM($AA$92:$AA$95))), "", (IF(SUM($AA$92:$AA$95) = 0, "", SUM($AA$92:$AA$95))))</f>
        <v>1958455</v>
      </c>
      <c r="AB91">
        <f ca="1">IF(ISERROR(IF(SUM($AB$92:$AB$95) = 0, "", SUM($AB$92:$AB$95))), "", (IF(SUM($AB$92:$AB$95) = 0, "", SUM($AB$92:$AB$95))))</f>
        <v>1855605</v>
      </c>
      <c r="AC91">
        <f ca="1">IF(ISERROR(IF(SUM($AC$92:$AC$95) = 0, "", SUM($AC$92:$AC$95))), "", (IF(SUM($AC$92:$AC$95) = 0, "", SUM($AC$92:$AC$95))))</f>
        <v>1807495</v>
      </c>
      <c r="AD91">
        <f ca="1">IF(ISERROR(IF(SUM($AD$92:$AD$95) = 0, "", SUM($AD$92:$AD$95))), "", (IF(SUM($AD$92:$AD$95) = 0, "", SUM($AD$92:$AD$95))))</f>
        <v>2136030</v>
      </c>
      <c r="AE91">
        <f ca="1">IF(ISERROR(IF(SUM($AE$92:$AE$95) = 0, "", SUM($AE$92:$AE$95))), "", (IF(SUM($AE$92:$AE$95) = 0, "", SUM($AE$92:$AE$95))))</f>
        <v>1947224</v>
      </c>
      <c r="AF91">
        <f ca="1">IF(ISERROR(IF(SUM($AF$92:$AF$95) = 0, "", SUM($AF$92:$AF$95))), "", (IF(SUM($AF$92:$AF$95) = 0, "", SUM($AF$92:$AF$95))))</f>
        <v>1992150</v>
      </c>
      <c r="AG91">
        <f ca="1">IF(ISERROR(IF(SUM($AG$92:$AG$95) = 0, "", SUM($AG$92:$AG$95))), "", (IF(SUM($AG$92:$AG$95) = 0, "", SUM($AG$92:$AG$95))))</f>
        <v>1968844</v>
      </c>
      <c r="AH91">
        <f ca="1">IF(ISERROR(IF(SUM($AH$92:$AH$95) = 0, "", SUM($AH$92:$AH$95))), "", (IF(SUM($AH$92:$AH$95) = 0, "", SUM($AH$92:$AH$95))))</f>
        <v>2195412</v>
      </c>
      <c r="AI91">
        <f ca="1">IF(ISERROR(IF(SUM($AI$92:$AI$95) = 0, "", SUM($AI$92:$AI$95))), "", (IF(SUM($AI$92:$AI$95) = 0, "", SUM($AI$92:$AI$95))))</f>
        <v>2083413</v>
      </c>
      <c r="AJ91">
        <f ca="1">IF(ISERROR(IF(SUM($AJ$92:$AJ$95) = 0, "", SUM($AJ$92:$AJ$95))), "", (IF(SUM($AJ$92:$AJ$95) = 0, "", SUM($AJ$92:$AJ$95))))</f>
        <v>1962615</v>
      </c>
      <c r="AK91">
        <f ca="1">IF(ISERROR(IF(SUM($AK$92:$AK$95) = 0, "", SUM($AK$92:$AK$95))), "", (IF(SUM($AK$92:$AK$95) = 0, "", SUM($AK$92:$AK$95))))</f>
        <v>1881675</v>
      </c>
      <c r="AL91">
        <f ca="1">IF(ISERROR(IF(SUM($AL$92:$AL$95) = 0, "", SUM($AL$92:$AL$95))), "", (IF(SUM($AL$92:$AL$95) = 0, "", SUM($AL$92:$AL$95))))</f>
        <v>2080667</v>
      </c>
      <c r="AM91">
        <f ca="1">IF(ISERROR(IF(SUM($AM$92:$AM$95) = 0, "", SUM($AM$92:$AM$95))), "", (IF(SUM($AM$92:$AM$95) = 0, "", SUM($AM$92:$AM$95))))</f>
        <v>1813215</v>
      </c>
      <c r="AN91">
        <f ca="1">IF(ISERROR(IF(SUM($AN$92:$AN$95) = 0, "", SUM($AN$92:$AN$95))), "", (IF(SUM($AN$92:$AN$95) = 0, "", SUM($AN$92:$AN$95))))</f>
        <v>1769015</v>
      </c>
      <c r="AO91">
        <f ca="1">IF(ISERROR(IF(SUM($AO$92:$AO$95) = 0, "", SUM($AO$92:$AO$95))), "", (IF(SUM($AO$92:$AO$95) = 0, "", SUM($AO$92:$AO$95))))</f>
        <v>1739333</v>
      </c>
      <c r="AP91">
        <f ca="1">IF(ISERROR(IF(SUM($AP$92:$AP$95) = 0, "", SUM($AP$92:$AP$95))), "", (IF(SUM($AP$92:$AP$95) = 0, "", SUM($AP$92:$AP$95))))</f>
        <v>1785583</v>
      </c>
      <c r="AQ91">
        <f ca="1">IF(ISERROR(IF(SUM($AQ$92:$AQ$95) = 0, "", SUM($AQ$92:$AQ$95))), "", (IF(SUM($AQ$92:$AQ$95) = 0, "", SUM($AQ$92:$AQ$95))))</f>
        <v>1665777</v>
      </c>
      <c r="AR91">
        <f ca="1">IF(ISERROR(IF(SUM($AR$92:$AR$95) = 0, "", SUM($AR$92:$AR$95))), "", (IF(SUM($AR$92:$AR$95) = 0, "", SUM($AR$92:$AR$95))))</f>
        <v>1503576</v>
      </c>
      <c r="AS91">
        <f ca="1">IF(ISERROR(IF(SUM($AS$92:$AS$95) = 0, "", SUM($AS$92:$AS$95))), "", (IF(SUM($AS$92:$AS$95) = 0, "", SUM($AS$92:$AS$95))))</f>
        <v>1345576</v>
      </c>
      <c r="AT91">
        <f ca="1">IF(ISERROR(IF(SUM($AT$92:$AT$95) = 0, "", SUM($AT$92:$AT$95))), "", (IF(SUM($AT$92:$AT$95) = 0, "", SUM($AT$92:$AT$95))))</f>
        <v>1323911</v>
      </c>
      <c r="AU91">
        <f ca="1">IF(ISERROR(IF(SUM($AU$92:$AU$95) = 0, "", SUM($AU$92:$AU$95))), "", (IF(SUM($AU$92:$AU$95) = 0, "", SUM($AU$92:$AU$95))))</f>
        <v>1356552</v>
      </c>
      <c r="AV91">
        <f ca="1">IF(ISERROR(IF(SUM($AV$92:$AV$95) = 0, "", SUM($AV$92:$AV$95))), "", (IF(SUM($AV$92:$AV$95) = 0, "", SUM($AV$92:$AV$95))))</f>
        <v>1688575</v>
      </c>
      <c r="AW91">
        <f ca="1">IF(ISERROR(IF(SUM($AW$92:$AW$95) = 0, "", SUM($AW$92:$AW$95))), "", (IF(SUM($AW$92:$AW$95) = 0, "", SUM($AW$92:$AW$95))))</f>
        <v>1544934</v>
      </c>
      <c r="AX91">
        <f ca="1">IF(ISERROR(IF(SUM($AX$92:$AX$95) = 0, "", SUM($AX$92:$AX$95))), "", (IF(SUM($AX$92:$AX$95) = 0, "", SUM($AX$92:$AX$95))))</f>
        <v>1434844</v>
      </c>
      <c r="AY91">
        <f ca="1">IF(ISERROR(IF(SUM($AY$92:$AY$95) = 0, "", SUM($AY$92:$AY$95))), "", (IF(SUM($AY$92:$AY$95) = 0, "", SUM($AY$92:$AY$95))))</f>
        <v>1254465</v>
      </c>
      <c r="AZ91">
        <f ca="1">IF(ISERROR(IF(SUM($AZ$92:$AZ$95) = 0, "", SUM($AZ$92:$AZ$95))), "", (IF(SUM($AZ$92:$AZ$95) = 0, "", SUM($AZ$92:$AZ$95))))</f>
        <v>1230451</v>
      </c>
      <c r="BA91">
        <f ca="1">IF(ISERROR(IF(SUM($BA$92:$BA$95) = 0, "", SUM($BA$92:$BA$95))), "", (IF(SUM($BA$92:$BA$95) = 0, "", SUM($BA$92:$BA$95))))</f>
        <v>1137007</v>
      </c>
      <c r="BB91">
        <f ca="1">IF(ISERROR(IF(SUM($BB$92:$BB$95) = 0, "", SUM($BB$92:$BB$95))), "", (IF(SUM($BB$92:$BB$95) = 0, "", SUM($BB$92:$BB$95))))</f>
        <v>1619352</v>
      </c>
      <c r="BC91">
        <f ca="1">IF(ISERROR(IF(SUM($BC$92:$BC$95) = 0, "", SUM($BC$92:$BC$95))), "", (IF(SUM($BC$92:$BC$95) = 0, "", SUM($BC$92:$BC$95))))</f>
        <v>1108324</v>
      </c>
      <c r="BD91">
        <f ca="1">IF(ISERROR(IF(SUM($BD$92:$BD$95) = 0, "", SUM($BD$92:$BD$95))), "", (IF(SUM($BD$92:$BD$95) = 0, "", SUM($BD$92:$BD$95))))</f>
        <v>1146071</v>
      </c>
      <c r="BE91">
        <f ca="1">IF(ISERROR(IF(SUM($BE$92:$BE$95) = 0, "", SUM($BE$92:$BE$95))), "", (IF(SUM($BE$92:$BE$95) = 0, "", SUM($BE$92:$BE$95))))</f>
        <v>1058000</v>
      </c>
      <c r="BF91">
        <f ca="1">IF(ISERROR(IF(SUM($BF$92:$BF$95) = 0, "", SUM($BF$92:$BF$95))), "", (IF(SUM($BF$92:$BF$95) = 0, "", SUM($BF$92:$BF$95))))</f>
        <v>1322000</v>
      </c>
      <c r="BG91" t="str">
        <f ca="1">IF(ISERROR(IF(SUM($BG$92:$BG$95) = 0, "", SUM($BG$92:$BG$95))), "", (IF(SUM($BG$92:$BG$95) = 0, "", SUM($BG$92:$BG$95))))</f>
        <v/>
      </c>
      <c r="BH91" t="str">
        <f ca="1">IF(ISERROR(IF(SUM($BH$92:$BH$95) = 0, "", SUM($BH$92:$BH$95))), "", (IF(SUM($BH$92:$BH$95) = 0, "", SUM($BH$92:$BH$95))))</f>
        <v/>
      </c>
      <c r="BI91" t="str">
        <f ca="1">IF(ISERROR(IF(SUM($BI$92:$BI$95) = 0, "", SUM($BI$92:$BI$95))), "", (IF(SUM($BI$92:$BI$95) = 0, "", SUM($BI$92:$BI$95))))</f>
        <v/>
      </c>
      <c r="BJ91" t="str">
        <f ca="1">IF(ISERROR(IF(SUM($BJ$92:$BJ$95) = 0, "", SUM($BJ$92:$BJ$95))), "", (IF(SUM($BJ$92:$BJ$95) = 0, "", SUM($BJ$92:$BJ$95))))</f>
        <v/>
      </c>
      <c r="BK91" t="str">
        <f ca="1">IF(ISERROR(IF(SUM($BK$92:$BK$95) = 0, "", SUM($BK$92:$BK$95))), "", (IF(SUM($BK$92:$BK$95) = 0, "", SUM($BK$92:$BK$95))))</f>
        <v/>
      </c>
      <c r="BL91" t="str">
        <f ca="1">IF(ISERROR(IF(SUM($BL$92:$BL$95) = 0, "", SUM($BL$92:$BL$95))), "", (IF(SUM($BL$92:$BL$95) = 0, "", SUM($BL$92:$BL$95))))</f>
        <v/>
      </c>
      <c r="BM91" t="str">
        <f ca="1">IF(ISERROR(IF(SUM($BM$92:$BM$95) = 0, "", SUM($BM$92:$BM$95))), "", (IF(SUM($BM$92:$BM$95) = 0, "", SUM($BM$92:$BM$95))))</f>
        <v/>
      </c>
      <c r="BN91" t="str">
        <f>""</f>
        <v/>
      </c>
      <c r="BO91" t="str">
        <f>""</f>
        <v/>
      </c>
      <c r="BP91">
        <f>902823</f>
        <v>902823</v>
      </c>
      <c r="BQ91">
        <f>1132659</f>
        <v>1132659</v>
      </c>
      <c r="BR91">
        <f>935036</f>
        <v>935036</v>
      </c>
      <c r="BS91">
        <f>1015774</f>
        <v>1015774</v>
      </c>
      <c r="BT91">
        <f>866621</f>
        <v>866621</v>
      </c>
      <c r="BU91">
        <f>1005610</f>
        <v>1005610</v>
      </c>
      <c r="BV91">
        <f>873678</f>
        <v>873678</v>
      </c>
      <c r="BW91">
        <f>892409</f>
        <v>892409</v>
      </c>
      <c r="BX91">
        <f>722242</f>
        <v>722242</v>
      </c>
      <c r="BY91">
        <f>875521</f>
        <v>875521</v>
      </c>
      <c r="BZ91">
        <f>692453</f>
        <v>692453</v>
      </c>
      <c r="CA91">
        <f>2138081</f>
        <v>2138081</v>
      </c>
      <c r="CB91">
        <f>1947801</f>
        <v>1947801</v>
      </c>
      <c r="CC91">
        <f>1998412</f>
        <v>1998412</v>
      </c>
      <c r="CD91">
        <f>1947997</f>
        <v>1947997</v>
      </c>
      <c r="CE91">
        <f>2090309</f>
        <v>2090309</v>
      </c>
      <c r="CF91">
        <f>1933599</f>
        <v>1933599</v>
      </c>
      <c r="CG91">
        <f>1966365</f>
        <v>1966365</v>
      </c>
      <c r="CH91">
        <f>2206150</f>
        <v>2206150</v>
      </c>
      <c r="CI91">
        <f>1958455</f>
        <v>1958455</v>
      </c>
      <c r="CJ91">
        <f>1855605</f>
        <v>1855605</v>
      </c>
      <c r="CK91">
        <f>1807495</f>
        <v>1807495</v>
      </c>
      <c r="CL91">
        <f>2136030</f>
        <v>2136030</v>
      </c>
      <c r="CM91">
        <f>1947224</f>
        <v>1947224</v>
      </c>
      <c r="CN91">
        <f>1992150</f>
        <v>1992150</v>
      </c>
      <c r="CO91">
        <f>1968844</f>
        <v>1968844</v>
      </c>
      <c r="CP91">
        <f>2195412</f>
        <v>2195412</v>
      </c>
      <c r="CQ91">
        <f>2083413</f>
        <v>2083413</v>
      </c>
      <c r="CR91">
        <f>1962615</f>
        <v>1962615</v>
      </c>
      <c r="CS91">
        <f>1881675</f>
        <v>1881675</v>
      </c>
      <c r="CT91">
        <f>2080667</f>
        <v>2080667</v>
      </c>
      <c r="CU91">
        <f>1813215</f>
        <v>1813215</v>
      </c>
      <c r="CV91">
        <f>1769015</f>
        <v>1769015</v>
      </c>
      <c r="CW91">
        <f>1739333</f>
        <v>1739333</v>
      </c>
      <c r="CX91">
        <f>1785583</f>
        <v>1785583</v>
      </c>
      <c r="CY91">
        <f>1665777</f>
        <v>1665777</v>
      </c>
      <c r="CZ91">
        <f>1503576</f>
        <v>1503576</v>
      </c>
      <c r="DA91">
        <f>1345576</f>
        <v>1345576</v>
      </c>
      <c r="DB91">
        <f>1323911</f>
        <v>1323911</v>
      </c>
      <c r="DC91">
        <f>1356552</f>
        <v>1356552</v>
      </c>
      <c r="DD91">
        <f>1688575</f>
        <v>1688575</v>
      </c>
      <c r="DE91">
        <f>1544934</f>
        <v>1544934</v>
      </c>
      <c r="DF91">
        <f>1434844</f>
        <v>1434844</v>
      </c>
      <c r="DG91">
        <f>1254465</f>
        <v>1254465</v>
      </c>
      <c r="DH91">
        <f>1230451</f>
        <v>1230451</v>
      </c>
      <c r="DI91">
        <f>1137007</f>
        <v>1137007</v>
      </c>
      <c r="DJ91">
        <f>1619352</f>
        <v>1619352</v>
      </c>
      <c r="DK91">
        <f>1108324</f>
        <v>1108324</v>
      </c>
      <c r="DL91">
        <f>1146071</f>
        <v>1146071</v>
      </c>
      <c r="DM91">
        <f>1058000</f>
        <v>1058000</v>
      </c>
      <c r="DN91">
        <f>1322000</f>
        <v>1322000</v>
      </c>
      <c r="DO91" t="str">
        <f>""</f>
        <v/>
      </c>
      <c r="DP91" t="str">
        <f>""</f>
        <v/>
      </c>
      <c r="DQ91" t="str">
        <f>""</f>
        <v/>
      </c>
      <c r="DR91" t="str">
        <f>""</f>
        <v/>
      </c>
      <c r="DS91" t="str">
        <f>""</f>
        <v/>
      </c>
      <c r="DT91" t="str">
        <f>""</f>
        <v/>
      </c>
      <c r="DU91" t="str">
        <f>""</f>
        <v/>
      </c>
    </row>
    <row r="92" spans="1:125" x14ac:dyDescent="0.25">
      <c r="A92" t="str">
        <f>"        Nissan Motor Co Ltd"</f>
        <v xml:space="preserve">        Nissan Motor Co Ltd</v>
      </c>
      <c r="B92" t="str">
        <f>"7201 JP Equity"</f>
        <v>7201 JP Equity</v>
      </c>
      <c r="E92" t="str">
        <f>"Static"</f>
        <v>Static</v>
      </c>
      <c r="F92" t="str">
        <f t="shared" ref="F92:AK92" ca="1" si="15">HLOOKUP(INDIRECT(ADDRESS(2,COLUMN())),OFFSET($BN$2,0,0,ROW()-1,60),ROW()-1,FALSE)</f>
        <v/>
      </c>
      <c r="G92" t="str">
        <f t="shared" ca="1" si="15"/>
        <v/>
      </c>
      <c r="H92" t="str">
        <f t="shared" ca="1" si="15"/>
        <v/>
      </c>
      <c r="I92" t="str">
        <f t="shared" ca="1" si="15"/>
        <v/>
      </c>
      <c r="J92" t="str">
        <f t="shared" ca="1" si="15"/>
        <v/>
      </c>
      <c r="K92" t="str">
        <f t="shared" ca="1" si="15"/>
        <v/>
      </c>
      <c r="L92" t="str">
        <f t="shared" ca="1" si="15"/>
        <v/>
      </c>
      <c r="M92" t="str">
        <f t="shared" ca="1" si="15"/>
        <v/>
      </c>
      <c r="N92" t="str">
        <f t="shared" ca="1" si="15"/>
        <v/>
      </c>
      <c r="O92" t="str">
        <f t="shared" ca="1" si="15"/>
        <v/>
      </c>
      <c r="P92" t="str">
        <f t="shared" ca="1" si="15"/>
        <v/>
      </c>
      <c r="Q92" t="str">
        <f t="shared" ca="1" si="15"/>
        <v/>
      </c>
      <c r="R92" t="str">
        <f t="shared" ca="1" si="15"/>
        <v/>
      </c>
      <c r="S92">
        <f t="shared" ca="1" si="15"/>
        <v>1022997</v>
      </c>
      <c r="T92">
        <f t="shared" ca="1" si="15"/>
        <v>1015482</v>
      </c>
      <c r="U92">
        <f t="shared" ca="1" si="15"/>
        <v>971825</v>
      </c>
      <c r="V92">
        <f t="shared" ca="1" si="15"/>
        <v>967000</v>
      </c>
      <c r="W92">
        <f t="shared" ca="1" si="15"/>
        <v>1027231</v>
      </c>
      <c r="X92">
        <f t="shared" ca="1" si="15"/>
        <v>1009665</v>
      </c>
      <c r="Y92">
        <f t="shared" ca="1" si="15"/>
        <v>921377</v>
      </c>
      <c r="Z92">
        <f t="shared" ca="1" si="15"/>
        <v>1228150</v>
      </c>
      <c r="AA92">
        <f t="shared" ca="1" si="15"/>
        <v>970812</v>
      </c>
      <c r="AB92">
        <f t="shared" ca="1" si="15"/>
        <v>990890</v>
      </c>
      <c r="AC92">
        <f t="shared" ca="1" si="15"/>
        <v>868599</v>
      </c>
      <c r="AD92">
        <f t="shared" ca="1" si="15"/>
        <v>1260076</v>
      </c>
      <c r="AE92">
        <f t="shared" ca="1" si="15"/>
        <v>1075668</v>
      </c>
      <c r="AF92">
        <f t="shared" ca="1" si="15"/>
        <v>1157143</v>
      </c>
      <c r="AG92">
        <f t="shared" ca="1" si="15"/>
        <v>1039905</v>
      </c>
      <c r="AH92">
        <f t="shared" ca="1" si="15"/>
        <v>1310914</v>
      </c>
      <c r="AI92">
        <f t="shared" ca="1" si="15"/>
        <v>1132867</v>
      </c>
      <c r="AJ92">
        <f t="shared" ca="1" si="15"/>
        <v>1078265</v>
      </c>
      <c r="AK92">
        <f t="shared" ca="1" si="15"/>
        <v>933752</v>
      </c>
      <c r="AL92">
        <f t="shared" ref="AL92:BM92" ca="1" si="16">HLOOKUP(INDIRECT(ADDRESS(2,COLUMN())),OFFSET($BN$2,0,0,ROW()-1,60),ROW()-1,FALSE)</f>
        <v>1088616</v>
      </c>
      <c r="AM92">
        <f t="shared" ca="1" si="16"/>
        <v>940653</v>
      </c>
      <c r="AN92">
        <f t="shared" ca="1" si="16"/>
        <v>985215</v>
      </c>
      <c r="AO92">
        <f t="shared" ca="1" si="16"/>
        <v>873528</v>
      </c>
      <c r="AP92">
        <f t="shared" ca="1" si="16"/>
        <v>937353</v>
      </c>
      <c r="AQ92">
        <f t="shared" ca="1" si="16"/>
        <v>856488</v>
      </c>
      <c r="AR92">
        <f t="shared" ca="1" si="16"/>
        <v>772637</v>
      </c>
      <c r="AS92">
        <f t="shared" ca="1" si="16"/>
        <v>592565</v>
      </c>
      <c r="AT92">
        <f t="shared" ca="1" si="16"/>
        <v>676433</v>
      </c>
      <c r="AU92">
        <f t="shared" ca="1" si="16"/>
        <v>689376</v>
      </c>
      <c r="AV92">
        <f t="shared" ca="1" si="16"/>
        <v>926920</v>
      </c>
      <c r="AW92">
        <f t="shared" ca="1" si="16"/>
        <v>844926</v>
      </c>
      <c r="AX92">
        <f t="shared" ca="1" si="16"/>
        <v>1091844</v>
      </c>
      <c r="AY92">
        <f t="shared" ca="1" si="16"/>
        <v>928465</v>
      </c>
      <c r="AZ92">
        <f t="shared" ca="1" si="16"/>
        <v>874451</v>
      </c>
      <c r="BA92">
        <f t="shared" ca="1" si="16"/>
        <v>803007</v>
      </c>
      <c r="BB92">
        <f t="shared" ca="1" si="16"/>
        <v>1286352</v>
      </c>
      <c r="BC92">
        <f t="shared" ca="1" si="16"/>
        <v>808324</v>
      </c>
      <c r="BD92">
        <f t="shared" ca="1" si="16"/>
        <v>839071</v>
      </c>
      <c r="BE92">
        <f t="shared" ca="1" si="16"/>
        <v>766000</v>
      </c>
      <c r="BF92">
        <f t="shared" ca="1" si="16"/>
        <v>963000</v>
      </c>
      <c r="BG92" t="str">
        <f t="shared" ca="1" si="16"/>
        <v/>
      </c>
      <c r="BH92" t="str">
        <f t="shared" ca="1" si="16"/>
        <v/>
      </c>
      <c r="BI92" t="str">
        <f t="shared" ca="1" si="16"/>
        <v/>
      </c>
      <c r="BJ92" t="str">
        <f t="shared" ca="1" si="16"/>
        <v/>
      </c>
      <c r="BK92" t="str">
        <f t="shared" ca="1" si="16"/>
        <v/>
      </c>
      <c r="BL92" t="str">
        <f t="shared" ca="1" si="16"/>
        <v/>
      </c>
      <c r="BM92" t="str">
        <f t="shared" ca="1" si="16"/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  <c r="BT92" t="str">
        <f>""</f>
        <v/>
      </c>
      <c r="BU92" t="str">
        <f>""</f>
        <v/>
      </c>
      <c r="BV92" t="str">
        <f>""</f>
        <v/>
      </c>
      <c r="BW92" t="str">
        <f>""</f>
        <v/>
      </c>
      <c r="BX92" t="str">
        <f>""</f>
        <v/>
      </c>
      <c r="BY92" t="str">
        <f>""</f>
        <v/>
      </c>
      <c r="BZ92" t="str">
        <f>""</f>
        <v/>
      </c>
      <c r="CA92">
        <f>1022997</f>
        <v>1022997</v>
      </c>
      <c r="CB92">
        <f>1015482</f>
        <v>1015482</v>
      </c>
      <c r="CC92">
        <f>971825</f>
        <v>971825</v>
      </c>
      <c r="CD92">
        <f>967000</f>
        <v>967000</v>
      </c>
      <c r="CE92">
        <f>1027231</f>
        <v>1027231</v>
      </c>
      <c r="CF92">
        <f>1009665</f>
        <v>1009665</v>
      </c>
      <c r="CG92">
        <f>921377</f>
        <v>921377</v>
      </c>
      <c r="CH92">
        <f>1228150</f>
        <v>1228150</v>
      </c>
      <c r="CI92">
        <f>970812</f>
        <v>970812</v>
      </c>
      <c r="CJ92">
        <f>990890</f>
        <v>990890</v>
      </c>
      <c r="CK92">
        <f>868599</f>
        <v>868599</v>
      </c>
      <c r="CL92">
        <f>1260076</f>
        <v>1260076</v>
      </c>
      <c r="CM92">
        <f>1075668</f>
        <v>1075668</v>
      </c>
      <c r="CN92">
        <f>1157143</f>
        <v>1157143</v>
      </c>
      <c r="CO92">
        <f>1039905</f>
        <v>1039905</v>
      </c>
      <c r="CP92">
        <f>1310914</f>
        <v>1310914</v>
      </c>
      <c r="CQ92">
        <f>1132867</f>
        <v>1132867</v>
      </c>
      <c r="CR92">
        <f>1078265</f>
        <v>1078265</v>
      </c>
      <c r="CS92">
        <f>933752</f>
        <v>933752</v>
      </c>
      <c r="CT92">
        <f>1088616</f>
        <v>1088616</v>
      </c>
      <c r="CU92">
        <f>940653</f>
        <v>940653</v>
      </c>
      <c r="CV92">
        <f>985215</f>
        <v>985215</v>
      </c>
      <c r="CW92">
        <f>873528</f>
        <v>873528</v>
      </c>
      <c r="CX92">
        <f>937353</f>
        <v>937353</v>
      </c>
      <c r="CY92">
        <f>856488</f>
        <v>856488</v>
      </c>
      <c r="CZ92">
        <f>772637</f>
        <v>772637</v>
      </c>
      <c r="DA92">
        <f>592565</f>
        <v>592565</v>
      </c>
      <c r="DB92">
        <f>676433</f>
        <v>676433</v>
      </c>
      <c r="DC92">
        <f>689376</f>
        <v>689376</v>
      </c>
      <c r="DD92">
        <f>926920</f>
        <v>926920</v>
      </c>
      <c r="DE92">
        <f>844926</f>
        <v>844926</v>
      </c>
      <c r="DF92">
        <f>1091844</f>
        <v>1091844</v>
      </c>
      <c r="DG92">
        <f>928465</f>
        <v>928465</v>
      </c>
      <c r="DH92">
        <f>874451</f>
        <v>874451</v>
      </c>
      <c r="DI92">
        <f>803007</f>
        <v>803007</v>
      </c>
      <c r="DJ92">
        <f>1286352</f>
        <v>1286352</v>
      </c>
      <c r="DK92">
        <f>808324</f>
        <v>808324</v>
      </c>
      <c r="DL92">
        <f>839071</f>
        <v>839071</v>
      </c>
      <c r="DM92">
        <f>766000</f>
        <v>766000</v>
      </c>
      <c r="DN92">
        <f>963000</f>
        <v>963000</v>
      </c>
      <c r="DO92" t="str">
        <f>""</f>
        <v/>
      </c>
      <c r="DP92" t="str">
        <f>""</f>
        <v/>
      </c>
      <c r="DQ92" t="str">
        <f>""</f>
        <v/>
      </c>
      <c r="DR92" t="str">
        <f>""</f>
        <v/>
      </c>
      <c r="DS92" t="str">
        <f>""</f>
        <v/>
      </c>
      <c r="DT92" t="str">
        <f>""</f>
        <v/>
      </c>
      <c r="DU92" t="str">
        <f>""</f>
        <v/>
      </c>
    </row>
    <row r="93" spans="1:125" x14ac:dyDescent="0.25">
      <c r="A93" t="str">
        <f>"        Renault SA"</f>
        <v xml:space="preserve">        Renault SA</v>
      </c>
      <c r="B93" t="str">
        <f>"RNO FP Equity"</f>
        <v>RNO FP Equity</v>
      </c>
      <c r="C93" t="str">
        <f>"FS265"</f>
        <v>FS265</v>
      </c>
      <c r="D93" t="str">
        <f>"AUTO_VEHICLES_SOLD_WW"</f>
        <v>AUTO_VEHICLES_SOLD_WW</v>
      </c>
      <c r="E93" t="str">
        <f>"Dynamic"</f>
        <v>Dynamic</v>
      </c>
      <c r="F93" t="str">
        <f ca="1">IF(AND(ISNUMBER($F$234),$B$156=1),$F$234,HLOOKUP(INDIRECT(ADDRESS(2,COLUMN())),OFFSET($BN$2,0,0,ROW()-1,60),ROW()-1,FALSE))</f>
        <v/>
      </c>
      <c r="G93" t="str">
        <f ca="1">IF(AND(ISNUMBER($G$234),$B$156=1),$G$234,HLOOKUP(INDIRECT(ADDRESS(2,COLUMN())),OFFSET($BN$2,0,0,ROW()-1,60),ROW()-1,FALSE))</f>
        <v/>
      </c>
      <c r="H93">
        <f ca="1">IF(AND(ISNUMBER($H$234),$B$156=1),$H$234,HLOOKUP(INDIRECT(ADDRESS(2,COLUMN())),OFFSET($BN$2,0,0,ROW()-1,60),ROW()-1,FALSE))</f>
        <v>902823</v>
      </c>
      <c r="I93">
        <f ca="1">IF(AND(ISNUMBER($I$234),$B$156=1),$I$234,HLOOKUP(INDIRECT(ADDRESS(2,COLUMN())),OFFSET($BN$2,0,0,ROW()-1,60),ROW()-1,FALSE))</f>
        <v>1132659</v>
      </c>
      <c r="J93">
        <f ca="1">IF(AND(ISNUMBER($J$234),$B$156=1),$J$234,HLOOKUP(INDIRECT(ADDRESS(2,COLUMN())),OFFSET($BN$2,0,0,ROW()-1,60),ROW()-1,FALSE))</f>
        <v>935036</v>
      </c>
      <c r="K93">
        <f ca="1">IF(AND(ISNUMBER($K$234),$B$156=1),$K$234,HLOOKUP(INDIRECT(ADDRESS(2,COLUMN())),OFFSET($BN$2,0,0,ROW()-1,60),ROW()-1,FALSE))</f>
        <v>1015774</v>
      </c>
      <c r="L93">
        <f ca="1">IF(AND(ISNUMBER($L$234),$B$156=1),$L$234,HLOOKUP(INDIRECT(ADDRESS(2,COLUMN())),OFFSET($BN$2,0,0,ROW()-1,60),ROW()-1,FALSE))</f>
        <v>866621</v>
      </c>
      <c r="M93">
        <f ca="1">IF(AND(ISNUMBER($M$234),$B$156=1),$M$234,HLOOKUP(INDIRECT(ADDRESS(2,COLUMN())),OFFSET($BN$2,0,0,ROW()-1,60),ROW()-1,FALSE))</f>
        <v>1005610</v>
      </c>
      <c r="N93">
        <f ca="1">IF(AND(ISNUMBER($N$234),$B$156=1),$N$234,HLOOKUP(INDIRECT(ADDRESS(2,COLUMN())),OFFSET($BN$2,0,0,ROW()-1,60),ROW()-1,FALSE))</f>
        <v>873678</v>
      </c>
      <c r="O93">
        <f ca="1">IF(AND(ISNUMBER($O$234),$B$156=1),$O$234,HLOOKUP(INDIRECT(ADDRESS(2,COLUMN())),OFFSET($BN$2,0,0,ROW()-1,60),ROW()-1,FALSE))</f>
        <v>892409</v>
      </c>
      <c r="P93">
        <f ca="1">IF(AND(ISNUMBER($P$234),$B$156=1),$P$234,HLOOKUP(INDIRECT(ADDRESS(2,COLUMN())),OFFSET($BN$2,0,0,ROW()-1,60),ROW()-1,FALSE))</f>
        <v>722242</v>
      </c>
      <c r="Q93">
        <f ca="1">IF(AND(ISNUMBER($Q$234),$B$156=1),$Q$234,HLOOKUP(INDIRECT(ADDRESS(2,COLUMN())),OFFSET($BN$2,0,0,ROW()-1,60),ROW()-1,FALSE))</f>
        <v>875521</v>
      </c>
      <c r="R93">
        <f ca="1">IF(AND(ISNUMBER($R$234),$B$156=1),$R$234,HLOOKUP(INDIRECT(ADDRESS(2,COLUMN())),OFFSET($BN$2,0,0,ROW()-1,60),ROW()-1,FALSE))</f>
        <v>692453</v>
      </c>
      <c r="S93">
        <f ca="1">IF(AND(ISNUMBER($S$234),$B$156=1),$S$234,HLOOKUP(INDIRECT(ADDRESS(2,COLUMN())),OFFSET($BN$2,0,0,ROW()-1,60),ROW()-1,FALSE))</f>
        <v>804084</v>
      </c>
      <c r="T93">
        <f ca="1">IF(AND(ISNUMBER($T$234),$B$156=1),$T$234,HLOOKUP(INDIRECT(ADDRESS(2,COLUMN())),OFFSET($BN$2,0,0,ROW()-1,60),ROW()-1,FALSE))</f>
        <v>620319</v>
      </c>
      <c r="U93">
        <f ca="1">IF(AND(ISNUMBER($U$234),$B$156=1),$U$234,HLOOKUP(INDIRECT(ADDRESS(2,COLUMN())),OFFSET($BN$2,0,0,ROW()-1,60),ROW()-1,FALSE))</f>
        <v>735587</v>
      </c>
      <c r="V93">
        <f ca="1">IF(AND(ISNUMBER($V$234),$B$156=1),$V$234,HLOOKUP(INDIRECT(ADDRESS(2,COLUMN())),OFFSET($BN$2,0,0,ROW()-1,60),ROW()-1,FALSE))</f>
        <v>640997</v>
      </c>
      <c r="W93">
        <f ca="1">IF(AND(ISNUMBER($W$234),$B$156=1),$W$234,HLOOKUP(INDIRECT(ADDRESS(2,COLUMN())),OFFSET($BN$2,0,0,ROW()-1,60),ROW()-1,FALSE))</f>
        <v>733078</v>
      </c>
      <c r="X93">
        <f ca="1">IF(AND(ISNUMBER($X$234),$B$156=1),$X$234,HLOOKUP(INDIRECT(ADDRESS(2,COLUMN())),OFFSET($BN$2,0,0,ROW()-1,60),ROW()-1,FALSE))</f>
        <v>612934</v>
      </c>
      <c r="Y93">
        <f ca="1">IF(AND(ISNUMBER($Y$234),$B$156=1),$Y$234,HLOOKUP(INDIRECT(ADDRESS(2,COLUMN())),OFFSET($BN$2,0,0,ROW()-1,60),ROW()-1,FALSE))</f>
        <v>729988</v>
      </c>
      <c r="Z93">
        <f ca="1">IF(AND(ISNUMBER($Z$234),$B$156=1),$Z$234,HLOOKUP(INDIRECT(ADDRESS(2,COLUMN())),OFFSET($BN$2,0,0,ROW()-1,60),ROW()-1,FALSE))</f>
        <v>636000</v>
      </c>
      <c r="AA93">
        <f ca="1">IF(AND(ISNUMBER($AA$234),$B$156=1),$AA$234,HLOOKUP(INDIRECT(ADDRESS(2,COLUMN())),OFFSET($BN$2,0,0,ROW()-1,60),ROW()-1,FALSE))</f>
        <v>710643</v>
      </c>
      <c r="AB93">
        <f ca="1">IF(AND(ISNUMBER($AB$234),$B$156=1),$AB$234,HLOOKUP(INDIRECT(ADDRESS(2,COLUMN())),OFFSET($BN$2,0,0,ROW()-1,60),ROW()-1,FALSE))</f>
        <v>614715</v>
      </c>
      <c r="AC93">
        <f ca="1">IF(AND(ISNUMBER($AC$234),$B$156=1),$AC$234,HLOOKUP(INDIRECT(ADDRESS(2,COLUMN())),OFFSET($BN$2,0,0,ROW()-1,60),ROW()-1,FALSE))</f>
        <v>689896</v>
      </c>
      <c r="AD93">
        <f ca="1">IF(AND(ISNUMBER($AD$234),$B$156=1),$AD$234,HLOOKUP(INDIRECT(ADDRESS(2,COLUMN())),OFFSET($BN$2,0,0,ROW()-1,60),ROW()-1,FALSE))</f>
        <v>612954</v>
      </c>
      <c r="AE93">
        <f ca="1">IF(AND(ISNUMBER($AE$234),$B$156=1),$AE$234,HLOOKUP(INDIRECT(ADDRESS(2,COLUMN())),OFFSET($BN$2,0,0,ROW()-1,60),ROW()-1,FALSE))</f>
        <v>625556</v>
      </c>
      <c r="AF93">
        <f ca="1">IF(AND(ISNUMBER($AF$234),$B$156=1),$AF$234,HLOOKUP(INDIRECT(ADDRESS(2,COLUMN())),OFFSET($BN$2,0,0,ROW()-1,60),ROW()-1,FALSE))</f>
        <v>596007</v>
      </c>
      <c r="AG93">
        <f ca="1">IF(AND(ISNUMBER($AG$234),$B$156=1),$AG$234,HLOOKUP(INDIRECT(ADDRESS(2,COLUMN())),OFFSET($BN$2,0,0,ROW()-1,60),ROW()-1,FALSE))</f>
        <v>689939</v>
      </c>
      <c r="AH93">
        <f ca="1">IF(AND(ISNUMBER($AH$234),$B$156=1),$AH$234,HLOOKUP(INDIRECT(ADDRESS(2,COLUMN())),OFFSET($BN$2,0,0,ROW()-1,60),ROW()-1,FALSE))</f>
        <v>638498</v>
      </c>
      <c r="AI93">
        <f ca="1">IF(AND(ISNUMBER($AI$234),$B$156=1),$AI$234,HLOOKUP(INDIRECT(ADDRESS(2,COLUMN())),OFFSET($BN$2,0,0,ROW()-1,60),ROW()-1,FALSE))</f>
        <v>714546</v>
      </c>
      <c r="AJ93">
        <f ca="1">IF(AND(ISNUMBER($AJ$234),$B$156=1),$AJ$234,HLOOKUP(INDIRECT(ADDRESS(2,COLUMN())),OFFSET($BN$2,0,0,ROW()-1,60),ROW()-1,FALSE))</f>
        <v>632350</v>
      </c>
      <c r="AK93">
        <f ca="1">IF(AND(ISNUMBER($AK$234),$B$156=1),$AK$234,HLOOKUP(INDIRECT(ADDRESS(2,COLUMN())),OFFSET($BN$2,0,0,ROW()-1,60),ROW()-1,FALSE))</f>
        <v>680923</v>
      </c>
      <c r="AL93">
        <f ca="1">IF(AND(ISNUMBER($AL$234),$B$156=1),$AL$234,HLOOKUP(INDIRECT(ADDRESS(2,COLUMN())),OFFSET($BN$2,0,0,ROW()-1,60),ROW()-1,FALSE))</f>
        <v>694243</v>
      </c>
      <c r="AM93">
        <f ca="1">IF(AND(ISNUMBER($AM$234),$B$156=1),$AM$234,HLOOKUP(INDIRECT(ADDRESS(2,COLUMN())),OFFSET($BN$2,0,0,ROW()-1,60),ROW()-1,FALSE))</f>
        <v>592423</v>
      </c>
      <c r="AN93">
        <f ca="1">IF(AND(ISNUMBER($AN$234),$B$156=1),$AN$234,HLOOKUP(INDIRECT(ADDRESS(2,COLUMN())),OFFSET($BN$2,0,0,ROW()-1,60),ROW()-1,FALSE))</f>
        <v>514063</v>
      </c>
      <c r="AO93">
        <f ca="1">IF(AND(ISNUMBER($AO$234),$B$156=1),$AO$234,HLOOKUP(INDIRECT(ADDRESS(2,COLUMN())),OFFSET($BN$2,0,0,ROW()-1,60),ROW()-1,FALSE))</f>
        <v>608489</v>
      </c>
      <c r="AP93">
        <f ca="1">IF(AND(ISNUMBER($AP$234),$B$156=1),$AP$234,HLOOKUP(INDIRECT(ADDRESS(2,COLUMN())),OFFSET($BN$2,0,0,ROW()-1,60),ROW()-1,FALSE))</f>
        <v>577188</v>
      </c>
      <c r="AQ93">
        <f ca="1">IF(AND(ISNUMBER($AQ$234),$B$156=1),$AQ$234,HLOOKUP(INDIRECT(ADDRESS(2,COLUMN())),OFFSET($BN$2,0,0,ROW()-1,60),ROW()-1,FALSE))</f>
        <v>564747</v>
      </c>
      <c r="AR93">
        <f ca="1">IF(AND(ISNUMBER($AR$234),$B$156=1),$AR$234,HLOOKUP(INDIRECT(ADDRESS(2,COLUMN())),OFFSET($BN$2,0,0,ROW()-1,60),ROW()-1,FALSE))</f>
        <v>498998</v>
      </c>
      <c r="AS93">
        <f ca="1">IF(AND(ISNUMBER($AS$234),$B$156=1),$AS$234,HLOOKUP(INDIRECT(ADDRESS(2,COLUMN())),OFFSET($BN$2,0,0,ROW()-1,60),ROW()-1,FALSE))</f>
        <v>540424</v>
      </c>
      <c r="AT93">
        <f ca="1">IF(AND(ISNUMBER($AT$234),$B$156=1),$AT$234,HLOOKUP(INDIRECT(ADDRESS(2,COLUMN())),OFFSET($BN$2,0,0,ROW()-1,60),ROW()-1,FALSE))</f>
        <v>429126</v>
      </c>
      <c r="AU93">
        <f ca="1">IF(AND(ISNUMBER($AU$234),$B$156=1),$AU$234,HLOOKUP(INDIRECT(ADDRESS(2,COLUMN())),OFFSET($BN$2,0,0,ROW()-1,60),ROW()-1,FALSE))</f>
        <v>422602</v>
      </c>
      <c r="AV93">
        <f ca="1">IF(AND(ISNUMBER($AV$234),$B$156=1),$AV$234,HLOOKUP(INDIRECT(ADDRESS(2,COLUMN())),OFFSET($BN$2,0,0,ROW()-1,60),ROW()-1,FALSE))</f>
        <v>472787</v>
      </c>
      <c r="AW93">
        <f ca="1">IF(AND(ISNUMBER($AW$234),$B$156=1),$AW$234,HLOOKUP(INDIRECT(ADDRESS(2,COLUMN())),OFFSET($BN$2,0,0,ROW()-1,60),ROW()-1,FALSE))</f>
        <v>386197</v>
      </c>
      <c r="AX93" t="str">
        <f ca="1">IF(AND(ISNUMBER($AX$234),$B$156=1),$AX$234,HLOOKUP(INDIRECT(ADDRESS(2,COLUMN())),OFFSET($BN$2,0,0,ROW()-1,60),ROW()-1,FALSE))</f>
        <v/>
      </c>
      <c r="AY93" t="str">
        <f ca="1">IF(AND(ISNUMBER($AY$234),$B$156=1),$AY$234,HLOOKUP(INDIRECT(ADDRESS(2,COLUMN())),OFFSET($BN$2,0,0,ROW()-1,60),ROW()-1,FALSE))</f>
        <v/>
      </c>
      <c r="AZ93" t="str">
        <f ca="1">IF(AND(ISNUMBER($AZ$234),$B$156=1),$AZ$234,HLOOKUP(INDIRECT(ADDRESS(2,COLUMN())),OFFSET($BN$2,0,0,ROW()-1,60),ROW()-1,FALSE))</f>
        <v/>
      </c>
      <c r="BA93" t="str">
        <f ca="1">IF(AND(ISNUMBER($BA$234),$B$156=1),$BA$234,HLOOKUP(INDIRECT(ADDRESS(2,COLUMN())),OFFSET($BN$2,0,0,ROW()-1,60),ROW()-1,FALSE))</f>
        <v/>
      </c>
      <c r="BB93" t="str">
        <f ca="1">IF(AND(ISNUMBER($BB$234),$B$156=1),$BB$234,HLOOKUP(INDIRECT(ADDRESS(2,COLUMN())),OFFSET($BN$2,0,0,ROW()-1,60),ROW()-1,FALSE))</f>
        <v/>
      </c>
      <c r="BC93" t="str">
        <f ca="1">IF(AND(ISNUMBER($BC$234),$B$156=1),$BC$234,HLOOKUP(INDIRECT(ADDRESS(2,COLUMN())),OFFSET($BN$2,0,0,ROW()-1,60),ROW()-1,FALSE))</f>
        <v/>
      </c>
      <c r="BD93" t="str">
        <f ca="1">IF(AND(ISNUMBER($BD$234),$B$156=1),$BD$234,HLOOKUP(INDIRECT(ADDRESS(2,COLUMN())),OFFSET($BN$2,0,0,ROW()-1,60),ROW()-1,FALSE))</f>
        <v/>
      </c>
      <c r="BE93" t="str">
        <f ca="1">IF(AND(ISNUMBER($BE$234),$B$156=1),$BE$234,HLOOKUP(INDIRECT(ADDRESS(2,COLUMN())),OFFSET($BN$2,0,0,ROW()-1,60),ROW()-1,FALSE))</f>
        <v/>
      </c>
      <c r="BF93" t="str">
        <f ca="1">IF(AND(ISNUMBER($BF$234),$B$156=1),$BF$234,HLOOKUP(INDIRECT(ADDRESS(2,COLUMN())),OFFSET($BN$2,0,0,ROW()-1,60),ROW()-1,FALSE))</f>
        <v/>
      </c>
      <c r="BG93" t="str">
        <f ca="1">IF(AND(ISNUMBER($BG$234),$B$156=1),$BG$234,HLOOKUP(INDIRECT(ADDRESS(2,COLUMN())),OFFSET($BN$2,0,0,ROW()-1,60),ROW()-1,FALSE))</f>
        <v/>
      </c>
      <c r="BH93" t="str">
        <f ca="1">IF(AND(ISNUMBER($BH$234),$B$156=1),$BH$234,HLOOKUP(INDIRECT(ADDRESS(2,COLUMN())),OFFSET($BN$2,0,0,ROW()-1,60),ROW()-1,FALSE))</f>
        <v/>
      </c>
      <c r="BI93" t="str">
        <f ca="1">IF(AND(ISNUMBER($BI$234),$B$156=1),$BI$234,HLOOKUP(INDIRECT(ADDRESS(2,COLUMN())),OFFSET($BN$2,0,0,ROW()-1,60),ROW()-1,FALSE))</f>
        <v/>
      </c>
      <c r="BJ93" t="str">
        <f ca="1">IF(AND(ISNUMBER($BJ$234),$B$156=1),$BJ$234,HLOOKUP(INDIRECT(ADDRESS(2,COLUMN())),OFFSET($BN$2,0,0,ROW()-1,60),ROW()-1,FALSE))</f>
        <v/>
      </c>
      <c r="BK93" t="str">
        <f ca="1">IF(AND(ISNUMBER($BK$234),$B$156=1),$BK$234,HLOOKUP(INDIRECT(ADDRESS(2,COLUMN())),OFFSET($BN$2,0,0,ROW()-1,60),ROW()-1,FALSE))</f>
        <v/>
      </c>
      <c r="BL93" t="str">
        <f ca="1">IF(AND(ISNUMBER($BL$234),$B$156=1),$BL$234,HLOOKUP(INDIRECT(ADDRESS(2,COLUMN())),OFFSET($BN$2,0,0,ROW()-1,60),ROW()-1,FALSE))</f>
        <v/>
      </c>
      <c r="BM93" t="str">
        <f ca="1">IF(AND(ISNUMBER($BM$234),$B$156=1),$BM$234,HLOOKUP(INDIRECT(ADDRESS(2,COLUMN())),OFFSET($BN$2,0,0,ROW()-1,60),ROW()-1,FALSE))</f>
        <v/>
      </c>
      <c r="BN93" t="str">
        <f>""</f>
        <v/>
      </c>
      <c r="BO93" t="str">
        <f>""</f>
        <v/>
      </c>
      <c r="BP93">
        <f>902823</f>
        <v>902823</v>
      </c>
      <c r="BQ93">
        <f>1132659</f>
        <v>1132659</v>
      </c>
      <c r="BR93">
        <f>935036</f>
        <v>935036</v>
      </c>
      <c r="BS93">
        <f>1015774</f>
        <v>1015774</v>
      </c>
      <c r="BT93">
        <f>866621</f>
        <v>866621</v>
      </c>
      <c r="BU93">
        <f>1005610</f>
        <v>1005610</v>
      </c>
      <c r="BV93">
        <f>873678</f>
        <v>873678</v>
      </c>
      <c r="BW93">
        <f>892409</f>
        <v>892409</v>
      </c>
      <c r="BX93">
        <f>722242</f>
        <v>722242</v>
      </c>
      <c r="BY93">
        <f>875521</f>
        <v>875521</v>
      </c>
      <c r="BZ93">
        <f>692453</f>
        <v>692453</v>
      </c>
      <c r="CA93">
        <f>804084</f>
        <v>804084</v>
      </c>
      <c r="CB93">
        <f>620319</f>
        <v>620319</v>
      </c>
      <c r="CC93">
        <f>735587</f>
        <v>735587</v>
      </c>
      <c r="CD93">
        <f>640997</f>
        <v>640997</v>
      </c>
      <c r="CE93">
        <f>733078</f>
        <v>733078</v>
      </c>
      <c r="CF93">
        <f>612934</f>
        <v>612934</v>
      </c>
      <c r="CG93">
        <f>729988</f>
        <v>729988</v>
      </c>
      <c r="CH93">
        <f>636000</f>
        <v>636000</v>
      </c>
      <c r="CI93">
        <f>710643</f>
        <v>710643</v>
      </c>
      <c r="CJ93">
        <f>614715</f>
        <v>614715</v>
      </c>
      <c r="CK93">
        <f>689896</f>
        <v>689896</v>
      </c>
      <c r="CL93">
        <f>612954</f>
        <v>612954</v>
      </c>
      <c r="CM93">
        <f>625556</f>
        <v>625556</v>
      </c>
      <c r="CN93">
        <f>596007</f>
        <v>596007</v>
      </c>
      <c r="CO93">
        <f>689939</f>
        <v>689939</v>
      </c>
      <c r="CP93">
        <f>638498</f>
        <v>638498</v>
      </c>
      <c r="CQ93">
        <f>714546</f>
        <v>714546</v>
      </c>
      <c r="CR93">
        <f>632350</f>
        <v>632350</v>
      </c>
      <c r="CS93">
        <f>680923</f>
        <v>680923</v>
      </c>
      <c r="CT93">
        <f>694243</f>
        <v>694243</v>
      </c>
      <c r="CU93">
        <f>592423</f>
        <v>592423</v>
      </c>
      <c r="CV93">
        <f>514063</f>
        <v>514063</v>
      </c>
      <c r="CW93">
        <f>608489</f>
        <v>608489</v>
      </c>
      <c r="CX93">
        <f>577188</f>
        <v>577188</v>
      </c>
      <c r="CY93">
        <f>564747</f>
        <v>564747</v>
      </c>
      <c r="CZ93">
        <f>498998</f>
        <v>498998</v>
      </c>
      <c r="DA93">
        <f>540424</f>
        <v>540424</v>
      </c>
      <c r="DB93">
        <f>429126</f>
        <v>429126</v>
      </c>
      <c r="DC93">
        <f>422602</f>
        <v>422602</v>
      </c>
      <c r="DD93">
        <f>472787</f>
        <v>472787</v>
      </c>
      <c r="DE93">
        <f>386197</f>
        <v>386197</v>
      </c>
      <c r="DF93" t="str">
        <f>""</f>
        <v/>
      </c>
      <c r="DG93" t="str">
        <f>""</f>
        <v/>
      </c>
      <c r="DH93" t="str">
        <f>""</f>
        <v/>
      </c>
      <c r="DI93" t="str">
        <f>""</f>
        <v/>
      </c>
      <c r="DJ93" t="str">
        <f>""</f>
        <v/>
      </c>
      <c r="DK93" t="str">
        <f>""</f>
        <v/>
      </c>
      <c r="DL93" t="str">
        <f>""</f>
        <v/>
      </c>
      <c r="DM93" t="str">
        <f>""</f>
        <v/>
      </c>
      <c r="DN93" t="str">
        <f>""</f>
        <v/>
      </c>
      <c r="DO93" t="str">
        <f>""</f>
        <v/>
      </c>
      <c r="DP93" t="str">
        <f>""</f>
        <v/>
      </c>
      <c r="DQ93" t="str">
        <f>""</f>
        <v/>
      </c>
      <c r="DR93" t="str">
        <f>""</f>
        <v/>
      </c>
      <c r="DS93" t="str">
        <f>""</f>
        <v/>
      </c>
      <c r="DT93" t="str">
        <f>""</f>
        <v/>
      </c>
      <c r="DU93" t="str">
        <f>""</f>
        <v/>
      </c>
    </row>
    <row r="94" spans="1:125" x14ac:dyDescent="0.25">
      <c r="A94" t="str">
        <f>"        Mitsubishi Motors Corp"</f>
        <v xml:space="preserve">        Mitsubishi Motors Corp</v>
      </c>
      <c r="B94" t="str">
        <f>"7211 JP Equity"</f>
        <v>7211 JP Equity</v>
      </c>
      <c r="E94" t="str">
        <f>"Static"</f>
        <v>Static</v>
      </c>
      <c r="F94" t="str">
        <f t="shared" ref="F94:AK94" ca="1" si="17">HLOOKUP(INDIRECT(ADDRESS(2,COLUMN())),OFFSET($BN$2,0,0,ROW()-1,60),ROW()-1,FALSE)</f>
        <v/>
      </c>
      <c r="G94" t="str">
        <f t="shared" ca="1" si="17"/>
        <v/>
      </c>
      <c r="H94" t="str">
        <f t="shared" ca="1" si="17"/>
        <v/>
      </c>
      <c r="I94" t="str">
        <f t="shared" ca="1" si="17"/>
        <v/>
      </c>
      <c r="J94" t="str">
        <f t="shared" ca="1" si="17"/>
        <v/>
      </c>
      <c r="K94" t="str">
        <f t="shared" ca="1" si="17"/>
        <v/>
      </c>
      <c r="L94" t="str">
        <f t="shared" ca="1" si="17"/>
        <v/>
      </c>
      <c r="M94" t="str">
        <f t="shared" ca="1" si="17"/>
        <v/>
      </c>
      <c r="N94" t="str">
        <f t="shared" ca="1" si="17"/>
        <v/>
      </c>
      <c r="O94" t="str">
        <f t="shared" ca="1" si="17"/>
        <v/>
      </c>
      <c r="P94" t="str">
        <f t="shared" ca="1" si="17"/>
        <v/>
      </c>
      <c r="Q94" t="str">
        <f t="shared" ca="1" si="17"/>
        <v/>
      </c>
      <c r="R94" t="str">
        <f t="shared" ca="1" si="17"/>
        <v/>
      </c>
      <c r="S94">
        <f t="shared" ca="1" si="17"/>
        <v>311000</v>
      </c>
      <c r="T94">
        <f t="shared" ca="1" si="17"/>
        <v>312000</v>
      </c>
      <c r="U94">
        <f t="shared" ca="1" si="17"/>
        <v>291000</v>
      </c>
      <c r="V94">
        <f t="shared" ca="1" si="17"/>
        <v>340000</v>
      </c>
      <c r="W94">
        <f t="shared" ca="1" si="17"/>
        <v>330000</v>
      </c>
      <c r="X94">
        <f t="shared" ca="1" si="17"/>
        <v>311000</v>
      </c>
      <c r="Y94">
        <f t="shared" ca="1" si="17"/>
        <v>315000</v>
      </c>
      <c r="Z94">
        <f t="shared" ca="1" si="17"/>
        <v>342000</v>
      </c>
      <c r="AA94">
        <f t="shared" ca="1" si="17"/>
        <v>277000</v>
      </c>
      <c r="AB94">
        <f t="shared" ca="1" si="17"/>
        <v>250000</v>
      </c>
      <c r="AC94">
        <f t="shared" ca="1" si="17"/>
        <v>249000</v>
      </c>
      <c r="AD94">
        <f t="shared" ca="1" si="17"/>
        <v>263000</v>
      </c>
      <c r="AE94">
        <f t="shared" ca="1" si="17"/>
        <v>246000</v>
      </c>
      <c r="AF94">
        <f t="shared" ca="1" si="17"/>
        <v>239000</v>
      </c>
      <c r="AG94">
        <f t="shared" ca="1" si="17"/>
        <v>239000</v>
      </c>
      <c r="AH94">
        <f t="shared" ca="1" si="17"/>
        <v>246000</v>
      </c>
      <c r="AI94">
        <f t="shared" ca="1" si="17"/>
        <v>236000</v>
      </c>
      <c r="AJ94">
        <f t="shared" ca="1" si="17"/>
        <v>252000</v>
      </c>
      <c r="AK94">
        <f t="shared" ca="1" si="17"/>
        <v>267000</v>
      </c>
      <c r="AL94">
        <f t="shared" ref="AL94:BM94" ca="1" si="18">HLOOKUP(INDIRECT(ADDRESS(2,COLUMN())),OFFSET($BN$2,0,0,ROW()-1,60),ROW()-1,FALSE)</f>
        <v>297808</v>
      </c>
      <c r="AM94">
        <f t="shared" ca="1" si="18"/>
        <v>280139</v>
      </c>
      <c r="AN94">
        <f t="shared" ca="1" si="18"/>
        <v>269737</v>
      </c>
      <c r="AO94">
        <f t="shared" ca="1" si="18"/>
        <v>257316</v>
      </c>
      <c r="AP94">
        <f t="shared" ca="1" si="18"/>
        <v>271042</v>
      </c>
      <c r="AQ94">
        <f t="shared" ca="1" si="18"/>
        <v>244542</v>
      </c>
      <c r="AR94">
        <f t="shared" ca="1" si="18"/>
        <v>231941</v>
      </c>
      <c r="AS94">
        <f t="shared" ca="1" si="18"/>
        <v>212587</v>
      </c>
      <c r="AT94">
        <f t="shared" ca="1" si="18"/>
        <v>218352</v>
      </c>
      <c r="AU94">
        <f t="shared" ca="1" si="18"/>
        <v>244574</v>
      </c>
      <c r="AV94">
        <f t="shared" ca="1" si="18"/>
        <v>288868</v>
      </c>
      <c r="AW94">
        <f t="shared" ca="1" si="18"/>
        <v>313811</v>
      </c>
      <c r="AX94">
        <f t="shared" ca="1" si="18"/>
        <v>343000</v>
      </c>
      <c r="AY94">
        <f t="shared" ca="1" si="18"/>
        <v>326000</v>
      </c>
      <c r="AZ94">
        <f t="shared" ca="1" si="18"/>
        <v>356000</v>
      </c>
      <c r="BA94">
        <f t="shared" ca="1" si="18"/>
        <v>334000</v>
      </c>
      <c r="BB94">
        <f t="shared" ca="1" si="18"/>
        <v>333000</v>
      </c>
      <c r="BC94">
        <f t="shared" ca="1" si="18"/>
        <v>300000</v>
      </c>
      <c r="BD94">
        <f t="shared" ca="1" si="18"/>
        <v>307000</v>
      </c>
      <c r="BE94">
        <f t="shared" ca="1" si="18"/>
        <v>292000</v>
      </c>
      <c r="BF94">
        <f t="shared" ca="1" si="18"/>
        <v>359000</v>
      </c>
      <c r="BG94" t="str">
        <f t="shared" ca="1" si="18"/>
        <v/>
      </c>
      <c r="BH94" t="str">
        <f t="shared" ca="1" si="18"/>
        <v/>
      </c>
      <c r="BI94" t="str">
        <f t="shared" ca="1" si="18"/>
        <v/>
      </c>
      <c r="BJ94" t="str">
        <f t="shared" ca="1" si="18"/>
        <v/>
      </c>
      <c r="BK94" t="str">
        <f t="shared" ca="1" si="18"/>
        <v/>
      </c>
      <c r="BL94" t="str">
        <f t="shared" ca="1" si="18"/>
        <v/>
      </c>
      <c r="BM94" t="str">
        <f t="shared" ca="1" si="18"/>
        <v/>
      </c>
      <c r="BN94" t="str">
        <f>""</f>
        <v/>
      </c>
      <c r="BO94" t="str">
        <f>""</f>
        <v/>
      </c>
      <c r="BP94" t="str">
        <f>""</f>
        <v/>
      </c>
      <c r="BQ94" t="str">
        <f>""</f>
        <v/>
      </c>
      <c r="BR94" t="str">
        <f>""</f>
        <v/>
      </c>
      <c r="BS94" t="str">
        <f>""</f>
        <v/>
      </c>
      <c r="BT94" t="str">
        <f>""</f>
        <v/>
      </c>
      <c r="BU94" t="str">
        <f>""</f>
        <v/>
      </c>
      <c r="BV94" t="str">
        <f>""</f>
        <v/>
      </c>
      <c r="BW94" t="str">
        <f>""</f>
        <v/>
      </c>
      <c r="BX94" t="str">
        <f>""</f>
        <v/>
      </c>
      <c r="BY94" t="str">
        <f>""</f>
        <v/>
      </c>
      <c r="BZ94" t="str">
        <f>""</f>
        <v/>
      </c>
      <c r="CA94">
        <f>311000</f>
        <v>311000</v>
      </c>
      <c r="CB94">
        <f>312000</f>
        <v>312000</v>
      </c>
      <c r="CC94">
        <f>291000</f>
        <v>291000</v>
      </c>
      <c r="CD94">
        <f>340000</f>
        <v>340000</v>
      </c>
      <c r="CE94">
        <f>330000</f>
        <v>330000</v>
      </c>
      <c r="CF94">
        <f>311000</f>
        <v>311000</v>
      </c>
      <c r="CG94">
        <f>315000</f>
        <v>315000</v>
      </c>
      <c r="CH94">
        <f>342000</f>
        <v>342000</v>
      </c>
      <c r="CI94">
        <f>277000</f>
        <v>277000</v>
      </c>
      <c r="CJ94">
        <f>250000</f>
        <v>250000</v>
      </c>
      <c r="CK94">
        <f>249000</f>
        <v>249000</v>
      </c>
      <c r="CL94">
        <f>263000</f>
        <v>263000</v>
      </c>
      <c r="CM94">
        <f>246000</f>
        <v>246000</v>
      </c>
      <c r="CN94">
        <f>239000</f>
        <v>239000</v>
      </c>
      <c r="CO94">
        <f>239000</f>
        <v>239000</v>
      </c>
      <c r="CP94">
        <f>246000</f>
        <v>246000</v>
      </c>
      <c r="CQ94">
        <f>236000</f>
        <v>236000</v>
      </c>
      <c r="CR94">
        <f>252000</f>
        <v>252000</v>
      </c>
      <c r="CS94">
        <f>267000</f>
        <v>267000</v>
      </c>
      <c r="CT94">
        <f>297808</f>
        <v>297808</v>
      </c>
      <c r="CU94">
        <f>280139</f>
        <v>280139</v>
      </c>
      <c r="CV94">
        <f>269737</f>
        <v>269737</v>
      </c>
      <c r="CW94">
        <f>257316</f>
        <v>257316</v>
      </c>
      <c r="CX94">
        <f>271042</f>
        <v>271042</v>
      </c>
      <c r="CY94">
        <f>244542</f>
        <v>244542</v>
      </c>
      <c r="CZ94">
        <f>231941</f>
        <v>231941</v>
      </c>
      <c r="DA94">
        <f>212587</f>
        <v>212587</v>
      </c>
      <c r="DB94">
        <f>218352</f>
        <v>218352</v>
      </c>
      <c r="DC94">
        <f>244574</f>
        <v>244574</v>
      </c>
      <c r="DD94">
        <f>288868</f>
        <v>288868</v>
      </c>
      <c r="DE94">
        <f>313811</f>
        <v>313811</v>
      </c>
      <c r="DF94">
        <f>343000</f>
        <v>343000</v>
      </c>
      <c r="DG94">
        <f>326000</f>
        <v>326000</v>
      </c>
      <c r="DH94">
        <f>356000</f>
        <v>356000</v>
      </c>
      <c r="DI94">
        <f>334000</f>
        <v>334000</v>
      </c>
      <c r="DJ94">
        <f>333000</f>
        <v>333000</v>
      </c>
      <c r="DK94">
        <f>300000</f>
        <v>300000</v>
      </c>
      <c r="DL94">
        <f>307000</f>
        <v>307000</v>
      </c>
      <c r="DM94">
        <f>292000</f>
        <v>292000</v>
      </c>
      <c r="DN94">
        <f>359000</f>
        <v>359000</v>
      </c>
      <c r="DO94" t="str">
        <f>""</f>
        <v/>
      </c>
      <c r="DP94" t="str">
        <f>""</f>
        <v/>
      </c>
      <c r="DQ94" t="str">
        <f>""</f>
        <v/>
      </c>
      <c r="DR94" t="str">
        <f>""</f>
        <v/>
      </c>
      <c r="DS94" t="str">
        <f>""</f>
        <v/>
      </c>
      <c r="DT94" t="str">
        <f>""</f>
        <v/>
      </c>
      <c r="DU94" t="str">
        <f>""</f>
        <v/>
      </c>
    </row>
    <row r="95" spans="1:125" x14ac:dyDescent="0.25">
      <c r="A95" t="str">
        <f>"        AvtoVaz(25% held by Renault SA)"</f>
        <v xml:space="preserve">        AvtoVaz(25% held by Renault SA)</v>
      </c>
      <c r="B95" t="str">
        <f>"AVAZ RU Equity"</f>
        <v>AVAZ RU Equity</v>
      </c>
      <c r="C95" t="str">
        <f>"FS265"</f>
        <v>FS265</v>
      </c>
      <c r="D95" t="str">
        <f>"AUTO_VEHICLES_SOLD_WW"</f>
        <v>AUTO_VEHICLES_SOLD_WW</v>
      </c>
      <c r="E95" t="str">
        <f>"Dynamic"</f>
        <v>Dynamic</v>
      </c>
      <c r="F95" t="str">
        <f ca="1">IF(AND(ISNUMBER($F$235),$B$156=1),$F$235,HLOOKUP(INDIRECT(ADDRESS(2,COLUMN())),OFFSET($BN$2,0,0,ROW()-1,60),ROW()-1,FALSE))</f>
        <v/>
      </c>
      <c r="G95" t="str">
        <f ca="1">IF(AND(ISNUMBER($G$235),$B$156=1),$G$235,HLOOKUP(INDIRECT(ADDRESS(2,COLUMN())),OFFSET($BN$2,0,0,ROW()-1,60),ROW()-1,FALSE))</f>
        <v/>
      </c>
      <c r="H95" t="str">
        <f ca="1">IF(AND(ISNUMBER($H$235),$B$156=1),$H$235,HLOOKUP(INDIRECT(ADDRESS(2,COLUMN())),OFFSET($BN$2,0,0,ROW()-1,60),ROW()-1,FALSE))</f>
        <v/>
      </c>
      <c r="I95" t="str">
        <f ca="1">IF(AND(ISNUMBER($I$235),$B$156=1),$I$235,HLOOKUP(INDIRECT(ADDRESS(2,COLUMN())),OFFSET($BN$2,0,0,ROW()-1,60),ROW()-1,FALSE))</f>
        <v/>
      </c>
      <c r="J95" t="str">
        <f ca="1">IF(AND(ISNUMBER($J$235),$B$156=1),$J$235,HLOOKUP(INDIRECT(ADDRESS(2,COLUMN())),OFFSET($BN$2,0,0,ROW()-1,60),ROW()-1,FALSE))</f>
        <v/>
      </c>
      <c r="K95" t="str">
        <f ca="1">IF(AND(ISNUMBER($K$235),$B$156=1),$K$235,HLOOKUP(INDIRECT(ADDRESS(2,COLUMN())),OFFSET($BN$2,0,0,ROW()-1,60),ROW()-1,FALSE))</f>
        <v/>
      </c>
      <c r="L95" t="str">
        <f ca="1">IF(AND(ISNUMBER($L$235),$B$156=1),$L$235,HLOOKUP(INDIRECT(ADDRESS(2,COLUMN())),OFFSET($BN$2,0,0,ROW()-1,60),ROW()-1,FALSE))</f>
        <v/>
      </c>
      <c r="M95" t="str">
        <f ca="1">IF(AND(ISNUMBER($M$235),$B$156=1),$M$235,HLOOKUP(INDIRECT(ADDRESS(2,COLUMN())),OFFSET($BN$2,0,0,ROW()-1,60),ROW()-1,FALSE))</f>
        <v/>
      </c>
      <c r="N95" t="str">
        <f ca="1">IF(AND(ISNUMBER($N$235),$B$156=1),$N$235,HLOOKUP(INDIRECT(ADDRESS(2,COLUMN())),OFFSET($BN$2,0,0,ROW()-1,60),ROW()-1,FALSE))</f>
        <v/>
      </c>
      <c r="O95" t="str">
        <f ca="1">IF(AND(ISNUMBER($O$235),$B$156=1),$O$235,HLOOKUP(INDIRECT(ADDRESS(2,COLUMN())),OFFSET($BN$2,0,0,ROW()-1,60),ROW()-1,FALSE))</f>
        <v/>
      </c>
      <c r="P95" t="str">
        <f ca="1">IF(AND(ISNUMBER($P$235),$B$156=1),$P$235,HLOOKUP(INDIRECT(ADDRESS(2,COLUMN())),OFFSET($BN$2,0,0,ROW()-1,60),ROW()-1,FALSE))</f>
        <v/>
      </c>
      <c r="Q95" t="str">
        <f ca="1">IF(AND(ISNUMBER($Q$235),$B$156=1),$Q$235,HLOOKUP(INDIRECT(ADDRESS(2,COLUMN())),OFFSET($BN$2,0,0,ROW()-1,60),ROW()-1,FALSE))</f>
        <v/>
      </c>
      <c r="R95" t="str">
        <f ca="1">IF(AND(ISNUMBER($R$235),$B$156=1),$R$235,HLOOKUP(INDIRECT(ADDRESS(2,COLUMN())),OFFSET($BN$2,0,0,ROW()-1,60),ROW()-1,FALSE))</f>
        <v/>
      </c>
      <c r="S95" t="str">
        <f ca="1">IF(AND(ISNUMBER($S$235),$B$156=1),$S$235,HLOOKUP(INDIRECT(ADDRESS(2,COLUMN())),OFFSET($BN$2,0,0,ROW()-1,60),ROW()-1,FALSE))</f>
        <v/>
      </c>
      <c r="T95" t="str">
        <f ca="1">IF(AND(ISNUMBER($T$235),$B$156=1),$T$235,HLOOKUP(INDIRECT(ADDRESS(2,COLUMN())),OFFSET($BN$2,0,0,ROW()-1,60),ROW()-1,FALSE))</f>
        <v/>
      </c>
      <c r="U95" t="str">
        <f ca="1">IF(AND(ISNUMBER($U$235),$B$156=1),$U$235,HLOOKUP(INDIRECT(ADDRESS(2,COLUMN())),OFFSET($BN$2,0,0,ROW()-1,60),ROW()-1,FALSE))</f>
        <v/>
      </c>
      <c r="V95" t="str">
        <f ca="1">IF(AND(ISNUMBER($V$235),$B$156=1),$V$235,HLOOKUP(INDIRECT(ADDRESS(2,COLUMN())),OFFSET($BN$2,0,0,ROW()-1,60),ROW()-1,FALSE))</f>
        <v/>
      </c>
      <c r="W95" t="str">
        <f ca="1">IF(AND(ISNUMBER($W$235),$B$156=1),$W$235,HLOOKUP(INDIRECT(ADDRESS(2,COLUMN())),OFFSET($BN$2,0,0,ROW()-1,60),ROW()-1,FALSE))</f>
        <v/>
      </c>
      <c r="X95" t="str">
        <f ca="1">IF(AND(ISNUMBER($X$235),$B$156=1),$X$235,HLOOKUP(INDIRECT(ADDRESS(2,COLUMN())),OFFSET($BN$2,0,0,ROW()-1,60),ROW()-1,FALSE))</f>
        <v/>
      </c>
      <c r="Y95" t="str">
        <f ca="1">IF(AND(ISNUMBER($Y$235),$B$156=1),$Y$235,HLOOKUP(INDIRECT(ADDRESS(2,COLUMN())),OFFSET($BN$2,0,0,ROW()-1,60),ROW()-1,FALSE))</f>
        <v/>
      </c>
      <c r="Z95" t="str">
        <f ca="1">IF(AND(ISNUMBER($Z$235),$B$156=1),$Z$235,HLOOKUP(INDIRECT(ADDRESS(2,COLUMN())),OFFSET($BN$2,0,0,ROW()-1,60),ROW()-1,FALSE))</f>
        <v/>
      </c>
      <c r="AA95" t="str">
        <f ca="1">IF(AND(ISNUMBER($AA$235),$B$156=1),$AA$235,HLOOKUP(INDIRECT(ADDRESS(2,COLUMN())),OFFSET($BN$2,0,0,ROW()-1,60),ROW()-1,FALSE))</f>
        <v/>
      </c>
      <c r="AB95" t="str">
        <f ca="1">IF(AND(ISNUMBER($AB$235),$B$156=1),$AB$235,HLOOKUP(INDIRECT(ADDRESS(2,COLUMN())),OFFSET($BN$2,0,0,ROW()-1,60),ROW()-1,FALSE))</f>
        <v/>
      </c>
      <c r="AC95" t="str">
        <f ca="1">IF(AND(ISNUMBER($AC$235),$B$156=1),$AC$235,HLOOKUP(INDIRECT(ADDRESS(2,COLUMN())),OFFSET($BN$2,0,0,ROW()-1,60),ROW()-1,FALSE))</f>
        <v/>
      </c>
      <c r="AD95" t="str">
        <f ca="1">IF(AND(ISNUMBER($AD$235),$B$156=1),$AD$235,HLOOKUP(INDIRECT(ADDRESS(2,COLUMN())),OFFSET($BN$2,0,0,ROW()-1,60),ROW()-1,FALSE))</f>
        <v/>
      </c>
      <c r="AE95" t="str">
        <f ca="1">IF(AND(ISNUMBER($AE$235),$B$156=1),$AE$235,HLOOKUP(INDIRECT(ADDRESS(2,COLUMN())),OFFSET($BN$2,0,0,ROW()-1,60),ROW()-1,FALSE))</f>
        <v/>
      </c>
      <c r="AF95" t="str">
        <f ca="1">IF(AND(ISNUMBER($AF$235),$B$156=1),$AF$235,HLOOKUP(INDIRECT(ADDRESS(2,COLUMN())),OFFSET($BN$2,0,0,ROW()-1,60),ROW()-1,FALSE))</f>
        <v/>
      </c>
      <c r="AG95" t="str">
        <f ca="1">IF(AND(ISNUMBER($AG$235),$B$156=1),$AG$235,HLOOKUP(INDIRECT(ADDRESS(2,COLUMN())),OFFSET($BN$2,0,0,ROW()-1,60),ROW()-1,FALSE))</f>
        <v/>
      </c>
      <c r="AH95" t="str">
        <f ca="1">IF(AND(ISNUMBER($AH$235),$B$156=1),$AH$235,HLOOKUP(INDIRECT(ADDRESS(2,COLUMN())),OFFSET($BN$2,0,0,ROW()-1,60),ROW()-1,FALSE))</f>
        <v/>
      </c>
      <c r="AI95" t="str">
        <f ca="1">IF(AND(ISNUMBER($AI$235),$B$156=1),$AI$235,HLOOKUP(INDIRECT(ADDRESS(2,COLUMN())),OFFSET($BN$2,0,0,ROW()-1,60),ROW()-1,FALSE))</f>
        <v/>
      </c>
      <c r="AJ95" t="str">
        <f ca="1">IF(AND(ISNUMBER($AJ$235),$B$156=1),$AJ$235,HLOOKUP(INDIRECT(ADDRESS(2,COLUMN())),OFFSET($BN$2,0,0,ROW()-1,60),ROW()-1,FALSE))</f>
        <v/>
      </c>
      <c r="AK95" t="str">
        <f ca="1">IF(AND(ISNUMBER($AK$235),$B$156=1),$AK$235,HLOOKUP(INDIRECT(ADDRESS(2,COLUMN())),OFFSET($BN$2,0,0,ROW()-1,60),ROW()-1,FALSE))</f>
        <v/>
      </c>
      <c r="AL95" t="str">
        <f ca="1">IF(AND(ISNUMBER($AL$235),$B$156=1),$AL$235,HLOOKUP(INDIRECT(ADDRESS(2,COLUMN())),OFFSET($BN$2,0,0,ROW()-1,60),ROW()-1,FALSE))</f>
        <v/>
      </c>
      <c r="AM95" t="str">
        <f ca="1">IF(AND(ISNUMBER($AM$235),$B$156=1),$AM$235,HLOOKUP(INDIRECT(ADDRESS(2,COLUMN())),OFFSET($BN$2,0,0,ROW()-1,60),ROW()-1,FALSE))</f>
        <v/>
      </c>
      <c r="AN95" t="str">
        <f ca="1">IF(AND(ISNUMBER($AN$235),$B$156=1),$AN$235,HLOOKUP(INDIRECT(ADDRESS(2,COLUMN())),OFFSET($BN$2,0,0,ROW()-1,60),ROW()-1,FALSE))</f>
        <v/>
      </c>
      <c r="AO95" t="str">
        <f ca="1">IF(AND(ISNUMBER($AO$235),$B$156=1),$AO$235,HLOOKUP(INDIRECT(ADDRESS(2,COLUMN())),OFFSET($BN$2,0,0,ROW()-1,60),ROW()-1,FALSE))</f>
        <v/>
      </c>
      <c r="AP95" t="str">
        <f ca="1">IF(AND(ISNUMBER($AP$235),$B$156=1),$AP$235,HLOOKUP(INDIRECT(ADDRESS(2,COLUMN())),OFFSET($BN$2,0,0,ROW()-1,60),ROW()-1,FALSE))</f>
        <v/>
      </c>
      <c r="AQ95" t="str">
        <f ca="1">IF(AND(ISNUMBER($AQ$235),$B$156=1),$AQ$235,HLOOKUP(INDIRECT(ADDRESS(2,COLUMN())),OFFSET($BN$2,0,0,ROW()-1,60),ROW()-1,FALSE))</f>
        <v/>
      </c>
      <c r="AR95" t="str">
        <f ca="1">IF(AND(ISNUMBER($AR$235),$B$156=1),$AR$235,HLOOKUP(INDIRECT(ADDRESS(2,COLUMN())),OFFSET($BN$2,0,0,ROW()-1,60),ROW()-1,FALSE))</f>
        <v/>
      </c>
      <c r="AS95" t="str">
        <f ca="1">IF(AND(ISNUMBER($AS$235),$B$156=1),$AS$235,HLOOKUP(INDIRECT(ADDRESS(2,COLUMN())),OFFSET($BN$2,0,0,ROW()-1,60),ROW()-1,FALSE))</f>
        <v/>
      </c>
      <c r="AT95" t="str">
        <f ca="1">IF(AND(ISNUMBER($AT$235),$B$156=1),$AT$235,HLOOKUP(INDIRECT(ADDRESS(2,COLUMN())),OFFSET($BN$2,0,0,ROW()-1,60),ROW()-1,FALSE))</f>
        <v/>
      </c>
      <c r="AU95" t="str">
        <f ca="1">IF(AND(ISNUMBER($AU$235),$B$156=1),$AU$235,HLOOKUP(INDIRECT(ADDRESS(2,COLUMN())),OFFSET($BN$2,0,0,ROW()-1,60),ROW()-1,FALSE))</f>
        <v/>
      </c>
      <c r="AV95" t="str">
        <f ca="1">IF(AND(ISNUMBER($AV$235),$B$156=1),$AV$235,HLOOKUP(INDIRECT(ADDRESS(2,COLUMN())),OFFSET($BN$2,0,0,ROW()-1,60),ROW()-1,FALSE))</f>
        <v/>
      </c>
      <c r="AW95" t="str">
        <f ca="1">IF(AND(ISNUMBER($AW$235),$B$156=1),$AW$235,HLOOKUP(INDIRECT(ADDRESS(2,COLUMN())),OFFSET($BN$2,0,0,ROW()-1,60),ROW()-1,FALSE))</f>
        <v/>
      </c>
      <c r="AX95" t="str">
        <f ca="1">IF(AND(ISNUMBER($AX$235),$B$156=1),$AX$235,HLOOKUP(INDIRECT(ADDRESS(2,COLUMN())),OFFSET($BN$2,0,0,ROW()-1,60),ROW()-1,FALSE))</f>
        <v/>
      </c>
      <c r="AY95" t="str">
        <f ca="1">IF(AND(ISNUMBER($AY$235),$B$156=1),$AY$235,HLOOKUP(INDIRECT(ADDRESS(2,COLUMN())),OFFSET($BN$2,0,0,ROW()-1,60),ROW()-1,FALSE))</f>
        <v/>
      </c>
      <c r="AZ95" t="str">
        <f ca="1">IF(AND(ISNUMBER($AZ$235),$B$156=1),$AZ$235,HLOOKUP(INDIRECT(ADDRESS(2,COLUMN())),OFFSET($BN$2,0,0,ROW()-1,60),ROW()-1,FALSE))</f>
        <v/>
      </c>
      <c r="BA95" t="str">
        <f ca="1">IF(AND(ISNUMBER($BA$235),$B$156=1),$BA$235,HLOOKUP(INDIRECT(ADDRESS(2,COLUMN())),OFFSET($BN$2,0,0,ROW()-1,60),ROW()-1,FALSE))</f>
        <v/>
      </c>
      <c r="BB95" t="str">
        <f ca="1">IF(AND(ISNUMBER($BB$235),$B$156=1),$BB$235,HLOOKUP(INDIRECT(ADDRESS(2,COLUMN())),OFFSET($BN$2,0,0,ROW()-1,60),ROW()-1,FALSE))</f>
        <v/>
      </c>
      <c r="BC95" t="str">
        <f ca="1">IF(AND(ISNUMBER($BC$235),$B$156=1),$BC$235,HLOOKUP(INDIRECT(ADDRESS(2,COLUMN())),OFFSET($BN$2,0,0,ROW()-1,60),ROW()-1,FALSE))</f>
        <v/>
      </c>
      <c r="BD95" t="str">
        <f ca="1">IF(AND(ISNUMBER($BD$235),$B$156=1),$BD$235,HLOOKUP(INDIRECT(ADDRESS(2,COLUMN())),OFFSET($BN$2,0,0,ROW()-1,60),ROW()-1,FALSE))</f>
        <v/>
      </c>
      <c r="BE95" t="str">
        <f ca="1">IF(AND(ISNUMBER($BE$235),$B$156=1),$BE$235,HLOOKUP(INDIRECT(ADDRESS(2,COLUMN())),OFFSET($BN$2,0,0,ROW()-1,60),ROW()-1,FALSE))</f>
        <v/>
      </c>
      <c r="BF95" t="str">
        <f ca="1">IF(AND(ISNUMBER($BF$235),$B$156=1),$BF$235,HLOOKUP(INDIRECT(ADDRESS(2,COLUMN())),OFFSET($BN$2,0,0,ROW()-1,60),ROW()-1,FALSE))</f>
        <v/>
      </c>
      <c r="BG95" t="str">
        <f ca="1">IF(AND(ISNUMBER($BG$235),$B$156=1),$BG$235,HLOOKUP(INDIRECT(ADDRESS(2,COLUMN())),OFFSET($BN$2,0,0,ROW()-1,60),ROW()-1,FALSE))</f>
        <v/>
      </c>
      <c r="BH95" t="str">
        <f ca="1">IF(AND(ISNUMBER($BH$235),$B$156=1),$BH$235,HLOOKUP(INDIRECT(ADDRESS(2,COLUMN())),OFFSET($BN$2,0,0,ROW()-1,60),ROW()-1,FALSE))</f>
        <v/>
      </c>
      <c r="BI95" t="str">
        <f ca="1">IF(AND(ISNUMBER($BI$235),$B$156=1),$BI$235,HLOOKUP(INDIRECT(ADDRESS(2,COLUMN())),OFFSET($BN$2,0,0,ROW()-1,60),ROW()-1,FALSE))</f>
        <v/>
      </c>
      <c r="BJ95" t="str">
        <f ca="1">IF(AND(ISNUMBER($BJ$235),$B$156=1),$BJ$235,HLOOKUP(INDIRECT(ADDRESS(2,COLUMN())),OFFSET($BN$2,0,0,ROW()-1,60),ROW()-1,FALSE))</f>
        <v/>
      </c>
      <c r="BK95" t="str">
        <f ca="1">IF(AND(ISNUMBER($BK$235),$B$156=1),$BK$235,HLOOKUP(INDIRECT(ADDRESS(2,COLUMN())),OFFSET($BN$2,0,0,ROW()-1,60),ROW()-1,FALSE))</f>
        <v/>
      </c>
      <c r="BL95" t="str">
        <f ca="1">IF(AND(ISNUMBER($BL$235),$B$156=1),$BL$235,HLOOKUP(INDIRECT(ADDRESS(2,COLUMN())),OFFSET($BN$2,0,0,ROW()-1,60),ROW()-1,FALSE))</f>
        <v/>
      </c>
      <c r="BM95" t="str">
        <f ca="1">IF(AND(ISNUMBER($BM$235),$B$156=1),$BM$235,HLOOKUP(INDIRECT(ADDRESS(2,COLUMN())),OFFSET($BN$2,0,0,ROW()-1,60),ROW()-1,FALSE))</f>
        <v/>
      </c>
      <c r="BN95" t="str">
        <f>""</f>
        <v/>
      </c>
      <c r="BO95" t="str">
        <f>""</f>
        <v/>
      </c>
      <c r="BP95" t="str">
        <f>""</f>
        <v/>
      </c>
      <c r="BQ95" t="str">
        <f>""</f>
        <v/>
      </c>
      <c r="BR95" t="str">
        <f>""</f>
        <v/>
      </c>
      <c r="BS95" t="str">
        <f>""</f>
        <v/>
      </c>
      <c r="BT95" t="str">
        <f>""</f>
        <v/>
      </c>
      <c r="BU95" t="str">
        <f>""</f>
        <v/>
      </c>
      <c r="BV95" t="str">
        <f>""</f>
        <v/>
      </c>
      <c r="BW95" t="str">
        <f>""</f>
        <v/>
      </c>
      <c r="BX95" t="str">
        <f>""</f>
        <v/>
      </c>
      <c r="BY95" t="str">
        <f>""</f>
        <v/>
      </c>
      <c r="BZ95" t="str">
        <f>""</f>
        <v/>
      </c>
      <c r="CA95" t="str">
        <f>""</f>
        <v/>
      </c>
      <c r="CB95" t="str">
        <f>""</f>
        <v/>
      </c>
      <c r="CC95" t="str">
        <f>""</f>
        <v/>
      </c>
      <c r="CD95" t="str">
        <f>""</f>
        <v/>
      </c>
      <c r="CE95" t="str">
        <f>""</f>
        <v/>
      </c>
      <c r="CF95" t="str">
        <f>""</f>
        <v/>
      </c>
      <c r="CG95" t="str">
        <f>""</f>
        <v/>
      </c>
      <c r="CH95" t="str">
        <f>""</f>
        <v/>
      </c>
      <c r="CI95" t="str">
        <f>""</f>
        <v/>
      </c>
      <c r="CJ95" t="str">
        <f>""</f>
        <v/>
      </c>
      <c r="CK95" t="str">
        <f>""</f>
        <v/>
      </c>
      <c r="CL95" t="str">
        <f>""</f>
        <v/>
      </c>
      <c r="CM95" t="str">
        <f>""</f>
        <v/>
      </c>
      <c r="CN95" t="str">
        <f>""</f>
        <v/>
      </c>
      <c r="CO95" t="str">
        <f>""</f>
        <v/>
      </c>
      <c r="CP95" t="str">
        <f>""</f>
        <v/>
      </c>
      <c r="CQ95" t="str">
        <f>""</f>
        <v/>
      </c>
      <c r="CR95" t="str">
        <f>""</f>
        <v/>
      </c>
      <c r="CS95" t="str">
        <f>""</f>
        <v/>
      </c>
      <c r="CT95" t="str">
        <f>""</f>
        <v/>
      </c>
      <c r="CU95" t="str">
        <f>""</f>
        <v/>
      </c>
      <c r="CV95" t="str">
        <f>""</f>
        <v/>
      </c>
      <c r="CW95" t="str">
        <f>""</f>
        <v/>
      </c>
      <c r="CX95" t="str">
        <f>""</f>
        <v/>
      </c>
      <c r="CY95" t="str">
        <f>""</f>
        <v/>
      </c>
      <c r="CZ95" t="str">
        <f>""</f>
        <v/>
      </c>
      <c r="DA95" t="str">
        <f>""</f>
        <v/>
      </c>
      <c r="DB95" t="str">
        <f>""</f>
        <v/>
      </c>
      <c r="DC95" t="str">
        <f>""</f>
        <v/>
      </c>
      <c r="DD95" t="str">
        <f>""</f>
        <v/>
      </c>
      <c r="DE95" t="str">
        <f>""</f>
        <v/>
      </c>
      <c r="DF95" t="str">
        <f>""</f>
        <v/>
      </c>
      <c r="DG95" t="str">
        <f>""</f>
        <v/>
      </c>
      <c r="DH95" t="str">
        <f>""</f>
        <v/>
      </c>
      <c r="DI95" t="str">
        <f>""</f>
        <v/>
      </c>
      <c r="DJ95" t="str">
        <f>""</f>
        <v/>
      </c>
      <c r="DK95" t="str">
        <f>""</f>
        <v/>
      </c>
      <c r="DL95" t="str">
        <f>""</f>
        <v/>
      </c>
      <c r="DM95" t="str">
        <f>""</f>
        <v/>
      </c>
      <c r="DN95" t="str">
        <f>""</f>
        <v/>
      </c>
      <c r="DO95" t="str">
        <f>""</f>
        <v/>
      </c>
      <c r="DP95" t="str">
        <f>""</f>
        <v/>
      </c>
      <c r="DQ95" t="str">
        <f>""</f>
        <v/>
      </c>
      <c r="DR95" t="str">
        <f>""</f>
        <v/>
      </c>
      <c r="DS95" t="str">
        <f>""</f>
        <v/>
      </c>
      <c r="DT95" t="str">
        <f>""</f>
        <v/>
      </c>
      <c r="DU95" t="str">
        <f>""</f>
        <v/>
      </c>
    </row>
    <row r="96" spans="1:125" x14ac:dyDescent="0.25">
      <c r="A96" t="str">
        <f>"    Ford Motor Co"</f>
        <v xml:space="preserve">    Ford Motor Co</v>
      </c>
      <c r="B96" t="str">
        <f>"F US Equity"</f>
        <v>F US Equity</v>
      </c>
      <c r="C96" t="str">
        <f>"FS265"</f>
        <v>FS265</v>
      </c>
      <c r="D96" t="str">
        <f>"AUTO_VEHICLES_SOLD_WW"</f>
        <v>AUTO_VEHICLES_SOLD_WW</v>
      </c>
      <c r="E96" t="str">
        <f>"Dynamic"</f>
        <v>Dynamic</v>
      </c>
      <c r="F96" t="str">
        <f ca="1">IF(AND(ISNUMBER($F$236),$B$156=1),$F$236,HLOOKUP(INDIRECT(ADDRESS(2,COLUMN())),OFFSET($BN$2,0,0,ROW()-1,60),ROW()-1,FALSE))</f>
        <v/>
      </c>
      <c r="G96">
        <f ca="1">IF(AND(ISNUMBER($G$236),$B$156=1),$G$236,HLOOKUP(INDIRECT(ADDRESS(2,COLUMN())),OFFSET($BN$2,0,0,ROW()-1,60),ROW()-1,FALSE))</f>
        <v>1474000</v>
      </c>
      <c r="H96">
        <f ca="1">IF(AND(ISNUMBER($H$236),$B$156=1),$H$236,HLOOKUP(INDIRECT(ADDRESS(2,COLUMN())),OFFSET($BN$2,0,0,ROW()-1,60),ROW()-1,FALSE))</f>
        <v>1353000</v>
      </c>
      <c r="I96">
        <f ca="1">IF(AND(ISNUMBER($I$236),$B$156=1),$I$236,HLOOKUP(INDIRECT(ADDRESS(2,COLUMN())),OFFSET($BN$2,0,0,ROW()-1,60),ROW()-1,FALSE))</f>
        <v>1493000</v>
      </c>
      <c r="J96">
        <f ca="1">IF(AND(ISNUMBER($J$236),$B$156=1),$J$236,HLOOKUP(INDIRECT(ADDRESS(2,COLUMN())),OFFSET($BN$2,0,0,ROW()-1,60),ROW()-1,FALSE))</f>
        <v>1662000</v>
      </c>
      <c r="K96">
        <f ca="1">IF(AND(ISNUMBER($K$236),$B$156=1),$K$236,HLOOKUP(INDIRECT(ADDRESS(2,COLUMN())),OFFSET($BN$2,0,0,ROW()-1,60),ROW()-1,FALSE))</f>
        <v>1749000</v>
      </c>
      <c r="L96">
        <f ca="1">IF(AND(ISNUMBER($L$236),$B$156=1),$L$236,HLOOKUP(INDIRECT(ADDRESS(2,COLUMN())),OFFSET($BN$2,0,0,ROW()-1,60),ROW()-1,FALSE))</f>
        <v>1504000</v>
      </c>
      <c r="M96">
        <f ca="1">IF(AND(ISNUMBER($M$236),$B$156=1),$M$236,HLOOKUP(INDIRECT(ADDRESS(2,COLUMN())),OFFSET($BN$2,0,0,ROW()-1,60),ROW()-1,FALSE))</f>
        <v>1651000</v>
      </c>
      <c r="N96">
        <f ca="1">IF(AND(ISNUMBER($N$236),$B$156=1),$N$236,HLOOKUP(INDIRECT(ADDRESS(2,COLUMN())),OFFSET($BN$2,0,0,ROW()-1,60),ROW()-1,FALSE))</f>
        <v>1703000</v>
      </c>
      <c r="O96">
        <f ca="1">IF(AND(ISNUMBER($O$236),$B$156=1),$O$236,HLOOKUP(INDIRECT(ADDRESS(2,COLUMN())),OFFSET($BN$2,0,0,ROW()-1,60),ROW()-1,FALSE))</f>
        <v>1707000</v>
      </c>
      <c r="P96">
        <f ca="1">IF(AND(ISNUMBER($P$236),$B$156=1),$P$236,HLOOKUP(INDIRECT(ADDRESS(2,COLUMN())),OFFSET($BN$2,0,0,ROW()-1,60),ROW()-1,FALSE))</f>
        <v>1530000</v>
      </c>
      <c r="Q96">
        <f ca="1">IF(AND(ISNUMBER($Q$236),$B$156=1),$Q$236,HLOOKUP(INDIRECT(ADDRESS(2,COLUMN())),OFFSET($BN$2,0,0,ROW()-1,60),ROW()-1,FALSE))</f>
        <v>1694000</v>
      </c>
      <c r="R96">
        <f ca="1">IF(AND(ISNUMBER($R$236),$B$156=1),$R$236,HLOOKUP(INDIRECT(ADDRESS(2,COLUMN())),OFFSET($BN$2,0,0,ROW()-1,60),ROW()-1,FALSE))</f>
        <v>1720000</v>
      </c>
      <c r="S96">
        <f ca="1">IF(AND(ISNUMBER($S$236),$B$156=1),$S$236,HLOOKUP(INDIRECT(ADDRESS(2,COLUMN())),OFFSET($BN$2,0,0,ROW()-1,60),ROW()-1,FALSE))</f>
        <v>1775000</v>
      </c>
      <c r="T96">
        <f ca="1">IF(AND(ISNUMBER($T$236),$B$156=1),$T$236,HLOOKUP(INDIRECT(ADDRESS(2,COLUMN())),OFFSET($BN$2,0,0,ROW()-1,60),ROW()-1,FALSE))</f>
        <v>1596000</v>
      </c>
      <c r="U96">
        <f ca="1">IF(AND(ISNUMBER($U$236),$B$156=1),$U$236,HLOOKUP(INDIRECT(ADDRESS(2,COLUMN())),OFFSET($BN$2,0,0,ROW()-1,60),ROW()-1,FALSE))</f>
        <v>1696000</v>
      </c>
      <c r="V96">
        <f ca="1">IF(AND(ISNUMBER($V$236),$B$156=1),$V$236,HLOOKUP(INDIRECT(ADDRESS(2,COLUMN())),OFFSET($BN$2,0,0,ROW()-1,60),ROW()-1,FALSE))</f>
        <v>1568000</v>
      </c>
      <c r="W96">
        <f ca="1">IF(AND(ISNUMBER($W$236),$B$156=1),$W$236,HLOOKUP(INDIRECT(ADDRESS(2,COLUMN())),OFFSET($BN$2,0,0,ROW()-1,60),ROW()-1,FALSE))</f>
        <v>1580000</v>
      </c>
      <c r="X96">
        <f ca="1">IF(AND(ISNUMBER($X$236),$B$156=1),$X$236,HLOOKUP(INDIRECT(ADDRESS(2,COLUMN())),OFFSET($BN$2,0,0,ROW()-1,60),ROW()-1,FALSE))</f>
        <v>1493000</v>
      </c>
      <c r="Y96">
        <f ca="1">IF(AND(ISNUMBER($Y$236),$B$156=1),$Y$236,HLOOKUP(INDIRECT(ADDRESS(2,COLUMN())),OFFSET($BN$2,0,0,ROW()-1,60),ROW()-1,FALSE))</f>
        <v>1661000</v>
      </c>
      <c r="Z96">
        <f ca="1">IF(AND(ISNUMBER($Z$236),$B$156=1),$Z$236,HLOOKUP(INDIRECT(ADDRESS(2,COLUMN())),OFFSET($BN$2,0,0,ROW()-1,60),ROW()-1,FALSE))</f>
        <v>1589000</v>
      </c>
      <c r="AA96">
        <f ca="1">IF(AND(ISNUMBER($AA$236),$B$156=1),$AA$236,HLOOKUP(INDIRECT(ADDRESS(2,COLUMN())),OFFSET($BN$2,0,0,ROW()-1,60),ROW()-1,FALSE))</f>
        <v>1610000</v>
      </c>
      <c r="AB96">
        <f ca="1">IF(AND(ISNUMBER($AB$236),$B$156=1),$AB$236,HLOOKUP(INDIRECT(ADDRESS(2,COLUMN())),OFFSET($BN$2,0,0,ROW()-1,60),ROW()-1,FALSE))</f>
        <v>1545000</v>
      </c>
      <c r="AC96">
        <f ca="1">IF(AND(ISNUMBER($AC$236),$B$156=1),$AC$236,HLOOKUP(INDIRECT(ADDRESS(2,COLUMN())),OFFSET($BN$2,0,0,ROW()-1,60),ROW()-1,FALSE))</f>
        <v>1678000</v>
      </c>
      <c r="AD96">
        <f ca="1">IF(AND(ISNUMBER($AD$236),$B$156=1),$AD$236,HLOOKUP(INDIRECT(ADDRESS(2,COLUMN())),OFFSET($BN$2,0,0,ROW()-1,60),ROW()-1,FALSE))</f>
        <v>1497000</v>
      </c>
      <c r="AE96">
        <f ca="1">IF(AND(ISNUMBER($AE$236),$B$156=1),$AE$236,HLOOKUP(INDIRECT(ADDRESS(2,COLUMN())),OFFSET($BN$2,0,0,ROW()-1,60),ROW()-1,FALSE))</f>
        <v>1534000</v>
      </c>
      <c r="AF96">
        <f ca="1">IF(AND(ISNUMBER($AF$236),$B$156=1),$AF$236,HLOOKUP(INDIRECT(ADDRESS(2,COLUMN())),OFFSET($BN$2,0,0,ROW()-1,60),ROW()-1,FALSE))</f>
        <v>1329000</v>
      </c>
      <c r="AG96">
        <f ca="1">IF(AND(ISNUMBER($AG$236),$B$156=1),$AG$236,HLOOKUP(INDIRECT(ADDRESS(2,COLUMN())),OFFSET($BN$2,0,0,ROW()-1,60),ROW()-1,FALSE))</f>
        <v>1447000</v>
      </c>
      <c r="AH96">
        <f ca="1">IF(AND(ISNUMBER($AH$236),$B$156=1),$AH$236,HLOOKUP(INDIRECT(ADDRESS(2,COLUMN())),OFFSET($BN$2,0,0,ROW()-1,60),ROW()-1,FALSE))</f>
        <v>1358000</v>
      </c>
      <c r="AI96">
        <f ca="1">IF(AND(ISNUMBER($AI$236),$B$156=1),$AI$236,HLOOKUP(INDIRECT(ADDRESS(2,COLUMN())),OFFSET($BN$2,0,0,ROW()-1,60),ROW()-1,FALSE))</f>
        <v>1427000</v>
      </c>
      <c r="AJ96">
        <f ca="1">IF(AND(ISNUMBER($AJ$236),$B$156=1),$AJ$236,HLOOKUP(INDIRECT(ADDRESS(2,COLUMN())),OFFSET($BN$2,0,0,ROW()-1,60),ROW()-1,FALSE))</f>
        <v>1346000</v>
      </c>
      <c r="AK96">
        <f ca="1">IF(AND(ISNUMBER($AK$236),$B$156=1),$AK$236,HLOOKUP(INDIRECT(ADDRESS(2,COLUMN())),OFFSET($BN$2,0,0,ROW()-1,60),ROW()-1,FALSE))</f>
        <v>1519000</v>
      </c>
      <c r="AL96">
        <f ca="1">IF(AND(ISNUMBER($AL$236),$B$156=1),$AL$236,HLOOKUP(INDIRECT(ADDRESS(2,COLUMN())),OFFSET($BN$2,0,0,ROW()-1,60),ROW()-1,FALSE))</f>
        <v>1403000</v>
      </c>
      <c r="AM96">
        <f ca="1">IF(AND(ISNUMBER($AM$236),$B$156=1),$AM$236,HLOOKUP(INDIRECT(ADDRESS(2,COLUMN())),OFFSET($BN$2,0,0,ROW()-1,60),ROW()-1,FALSE))</f>
        <v>1389000</v>
      </c>
      <c r="AN96">
        <f ca="1">IF(AND(ISNUMBER($AN$236),$B$156=1),$AN$236,HLOOKUP(INDIRECT(ADDRESS(2,COLUMN())),OFFSET($BN$2,0,0,ROW()-1,60),ROW()-1,FALSE))</f>
        <v>1273000</v>
      </c>
      <c r="AO96">
        <f ca="1">IF(AND(ISNUMBER($AO$236),$B$156=1),$AO$236,HLOOKUP(INDIRECT(ADDRESS(2,COLUMN())),OFFSET($BN$2,0,0,ROW()-1,60),ROW()-1,FALSE))</f>
        <v>1517000</v>
      </c>
      <c r="AP96">
        <f ca="1">IF(AND(ISNUMBER($AP$236),$B$156=1),$AP$236,HLOOKUP(INDIRECT(ADDRESS(2,COLUMN())),OFFSET($BN$2,0,0,ROW()-1,60),ROW()-1,FALSE))</f>
        <v>1345000</v>
      </c>
      <c r="AQ96">
        <f ca="1">IF(AND(ISNUMBER($AQ$236),$B$156=1),$AQ$236,HLOOKUP(INDIRECT(ADDRESS(2,COLUMN())),OFFSET($BN$2,0,0,ROW()-1,60),ROW()-1,FALSE))</f>
        <v>1489000</v>
      </c>
      <c r="AR96">
        <f ca="1">IF(AND(ISNUMBER($AR$236),$B$156=1),$AR$236,HLOOKUP(INDIRECT(ADDRESS(2,COLUMN())),OFFSET($BN$2,0,0,ROW()-1,60),ROW()-1,FALSE))</f>
        <v>1238000</v>
      </c>
      <c r="AS96">
        <f ca="1">IF(AND(ISNUMBER($AS$236),$B$156=1),$AS$236,HLOOKUP(INDIRECT(ADDRESS(2,COLUMN())),OFFSET($BN$2,0,0,ROW()-1,60),ROW()-1,FALSE))</f>
        <v>1194000</v>
      </c>
      <c r="AT96">
        <f ca="1">IF(AND(ISNUMBER($AT$236),$B$156=1),$AT$236,HLOOKUP(INDIRECT(ADDRESS(2,COLUMN())),OFFSET($BN$2,0,0,ROW()-1,60),ROW()-1,FALSE))</f>
        <v>986000</v>
      </c>
      <c r="AU96">
        <f ca="1">IF(AND(ISNUMBER($AU$236),$B$156=1),$AU$236,HLOOKUP(INDIRECT(ADDRESS(2,COLUMN())),OFFSET($BN$2,0,0,ROW()-1,60),ROW()-1,FALSE))</f>
        <v>1139000</v>
      </c>
      <c r="AV96">
        <f ca="1">IF(AND(ISNUMBER($AV$236),$B$156=1),$AV$236,HLOOKUP(INDIRECT(ADDRESS(2,COLUMN())),OFFSET($BN$2,0,0,ROW()-1,60),ROW()-1,FALSE))</f>
        <v>1175000</v>
      </c>
      <c r="AW96">
        <f ca="1">IF(AND(ISNUMBER($AW$236),$B$156=1),$AW$236,HLOOKUP(INDIRECT(ADDRESS(2,COLUMN())),OFFSET($BN$2,0,0,ROW()-1,60),ROW()-1,FALSE))</f>
        <v>1613000</v>
      </c>
      <c r="AX96">
        <f ca="1">IF(AND(ISNUMBER($AX$236),$B$156=1),$AX$236,HLOOKUP(INDIRECT(ADDRESS(2,COLUMN())),OFFSET($BN$2,0,0,ROW()-1,60),ROW()-1,FALSE))</f>
        <v>1605000</v>
      </c>
      <c r="AY96">
        <f ca="1">IF(AND(ISNUMBER($AY$236),$B$156=1),$AY$236,HLOOKUP(INDIRECT(ADDRESS(2,COLUMN())),OFFSET($BN$2,0,0,ROW()-1,60),ROW()-1,FALSE))</f>
        <v>1643000</v>
      </c>
      <c r="AZ96">
        <f ca="1">IF(AND(ISNUMBER($AZ$236),$B$156=1),$AZ$236,HLOOKUP(INDIRECT(ADDRESS(2,COLUMN())),OFFSET($BN$2,0,0,ROW()-1,60),ROW()-1,FALSE))</f>
        <v>1487000</v>
      </c>
      <c r="BA96">
        <f ca="1">IF(AND(ISNUMBER($BA$236),$B$156=1),$BA$236,HLOOKUP(INDIRECT(ADDRESS(2,COLUMN())),OFFSET($BN$2,0,0,ROW()-1,60),ROW()-1,FALSE))</f>
        <v>1773000</v>
      </c>
      <c r="BB96">
        <f ca="1">IF(AND(ISNUMBER($BB$236),$B$156=1),$BB$236,HLOOKUP(INDIRECT(ADDRESS(2,COLUMN())),OFFSET($BN$2,0,0,ROW()-1,60),ROW()-1,FALSE))</f>
        <v>1650000</v>
      </c>
      <c r="BC96">
        <f ca="1">IF(AND(ISNUMBER($BC$236),$B$156=1),$BC$236,HLOOKUP(INDIRECT(ADDRESS(2,COLUMN())),OFFSET($BN$2,0,0,ROW()-1,60),ROW()-1,FALSE))</f>
        <v>1676000</v>
      </c>
      <c r="BD96">
        <f ca="1">IF(AND(ISNUMBER($BD$236),$B$156=1),$BD$236,HLOOKUP(INDIRECT(ADDRESS(2,COLUMN())),OFFSET($BN$2,0,0,ROW()-1,60),ROW()-1,FALSE))</f>
        <v>1467000</v>
      </c>
      <c r="BE96">
        <f ca="1">IF(AND(ISNUMBER($BE$236),$B$156=1),$BE$236,HLOOKUP(INDIRECT(ADDRESS(2,COLUMN())),OFFSET($BN$2,0,0,ROW()-1,60),ROW()-1,FALSE))</f>
        <v>1806000</v>
      </c>
      <c r="BF96">
        <f ca="1">IF(AND(ISNUMBER($BF$236),$B$156=1),$BF$236,HLOOKUP(INDIRECT(ADDRESS(2,COLUMN())),OFFSET($BN$2,0,0,ROW()-1,60),ROW()-1,FALSE))</f>
        <v>1722000</v>
      </c>
      <c r="BG96">
        <f ca="1">IF(AND(ISNUMBER($BG$236),$B$156=1),$BG$236,HLOOKUP(INDIRECT(ADDRESS(2,COLUMN())),OFFSET($BN$2,0,0,ROW()-1,60),ROW()-1,FALSE))</f>
        <v>1853000</v>
      </c>
      <c r="BH96">
        <f ca="1">IF(AND(ISNUMBER($BH$236),$B$156=1),$BH$236,HLOOKUP(INDIRECT(ADDRESS(2,COLUMN())),OFFSET($BN$2,0,0,ROW()-1,60),ROW()-1,FALSE))</f>
        <v>1531000</v>
      </c>
      <c r="BI96">
        <f ca="1">IF(AND(ISNUMBER($BI$236),$B$156=1),$BI$236,HLOOKUP(INDIRECT(ADDRESS(2,COLUMN())),OFFSET($BN$2,0,0,ROW()-1,60),ROW()-1,FALSE))</f>
        <v>1718000</v>
      </c>
      <c r="BJ96">
        <f ca="1">IF(AND(ISNUMBER($BJ$236),$B$156=1),$BJ$236,HLOOKUP(INDIRECT(ADDRESS(2,COLUMN())),OFFSET($BN$2,0,0,ROW()-1,60),ROW()-1,FALSE))</f>
        <v>1716000</v>
      </c>
      <c r="BK96">
        <f ca="1">IF(AND(ISNUMBER($BK$236),$B$156=1),$BK$236,HLOOKUP(INDIRECT(ADDRESS(2,COLUMN())),OFFSET($BN$2,0,0,ROW()-1,60),ROW()-1,FALSE))</f>
        <v>1754000</v>
      </c>
      <c r="BL96">
        <f ca="1">IF(AND(ISNUMBER($BL$236),$B$156=1),$BL$236,HLOOKUP(INDIRECT(ADDRESS(2,COLUMN())),OFFSET($BN$2,0,0,ROW()-1,60),ROW()-1,FALSE))</f>
        <v>1508000</v>
      </c>
      <c r="BM96">
        <f ca="1">IF(AND(ISNUMBER($BM$236),$B$156=1),$BM$236,HLOOKUP(INDIRECT(ADDRESS(2,COLUMN())),OFFSET($BN$2,0,0,ROW()-1,60),ROW()-1,FALSE))</f>
        <v>1748000</v>
      </c>
      <c r="BN96" t="str">
        <f>""</f>
        <v/>
      </c>
      <c r="BO96">
        <f>1474000</f>
        <v>1474000</v>
      </c>
      <c r="BP96">
        <f>1353000</f>
        <v>1353000</v>
      </c>
      <c r="BQ96">
        <f>1493000</f>
        <v>1493000</v>
      </c>
      <c r="BR96">
        <f>1662000</f>
        <v>1662000</v>
      </c>
      <c r="BS96">
        <f>1749000</f>
        <v>1749000</v>
      </c>
      <c r="BT96">
        <f>1504000</f>
        <v>1504000</v>
      </c>
      <c r="BU96">
        <f>1651000</f>
        <v>1651000</v>
      </c>
      <c r="BV96">
        <f>1703000</f>
        <v>1703000</v>
      </c>
      <c r="BW96">
        <f>1707000</f>
        <v>1707000</v>
      </c>
      <c r="BX96">
        <f>1530000</f>
        <v>1530000</v>
      </c>
      <c r="BY96">
        <f>1694000</f>
        <v>1694000</v>
      </c>
      <c r="BZ96">
        <f>1720000</f>
        <v>1720000</v>
      </c>
      <c r="CA96">
        <f>1775000</f>
        <v>1775000</v>
      </c>
      <c r="CB96">
        <f>1596000</f>
        <v>1596000</v>
      </c>
      <c r="CC96">
        <f>1696000</f>
        <v>1696000</v>
      </c>
      <c r="CD96">
        <f>1568000</f>
        <v>1568000</v>
      </c>
      <c r="CE96">
        <f>1580000</f>
        <v>1580000</v>
      </c>
      <c r="CF96">
        <f>1493000</f>
        <v>1493000</v>
      </c>
      <c r="CG96">
        <f>1661000</f>
        <v>1661000</v>
      </c>
      <c r="CH96">
        <f>1589000</f>
        <v>1589000</v>
      </c>
      <c r="CI96">
        <f>1610000</f>
        <v>1610000</v>
      </c>
      <c r="CJ96">
        <f>1545000</f>
        <v>1545000</v>
      </c>
      <c r="CK96">
        <f>1678000</f>
        <v>1678000</v>
      </c>
      <c r="CL96">
        <f>1497000</f>
        <v>1497000</v>
      </c>
      <c r="CM96">
        <f>1534000</f>
        <v>1534000</v>
      </c>
      <c r="CN96">
        <f>1329000</f>
        <v>1329000</v>
      </c>
      <c r="CO96">
        <f>1447000</f>
        <v>1447000</v>
      </c>
      <c r="CP96">
        <f>1358000</f>
        <v>1358000</v>
      </c>
      <c r="CQ96">
        <f>1427000</f>
        <v>1427000</v>
      </c>
      <c r="CR96">
        <f>1346000</f>
        <v>1346000</v>
      </c>
      <c r="CS96">
        <f>1519000</f>
        <v>1519000</v>
      </c>
      <c r="CT96">
        <f>1403000</f>
        <v>1403000</v>
      </c>
      <c r="CU96">
        <f>1389000</f>
        <v>1389000</v>
      </c>
      <c r="CV96">
        <f>1273000</f>
        <v>1273000</v>
      </c>
      <c r="CW96">
        <f>1517000</f>
        <v>1517000</v>
      </c>
      <c r="CX96">
        <f>1345000</f>
        <v>1345000</v>
      </c>
      <c r="CY96">
        <f>1489000</f>
        <v>1489000</v>
      </c>
      <c r="CZ96">
        <f>1238000</f>
        <v>1238000</v>
      </c>
      <c r="DA96">
        <f>1194000</f>
        <v>1194000</v>
      </c>
      <c r="DB96">
        <f>986000</f>
        <v>986000</v>
      </c>
      <c r="DC96">
        <f>1139000</f>
        <v>1139000</v>
      </c>
      <c r="DD96">
        <f>1175000</f>
        <v>1175000</v>
      </c>
      <c r="DE96">
        <f>1613000</f>
        <v>1613000</v>
      </c>
      <c r="DF96">
        <f>1605000</f>
        <v>1605000</v>
      </c>
      <c r="DG96">
        <f>1643000</f>
        <v>1643000</v>
      </c>
      <c r="DH96">
        <f>1487000</f>
        <v>1487000</v>
      </c>
      <c r="DI96">
        <f>1773000</f>
        <v>1773000</v>
      </c>
      <c r="DJ96">
        <f>1650000</f>
        <v>1650000</v>
      </c>
      <c r="DK96">
        <f>1676000</f>
        <v>1676000</v>
      </c>
      <c r="DL96">
        <f>1467000</f>
        <v>1467000</v>
      </c>
      <c r="DM96">
        <f>1806000</f>
        <v>1806000</v>
      </c>
      <c r="DN96">
        <f>1722000</f>
        <v>1722000</v>
      </c>
      <c r="DO96">
        <f>1853000</f>
        <v>1853000</v>
      </c>
      <c r="DP96">
        <f>1531000</f>
        <v>1531000</v>
      </c>
      <c r="DQ96">
        <f>1718000</f>
        <v>1718000</v>
      </c>
      <c r="DR96">
        <f>1716000</f>
        <v>1716000</v>
      </c>
      <c r="DS96">
        <f>1754000</f>
        <v>1754000</v>
      </c>
      <c r="DT96">
        <f>1508000</f>
        <v>1508000</v>
      </c>
      <c r="DU96">
        <f>1748000</f>
        <v>1748000</v>
      </c>
    </row>
    <row r="97" spans="1:125" x14ac:dyDescent="0.25">
      <c r="A97" t="str">
        <f>"    SAIC Motor Corp Ltd"</f>
        <v xml:space="preserve">    SAIC Motor Corp Ltd</v>
      </c>
      <c r="B97" t="str">
        <f>"600104 CH Equity"</f>
        <v>600104 CH Equity</v>
      </c>
      <c r="C97" t="str">
        <f>"FS265"</f>
        <v>FS265</v>
      </c>
      <c r="D97" t="str">
        <f>"AUTO_VEHICLES_SOLD_WW"</f>
        <v>AUTO_VEHICLES_SOLD_WW</v>
      </c>
      <c r="E97" t="str">
        <f>"Dynamic"</f>
        <v>Dynamic</v>
      </c>
      <c r="F97" t="str">
        <f ca="1">IF(AND(ISNUMBER($F$237),$B$156=1),$F$237,HLOOKUP(INDIRECT(ADDRESS(2,COLUMN())),OFFSET($BN$2,0,0,ROW()-1,60),ROW()-1,FALSE))</f>
        <v/>
      </c>
      <c r="G97" t="str">
        <f ca="1">IF(AND(ISNUMBER($G$237),$B$156=1),$G$237,HLOOKUP(INDIRECT(ADDRESS(2,COLUMN())),OFFSET($BN$2,0,0,ROW()-1,60),ROW()-1,FALSE))</f>
        <v/>
      </c>
      <c r="H97">
        <f ca="1">IF(AND(ISNUMBER($H$237),$B$156=1),$H$237,HLOOKUP(INDIRECT(ADDRESS(2,COLUMN())),OFFSET($BN$2,0,0,ROW()-1,60),ROW()-1,FALSE))</f>
        <v>1623556</v>
      </c>
      <c r="I97" t="str">
        <f ca="1">IF(AND(ISNUMBER($I$237),$B$156=1),$I$237,HLOOKUP(INDIRECT(ADDRESS(2,COLUMN())),OFFSET($BN$2,0,0,ROW()-1,60),ROW()-1,FALSE))</f>
        <v/>
      </c>
      <c r="J97" t="str">
        <f ca="1">IF(AND(ISNUMBER($J$237),$B$156=1),$J$237,HLOOKUP(INDIRECT(ADDRESS(2,COLUMN())),OFFSET($BN$2,0,0,ROW()-1,60),ROW()-1,FALSE))</f>
        <v/>
      </c>
      <c r="K97">
        <f ca="1">IF(AND(ISNUMBER($K$237),$B$156=1),$K$237,HLOOKUP(INDIRECT(ADDRESS(2,COLUMN())),OFFSET($BN$2,0,0,ROW()-1,60),ROW()-1,FALSE))</f>
        <v>2108633</v>
      </c>
      <c r="L97">
        <f ca="1">IF(AND(ISNUMBER($L$237),$B$156=1),$L$237,HLOOKUP(INDIRECT(ADDRESS(2,COLUMN())),OFFSET($BN$2,0,0,ROW()-1,60),ROW()-1,FALSE))</f>
        <v>1646367</v>
      </c>
      <c r="M97">
        <f ca="1">IF(AND(ISNUMBER($M$237),$B$156=1),$M$237,HLOOKUP(INDIRECT(ADDRESS(2,COLUMN())),OFFSET($BN$2,0,0,ROW()-1,60),ROW()-1,FALSE))</f>
        <v>1519200</v>
      </c>
      <c r="N97">
        <f ca="1">IF(AND(ISNUMBER($N$237),$B$156=1),$N$237,HLOOKUP(INDIRECT(ADDRESS(2,COLUMN())),OFFSET($BN$2,0,0,ROW()-1,60),ROW()-1,FALSE))</f>
        <v>1655800</v>
      </c>
      <c r="O97">
        <f ca="1">IF(AND(ISNUMBER($O$237),$B$156=1),$O$237,HLOOKUP(INDIRECT(ADDRESS(2,COLUMN())),OFFSET($BN$2,0,0,ROW()-1,60),ROW()-1,FALSE))</f>
        <v>2006990</v>
      </c>
      <c r="P97">
        <f ca="1">IF(AND(ISNUMBER($P$237),$B$156=1),$P$237,HLOOKUP(INDIRECT(ADDRESS(2,COLUMN())),OFFSET($BN$2,0,0,ROW()-1,60),ROW()-1,FALSE))</f>
        <v>1480010</v>
      </c>
      <c r="Q97">
        <f ca="1">IF(AND(ISNUMBER($Q$237),$B$156=1),$Q$237,HLOOKUP(INDIRECT(ADDRESS(2,COLUMN())),OFFSET($BN$2,0,0,ROW()-1,60),ROW()-1,FALSE))</f>
        <v>1394400</v>
      </c>
      <c r="R97">
        <f ca="1">IF(AND(ISNUMBER($R$237),$B$156=1),$R$237,HLOOKUP(INDIRECT(ADDRESS(2,COLUMN())),OFFSET($BN$2,0,0,ROW()-1,60),ROW()-1,FALSE))</f>
        <v>1607600</v>
      </c>
      <c r="S97">
        <f ca="1">IF(AND(ISNUMBER($S$237),$B$156=1),$S$237,HLOOKUP(INDIRECT(ADDRESS(2,COLUMN())),OFFSET($BN$2,0,0,ROW()-1,60),ROW()-1,FALSE))</f>
        <v>1768088</v>
      </c>
      <c r="T97">
        <f ca="1">IF(AND(ISNUMBER($T$237),$B$156=1),$T$237,HLOOKUP(INDIRECT(ADDRESS(2,COLUMN())),OFFSET($BN$2,0,0,ROW()-1,60),ROW()-1,FALSE))</f>
        <v>1271800</v>
      </c>
      <c r="U97">
        <f ca="1">IF(AND(ISNUMBER($U$237),$B$156=1),$U$237,HLOOKUP(INDIRECT(ADDRESS(2,COLUMN())),OFFSET($BN$2,0,0,ROW()-1,60),ROW()-1,FALSE))</f>
        <v>1323400</v>
      </c>
      <c r="V97">
        <f ca="1">IF(AND(ISNUMBER($V$237),$B$156=1),$V$237,HLOOKUP(INDIRECT(ADDRESS(2,COLUMN())),OFFSET($BN$2,0,0,ROW()-1,60),ROW()-1,FALSE))</f>
        <v>1538600</v>
      </c>
      <c r="W97">
        <f ca="1">IF(AND(ISNUMBER($W$237),$B$156=1),$W$237,HLOOKUP(INDIRECT(ADDRESS(2,COLUMN())),OFFSET($BN$2,0,0,ROW()-1,60),ROW()-1,FALSE))</f>
        <v>1432800</v>
      </c>
      <c r="X97">
        <f ca="1">IF(AND(ISNUMBER($X$237),$B$156=1),$X$237,HLOOKUP(INDIRECT(ADDRESS(2,COLUMN())),OFFSET($BN$2,0,0,ROW()-1,60),ROW()-1,FALSE))</f>
        <v>1326400</v>
      </c>
      <c r="Y97">
        <f ca="1">IF(AND(ISNUMBER($Y$237),$B$156=1),$Y$237,HLOOKUP(INDIRECT(ADDRESS(2,COLUMN())),OFFSET($BN$2,0,0,ROW()-1,60),ROW()-1,FALSE))</f>
        <v>1397867</v>
      </c>
      <c r="Z97">
        <f ca="1">IF(AND(ISNUMBER($Z$237),$B$156=1),$Z$237,HLOOKUP(INDIRECT(ADDRESS(2,COLUMN())),OFFSET($BN$2,0,0,ROW()-1,60),ROW()-1,FALSE))</f>
        <v>1463133</v>
      </c>
      <c r="AA97" t="str">
        <f ca="1">IF(AND(ISNUMBER($AA$237),$B$156=1),$AA$237,HLOOKUP(INDIRECT(ADDRESS(2,COLUMN())),OFFSET($BN$2,0,0,ROW()-1,60),ROW()-1,FALSE))</f>
        <v/>
      </c>
      <c r="AB97">
        <f ca="1">IF(AND(ISNUMBER($AB$237),$B$156=1),$AB$237,HLOOKUP(INDIRECT(ADDRESS(2,COLUMN())),OFFSET($BN$2,0,0,ROW()-1,60),ROW()-1,FALSE))</f>
        <v>1219400</v>
      </c>
      <c r="AC97">
        <f ca="1">IF(AND(ISNUMBER($AC$237),$B$156=1),$AC$237,HLOOKUP(INDIRECT(ADDRESS(2,COLUMN())),OFFSET($BN$2,0,0,ROW()-1,60),ROW()-1,FALSE))</f>
        <v>1237400</v>
      </c>
      <c r="AD97">
        <f ca="1">IF(AND(ISNUMBER($AD$237),$B$156=1),$AD$237,HLOOKUP(INDIRECT(ADDRESS(2,COLUMN())),OFFSET($BN$2,0,0,ROW()-1,60),ROW()-1,FALSE))</f>
        <v>1328001</v>
      </c>
      <c r="AE97">
        <f ca="1">IF(AND(ISNUMBER($AE$237),$B$156=1),$AE$237,HLOOKUP(INDIRECT(ADDRESS(2,COLUMN())),OFFSET($BN$2,0,0,ROW()-1,60),ROW()-1,FALSE))</f>
        <v>1184700</v>
      </c>
      <c r="AF97">
        <f ca="1">IF(AND(ISNUMBER($AF$237),$B$156=1),$AF$237,HLOOKUP(INDIRECT(ADDRESS(2,COLUMN())),OFFSET($BN$2,0,0,ROW()-1,60),ROW()-1,FALSE))</f>
        <v>1072300</v>
      </c>
      <c r="AG97">
        <f ca="1">IF(AND(ISNUMBER($AG$237),$B$156=1),$AG$237,HLOOKUP(INDIRECT(ADDRESS(2,COLUMN())),OFFSET($BN$2,0,0,ROW()-1,60),ROW()-1,FALSE))</f>
        <v>1081100</v>
      </c>
      <c r="AH97">
        <f ca="1">IF(AND(ISNUMBER($AH$237),$B$156=1),$AH$237,HLOOKUP(INDIRECT(ADDRESS(2,COLUMN())),OFFSET($BN$2,0,0,ROW()-1,60),ROW()-1,FALSE))</f>
        <v>1141900</v>
      </c>
      <c r="AI97">
        <f ca="1">IF(AND(ISNUMBER($AI$237),$B$156=1),$AI$237,HLOOKUP(INDIRECT(ADDRESS(2,COLUMN())),OFFSET($BN$2,0,0,ROW()-1,60),ROW()-1,FALSE))</f>
        <v>1019700</v>
      </c>
      <c r="AJ97">
        <f ca="1">IF(AND(ISNUMBER($AJ$237),$B$156=1),$AJ$237,HLOOKUP(INDIRECT(ADDRESS(2,COLUMN())),OFFSET($BN$2,0,0,ROW()-1,60),ROW()-1,FALSE))</f>
        <v>975300</v>
      </c>
      <c r="AK97">
        <f ca="1">IF(AND(ISNUMBER($AK$237),$B$156=1),$AK$237,HLOOKUP(INDIRECT(ADDRESS(2,COLUMN())),OFFSET($BN$2,0,0,ROW()-1,60),ROW()-1,FALSE))</f>
        <v>949100</v>
      </c>
      <c r="AL97">
        <f ca="1">IF(AND(ISNUMBER($AL$237),$B$156=1),$AL$237,HLOOKUP(INDIRECT(ADDRESS(2,COLUMN())),OFFSET($BN$2,0,0,ROW()-1,60),ROW()-1,FALSE))</f>
        <v>1055900</v>
      </c>
      <c r="AM97">
        <f ca="1">IF(AND(ISNUMBER($AM$237),$B$156=1),$AM$237,HLOOKUP(INDIRECT(ADDRESS(2,COLUMN())),OFFSET($BN$2,0,0,ROW()-1,60),ROW()-1,FALSE))</f>
        <v>916600</v>
      </c>
      <c r="AN97">
        <f ca="1">IF(AND(ISNUMBER($AN$237),$B$156=1),$AN$237,HLOOKUP(INDIRECT(ADDRESS(2,COLUMN())),OFFSET($BN$2,0,0,ROW()-1,60),ROW()-1,FALSE))</f>
        <v>890400</v>
      </c>
      <c r="AO97">
        <f ca="1">IF(AND(ISNUMBER($AO$237),$B$156=1),$AO$237,HLOOKUP(INDIRECT(ADDRESS(2,COLUMN())),OFFSET($BN$2,0,0,ROW()-1,60),ROW()-1,FALSE))</f>
        <v>884200</v>
      </c>
      <c r="AP97">
        <f ca="1">IF(AND(ISNUMBER($AP$237),$B$156=1),$AP$237,HLOOKUP(INDIRECT(ADDRESS(2,COLUMN())),OFFSET($BN$2,0,0,ROW()-1,60),ROW()-1,FALSE))</f>
        <v>891800</v>
      </c>
      <c r="AQ97">
        <f ca="1">IF(AND(ISNUMBER($AQ$237),$B$156=1),$AQ$237,HLOOKUP(INDIRECT(ADDRESS(2,COLUMN())),OFFSET($BN$2,0,0,ROW()-1,60),ROW()-1,FALSE))</f>
        <v>775000</v>
      </c>
      <c r="AR97">
        <f ca="1">IF(AND(ISNUMBER($AR$237),$B$156=1),$AR$237,HLOOKUP(INDIRECT(ADDRESS(2,COLUMN())),OFFSET($BN$2,0,0,ROW()-1,60),ROW()-1,FALSE))</f>
        <v>724000</v>
      </c>
      <c r="AS97">
        <f ca="1">IF(AND(ISNUMBER($AS$237),$B$156=1),$AS$237,HLOOKUP(INDIRECT(ADDRESS(2,COLUMN())),OFFSET($BN$2,0,0,ROW()-1,60),ROW()-1,FALSE))</f>
        <v>680923</v>
      </c>
      <c r="AT97">
        <f ca="1">IF(AND(ISNUMBER($AT$237),$B$156=1),$AT$237,HLOOKUP(INDIRECT(ADDRESS(2,COLUMN())),OFFSET($BN$2,0,0,ROW()-1,60),ROW()-1,FALSE))</f>
        <v>545077</v>
      </c>
      <c r="AU97" t="str">
        <f ca="1">IF(AND(ISNUMBER($AU$237),$B$156=1),$AU$237,HLOOKUP(INDIRECT(ADDRESS(2,COLUMN())),OFFSET($BN$2,0,0,ROW()-1,60),ROW()-1,FALSE))</f>
        <v/>
      </c>
      <c r="AV97" t="str">
        <f ca="1">IF(AND(ISNUMBER($AV$237),$B$156=1),$AV$237,HLOOKUP(INDIRECT(ADDRESS(2,COLUMN())),OFFSET($BN$2,0,0,ROW()-1,60),ROW()-1,FALSE))</f>
        <v/>
      </c>
      <c r="AW97" t="str">
        <f ca="1">IF(AND(ISNUMBER($AW$237),$B$156=1),$AW$237,HLOOKUP(INDIRECT(ADDRESS(2,COLUMN())),OFFSET($BN$2,0,0,ROW()-1,60),ROW()-1,FALSE))</f>
        <v/>
      </c>
      <c r="AX97" t="str">
        <f ca="1">IF(AND(ISNUMBER($AX$237),$B$156=1),$AX$237,HLOOKUP(INDIRECT(ADDRESS(2,COLUMN())),OFFSET($BN$2,0,0,ROW()-1,60),ROW()-1,FALSE))</f>
        <v/>
      </c>
      <c r="AY97" t="str">
        <f ca="1">IF(AND(ISNUMBER($AY$237),$B$156=1),$AY$237,HLOOKUP(INDIRECT(ADDRESS(2,COLUMN())),OFFSET($BN$2,0,0,ROW()-1,60),ROW()-1,FALSE))</f>
        <v/>
      </c>
      <c r="AZ97" t="str">
        <f ca="1">IF(AND(ISNUMBER($AZ$237),$B$156=1),$AZ$237,HLOOKUP(INDIRECT(ADDRESS(2,COLUMN())),OFFSET($BN$2,0,0,ROW()-1,60),ROW()-1,FALSE))</f>
        <v/>
      </c>
      <c r="BA97" t="str">
        <f ca="1">IF(AND(ISNUMBER($BA$237),$B$156=1),$BA$237,HLOOKUP(INDIRECT(ADDRESS(2,COLUMN())),OFFSET($BN$2,0,0,ROW()-1,60),ROW()-1,FALSE))</f>
        <v/>
      </c>
      <c r="BB97" t="str">
        <f ca="1">IF(AND(ISNUMBER($BB$237),$B$156=1),$BB$237,HLOOKUP(INDIRECT(ADDRESS(2,COLUMN())),OFFSET($BN$2,0,0,ROW()-1,60),ROW()-1,FALSE))</f>
        <v/>
      </c>
      <c r="BC97" t="str">
        <f ca="1">IF(AND(ISNUMBER($BC$237),$B$156=1),$BC$237,HLOOKUP(INDIRECT(ADDRESS(2,COLUMN())),OFFSET($BN$2,0,0,ROW()-1,60),ROW()-1,FALSE))</f>
        <v/>
      </c>
      <c r="BD97" t="str">
        <f ca="1">IF(AND(ISNUMBER($BD$237),$B$156=1),$BD$237,HLOOKUP(INDIRECT(ADDRESS(2,COLUMN())),OFFSET($BN$2,0,0,ROW()-1,60),ROW()-1,FALSE))</f>
        <v/>
      </c>
      <c r="BE97" t="str">
        <f ca="1">IF(AND(ISNUMBER($BE$237),$B$156=1),$BE$237,HLOOKUP(INDIRECT(ADDRESS(2,COLUMN())),OFFSET($BN$2,0,0,ROW()-1,60),ROW()-1,FALSE))</f>
        <v/>
      </c>
      <c r="BF97" t="str">
        <f ca="1">IF(AND(ISNUMBER($BF$237),$B$156=1),$BF$237,HLOOKUP(INDIRECT(ADDRESS(2,COLUMN())),OFFSET($BN$2,0,0,ROW()-1,60),ROW()-1,FALSE))</f>
        <v/>
      </c>
      <c r="BG97" t="str">
        <f ca="1">IF(AND(ISNUMBER($BG$237),$B$156=1),$BG$237,HLOOKUP(INDIRECT(ADDRESS(2,COLUMN())),OFFSET($BN$2,0,0,ROW()-1,60),ROW()-1,FALSE))</f>
        <v/>
      </c>
      <c r="BH97" t="str">
        <f ca="1">IF(AND(ISNUMBER($BH$237),$B$156=1),$BH$237,HLOOKUP(INDIRECT(ADDRESS(2,COLUMN())),OFFSET($BN$2,0,0,ROW()-1,60),ROW()-1,FALSE))</f>
        <v/>
      </c>
      <c r="BI97" t="str">
        <f ca="1">IF(AND(ISNUMBER($BI$237),$B$156=1),$BI$237,HLOOKUP(INDIRECT(ADDRESS(2,COLUMN())),OFFSET($BN$2,0,0,ROW()-1,60),ROW()-1,FALSE))</f>
        <v/>
      </c>
      <c r="BJ97" t="str">
        <f ca="1">IF(AND(ISNUMBER($BJ$237),$B$156=1),$BJ$237,HLOOKUP(INDIRECT(ADDRESS(2,COLUMN())),OFFSET($BN$2,0,0,ROW()-1,60),ROW()-1,FALSE))</f>
        <v/>
      </c>
      <c r="BK97" t="str">
        <f ca="1">IF(AND(ISNUMBER($BK$237),$B$156=1),$BK$237,HLOOKUP(INDIRECT(ADDRESS(2,COLUMN())),OFFSET($BN$2,0,0,ROW()-1,60),ROW()-1,FALSE))</f>
        <v/>
      </c>
      <c r="BL97" t="str">
        <f ca="1">IF(AND(ISNUMBER($BL$237),$B$156=1),$BL$237,HLOOKUP(INDIRECT(ADDRESS(2,COLUMN())),OFFSET($BN$2,0,0,ROW()-1,60),ROW()-1,FALSE))</f>
        <v/>
      </c>
      <c r="BM97" t="str">
        <f ca="1">IF(AND(ISNUMBER($BM$237),$B$156=1),$BM$237,HLOOKUP(INDIRECT(ADDRESS(2,COLUMN())),OFFSET($BN$2,0,0,ROW()-1,60),ROW()-1,FALSE))</f>
        <v/>
      </c>
      <c r="BN97" t="str">
        <f>""</f>
        <v/>
      </c>
      <c r="BO97" t="str">
        <f>""</f>
        <v/>
      </c>
      <c r="BP97">
        <f>1623556</f>
        <v>1623556</v>
      </c>
      <c r="BQ97" t="str">
        <f>""</f>
        <v/>
      </c>
      <c r="BR97" t="str">
        <f>""</f>
        <v/>
      </c>
      <c r="BS97">
        <f>2108633</f>
        <v>2108633</v>
      </c>
      <c r="BT97">
        <f>1646367</f>
        <v>1646367</v>
      </c>
      <c r="BU97">
        <f>1519200</f>
        <v>1519200</v>
      </c>
      <c r="BV97">
        <f>1655800</f>
        <v>1655800</v>
      </c>
      <c r="BW97">
        <f>2006990</f>
        <v>2006990</v>
      </c>
      <c r="BX97">
        <f>1480010</f>
        <v>1480010</v>
      </c>
      <c r="BY97">
        <f>1394400</f>
        <v>1394400</v>
      </c>
      <c r="BZ97">
        <f>1607600</f>
        <v>1607600</v>
      </c>
      <c r="CA97">
        <f>1768088</f>
        <v>1768088</v>
      </c>
      <c r="CB97">
        <f>1271800</f>
        <v>1271800</v>
      </c>
      <c r="CC97">
        <f>1323400</f>
        <v>1323400</v>
      </c>
      <c r="CD97">
        <f>1538600</f>
        <v>1538600</v>
      </c>
      <c r="CE97">
        <f>1432800</f>
        <v>1432800</v>
      </c>
      <c r="CF97">
        <f>1326400</f>
        <v>1326400</v>
      </c>
      <c r="CG97">
        <f>1397867</f>
        <v>1397867</v>
      </c>
      <c r="CH97">
        <f>1463133</f>
        <v>1463133</v>
      </c>
      <c r="CI97" t="str">
        <f>""</f>
        <v/>
      </c>
      <c r="CJ97">
        <f>1219400</f>
        <v>1219400</v>
      </c>
      <c r="CK97">
        <f>1237400</f>
        <v>1237400</v>
      </c>
      <c r="CL97">
        <f>1328001</f>
        <v>1328001</v>
      </c>
      <c r="CM97">
        <f>1184700</f>
        <v>1184700</v>
      </c>
      <c r="CN97">
        <f>1072300</f>
        <v>1072300</v>
      </c>
      <c r="CO97">
        <f>1081100</f>
        <v>1081100</v>
      </c>
      <c r="CP97">
        <f>1141900</f>
        <v>1141900</v>
      </c>
      <c r="CQ97">
        <f>1019700</f>
        <v>1019700</v>
      </c>
      <c r="CR97">
        <f>975300</f>
        <v>975300</v>
      </c>
      <c r="CS97">
        <f>949100</f>
        <v>949100</v>
      </c>
      <c r="CT97">
        <f>1055900</f>
        <v>1055900</v>
      </c>
      <c r="CU97">
        <f>916600</f>
        <v>916600</v>
      </c>
      <c r="CV97">
        <f>890400</f>
        <v>890400</v>
      </c>
      <c r="CW97">
        <f>884200</f>
        <v>884200</v>
      </c>
      <c r="CX97">
        <f>891800</f>
        <v>891800</v>
      </c>
      <c r="CY97">
        <f>775000</f>
        <v>775000</v>
      </c>
      <c r="CZ97">
        <f>724000</f>
        <v>724000</v>
      </c>
      <c r="DA97">
        <f>680923</f>
        <v>680923</v>
      </c>
      <c r="DB97">
        <f>545077</f>
        <v>545077</v>
      </c>
      <c r="DC97" t="str">
        <f>""</f>
        <v/>
      </c>
      <c r="DD97" t="str">
        <f>""</f>
        <v/>
      </c>
      <c r="DE97" t="str">
        <f>""</f>
        <v/>
      </c>
      <c r="DF97" t="str">
        <f>""</f>
        <v/>
      </c>
      <c r="DG97" t="str">
        <f>""</f>
        <v/>
      </c>
      <c r="DH97" t="str">
        <f>""</f>
        <v/>
      </c>
      <c r="DI97" t="str">
        <f>""</f>
        <v/>
      </c>
      <c r="DJ97" t="str">
        <f>""</f>
        <v/>
      </c>
      <c r="DK97" t="str">
        <f>""</f>
        <v/>
      </c>
      <c r="DL97" t="str">
        <f>""</f>
        <v/>
      </c>
      <c r="DM97" t="str">
        <f>""</f>
        <v/>
      </c>
      <c r="DN97" t="str">
        <f>""</f>
        <v/>
      </c>
      <c r="DO97" t="str">
        <f>""</f>
        <v/>
      </c>
      <c r="DP97" t="str">
        <f>""</f>
        <v/>
      </c>
      <c r="DQ97" t="str">
        <f>""</f>
        <v/>
      </c>
      <c r="DR97" t="str">
        <f>""</f>
        <v/>
      </c>
      <c r="DS97" t="str">
        <f>""</f>
        <v/>
      </c>
      <c r="DT97" t="str">
        <f>""</f>
        <v/>
      </c>
      <c r="DU97" t="str">
        <f>""</f>
        <v/>
      </c>
    </row>
    <row r="98" spans="1:125" x14ac:dyDescent="0.25">
      <c r="A98" t="str">
        <f>"    Fiat Chrysler"</f>
        <v xml:space="preserve">    Fiat Chrysler</v>
      </c>
      <c r="B98" t="str">
        <f>"FCAU US Equity"</f>
        <v>FCAU US Equity</v>
      </c>
      <c r="C98" t="str">
        <f>"BI047"</f>
        <v>BI047</v>
      </c>
      <c r="D98" t="str">
        <f>"BICS_SEGMENT_DATA"</f>
        <v>BICS_SEGMENT_DATA</v>
      </c>
      <c r="E98" t="str">
        <f>"Dynamic"</f>
        <v>Dynamic</v>
      </c>
      <c r="F98" t="str">
        <f ca="1">IF(AND(ISNUMBER($F$238),$B$156=1),$F$238,HLOOKUP(INDIRECT(ADDRESS(2,COLUMN())),OFFSET($BN$2,0,0,ROW()-1,60),ROW()-1,FALSE))</f>
        <v/>
      </c>
      <c r="G98" t="str">
        <f ca="1">IF(AND(ISNUMBER($G$238),$B$156=1),$G$238,HLOOKUP(INDIRECT(ADDRESS(2,COLUMN())),OFFSET($BN$2,0,0,ROW()-1,60),ROW()-1,FALSE))</f>
        <v/>
      </c>
      <c r="H98" t="str">
        <f ca="1">IF(AND(ISNUMBER($H$238),$B$156=1),$H$238,HLOOKUP(INDIRECT(ADDRESS(2,COLUMN())),OFFSET($BN$2,0,0,ROW()-1,60),ROW()-1,FALSE))</f>
        <v/>
      </c>
      <c r="I98" t="str">
        <f ca="1">IF(AND(ISNUMBER($I$238),$B$156=1),$I$238,HLOOKUP(INDIRECT(ADDRESS(2,COLUMN())),OFFSET($BN$2,0,0,ROW()-1,60),ROW()-1,FALSE))</f>
        <v/>
      </c>
      <c r="J98" t="str">
        <f ca="1">IF(AND(ISNUMBER($J$238),$B$156=1),$J$238,HLOOKUP(INDIRECT(ADDRESS(2,COLUMN())),OFFSET($BN$2,0,0,ROW()-1,60),ROW()-1,FALSE))</f>
        <v/>
      </c>
      <c r="K98" t="str">
        <f ca="1">IF(AND(ISNUMBER($K$238),$B$156=1),$K$238,HLOOKUP(INDIRECT(ADDRESS(2,COLUMN())),OFFSET($BN$2,0,0,ROW()-1,60),ROW()-1,FALSE))</f>
        <v/>
      </c>
      <c r="L98" t="str">
        <f ca="1">IF(AND(ISNUMBER($L$238),$B$156=1),$L$238,HLOOKUP(INDIRECT(ADDRESS(2,COLUMN())),OFFSET($BN$2,0,0,ROW()-1,60),ROW()-1,FALSE))</f>
        <v/>
      </c>
      <c r="M98" t="str">
        <f ca="1">IF(AND(ISNUMBER($M$238),$B$156=1),$M$238,HLOOKUP(INDIRECT(ADDRESS(2,COLUMN())),OFFSET($BN$2,0,0,ROW()-1,60),ROW()-1,FALSE))</f>
        <v/>
      </c>
      <c r="N98">
        <f ca="1">IF(AND(ISNUMBER($N$238),$B$156=1),$N$238,HLOOKUP(INDIRECT(ADDRESS(2,COLUMN())),OFFSET($BN$2,0,0,ROW()-1,60),ROW()-1,FALSE))</f>
        <v>1078000</v>
      </c>
      <c r="O98">
        <f ca="1">IF(AND(ISNUMBER($O$238),$B$156=1),$O$238,HLOOKUP(INDIRECT(ADDRESS(2,COLUMN())),OFFSET($BN$2,0,0,ROW()-1,60),ROW()-1,FALSE))</f>
        <v>1155000</v>
      </c>
      <c r="P98">
        <f ca="1">IF(AND(ISNUMBER($P$238),$B$156=1),$P$238,HLOOKUP(INDIRECT(ADDRESS(2,COLUMN())),OFFSET($BN$2,0,0,ROW()-1,60),ROW()-1,FALSE))</f>
        <v>1066000</v>
      </c>
      <c r="Q98">
        <f ca="1">IF(AND(ISNUMBER($Q$238),$B$156=1),$Q$238,HLOOKUP(INDIRECT(ADDRESS(2,COLUMN())),OFFSET($BN$2,0,0,ROW()-1,60),ROW()-1,FALSE))</f>
        <v>1175000</v>
      </c>
      <c r="R98">
        <f ca="1">IF(AND(ISNUMBER($R$238),$B$156=1),$R$238,HLOOKUP(INDIRECT(ADDRESS(2,COLUMN())),OFFSET($BN$2,0,0,ROW()-1,60),ROW()-1,FALSE))</f>
        <v>1086000</v>
      </c>
      <c r="S98">
        <f ca="1">IF(AND(ISNUMBER($S$238),$B$156=1),$S$238,HLOOKUP(INDIRECT(ADDRESS(2,COLUMN())),OFFSET($BN$2,0,0,ROW()-1,60),ROW()-1,FALSE))</f>
        <v>1208000</v>
      </c>
      <c r="T98">
        <f ca="1">IF(AND(ISNUMBER($T$238),$B$156=1),$T$238,HLOOKUP(INDIRECT(ADDRESS(2,COLUMN())),OFFSET($BN$2,0,0,ROW()-1,60),ROW()-1,FALSE))</f>
        <v>1114000</v>
      </c>
      <c r="U98">
        <f ca="1">IF(AND(ISNUMBER($U$238),$B$156=1),$U$238,HLOOKUP(INDIRECT(ADDRESS(2,COLUMN())),OFFSET($BN$2,0,0,ROW()-1,60),ROW()-1,FALSE))</f>
        <v>1193000</v>
      </c>
      <c r="V98">
        <f ca="1">IF(AND(ISNUMBER($V$238),$B$156=1),$V$238,HLOOKUP(INDIRECT(ADDRESS(2,COLUMN())),OFFSET($BN$2,0,0,ROW()-1,60),ROW()-1,FALSE))</f>
        <v>1095000</v>
      </c>
      <c r="W98">
        <f ca="1">IF(AND(ISNUMBER($W$238),$B$156=1),$W$238,HLOOKUP(INDIRECT(ADDRESS(2,COLUMN())),OFFSET($BN$2,0,0,ROW()-1,60),ROW()-1,FALSE))</f>
        <v>1215000</v>
      </c>
      <c r="X98" t="str">
        <f ca="1">IF(AND(ISNUMBER($X$238),$B$156=1),$X$238,HLOOKUP(INDIRECT(ADDRESS(2,COLUMN())),OFFSET($BN$2,0,0,ROW()-1,60),ROW()-1,FALSE))</f>
        <v/>
      </c>
      <c r="Y98" t="str">
        <f ca="1">IF(AND(ISNUMBER($Y$238),$B$156=1),$Y$238,HLOOKUP(INDIRECT(ADDRESS(2,COLUMN())),OFFSET($BN$2,0,0,ROW()-1,60),ROW()-1,FALSE))</f>
        <v/>
      </c>
      <c r="Z98" t="str">
        <f ca="1">IF(AND(ISNUMBER($Z$238),$B$156=1),$Z$238,HLOOKUP(INDIRECT(ADDRESS(2,COLUMN())),OFFSET($BN$2,0,0,ROW()-1,60),ROW()-1,FALSE))</f>
        <v/>
      </c>
      <c r="AA98" t="str">
        <f ca="1">IF(AND(ISNUMBER($AA$238),$B$156=1),$AA$238,HLOOKUP(INDIRECT(ADDRESS(2,COLUMN())),OFFSET($BN$2,0,0,ROW()-1,60),ROW()-1,FALSE))</f>
        <v/>
      </c>
      <c r="AB98" t="str">
        <f ca="1">IF(AND(ISNUMBER($AB$238),$B$156=1),$AB$238,HLOOKUP(INDIRECT(ADDRESS(2,COLUMN())),OFFSET($BN$2,0,0,ROW()-1,60),ROW()-1,FALSE))</f>
        <v/>
      </c>
      <c r="AC98" t="str">
        <f ca="1">IF(AND(ISNUMBER($AC$238),$B$156=1),$AC$238,HLOOKUP(INDIRECT(ADDRESS(2,COLUMN())),OFFSET($BN$2,0,0,ROW()-1,60),ROW()-1,FALSE))</f>
        <v/>
      </c>
      <c r="AD98" t="str">
        <f ca="1">IF(AND(ISNUMBER($AD$238),$B$156=1),$AD$238,HLOOKUP(INDIRECT(ADDRESS(2,COLUMN())),OFFSET($BN$2,0,0,ROW()-1,60),ROW()-1,FALSE))</f>
        <v/>
      </c>
      <c r="AE98" t="str">
        <f ca="1">IF(AND(ISNUMBER($AE$238),$B$156=1),$AE$238,HLOOKUP(INDIRECT(ADDRESS(2,COLUMN())),OFFSET($BN$2,0,0,ROW()-1,60),ROW()-1,FALSE))</f>
        <v/>
      </c>
      <c r="AF98" t="str">
        <f ca="1">IF(AND(ISNUMBER($AF$238),$B$156=1),$AF$238,HLOOKUP(INDIRECT(ADDRESS(2,COLUMN())),OFFSET($BN$2,0,0,ROW()-1,60),ROW()-1,FALSE))</f>
        <v/>
      </c>
      <c r="AG98" t="str">
        <f ca="1">IF(AND(ISNUMBER($AG$238),$B$156=1),$AG$238,HLOOKUP(INDIRECT(ADDRESS(2,COLUMN())),OFFSET($BN$2,0,0,ROW()-1,60),ROW()-1,FALSE))</f>
        <v/>
      </c>
      <c r="AH98" t="str">
        <f ca="1">IF(AND(ISNUMBER($AH$238),$B$156=1),$AH$238,HLOOKUP(INDIRECT(ADDRESS(2,COLUMN())),OFFSET($BN$2,0,0,ROW()-1,60),ROW()-1,FALSE))</f>
        <v/>
      </c>
      <c r="AI98" t="str">
        <f ca="1">IF(AND(ISNUMBER($AI$238),$B$156=1),$AI$238,HLOOKUP(INDIRECT(ADDRESS(2,COLUMN())),OFFSET($BN$2,0,0,ROW()-1,60),ROW()-1,FALSE))</f>
        <v/>
      </c>
      <c r="AJ98">
        <f ca="1">IF(AND(ISNUMBER($AJ$238),$B$156=1),$AJ$238,HLOOKUP(INDIRECT(ADDRESS(2,COLUMN())),OFFSET($BN$2,0,0,ROW()-1,60),ROW()-1,FALSE))</f>
        <v>2058000</v>
      </c>
      <c r="AK98">
        <f ca="1">IF(AND(ISNUMBER($AK$238),$B$156=1),$AK$238,HLOOKUP(INDIRECT(ADDRESS(2,COLUMN())),OFFSET($BN$2,0,0,ROW()-1,60),ROW()-1,FALSE))</f>
        <v>1616000</v>
      </c>
      <c r="AL98">
        <f ca="1">IF(AND(ISNUMBER($AL$238),$B$156=1),$AL$238,HLOOKUP(INDIRECT(ADDRESS(2,COLUMN())),OFFSET($BN$2,0,0,ROW()-1,60),ROW()-1,FALSE))</f>
        <v>2099000</v>
      </c>
      <c r="AM98">
        <f ca="1">IF(AND(ISNUMBER($AM$238),$B$156=1),$AM$238,HLOOKUP(INDIRECT(ADDRESS(2,COLUMN())),OFFSET($BN$2,0,0,ROW()-1,60),ROW()-1,FALSE))</f>
        <v>2086000</v>
      </c>
      <c r="AN98">
        <f ca="1">IF(AND(ISNUMBER($AN$238),$B$156=1),$AN$238,HLOOKUP(INDIRECT(ADDRESS(2,COLUMN())),OFFSET($BN$2,0,0,ROW()-1,60),ROW()-1,FALSE))</f>
        <v>2166000</v>
      </c>
      <c r="AO98">
        <f ca="1">IF(AND(ISNUMBER($AO$238),$B$156=1),$AO$238,HLOOKUP(INDIRECT(ADDRESS(2,COLUMN())),OFFSET($BN$2,0,0,ROW()-1,60),ROW()-1,FALSE))</f>
        <v>2072000</v>
      </c>
      <c r="AP98">
        <f ca="1">IF(AND(ISNUMBER($AP$238),$B$156=1),$AP$238,HLOOKUP(INDIRECT(ADDRESS(2,COLUMN())),OFFSET($BN$2,0,0,ROW()-1,60),ROW()-1,FALSE))</f>
        <v>2093000</v>
      </c>
      <c r="AQ98">
        <f ca="1">IF(AND(ISNUMBER($AQ$238),$B$156=1),$AQ$238,HLOOKUP(INDIRECT(ADDRESS(2,COLUMN())),OFFSET($BN$2,0,0,ROW()-1,60),ROW()-1,FALSE))</f>
        <v>2167000</v>
      </c>
      <c r="AR98">
        <f ca="1">IF(AND(ISNUMBER($AR$238),$B$156=1),$AR$238,HLOOKUP(INDIRECT(ADDRESS(2,COLUMN())),OFFSET($BN$2,0,0,ROW()-1,60),ROW()-1,FALSE))</f>
        <v>2081000</v>
      </c>
      <c r="AS98">
        <f ca="1">IF(AND(ISNUMBER($AS$238),$B$156=1),$AS$238,HLOOKUP(INDIRECT(ADDRESS(2,COLUMN())),OFFSET($BN$2,0,0,ROW()-1,60),ROW()-1,FALSE))</f>
        <v>1796000</v>
      </c>
      <c r="AT98">
        <f ca="1">IF(AND(ISNUMBER($AT$238),$B$156=1),$AT$238,HLOOKUP(INDIRECT(ADDRESS(2,COLUMN())),OFFSET($BN$2,0,0,ROW()-1,60),ROW()-1,FALSE))</f>
        <v>1768000</v>
      </c>
      <c r="AU98">
        <f ca="1">IF(AND(ISNUMBER($AU$238),$B$156=1),$AU$238,HLOOKUP(INDIRECT(ADDRESS(2,COLUMN())),OFFSET($BN$2,0,0,ROW()-1,60),ROW()-1,FALSE))</f>
        <v>1920000</v>
      </c>
      <c r="AV98">
        <f ca="1">IF(AND(ISNUMBER($AV$238),$B$156=1),$AV$238,HLOOKUP(INDIRECT(ADDRESS(2,COLUMN())),OFFSET($BN$2,0,0,ROW()-1,60),ROW()-1,FALSE))</f>
        <v>2233000</v>
      </c>
      <c r="AW98">
        <f ca="1">IF(AND(ISNUMBER($AW$238),$B$156=1),$AW$238,HLOOKUP(INDIRECT(ADDRESS(2,COLUMN())),OFFSET($BN$2,0,0,ROW()-1,60),ROW()-1,FALSE))</f>
        <v>2406000</v>
      </c>
      <c r="AX98">
        <f ca="1">IF(AND(ISNUMBER($AX$238),$B$156=1),$AX$238,HLOOKUP(INDIRECT(ADDRESS(2,COLUMN())),OFFSET($BN$2,0,0,ROW()-1,60),ROW()-1,FALSE))</f>
        <v>2413000</v>
      </c>
      <c r="AY98">
        <f ca="1">IF(AND(ISNUMBER($AY$238),$B$156=1),$AY$238,HLOOKUP(INDIRECT(ADDRESS(2,COLUMN())),OFFSET($BN$2,0,0,ROW()-1,60),ROW()-1,FALSE))</f>
        <v>2316000</v>
      </c>
      <c r="AZ98">
        <f ca="1">IF(AND(ISNUMBER($AZ$238),$B$156=1),$AZ$238,HLOOKUP(INDIRECT(ADDRESS(2,COLUMN())),OFFSET($BN$2,0,0,ROW()-1,60),ROW()-1,FALSE))</f>
        <v>2336000</v>
      </c>
      <c r="BA98">
        <f ca="1">IF(AND(ISNUMBER($BA$238),$B$156=1),$BA$238,HLOOKUP(INDIRECT(ADDRESS(2,COLUMN())),OFFSET($BN$2,0,0,ROW()-1,60),ROW()-1,FALSE))</f>
        <v>2365000</v>
      </c>
      <c r="BB98">
        <f ca="1">IF(AND(ISNUMBER($BB$238),$B$156=1),$BB$238,HLOOKUP(INDIRECT(ADDRESS(2,COLUMN())),OFFSET($BN$2,0,0,ROW()-1,60),ROW()-1,FALSE))</f>
        <v>2345000</v>
      </c>
      <c r="BC98">
        <f ca="1">IF(AND(ISNUMBER($BC$238),$B$156=1),$BC$238,HLOOKUP(INDIRECT(ADDRESS(2,COLUMN())),OFFSET($BN$2,0,0,ROW()-1,60),ROW()-1,FALSE))</f>
        <v>2200000</v>
      </c>
      <c r="BD98">
        <f ca="1">IF(AND(ISNUMBER($BD$238),$B$156=1),$BD$238,HLOOKUP(INDIRECT(ADDRESS(2,COLUMN())),OFFSET($BN$2,0,0,ROW()-1,60),ROW()-1,FALSE))</f>
        <v>2252000</v>
      </c>
      <c r="BE98">
        <f ca="1">IF(AND(ISNUMBER($BE$238),$B$156=1),$BE$238,HLOOKUP(INDIRECT(ADDRESS(2,COLUMN())),OFFSET($BN$2,0,0,ROW()-1,60),ROW()-1,FALSE))</f>
        <v>2208000</v>
      </c>
      <c r="BF98">
        <f ca="1">IF(AND(ISNUMBER($BF$238),$B$156=1),$BF$238,HLOOKUP(INDIRECT(ADDRESS(2,COLUMN())),OFFSET($BN$2,0,0,ROW()-1,60),ROW()-1,FALSE))</f>
        <v>2152000</v>
      </c>
      <c r="BG98">
        <f ca="1">IF(AND(ISNUMBER($BG$238),$B$156=1),$BG$238,HLOOKUP(INDIRECT(ADDRESS(2,COLUMN())),OFFSET($BN$2,0,0,ROW()-1,60),ROW()-1,FALSE))</f>
        <v>2007000</v>
      </c>
      <c r="BH98">
        <f ca="1">IF(AND(ISNUMBER($BH$238),$B$156=1),$BH$238,HLOOKUP(INDIRECT(ADDRESS(2,COLUMN())),OFFSET($BN$2,0,0,ROW()-1,60),ROW()-1,FALSE))</f>
        <v>2035000</v>
      </c>
      <c r="BI98">
        <f ca="1">IF(AND(ISNUMBER($BI$238),$B$156=1),$BI$238,HLOOKUP(INDIRECT(ADDRESS(2,COLUMN())),OFFSET($BN$2,0,0,ROW()-1,60),ROW()-1,FALSE))</f>
        <v>2058000</v>
      </c>
      <c r="BJ98">
        <f ca="1">IF(AND(ISNUMBER($BJ$238),$B$156=1),$BJ$238,HLOOKUP(INDIRECT(ADDRESS(2,COLUMN())),OFFSET($BN$2,0,0,ROW()-1,60),ROW()-1,FALSE))</f>
        <v>2017000</v>
      </c>
      <c r="BK98" t="str">
        <f ca="1">IF(AND(ISNUMBER($BK$238),$B$156=1),$BK$238,HLOOKUP(INDIRECT(ADDRESS(2,COLUMN())),OFFSET($BN$2,0,0,ROW()-1,60),ROW()-1,FALSE))</f>
        <v/>
      </c>
      <c r="BL98" t="str">
        <f ca="1">IF(AND(ISNUMBER($BL$238),$B$156=1),$BL$238,HLOOKUP(INDIRECT(ADDRESS(2,COLUMN())),OFFSET($BN$2,0,0,ROW()-1,60),ROW()-1,FALSE))</f>
        <v/>
      </c>
      <c r="BM98" t="str">
        <f ca="1">IF(AND(ISNUMBER($BM$238),$B$156=1),$BM$238,HLOOKUP(INDIRECT(ADDRESS(2,COLUMN())),OFFSET($BN$2,0,0,ROW()-1,60),ROW()-1,FALSE))</f>
        <v/>
      </c>
      <c r="BN98" t="str">
        <f>""</f>
        <v/>
      </c>
      <c r="BO98" t="str">
        <f>""</f>
        <v/>
      </c>
      <c r="BP98" t="str">
        <f>""</f>
        <v/>
      </c>
      <c r="BQ98" t="str">
        <f>""</f>
        <v/>
      </c>
      <c r="BR98" t="str">
        <f>""</f>
        <v/>
      </c>
      <c r="BS98" t="str">
        <f>""</f>
        <v/>
      </c>
      <c r="BT98" t="str">
        <f>""</f>
        <v/>
      </c>
      <c r="BU98" t="str">
        <f>""</f>
        <v/>
      </c>
      <c r="BV98">
        <f>1078000</f>
        <v>1078000</v>
      </c>
      <c r="BW98">
        <f>1155000</f>
        <v>1155000</v>
      </c>
      <c r="BX98">
        <f>1066000</f>
        <v>1066000</v>
      </c>
      <c r="BY98">
        <f>1175000</f>
        <v>1175000</v>
      </c>
      <c r="BZ98">
        <f>1086000</f>
        <v>1086000</v>
      </c>
      <c r="CA98">
        <f>1208000</f>
        <v>1208000</v>
      </c>
      <c r="CB98">
        <f>1114000</f>
        <v>1114000</v>
      </c>
      <c r="CC98">
        <f>1193000</f>
        <v>1193000</v>
      </c>
      <c r="CD98">
        <f>1095000</f>
        <v>1095000</v>
      </c>
      <c r="CE98">
        <f>1215000</f>
        <v>1215000</v>
      </c>
      <c r="CF98" t="str">
        <f>""</f>
        <v/>
      </c>
      <c r="CG98" t="str">
        <f>""</f>
        <v/>
      </c>
      <c r="CH98" t="str">
        <f>""</f>
        <v/>
      </c>
      <c r="CI98" t="str">
        <f>""</f>
        <v/>
      </c>
      <c r="CJ98" t="str">
        <f>""</f>
        <v/>
      </c>
      <c r="CK98" t="str">
        <f>""</f>
        <v/>
      </c>
      <c r="CL98" t="str">
        <f>""</f>
        <v/>
      </c>
      <c r="CM98" t="str">
        <f>""</f>
        <v/>
      </c>
      <c r="CN98" t="str">
        <f>""</f>
        <v/>
      </c>
      <c r="CO98" t="str">
        <f>""</f>
        <v/>
      </c>
      <c r="CP98" t="str">
        <f>""</f>
        <v/>
      </c>
      <c r="CQ98" t="str">
        <f>""</f>
        <v/>
      </c>
      <c r="CR98">
        <f>2058000</f>
        <v>2058000</v>
      </c>
      <c r="CS98">
        <f>1616000</f>
        <v>1616000</v>
      </c>
      <c r="CT98">
        <f>2099000</f>
        <v>2099000</v>
      </c>
      <c r="CU98">
        <f>2086000</f>
        <v>2086000</v>
      </c>
      <c r="CV98">
        <f>2166000</f>
        <v>2166000</v>
      </c>
      <c r="CW98">
        <f>2072000</f>
        <v>2072000</v>
      </c>
      <c r="CX98">
        <f>2093000</f>
        <v>2093000</v>
      </c>
      <c r="CY98">
        <f>2167000</f>
        <v>2167000</v>
      </c>
      <c r="CZ98">
        <f>2081000</f>
        <v>2081000</v>
      </c>
      <c r="DA98">
        <f>1796000</f>
        <v>1796000</v>
      </c>
      <c r="DB98">
        <f>1768000</f>
        <v>1768000</v>
      </c>
      <c r="DC98">
        <f>1920000</f>
        <v>1920000</v>
      </c>
      <c r="DD98">
        <f>2233000</f>
        <v>2233000</v>
      </c>
      <c r="DE98">
        <f>2406000</f>
        <v>2406000</v>
      </c>
      <c r="DF98">
        <f>2413000</f>
        <v>2413000</v>
      </c>
      <c r="DG98">
        <f>2316000</f>
        <v>2316000</v>
      </c>
      <c r="DH98">
        <f>2336000</f>
        <v>2336000</v>
      </c>
      <c r="DI98">
        <f>2365000</f>
        <v>2365000</v>
      </c>
      <c r="DJ98">
        <f>2345000</f>
        <v>2345000</v>
      </c>
      <c r="DK98">
        <f>2200000</f>
        <v>2200000</v>
      </c>
      <c r="DL98">
        <f>2252000</f>
        <v>2252000</v>
      </c>
      <c r="DM98">
        <f>2208000</f>
        <v>2208000</v>
      </c>
      <c r="DN98">
        <f>2152000</f>
        <v>2152000</v>
      </c>
      <c r="DO98">
        <f>2007000</f>
        <v>2007000</v>
      </c>
      <c r="DP98">
        <f>2035000</f>
        <v>2035000</v>
      </c>
      <c r="DQ98">
        <f>2058000</f>
        <v>2058000</v>
      </c>
      <c r="DR98">
        <f>2017000</f>
        <v>2017000</v>
      </c>
      <c r="DS98" t="str">
        <f>""</f>
        <v/>
      </c>
      <c r="DT98" t="str">
        <f>""</f>
        <v/>
      </c>
      <c r="DU98" t="str">
        <f>""</f>
        <v/>
      </c>
    </row>
    <row r="99" spans="1:125" x14ac:dyDescent="0.25">
      <c r="A99" t="str">
        <f>"    The Fiat Group"</f>
        <v xml:space="preserve">    The Fiat Group</v>
      </c>
      <c r="B99" t="str">
        <f>""</f>
        <v/>
      </c>
      <c r="E99" t="str">
        <f>"Sum"</f>
        <v>Sum</v>
      </c>
      <c r="F99" t="str">
        <f ca="1">IF(ISERROR(IF(SUM($F$100,$F$104) = 0, "", SUM($F$100,$F$104))), "", (IF(SUM($F$100,$F$104) = 0, "", SUM($F$100,$F$104))))</f>
        <v/>
      </c>
      <c r="G99" t="str">
        <f ca="1">IF(ISERROR(IF(SUM($G$100,$G$104) = 0, "", SUM($G$100,$G$104))), "", (IF(SUM($G$100,$G$104) = 0, "", SUM($G$100,$G$104))))</f>
        <v/>
      </c>
      <c r="H99" t="str">
        <f ca="1">IF(ISERROR(IF(SUM($H$100,$H$104) = 0, "", SUM($H$100,$H$104))), "", (IF(SUM($H$100,$H$104) = 0, "", SUM($H$100,$H$104))))</f>
        <v/>
      </c>
      <c r="I99" t="str">
        <f ca="1">IF(ISERROR(IF(SUM($I$100,$I$104) = 0, "", SUM($I$100,$I$104))), "", (IF(SUM($I$100,$I$104) = 0, "", SUM($I$100,$I$104))))</f>
        <v/>
      </c>
      <c r="J99" t="str">
        <f ca="1">IF(ISERROR(IF(SUM($J$100,$J$104) = 0, "", SUM($J$100,$J$104))), "", (IF(SUM($J$100,$J$104) = 0, "", SUM($J$100,$J$104))))</f>
        <v/>
      </c>
      <c r="K99" t="str">
        <f ca="1">IF(ISERROR(IF(SUM($K$100,$K$104) = 0, "", SUM($K$100,$K$104))), "", (IF(SUM($K$100,$K$104) = 0, "", SUM($K$100,$K$104))))</f>
        <v/>
      </c>
      <c r="L99" t="str">
        <f ca="1">IF(ISERROR(IF(SUM($L$100,$L$104) = 0, "", SUM($L$100,$L$104))), "", (IF(SUM($L$100,$L$104) = 0, "", SUM($L$100,$L$104))))</f>
        <v/>
      </c>
      <c r="M99" t="str">
        <f ca="1">IF(ISERROR(IF(SUM($M$100,$M$104) = 0, "", SUM($M$100,$M$104))), "", (IF(SUM($M$100,$M$104) = 0, "", SUM($M$100,$M$104))))</f>
        <v/>
      </c>
      <c r="N99" t="str">
        <f ca="1">IF(ISERROR(IF(SUM($N$100,$N$104) = 0, "", SUM($N$100,$N$104))), "", (IF(SUM($N$100,$N$104) = 0, "", SUM($N$100,$N$104))))</f>
        <v/>
      </c>
      <c r="O99" t="str">
        <f ca="1">IF(ISERROR(IF(SUM($O$100,$O$104) = 0, "", SUM($O$100,$O$104))), "", (IF(SUM($O$100,$O$104) = 0, "", SUM($O$100,$O$104))))</f>
        <v/>
      </c>
      <c r="P99" t="str">
        <f ca="1">IF(ISERROR(IF(SUM($P$100,$P$104) = 0, "", SUM($P$100,$P$104))), "", (IF(SUM($P$100,$P$104) = 0, "", SUM($P$100,$P$104))))</f>
        <v/>
      </c>
      <c r="Q99" t="str">
        <f ca="1">IF(ISERROR(IF(SUM($Q$100,$Q$104) = 0, "", SUM($Q$100,$Q$104))), "", (IF(SUM($Q$100,$Q$104) = 0, "", SUM($Q$100,$Q$104))))</f>
        <v/>
      </c>
      <c r="R99" t="str">
        <f ca="1">IF(ISERROR(IF(SUM($R$100,$R$104) = 0, "", SUM($R$100,$R$104))), "", (IF(SUM($R$100,$R$104) = 0, "", SUM($R$100,$R$104))))</f>
        <v/>
      </c>
      <c r="S99" t="str">
        <f ca="1">IF(ISERROR(IF(SUM($S$100,$S$104) = 0, "", SUM($S$100,$S$104))), "", (IF(SUM($S$100,$S$104) = 0, "", SUM($S$100,$S$104))))</f>
        <v/>
      </c>
      <c r="T99" t="str">
        <f ca="1">IF(ISERROR(IF(SUM($T$100,$T$104) = 0, "", SUM($T$100,$T$104))), "", (IF(SUM($T$100,$T$104) = 0, "", SUM($T$100,$T$104))))</f>
        <v/>
      </c>
      <c r="U99" t="str">
        <f ca="1">IF(ISERROR(IF(SUM($U$100,$U$104) = 0, "", SUM($U$100,$U$104))), "", (IF(SUM($U$100,$U$104) = 0, "", SUM($U$100,$U$104))))</f>
        <v/>
      </c>
      <c r="V99" t="str">
        <f ca="1">IF(ISERROR(IF(SUM($V$100,$V$104) = 0, "", SUM($V$100,$V$104))), "", (IF(SUM($V$100,$V$104) = 0, "", SUM($V$100,$V$104))))</f>
        <v/>
      </c>
      <c r="W99" t="str">
        <f ca="1">IF(ISERROR(IF(SUM($W$100,$W$104) = 0, "", SUM($W$100,$W$104))), "", (IF(SUM($W$100,$W$104) = 0, "", SUM($W$100,$W$104))))</f>
        <v/>
      </c>
      <c r="X99">
        <f ca="1">IF(ISERROR(IF(SUM($X$100,$X$104) = 0, "", SUM($X$100,$X$104))), "", (IF(SUM($X$100,$X$104) = 0, "", SUM($X$100,$X$104))))</f>
        <v>1099000</v>
      </c>
      <c r="Y99">
        <f ca="1">IF(ISERROR(IF(SUM($Y$100,$Y$104) = 0, "", SUM($Y$100,$Y$104))), "", (IF(SUM($Y$100,$Y$104) = 0, "", SUM($Y$100,$Y$104))))</f>
        <v>1181000</v>
      </c>
      <c r="Z99">
        <f ca="1">IF(ISERROR(IF(SUM($Z$100,$Z$104) = 0, "", SUM($Z$100,$Z$104))), "", (IF(SUM($Z$100,$Z$104) = 0, "", SUM($Z$100,$Z$104))))</f>
        <v>1112740</v>
      </c>
      <c r="AA99">
        <f ca="1">IF(ISERROR(IF(SUM($AA$100,$AA$104) = 0, "", SUM($AA$100,$AA$104))), "", (IF(SUM($AA$100,$AA$104) = 0, "", SUM($AA$100,$AA$104))))</f>
        <v>1024102</v>
      </c>
      <c r="AB99">
        <f ca="1">IF(ISERROR(IF(SUM($AB$100,$AB$104) = 0, "", SUM($AB$100,$AB$104))), "", (IF(SUM($AB$100,$AB$104) = 0, "", SUM($AB$100,$AB$104))))</f>
        <v>1009452</v>
      </c>
      <c r="AC99">
        <f ca="1">IF(ISERROR(IF(SUM($AC$100,$AC$104) = 0, "", SUM($AC$100,$AC$104))), "", (IF(SUM($AC$100,$AC$104) = 0, "", SUM($AC$100,$AC$104))))</f>
        <v>1177260</v>
      </c>
      <c r="AD99">
        <f ca="1">IF(ISERROR(IF(SUM($AD$100,$AD$104) = 0, "", SUM($AD$100,$AD$104))), "", (IF(SUM($AD$100,$AD$104) = 0, "", SUM($AD$100,$AD$104))))</f>
        <v>1013898</v>
      </c>
      <c r="AE99">
        <f ca="1">IF(ISERROR(IF(SUM($AE$100,$AE$104) = 0, "", SUM($AE$100,$AE$104))), "", (IF(SUM($AE$100,$AE$104) = 0, "", SUM($AE$100,$AE$104))))</f>
        <v>858837</v>
      </c>
      <c r="AF99">
        <f ca="1">IF(ISERROR(IF(SUM($AF$100,$AF$104) = 0, "", SUM($AF$100,$AF$104))), "", (IF(SUM($AF$100,$AF$104) = 0, "", SUM($AF$100,$AF$104))))</f>
        <v>1004000</v>
      </c>
      <c r="AG99">
        <f ca="1">IF(ISERROR(IF(SUM($AG$100,$AG$104) = 0, "", SUM($AG$100,$AG$104))), "", (IF(SUM($AG$100,$AG$104) = 0, "", SUM($AG$100,$AG$104))))</f>
        <v>1102000</v>
      </c>
      <c r="AH99">
        <f ca="1">IF(ISERROR(IF(SUM($AH$100,$AH$104) = 0, "", SUM($AH$100,$AH$104))), "", (IF(SUM($AH$100,$AH$104) = 0, "", SUM($AH$100,$AH$104))))</f>
        <v>523000</v>
      </c>
      <c r="AI99">
        <f ca="1">IF(ISERROR(IF(SUM($AI$100,$AI$104) = 0, "", SUM($AI$100,$AI$104))), "", (IF(SUM($AI$100,$AI$104) = 0, "", SUM($AI$100,$AI$104))))</f>
        <v>543000</v>
      </c>
      <c r="AJ99">
        <f ca="1">IF(ISERROR(IF(SUM($AJ$100,$AJ$104) = 0, "", SUM($AJ$100,$AJ$104))), "", (IF(SUM($AJ$100,$AJ$104) = 0, "", SUM($AJ$100,$AJ$104))))</f>
        <v>469000</v>
      </c>
      <c r="AK99">
        <f ca="1">IF(ISERROR(IF(SUM($AK$100,$AK$104) = 0, "", SUM($AK$100,$AK$104))), "", (IF(SUM($AK$100,$AK$104) = 0, "", SUM($AK$100,$AK$104))))</f>
        <v>486000</v>
      </c>
      <c r="AL99">
        <f ca="1">IF(ISERROR(IF(SUM($AL$100,$AL$104) = 0, "", SUM($AL$100,$AL$104))), "", (IF(SUM($AL$100,$AL$104) = 0, "", SUM($AL$100,$AL$104))))</f>
        <v>394000</v>
      </c>
      <c r="AM99">
        <f ca="1">IF(ISERROR(IF(SUM($AM$100,$AM$104) = 0, "", SUM($AM$100,$AM$104))), "", (IF(SUM($AM$100,$AM$104) = 0, "", SUM($AM$100,$AM$104))))</f>
        <v>374000</v>
      </c>
      <c r="AN99">
        <f ca="1">IF(ISERROR(IF(SUM($AN$100,$AN$104) = 0, "", SUM($AN$100,$AN$104))), "", (IF(SUM($AN$100,$AN$104) = 0, "", SUM($AN$100,$AN$104))))</f>
        <v>401000</v>
      </c>
      <c r="AO99">
        <f ca="1">IF(ISERROR(IF(SUM($AO$100,$AO$104) = 0, "", SUM($AO$100,$AO$104))), "", (IF(SUM($AO$100,$AO$104) = 0, "", SUM($AO$100,$AO$104))))</f>
        <v>407000</v>
      </c>
      <c r="AP99">
        <f ca="1">IF(ISERROR(IF(SUM($AP$100,$AP$104) = 0, "", SUM($AP$100,$AP$104))), "", (IF(SUM($AP$100,$AP$104) = 0, "", SUM($AP$100,$AP$104))))</f>
        <v>334000</v>
      </c>
      <c r="AQ99" t="str">
        <f ca="1">IF(ISERROR(IF(SUM($AQ$100,$AQ$104) = 0, "", SUM($AQ$100,$AQ$104))), "", (IF(SUM($AQ$100,$AQ$104) = 0, "", SUM($AQ$100,$AQ$104))))</f>
        <v/>
      </c>
      <c r="AR99" t="str">
        <f ca="1">IF(ISERROR(IF(SUM($AR$100,$AR$104) = 0, "", SUM($AR$100,$AR$104))), "", (IF(SUM($AR$100,$AR$104) = 0, "", SUM($AR$100,$AR$104))))</f>
        <v/>
      </c>
      <c r="AS99" t="str">
        <f ca="1">IF(ISERROR(IF(SUM($AS$100,$AS$104) = 0, "", SUM($AS$100,$AS$104))), "", (IF(SUM($AS$100,$AS$104) = 0, "", SUM($AS$100,$AS$104))))</f>
        <v/>
      </c>
      <c r="AT99" t="str">
        <f ca="1">IF(ISERROR(IF(SUM($AT$100,$AT$104) = 0, "", SUM($AT$100,$AT$104))), "", (IF(SUM($AT$100,$AT$104) = 0, "", SUM($AT$100,$AT$104))))</f>
        <v/>
      </c>
      <c r="AU99" t="str">
        <f ca="1">IF(ISERROR(IF(SUM($AU$100,$AU$104) = 0, "", SUM($AU$100,$AU$104))), "", (IF(SUM($AU$100,$AU$104) = 0, "", SUM($AU$100,$AU$104))))</f>
        <v/>
      </c>
      <c r="AV99" t="str">
        <f ca="1">IF(ISERROR(IF(SUM($AV$100,$AV$104) = 0, "", SUM($AV$100,$AV$104))), "", (IF(SUM($AV$100,$AV$104) = 0, "", SUM($AV$100,$AV$104))))</f>
        <v/>
      </c>
      <c r="AW99" t="str">
        <f ca="1">IF(ISERROR(IF(SUM($AW$100,$AW$104) = 0, "", SUM($AW$100,$AW$104))), "", (IF(SUM($AW$100,$AW$104) = 0, "", SUM($AW$100,$AW$104))))</f>
        <v/>
      </c>
      <c r="AX99" t="str">
        <f ca="1">IF(ISERROR(IF(SUM($AX$100,$AX$104) = 0, "", SUM($AX$100,$AX$104))), "", (IF(SUM($AX$100,$AX$104) = 0, "", SUM($AX$100,$AX$104))))</f>
        <v/>
      </c>
      <c r="AY99" t="str">
        <f ca="1">IF(ISERROR(IF(SUM($AY$100,$AY$104) = 0, "", SUM($AY$100,$AY$104))), "", (IF(SUM($AY$100,$AY$104) = 0, "", SUM($AY$100,$AY$104))))</f>
        <v/>
      </c>
      <c r="AZ99" t="str">
        <f ca="1">IF(ISERROR(IF(SUM($AZ$100,$AZ$104) = 0, "", SUM($AZ$100,$AZ$104))), "", (IF(SUM($AZ$100,$AZ$104) = 0, "", SUM($AZ$100,$AZ$104))))</f>
        <v/>
      </c>
      <c r="BA99" t="str">
        <f ca="1">IF(ISERROR(IF(SUM($BA$100,$BA$104) = 0, "", SUM($BA$100,$BA$104))), "", (IF(SUM($BA$100,$BA$104) = 0, "", SUM($BA$100,$BA$104))))</f>
        <v/>
      </c>
      <c r="BB99" t="str">
        <f ca="1">IF(ISERROR(IF(SUM($BB$100,$BB$104) = 0, "", SUM($BB$100,$BB$104))), "", (IF(SUM($BB$100,$BB$104) = 0, "", SUM($BB$100,$BB$104))))</f>
        <v/>
      </c>
      <c r="BC99" t="str">
        <f ca="1">IF(ISERROR(IF(SUM($BC$100,$BC$104) = 0, "", SUM($BC$100,$BC$104))), "", (IF(SUM($BC$100,$BC$104) = 0, "", SUM($BC$100,$BC$104))))</f>
        <v/>
      </c>
      <c r="BD99" t="str">
        <f ca="1">IF(ISERROR(IF(SUM($BD$100,$BD$104) = 0, "", SUM($BD$100,$BD$104))), "", (IF(SUM($BD$100,$BD$104) = 0, "", SUM($BD$100,$BD$104))))</f>
        <v/>
      </c>
      <c r="BE99" t="str">
        <f ca="1">IF(ISERROR(IF(SUM($BE$100,$BE$104) = 0, "", SUM($BE$100,$BE$104))), "", (IF(SUM($BE$100,$BE$104) = 0, "", SUM($BE$100,$BE$104))))</f>
        <v/>
      </c>
      <c r="BF99" t="str">
        <f ca="1">IF(ISERROR(IF(SUM($BF$100,$BF$104) = 0, "", SUM($BF$100,$BF$104))), "", (IF(SUM($BF$100,$BF$104) = 0, "", SUM($BF$100,$BF$104))))</f>
        <v/>
      </c>
      <c r="BG99">
        <f ca="1">IF(ISERROR(IF(SUM($BG$100,$BG$104) = 0, "", SUM($BG$100,$BG$104))), "", (IF(SUM($BG$100,$BG$104) = 0, "", SUM($BG$100,$BG$104))))</f>
        <v>469307</v>
      </c>
      <c r="BH99" t="str">
        <f ca="1">IF(ISERROR(IF(SUM($BH$100,$BH$104) = 0, "", SUM($BH$100,$BH$104))), "", (IF(SUM($BH$100,$BH$104) = 0, "", SUM($BH$100,$BH$104))))</f>
        <v/>
      </c>
      <c r="BI99" t="str">
        <f ca="1">IF(ISERROR(IF(SUM($BI$100,$BI$104) = 0, "", SUM($BI$100,$BI$104))), "", (IF(SUM($BI$100,$BI$104) = 0, "", SUM($BI$100,$BI$104))))</f>
        <v/>
      </c>
      <c r="BJ99" t="str">
        <f ca="1">IF(ISERROR(IF(SUM($BJ$100,$BJ$104) = 0, "", SUM($BJ$100,$BJ$104))), "", (IF(SUM($BJ$100,$BJ$104) = 0, "", SUM($BJ$100,$BJ$104))))</f>
        <v/>
      </c>
      <c r="BK99" t="str">
        <f ca="1">IF(ISERROR(IF(SUM($BK$100,$BK$104) = 0, "", SUM($BK$100,$BK$104))), "", (IF(SUM($BK$100,$BK$104) = 0, "", SUM($BK$100,$BK$104))))</f>
        <v/>
      </c>
      <c r="BL99" t="str">
        <f ca="1">IF(ISERROR(IF(SUM($BL$100,$BL$104) = 0, "", SUM($BL$100,$BL$104))), "", (IF(SUM($BL$100,$BL$104) = 0, "", SUM($BL$100,$BL$104))))</f>
        <v/>
      </c>
      <c r="BM99" t="str">
        <f ca="1">IF(ISERROR(IF(SUM($BM$100,$BM$104) = 0, "", SUM($BM$100,$BM$104))), "", (IF(SUM($BM$100,$BM$104) = 0, "", SUM($BM$100,$BM$104))))</f>
        <v/>
      </c>
      <c r="BN99" t="str">
        <f>""</f>
        <v/>
      </c>
      <c r="BO99" t="str">
        <f>""</f>
        <v/>
      </c>
      <c r="BP99" t="str">
        <f>""</f>
        <v/>
      </c>
      <c r="BQ99" t="str">
        <f>""</f>
        <v/>
      </c>
      <c r="BR99" t="str">
        <f>""</f>
        <v/>
      </c>
      <c r="BS99" t="str">
        <f>""</f>
        <v/>
      </c>
      <c r="BT99" t="str">
        <f>""</f>
        <v/>
      </c>
      <c r="BU99" t="str">
        <f>""</f>
        <v/>
      </c>
      <c r="BV99" t="str">
        <f>""</f>
        <v/>
      </c>
      <c r="BW99" t="str">
        <f>""</f>
        <v/>
      </c>
      <c r="BX99" t="str">
        <f>""</f>
        <v/>
      </c>
      <c r="BY99" t="str">
        <f>""</f>
        <v/>
      </c>
      <c r="BZ99" t="str">
        <f>""</f>
        <v/>
      </c>
      <c r="CA99" t="str">
        <f>""</f>
        <v/>
      </c>
      <c r="CB99" t="str">
        <f>""</f>
        <v/>
      </c>
      <c r="CC99" t="str">
        <f>""</f>
        <v/>
      </c>
      <c r="CD99" t="str">
        <f>""</f>
        <v/>
      </c>
      <c r="CE99" t="str">
        <f>""</f>
        <v/>
      </c>
      <c r="CF99">
        <f>1099000</f>
        <v>1099000</v>
      </c>
      <c r="CG99">
        <f>1181000</f>
        <v>1181000</v>
      </c>
      <c r="CH99">
        <f>1112740</f>
        <v>1112740</v>
      </c>
      <c r="CI99">
        <f>1024102</f>
        <v>1024102</v>
      </c>
      <c r="CJ99">
        <f>1009452</f>
        <v>1009452</v>
      </c>
      <c r="CK99">
        <f>1177260</f>
        <v>1177260</v>
      </c>
      <c r="CL99">
        <f>1013898</f>
        <v>1013898</v>
      </c>
      <c r="CM99">
        <f>858837</f>
        <v>858837</v>
      </c>
      <c r="CN99">
        <f>1004000</f>
        <v>1004000</v>
      </c>
      <c r="CO99">
        <f>1102000</f>
        <v>1102000</v>
      </c>
      <c r="CP99">
        <f>523000</f>
        <v>523000</v>
      </c>
      <c r="CQ99">
        <f>543000</f>
        <v>543000</v>
      </c>
      <c r="CR99">
        <f>469000</f>
        <v>469000</v>
      </c>
      <c r="CS99">
        <f>486000</f>
        <v>486000</v>
      </c>
      <c r="CT99">
        <f>394000</f>
        <v>394000</v>
      </c>
      <c r="CU99">
        <f>374000</f>
        <v>374000</v>
      </c>
      <c r="CV99">
        <f>401000</f>
        <v>401000</v>
      </c>
      <c r="CW99">
        <f>407000</f>
        <v>407000</v>
      </c>
      <c r="CX99">
        <f>334000</f>
        <v>334000</v>
      </c>
      <c r="CY99" t="str">
        <f>""</f>
        <v/>
      </c>
      <c r="CZ99" t="str">
        <f>""</f>
        <v/>
      </c>
      <c r="DA99" t="str">
        <f>""</f>
        <v/>
      </c>
      <c r="DB99" t="str">
        <f>""</f>
        <v/>
      </c>
      <c r="DC99" t="str">
        <f>""</f>
        <v/>
      </c>
      <c r="DD99" t="str">
        <f>""</f>
        <v/>
      </c>
      <c r="DE99" t="str">
        <f>""</f>
        <v/>
      </c>
      <c r="DF99" t="str">
        <f>""</f>
        <v/>
      </c>
      <c r="DG99" t="str">
        <f>""</f>
        <v/>
      </c>
      <c r="DH99" t="str">
        <f>""</f>
        <v/>
      </c>
      <c r="DI99" t="str">
        <f>""</f>
        <v/>
      </c>
      <c r="DJ99" t="str">
        <f>""</f>
        <v/>
      </c>
      <c r="DK99" t="str">
        <f>""</f>
        <v/>
      </c>
      <c r="DL99" t="str">
        <f>""</f>
        <v/>
      </c>
      <c r="DM99" t="str">
        <f>""</f>
        <v/>
      </c>
      <c r="DN99" t="str">
        <f>""</f>
        <v/>
      </c>
      <c r="DO99">
        <f>469307</f>
        <v>469307</v>
      </c>
      <c r="DP99" t="str">
        <f>""</f>
        <v/>
      </c>
      <c r="DQ99" t="str">
        <f>""</f>
        <v/>
      </c>
      <c r="DR99" t="str">
        <f>""</f>
        <v/>
      </c>
      <c r="DS99" t="str">
        <f>""</f>
        <v/>
      </c>
      <c r="DT99" t="str">
        <f>""</f>
        <v/>
      </c>
      <c r="DU99" t="str">
        <f>""</f>
        <v/>
      </c>
    </row>
    <row r="100" spans="1:125" x14ac:dyDescent="0.25">
      <c r="A100" t="str">
        <f>"        Fiat SpA"</f>
        <v xml:space="preserve">        Fiat SpA</v>
      </c>
      <c r="B100" t="str">
        <f>""</f>
        <v/>
      </c>
      <c r="E100" t="str">
        <f>"Sum"</f>
        <v>Sum</v>
      </c>
      <c r="F100" t="str">
        <f ca="1">IF(ISERROR(IF(SUM($F$101:$F$103) = 0, "", SUM($F$101:$F$103))), "", (IF(SUM($F$101:$F$103) = 0, "", SUM($F$101:$F$103))))</f>
        <v/>
      </c>
      <c r="G100" t="str">
        <f ca="1">IF(ISERROR(IF(SUM($G$101:$G$103) = 0, "", SUM($G$101:$G$103))), "", (IF(SUM($G$101:$G$103) = 0, "", SUM($G$101:$G$103))))</f>
        <v/>
      </c>
      <c r="H100" t="str">
        <f ca="1">IF(ISERROR(IF(SUM($H$101:$H$103) = 0, "", SUM($H$101:$H$103))), "", (IF(SUM($H$101:$H$103) = 0, "", SUM($H$101:$H$103))))</f>
        <v/>
      </c>
      <c r="I100" t="str">
        <f ca="1">IF(ISERROR(IF(SUM($I$101:$I$103) = 0, "", SUM($I$101:$I$103))), "", (IF(SUM($I$101:$I$103) = 0, "", SUM($I$101:$I$103))))</f>
        <v/>
      </c>
      <c r="J100" t="str">
        <f ca="1">IF(ISERROR(IF(SUM($J$101:$J$103) = 0, "", SUM($J$101:$J$103))), "", (IF(SUM($J$101:$J$103) = 0, "", SUM($J$101:$J$103))))</f>
        <v/>
      </c>
      <c r="K100" t="str">
        <f ca="1">IF(ISERROR(IF(SUM($K$101:$K$103) = 0, "", SUM($K$101:$K$103))), "", (IF(SUM($K$101:$K$103) = 0, "", SUM($K$101:$K$103))))</f>
        <v/>
      </c>
      <c r="L100" t="str">
        <f ca="1">IF(ISERROR(IF(SUM($L$101:$L$103) = 0, "", SUM($L$101:$L$103))), "", (IF(SUM($L$101:$L$103) = 0, "", SUM($L$101:$L$103))))</f>
        <v/>
      </c>
      <c r="M100" t="str">
        <f ca="1">IF(ISERROR(IF(SUM($M$101:$M$103) = 0, "", SUM($M$101:$M$103))), "", (IF(SUM($M$101:$M$103) = 0, "", SUM($M$101:$M$103))))</f>
        <v/>
      </c>
      <c r="N100" t="str">
        <f ca="1">IF(ISERROR(IF(SUM($N$101:$N$103) = 0, "", SUM($N$101:$N$103))), "", (IF(SUM($N$101:$N$103) = 0, "", SUM($N$101:$N$103))))</f>
        <v/>
      </c>
      <c r="O100" t="str">
        <f ca="1">IF(ISERROR(IF(SUM($O$101:$O$103) = 0, "", SUM($O$101:$O$103))), "", (IF(SUM($O$101:$O$103) = 0, "", SUM($O$101:$O$103))))</f>
        <v/>
      </c>
      <c r="P100" t="str">
        <f ca="1">IF(ISERROR(IF(SUM($P$101:$P$103) = 0, "", SUM($P$101:$P$103))), "", (IF(SUM($P$101:$P$103) = 0, "", SUM($P$101:$P$103))))</f>
        <v/>
      </c>
      <c r="Q100" t="str">
        <f ca="1">IF(ISERROR(IF(SUM($Q$101:$Q$103) = 0, "", SUM($Q$101:$Q$103))), "", (IF(SUM($Q$101:$Q$103) = 0, "", SUM($Q$101:$Q$103))))</f>
        <v/>
      </c>
      <c r="R100" t="str">
        <f ca="1">IF(ISERROR(IF(SUM($R$101:$R$103) = 0, "", SUM($R$101:$R$103))), "", (IF(SUM($R$101:$R$103) = 0, "", SUM($R$101:$R$103))))</f>
        <v/>
      </c>
      <c r="S100" t="str">
        <f ca="1">IF(ISERROR(IF(SUM($S$101:$S$103) = 0, "", SUM($S$101:$S$103))), "", (IF(SUM($S$101:$S$103) = 0, "", SUM($S$101:$S$103))))</f>
        <v/>
      </c>
      <c r="T100" t="str">
        <f ca="1">IF(ISERROR(IF(SUM($T$101:$T$103) = 0, "", SUM($T$101:$T$103))), "", (IF(SUM($T$101:$T$103) = 0, "", SUM($T$101:$T$103))))</f>
        <v/>
      </c>
      <c r="U100" t="str">
        <f ca="1">IF(ISERROR(IF(SUM($U$101:$U$103) = 0, "", SUM($U$101:$U$103))), "", (IF(SUM($U$101:$U$103) = 0, "", SUM($U$101:$U$103))))</f>
        <v/>
      </c>
      <c r="V100" t="str">
        <f ca="1">IF(ISERROR(IF(SUM($V$101:$V$103) = 0, "", SUM($V$101:$V$103))), "", (IF(SUM($V$101:$V$103) = 0, "", SUM($V$101:$V$103))))</f>
        <v/>
      </c>
      <c r="W100" t="str">
        <f ca="1">IF(ISERROR(IF(SUM($W$101:$W$103) = 0, "", SUM($W$101:$W$103))), "", (IF(SUM($W$101:$W$103) = 0, "", SUM($W$101:$W$103))))</f>
        <v/>
      </c>
      <c r="X100">
        <f ca="1">IF(ISERROR(IF(SUM($X$101:$X$103) = 0, "", SUM($X$101:$X$103))), "", (IF(SUM($X$101:$X$103) = 0, "", SUM($X$101:$X$103))))</f>
        <v>388000</v>
      </c>
      <c r="Y100">
        <f ca="1">IF(ISERROR(IF(SUM($Y$101:$Y$103) = 0, "", SUM($Y$101:$Y$103))), "", (IF(SUM($Y$101:$Y$103) = 0, "", SUM($Y$101:$Y$103))))</f>
        <v>454000</v>
      </c>
      <c r="Z100">
        <f ca="1">IF(ISERROR(IF(SUM($Z$101:$Z$103) = 0, "", SUM($Z$101:$Z$103))), "", (IF(SUM($Z$101:$Z$103) = 0, "", SUM($Z$101:$Z$103))))</f>
        <v>444740</v>
      </c>
      <c r="AA100">
        <f ca="1">IF(ISERROR(IF(SUM($AA$101:$AA$103) = 0, "", SUM($AA$101:$AA$103))), "", (IF(SUM($AA$101:$AA$103) = 0, "", SUM($AA$101:$AA$103))))</f>
        <v>433102</v>
      </c>
      <c r="AB100">
        <f ca="1">IF(ISERROR(IF(SUM($AB$101:$AB$103) = 0, "", SUM($AB$101:$AB$103))), "", (IF(SUM($AB$101:$AB$103) = 0, "", SUM($AB$101:$AB$103))))</f>
        <v>406452</v>
      </c>
      <c r="AC100">
        <f ca="1">IF(ISERROR(IF(SUM($AC$101:$AC$103) = 0, "", SUM($AC$101:$AC$103))), "", (IF(SUM($AC$101:$AC$103) = 0, "", SUM($AC$101:$AC$103))))</f>
        <v>534260</v>
      </c>
      <c r="AD100">
        <f ca="1">IF(ISERROR(IF(SUM($AD$101:$AD$103) = 0, "", SUM($AD$101:$AD$103))), "", (IF(SUM($AD$101:$AD$103) = 0, "", SUM($AD$101:$AD$103))))</f>
        <v>450898</v>
      </c>
      <c r="AE100">
        <f ca="1">IF(ISERROR(IF(SUM($AE$101:$AE$103) = 0, "", SUM($AE$101:$AE$103))), "", (IF(SUM($AE$101:$AE$103) = 0, "", SUM($AE$101:$AE$103))))</f>
        <v>325837</v>
      </c>
      <c r="AF100">
        <f ca="1">IF(ISERROR(IF(SUM($AF$101:$AF$103) = 0, "", SUM($AF$101:$AF$103))), "", (IF(SUM($AF$101:$AF$103) = 0, "", SUM($AF$101:$AF$103))))</f>
        <v>448000</v>
      </c>
      <c r="AG100">
        <f ca="1">IF(ISERROR(IF(SUM($AG$101:$AG$103) = 0, "", SUM($AG$101:$AG$103))), "", (IF(SUM($AG$101:$AG$103) = 0, "", SUM($AG$101:$AG$103))))</f>
        <v>507000</v>
      </c>
      <c r="AH100" t="str">
        <f ca="1">IF(ISERROR(IF(SUM($AH$101:$AH$103) = 0, "", SUM($AH$101:$AH$103))), "", (IF(SUM($AH$101:$AH$103) = 0, "", SUM($AH$101:$AH$103))))</f>
        <v/>
      </c>
      <c r="AI100" t="str">
        <f ca="1">IF(ISERROR(IF(SUM($AI$101:$AI$103) = 0, "", SUM($AI$101:$AI$103))), "", (IF(SUM($AI$101:$AI$103) = 0, "", SUM($AI$101:$AI$103))))</f>
        <v/>
      </c>
      <c r="AJ100" t="str">
        <f ca="1">IF(ISERROR(IF(SUM($AJ$101:$AJ$103) = 0, "", SUM($AJ$101:$AJ$103))), "", (IF(SUM($AJ$101:$AJ$103) = 0, "", SUM($AJ$101:$AJ$103))))</f>
        <v/>
      </c>
      <c r="AK100" t="str">
        <f ca="1">IF(ISERROR(IF(SUM($AK$101:$AK$103) = 0, "", SUM($AK$101:$AK$103))), "", (IF(SUM($AK$101:$AK$103) = 0, "", SUM($AK$101:$AK$103))))</f>
        <v/>
      </c>
      <c r="AL100" t="str">
        <f ca="1">IF(ISERROR(IF(SUM($AL$101:$AL$103) = 0, "", SUM($AL$101:$AL$103))), "", (IF(SUM($AL$101:$AL$103) = 0, "", SUM($AL$101:$AL$103))))</f>
        <v/>
      </c>
      <c r="AM100" t="str">
        <f ca="1">IF(ISERROR(IF(SUM($AM$101:$AM$103) = 0, "", SUM($AM$101:$AM$103))), "", (IF(SUM($AM$101:$AM$103) = 0, "", SUM($AM$101:$AM$103))))</f>
        <v/>
      </c>
      <c r="AN100" t="str">
        <f ca="1">IF(ISERROR(IF(SUM($AN$101:$AN$103) = 0, "", SUM($AN$101:$AN$103))), "", (IF(SUM($AN$101:$AN$103) = 0, "", SUM($AN$101:$AN$103))))</f>
        <v/>
      </c>
      <c r="AO100" t="str">
        <f ca="1">IF(ISERROR(IF(SUM($AO$101:$AO$103) = 0, "", SUM($AO$101:$AO$103))), "", (IF(SUM($AO$101:$AO$103) = 0, "", SUM($AO$101:$AO$103))))</f>
        <v/>
      </c>
      <c r="AP100" t="str">
        <f ca="1">IF(ISERROR(IF(SUM($AP$101:$AP$103) = 0, "", SUM($AP$101:$AP$103))), "", (IF(SUM($AP$101:$AP$103) = 0, "", SUM($AP$101:$AP$103))))</f>
        <v/>
      </c>
      <c r="AQ100" t="str">
        <f ca="1">IF(ISERROR(IF(SUM($AQ$101:$AQ$103) = 0, "", SUM($AQ$101:$AQ$103))), "", (IF(SUM($AQ$101:$AQ$103) = 0, "", SUM($AQ$101:$AQ$103))))</f>
        <v/>
      </c>
      <c r="AR100" t="str">
        <f ca="1">IF(ISERROR(IF(SUM($AR$101:$AR$103) = 0, "", SUM($AR$101:$AR$103))), "", (IF(SUM($AR$101:$AR$103) = 0, "", SUM($AR$101:$AR$103))))</f>
        <v/>
      </c>
      <c r="AS100" t="str">
        <f ca="1">IF(ISERROR(IF(SUM($AS$101:$AS$103) = 0, "", SUM($AS$101:$AS$103))), "", (IF(SUM($AS$101:$AS$103) = 0, "", SUM($AS$101:$AS$103))))</f>
        <v/>
      </c>
      <c r="AT100" t="str">
        <f ca="1">IF(ISERROR(IF(SUM($AT$101:$AT$103) = 0, "", SUM($AT$101:$AT$103))), "", (IF(SUM($AT$101:$AT$103) = 0, "", SUM($AT$101:$AT$103))))</f>
        <v/>
      </c>
      <c r="AU100" t="str">
        <f ca="1">IF(ISERROR(IF(SUM($AU$101:$AU$103) = 0, "", SUM($AU$101:$AU$103))), "", (IF(SUM($AU$101:$AU$103) = 0, "", SUM($AU$101:$AU$103))))</f>
        <v/>
      </c>
      <c r="AV100" t="str">
        <f ca="1">IF(ISERROR(IF(SUM($AV$101:$AV$103) = 0, "", SUM($AV$101:$AV$103))), "", (IF(SUM($AV$101:$AV$103) = 0, "", SUM($AV$101:$AV$103))))</f>
        <v/>
      </c>
      <c r="AW100" t="str">
        <f ca="1">IF(ISERROR(IF(SUM($AW$101:$AW$103) = 0, "", SUM($AW$101:$AW$103))), "", (IF(SUM($AW$101:$AW$103) = 0, "", SUM($AW$101:$AW$103))))</f>
        <v/>
      </c>
      <c r="AX100" t="str">
        <f ca="1">IF(ISERROR(IF(SUM($AX$101:$AX$103) = 0, "", SUM($AX$101:$AX$103))), "", (IF(SUM($AX$101:$AX$103) = 0, "", SUM($AX$101:$AX$103))))</f>
        <v/>
      </c>
      <c r="AY100" t="str">
        <f ca="1">IF(ISERROR(IF(SUM($AY$101:$AY$103) = 0, "", SUM($AY$101:$AY$103))), "", (IF(SUM($AY$101:$AY$103) = 0, "", SUM($AY$101:$AY$103))))</f>
        <v/>
      </c>
      <c r="AZ100" t="str">
        <f ca="1">IF(ISERROR(IF(SUM($AZ$101:$AZ$103) = 0, "", SUM($AZ$101:$AZ$103))), "", (IF(SUM($AZ$101:$AZ$103) = 0, "", SUM($AZ$101:$AZ$103))))</f>
        <v/>
      </c>
      <c r="BA100" t="str">
        <f ca="1">IF(ISERROR(IF(SUM($BA$101:$BA$103) = 0, "", SUM($BA$101:$BA$103))), "", (IF(SUM($BA$101:$BA$103) = 0, "", SUM($BA$101:$BA$103))))</f>
        <v/>
      </c>
      <c r="BB100" t="str">
        <f ca="1">IF(ISERROR(IF(SUM($BB$101:$BB$103) = 0, "", SUM($BB$101:$BB$103))), "", (IF(SUM($BB$101:$BB$103) = 0, "", SUM($BB$101:$BB$103))))</f>
        <v/>
      </c>
      <c r="BC100" t="str">
        <f ca="1">IF(ISERROR(IF(SUM($BC$101:$BC$103) = 0, "", SUM($BC$101:$BC$103))), "", (IF(SUM($BC$101:$BC$103) = 0, "", SUM($BC$101:$BC$103))))</f>
        <v/>
      </c>
      <c r="BD100" t="str">
        <f ca="1">IF(ISERROR(IF(SUM($BD$101:$BD$103) = 0, "", SUM($BD$101:$BD$103))), "", (IF(SUM($BD$101:$BD$103) = 0, "", SUM($BD$101:$BD$103))))</f>
        <v/>
      </c>
      <c r="BE100" t="str">
        <f ca="1">IF(ISERROR(IF(SUM($BE$101:$BE$103) = 0, "", SUM($BE$101:$BE$103))), "", (IF(SUM($BE$101:$BE$103) = 0, "", SUM($BE$101:$BE$103))))</f>
        <v/>
      </c>
      <c r="BF100" t="str">
        <f ca="1">IF(ISERROR(IF(SUM($BF$101:$BF$103) = 0, "", SUM($BF$101:$BF$103))), "", (IF(SUM($BF$101:$BF$103) = 0, "", SUM($BF$101:$BF$103))))</f>
        <v/>
      </c>
      <c r="BG100">
        <f ca="1">IF(ISERROR(IF(SUM($BG$101:$BG$103) = 0, "", SUM($BG$101:$BG$103))), "", (IF(SUM($BG$101:$BG$103) = 0, "", SUM($BG$101:$BG$103))))</f>
        <v>469307</v>
      </c>
      <c r="BH100" t="str">
        <f ca="1">IF(ISERROR(IF(SUM($BH$101:$BH$103) = 0, "", SUM($BH$101:$BH$103))), "", (IF(SUM($BH$101:$BH$103) = 0, "", SUM($BH$101:$BH$103))))</f>
        <v/>
      </c>
      <c r="BI100" t="str">
        <f ca="1">IF(ISERROR(IF(SUM($BI$101:$BI$103) = 0, "", SUM($BI$101:$BI$103))), "", (IF(SUM($BI$101:$BI$103) = 0, "", SUM($BI$101:$BI$103))))</f>
        <v/>
      </c>
      <c r="BJ100" t="str">
        <f ca="1">IF(ISERROR(IF(SUM($BJ$101:$BJ$103) = 0, "", SUM($BJ$101:$BJ$103))), "", (IF(SUM($BJ$101:$BJ$103) = 0, "", SUM($BJ$101:$BJ$103))))</f>
        <v/>
      </c>
      <c r="BK100" t="str">
        <f ca="1">IF(ISERROR(IF(SUM($BK$101:$BK$103) = 0, "", SUM($BK$101:$BK$103))), "", (IF(SUM($BK$101:$BK$103) = 0, "", SUM($BK$101:$BK$103))))</f>
        <v/>
      </c>
      <c r="BL100" t="str">
        <f ca="1">IF(ISERROR(IF(SUM($BL$101:$BL$103) = 0, "", SUM($BL$101:$BL$103))), "", (IF(SUM($BL$101:$BL$103) = 0, "", SUM($BL$101:$BL$103))))</f>
        <v/>
      </c>
      <c r="BM100" t="str">
        <f ca="1">IF(ISERROR(IF(SUM($BM$101:$BM$103) = 0, "", SUM($BM$101:$BM$103))), "", (IF(SUM($BM$101:$BM$103) = 0, "", SUM($BM$101:$BM$103))))</f>
        <v/>
      </c>
      <c r="BN100" t="str">
        <f>""</f>
        <v/>
      </c>
      <c r="BO100" t="str">
        <f>""</f>
        <v/>
      </c>
      <c r="BP100" t="str">
        <f>""</f>
        <v/>
      </c>
      <c r="BQ100" t="str">
        <f>""</f>
        <v/>
      </c>
      <c r="BR100" t="str">
        <f>""</f>
        <v/>
      </c>
      <c r="BS100" t="str">
        <f>""</f>
        <v/>
      </c>
      <c r="BT100" t="str">
        <f>""</f>
        <v/>
      </c>
      <c r="BU100" t="str">
        <f>""</f>
        <v/>
      </c>
      <c r="BV100" t="str">
        <f>""</f>
        <v/>
      </c>
      <c r="BW100" t="str">
        <f>""</f>
        <v/>
      </c>
      <c r="BX100" t="str">
        <f>""</f>
        <v/>
      </c>
      <c r="BY100" t="str">
        <f>""</f>
        <v/>
      </c>
      <c r="BZ100" t="str">
        <f>""</f>
        <v/>
      </c>
      <c r="CA100" t="str">
        <f>""</f>
        <v/>
      </c>
      <c r="CB100" t="str">
        <f>""</f>
        <v/>
      </c>
      <c r="CC100" t="str">
        <f>""</f>
        <v/>
      </c>
      <c r="CD100" t="str">
        <f>""</f>
        <v/>
      </c>
      <c r="CE100" t="str">
        <f>""</f>
        <v/>
      </c>
      <c r="CF100">
        <f>388000</f>
        <v>388000</v>
      </c>
      <c r="CG100">
        <f>454000</f>
        <v>454000</v>
      </c>
      <c r="CH100">
        <f>444740</f>
        <v>444740</v>
      </c>
      <c r="CI100">
        <f>433102</f>
        <v>433102</v>
      </c>
      <c r="CJ100">
        <f>406452</f>
        <v>406452</v>
      </c>
      <c r="CK100">
        <f>534260</f>
        <v>534260</v>
      </c>
      <c r="CL100">
        <f>450898</f>
        <v>450898</v>
      </c>
      <c r="CM100">
        <f>325837</f>
        <v>325837</v>
      </c>
      <c r="CN100">
        <f>448000</f>
        <v>448000</v>
      </c>
      <c r="CO100">
        <f>507000</f>
        <v>507000</v>
      </c>
      <c r="CP100" t="str">
        <f>""</f>
        <v/>
      </c>
      <c r="CQ100" t="str">
        <f>""</f>
        <v/>
      </c>
      <c r="CR100" t="str">
        <f>""</f>
        <v/>
      </c>
      <c r="CS100" t="str">
        <f>""</f>
        <v/>
      </c>
      <c r="CT100" t="str">
        <f>""</f>
        <v/>
      </c>
      <c r="CU100" t="str">
        <f>""</f>
        <v/>
      </c>
      <c r="CV100" t="str">
        <f>""</f>
        <v/>
      </c>
      <c r="CW100" t="str">
        <f>""</f>
        <v/>
      </c>
      <c r="CX100" t="str">
        <f>""</f>
        <v/>
      </c>
      <c r="CY100" t="str">
        <f>""</f>
        <v/>
      </c>
      <c r="CZ100" t="str">
        <f>""</f>
        <v/>
      </c>
      <c r="DA100" t="str">
        <f>""</f>
        <v/>
      </c>
      <c r="DB100" t="str">
        <f>""</f>
        <v/>
      </c>
      <c r="DC100" t="str">
        <f>""</f>
        <v/>
      </c>
      <c r="DD100" t="str">
        <f>""</f>
        <v/>
      </c>
      <c r="DE100" t="str">
        <f>""</f>
        <v/>
      </c>
      <c r="DF100" t="str">
        <f>""</f>
        <v/>
      </c>
      <c r="DG100" t="str">
        <f>""</f>
        <v/>
      </c>
      <c r="DH100" t="str">
        <f>""</f>
        <v/>
      </c>
      <c r="DI100" t="str">
        <f>""</f>
        <v/>
      </c>
      <c r="DJ100" t="str">
        <f>""</f>
        <v/>
      </c>
      <c r="DK100" t="str">
        <f>""</f>
        <v/>
      </c>
      <c r="DL100" t="str">
        <f>""</f>
        <v/>
      </c>
      <c r="DM100" t="str">
        <f>""</f>
        <v/>
      </c>
      <c r="DN100" t="str">
        <f>""</f>
        <v/>
      </c>
      <c r="DO100">
        <f>469307</f>
        <v>469307</v>
      </c>
      <c r="DP100" t="str">
        <f>""</f>
        <v/>
      </c>
      <c r="DQ100" t="str">
        <f>""</f>
        <v/>
      </c>
      <c r="DR100" t="str">
        <f>""</f>
        <v/>
      </c>
      <c r="DS100" t="str">
        <f>""</f>
        <v/>
      </c>
      <c r="DT100" t="str">
        <f>""</f>
        <v/>
      </c>
      <c r="DU100" t="str">
        <f>""</f>
        <v/>
      </c>
    </row>
    <row r="101" spans="1:125" x14ac:dyDescent="0.25">
      <c r="A101" t="str">
        <f>"            Fiat Automobile"</f>
        <v xml:space="preserve">            Fiat Automobile</v>
      </c>
      <c r="B101" t="str">
        <f>"F IM Equity"</f>
        <v>F IM Equity</v>
      </c>
      <c r="E101" t="str">
        <f t="shared" ref="E101:E106" si="19">"Static"</f>
        <v>Static</v>
      </c>
      <c r="F101" t="str">
        <f t="shared" ref="F101:O106" ca="1" si="20">HLOOKUP(INDIRECT(ADDRESS(2,COLUMN())),OFFSET($BN$2,0,0,ROW()-1,60),ROW()-1,FALSE)</f>
        <v/>
      </c>
      <c r="G101" t="str">
        <f t="shared" ca="1" si="20"/>
        <v/>
      </c>
      <c r="H101" t="str">
        <f t="shared" ca="1" si="20"/>
        <v/>
      </c>
      <c r="I101" t="str">
        <f t="shared" ca="1" si="20"/>
        <v/>
      </c>
      <c r="J101" t="str">
        <f t="shared" ca="1" si="20"/>
        <v/>
      </c>
      <c r="K101" t="str">
        <f t="shared" ca="1" si="20"/>
        <v/>
      </c>
      <c r="L101" t="str">
        <f t="shared" ca="1" si="20"/>
        <v/>
      </c>
      <c r="M101" t="str">
        <f t="shared" ca="1" si="20"/>
        <v/>
      </c>
      <c r="N101" t="str">
        <f t="shared" ca="1" si="20"/>
        <v/>
      </c>
      <c r="O101" t="str">
        <f t="shared" ca="1" si="20"/>
        <v/>
      </c>
      <c r="P101" t="str">
        <f t="shared" ref="P101:Y106" ca="1" si="21">HLOOKUP(INDIRECT(ADDRESS(2,COLUMN())),OFFSET($BN$2,0,0,ROW()-1,60),ROW()-1,FALSE)</f>
        <v/>
      </c>
      <c r="Q101" t="str">
        <f t="shared" ca="1" si="21"/>
        <v/>
      </c>
      <c r="R101" t="str">
        <f t="shared" ca="1" si="21"/>
        <v/>
      </c>
      <c r="S101" t="str">
        <f t="shared" ca="1" si="21"/>
        <v/>
      </c>
      <c r="T101" t="str">
        <f t="shared" ca="1" si="21"/>
        <v/>
      </c>
      <c r="U101" t="str">
        <f t="shared" ca="1" si="21"/>
        <v/>
      </c>
      <c r="V101" t="str">
        <f t="shared" ca="1" si="21"/>
        <v/>
      </c>
      <c r="W101" t="str">
        <f t="shared" ca="1" si="21"/>
        <v/>
      </c>
      <c r="X101">
        <f t="shared" ca="1" si="21"/>
        <v>377492</v>
      </c>
      <c r="Y101">
        <f t="shared" ca="1" si="21"/>
        <v>442577</v>
      </c>
      <c r="Z101">
        <f t="shared" ref="Z101:AI106" ca="1" si="22">HLOOKUP(INDIRECT(ADDRESS(2,COLUMN())),OFFSET($BN$2,0,0,ROW()-1,60),ROW()-1,FALSE)</f>
        <v>435000</v>
      </c>
      <c r="AA101">
        <f t="shared" ca="1" si="22"/>
        <v>433102</v>
      </c>
      <c r="AB101">
        <f t="shared" ca="1" si="22"/>
        <v>401000</v>
      </c>
      <c r="AC101">
        <f t="shared" ca="1" si="22"/>
        <v>530000</v>
      </c>
      <c r="AD101">
        <f t="shared" ca="1" si="22"/>
        <v>450898</v>
      </c>
      <c r="AE101">
        <f t="shared" ca="1" si="22"/>
        <v>325837</v>
      </c>
      <c r="AF101">
        <f t="shared" ca="1" si="22"/>
        <v>448000</v>
      </c>
      <c r="AG101">
        <f t="shared" ca="1" si="22"/>
        <v>507000</v>
      </c>
      <c r="AH101" t="str">
        <f t="shared" ca="1" si="22"/>
        <v/>
      </c>
      <c r="AI101" t="str">
        <f t="shared" ca="1" si="22"/>
        <v/>
      </c>
      <c r="AJ101" t="str">
        <f t="shared" ref="AJ101:AS106" ca="1" si="23">HLOOKUP(INDIRECT(ADDRESS(2,COLUMN())),OFFSET($BN$2,0,0,ROW()-1,60),ROW()-1,FALSE)</f>
        <v/>
      </c>
      <c r="AK101" t="str">
        <f t="shared" ca="1" si="23"/>
        <v/>
      </c>
      <c r="AL101" t="str">
        <f t="shared" ca="1" si="23"/>
        <v/>
      </c>
      <c r="AM101" t="str">
        <f t="shared" ca="1" si="23"/>
        <v/>
      </c>
      <c r="AN101" t="str">
        <f t="shared" ca="1" si="23"/>
        <v/>
      </c>
      <c r="AO101" t="str">
        <f t="shared" ca="1" si="23"/>
        <v/>
      </c>
      <c r="AP101" t="str">
        <f t="shared" ca="1" si="23"/>
        <v/>
      </c>
      <c r="AQ101" t="str">
        <f t="shared" ca="1" si="23"/>
        <v/>
      </c>
      <c r="AR101" t="str">
        <f t="shared" ca="1" si="23"/>
        <v/>
      </c>
      <c r="AS101" t="str">
        <f t="shared" ca="1" si="23"/>
        <v/>
      </c>
      <c r="AT101" t="str">
        <f t="shared" ref="AT101:BC106" ca="1" si="24">HLOOKUP(INDIRECT(ADDRESS(2,COLUMN())),OFFSET($BN$2,0,0,ROW()-1,60),ROW()-1,FALSE)</f>
        <v/>
      </c>
      <c r="AU101" t="str">
        <f t="shared" ca="1" si="24"/>
        <v/>
      </c>
      <c r="AV101" t="str">
        <f t="shared" ca="1" si="24"/>
        <v/>
      </c>
      <c r="AW101" t="str">
        <f t="shared" ca="1" si="24"/>
        <v/>
      </c>
      <c r="AX101" t="str">
        <f t="shared" ca="1" si="24"/>
        <v/>
      </c>
      <c r="AY101" t="str">
        <f t="shared" ca="1" si="24"/>
        <v/>
      </c>
      <c r="AZ101" t="str">
        <f t="shared" ca="1" si="24"/>
        <v/>
      </c>
      <c r="BA101" t="str">
        <f t="shared" ca="1" si="24"/>
        <v/>
      </c>
      <c r="BB101" t="str">
        <f t="shared" ca="1" si="24"/>
        <v/>
      </c>
      <c r="BC101" t="str">
        <f t="shared" ca="1" si="24"/>
        <v/>
      </c>
      <c r="BD101" t="str">
        <f t="shared" ref="BD101:BM106" ca="1" si="25">HLOOKUP(INDIRECT(ADDRESS(2,COLUMN())),OFFSET($BN$2,0,0,ROW()-1,60),ROW()-1,FALSE)</f>
        <v/>
      </c>
      <c r="BE101" t="str">
        <f t="shared" ca="1" si="25"/>
        <v/>
      </c>
      <c r="BF101" t="str">
        <f t="shared" ca="1" si="25"/>
        <v/>
      </c>
      <c r="BG101">
        <f t="shared" ca="1" si="25"/>
        <v>466600</v>
      </c>
      <c r="BH101" t="str">
        <f t="shared" ca="1" si="25"/>
        <v/>
      </c>
      <c r="BI101" t="str">
        <f t="shared" ca="1" si="25"/>
        <v/>
      </c>
      <c r="BJ101" t="str">
        <f t="shared" ca="1" si="25"/>
        <v/>
      </c>
      <c r="BK101" t="str">
        <f t="shared" ca="1" si="25"/>
        <v/>
      </c>
      <c r="BL101" t="str">
        <f t="shared" ca="1" si="25"/>
        <v/>
      </c>
      <c r="BM101" t="str">
        <f t="shared" ca="1" si="25"/>
        <v/>
      </c>
      <c r="BN101" t="str">
        <f>""</f>
        <v/>
      </c>
      <c r="BO101" t="str">
        <f>""</f>
        <v/>
      </c>
      <c r="BP101" t="str">
        <f>""</f>
        <v/>
      </c>
      <c r="BQ101" t="str">
        <f>""</f>
        <v/>
      </c>
      <c r="BR101" t="str">
        <f>""</f>
        <v/>
      </c>
      <c r="BS101" t="str">
        <f>""</f>
        <v/>
      </c>
      <c r="BT101" t="str">
        <f>""</f>
        <v/>
      </c>
      <c r="BU101" t="str">
        <f>""</f>
        <v/>
      </c>
      <c r="BV101" t="str">
        <f>""</f>
        <v/>
      </c>
      <c r="BW101" t="str">
        <f>""</f>
        <v/>
      </c>
      <c r="BX101" t="str">
        <f>""</f>
        <v/>
      </c>
      <c r="BY101" t="str">
        <f>""</f>
        <v/>
      </c>
      <c r="BZ101" t="str">
        <f>""</f>
        <v/>
      </c>
      <c r="CA101" t="str">
        <f>""</f>
        <v/>
      </c>
      <c r="CB101" t="str">
        <f>""</f>
        <v/>
      </c>
      <c r="CC101" t="str">
        <f>""</f>
        <v/>
      </c>
      <c r="CD101" t="str">
        <f>""</f>
        <v/>
      </c>
      <c r="CE101" t="str">
        <f>""</f>
        <v/>
      </c>
      <c r="CF101">
        <f>377492</f>
        <v>377492</v>
      </c>
      <c r="CG101">
        <f>442577</f>
        <v>442577</v>
      </c>
      <c r="CH101">
        <f>435000</f>
        <v>435000</v>
      </c>
      <c r="CI101">
        <f>433102</f>
        <v>433102</v>
      </c>
      <c r="CJ101">
        <f>401000</f>
        <v>401000</v>
      </c>
      <c r="CK101">
        <f>530000</f>
        <v>530000</v>
      </c>
      <c r="CL101">
        <f>450898</f>
        <v>450898</v>
      </c>
      <c r="CM101">
        <f>325837</f>
        <v>325837</v>
      </c>
      <c r="CN101">
        <f>448000</f>
        <v>448000</v>
      </c>
      <c r="CO101">
        <f>507000</f>
        <v>507000</v>
      </c>
      <c r="CP101" t="str">
        <f>""</f>
        <v/>
      </c>
      <c r="CQ101" t="str">
        <f>""</f>
        <v/>
      </c>
      <c r="CR101" t="str">
        <f>""</f>
        <v/>
      </c>
      <c r="CS101" t="str">
        <f>""</f>
        <v/>
      </c>
      <c r="CT101" t="str">
        <f>""</f>
        <v/>
      </c>
      <c r="CU101" t="str">
        <f>""</f>
        <v/>
      </c>
      <c r="CV101" t="str">
        <f>""</f>
        <v/>
      </c>
      <c r="CW101" t="str">
        <f>""</f>
        <v/>
      </c>
      <c r="CX101" t="str">
        <f>""</f>
        <v/>
      </c>
      <c r="CY101" t="str">
        <f>""</f>
        <v/>
      </c>
      <c r="CZ101" t="str">
        <f>""</f>
        <v/>
      </c>
      <c r="DA101" t="str">
        <f>""</f>
        <v/>
      </c>
      <c r="DB101" t="str">
        <f>""</f>
        <v/>
      </c>
      <c r="DC101" t="str">
        <f>""</f>
        <v/>
      </c>
      <c r="DD101" t="str">
        <f>""</f>
        <v/>
      </c>
      <c r="DE101" t="str">
        <f>""</f>
        <v/>
      </c>
      <c r="DF101" t="str">
        <f>""</f>
        <v/>
      </c>
      <c r="DG101" t="str">
        <f>""</f>
        <v/>
      </c>
      <c r="DH101" t="str">
        <f>""</f>
        <v/>
      </c>
      <c r="DI101" t="str">
        <f>""</f>
        <v/>
      </c>
      <c r="DJ101" t="str">
        <f>""</f>
        <v/>
      </c>
      <c r="DK101" t="str">
        <f>""</f>
        <v/>
      </c>
      <c r="DL101" t="str">
        <f>""</f>
        <v/>
      </c>
      <c r="DM101" t="str">
        <f>""</f>
        <v/>
      </c>
      <c r="DN101" t="str">
        <f>""</f>
        <v/>
      </c>
      <c r="DO101">
        <f>466600</f>
        <v>466600</v>
      </c>
      <c r="DP101" t="str">
        <f>""</f>
        <v/>
      </c>
      <c r="DQ101" t="str">
        <f>""</f>
        <v/>
      </c>
      <c r="DR101" t="str">
        <f>""</f>
        <v/>
      </c>
      <c r="DS101" t="str">
        <f>""</f>
        <v/>
      </c>
      <c r="DT101" t="str">
        <f>""</f>
        <v/>
      </c>
      <c r="DU101" t="str">
        <f>""</f>
        <v/>
      </c>
    </row>
    <row r="102" spans="1:125" x14ac:dyDescent="0.25">
      <c r="A102" t="str">
        <f>"            Ferrari"</f>
        <v xml:space="preserve">            Ferrari</v>
      </c>
      <c r="B102" t="str">
        <f>"F IM Equity"</f>
        <v>F IM Equity</v>
      </c>
      <c r="E102" t="str">
        <f t="shared" si="19"/>
        <v>Static</v>
      </c>
      <c r="F102" t="str">
        <f t="shared" ca="1" si="20"/>
        <v/>
      </c>
      <c r="G102" t="str">
        <f t="shared" ca="1" si="20"/>
        <v/>
      </c>
      <c r="H102" t="str">
        <f t="shared" ca="1" si="20"/>
        <v/>
      </c>
      <c r="I102" t="str">
        <f t="shared" ca="1" si="20"/>
        <v/>
      </c>
      <c r="J102" t="str">
        <f t="shared" ca="1" si="20"/>
        <v/>
      </c>
      <c r="K102" t="str">
        <f t="shared" ca="1" si="20"/>
        <v/>
      </c>
      <c r="L102" t="str">
        <f t="shared" ca="1" si="20"/>
        <v/>
      </c>
      <c r="M102" t="str">
        <f t="shared" ca="1" si="20"/>
        <v/>
      </c>
      <c r="N102" t="str">
        <f t="shared" ca="1" si="20"/>
        <v/>
      </c>
      <c r="O102" t="str">
        <f t="shared" ca="1" si="20"/>
        <v/>
      </c>
      <c r="P102" t="str">
        <f t="shared" ca="1" si="21"/>
        <v/>
      </c>
      <c r="Q102" t="str">
        <f t="shared" ca="1" si="21"/>
        <v/>
      </c>
      <c r="R102" t="str">
        <f t="shared" ca="1" si="21"/>
        <v/>
      </c>
      <c r="S102" t="str">
        <f t="shared" ca="1" si="21"/>
        <v/>
      </c>
      <c r="T102" t="str">
        <f t="shared" ca="1" si="21"/>
        <v/>
      </c>
      <c r="U102" t="str">
        <f t="shared" ca="1" si="21"/>
        <v/>
      </c>
      <c r="V102" t="str">
        <f t="shared" ca="1" si="21"/>
        <v/>
      </c>
      <c r="W102" t="str">
        <f t="shared" ca="1" si="21"/>
        <v/>
      </c>
      <c r="X102">
        <f t="shared" ca="1" si="21"/>
        <v>1612</v>
      </c>
      <c r="Y102">
        <f t="shared" ca="1" si="21"/>
        <v>1932</v>
      </c>
      <c r="Z102">
        <f t="shared" ca="1" si="22"/>
        <v>1699</v>
      </c>
      <c r="AA102" t="str">
        <f t="shared" ca="1" si="22"/>
        <v/>
      </c>
      <c r="AB102">
        <f t="shared" ca="1" si="22"/>
        <v>1499</v>
      </c>
      <c r="AC102">
        <f t="shared" ca="1" si="22"/>
        <v>1969</v>
      </c>
      <c r="AD102" t="str">
        <f t="shared" ca="1" si="22"/>
        <v/>
      </c>
      <c r="AE102" t="str">
        <f t="shared" ca="1" si="22"/>
        <v/>
      </c>
      <c r="AF102" t="str">
        <f t="shared" ca="1" si="22"/>
        <v/>
      </c>
      <c r="AG102" t="str">
        <f t="shared" ca="1" si="22"/>
        <v/>
      </c>
      <c r="AH102" t="str">
        <f t="shared" ca="1" si="22"/>
        <v/>
      </c>
      <c r="AI102" t="str">
        <f t="shared" ca="1" si="22"/>
        <v/>
      </c>
      <c r="AJ102" t="str">
        <f t="shared" ca="1" si="23"/>
        <v/>
      </c>
      <c r="AK102" t="str">
        <f t="shared" ca="1" si="23"/>
        <v/>
      </c>
      <c r="AL102" t="str">
        <f t="shared" ca="1" si="23"/>
        <v/>
      </c>
      <c r="AM102" t="str">
        <f t="shared" ca="1" si="23"/>
        <v/>
      </c>
      <c r="AN102" t="str">
        <f t="shared" ca="1" si="23"/>
        <v/>
      </c>
      <c r="AO102" t="str">
        <f t="shared" ca="1" si="23"/>
        <v/>
      </c>
      <c r="AP102" t="str">
        <f t="shared" ca="1" si="23"/>
        <v/>
      </c>
      <c r="AQ102" t="str">
        <f t="shared" ca="1" si="23"/>
        <v/>
      </c>
      <c r="AR102" t="str">
        <f t="shared" ca="1" si="23"/>
        <v/>
      </c>
      <c r="AS102" t="str">
        <f t="shared" ca="1" si="23"/>
        <v/>
      </c>
      <c r="AT102" t="str">
        <f t="shared" ca="1" si="24"/>
        <v/>
      </c>
      <c r="AU102" t="str">
        <f t="shared" ca="1" si="24"/>
        <v/>
      </c>
      <c r="AV102" t="str">
        <f t="shared" ca="1" si="24"/>
        <v/>
      </c>
      <c r="AW102" t="str">
        <f t="shared" ca="1" si="24"/>
        <v/>
      </c>
      <c r="AX102" t="str">
        <f t="shared" ca="1" si="24"/>
        <v/>
      </c>
      <c r="AY102" t="str">
        <f t="shared" ca="1" si="24"/>
        <v/>
      </c>
      <c r="AZ102" t="str">
        <f t="shared" ca="1" si="24"/>
        <v/>
      </c>
      <c r="BA102" t="str">
        <f t="shared" ca="1" si="24"/>
        <v/>
      </c>
      <c r="BB102" t="str">
        <f t="shared" ca="1" si="24"/>
        <v/>
      </c>
      <c r="BC102" t="str">
        <f t="shared" ca="1" si="24"/>
        <v/>
      </c>
      <c r="BD102" t="str">
        <f t="shared" ca="1" si="25"/>
        <v/>
      </c>
      <c r="BE102" t="str">
        <f t="shared" ca="1" si="25"/>
        <v/>
      </c>
      <c r="BF102" t="str">
        <f t="shared" ca="1" si="25"/>
        <v/>
      </c>
      <c r="BG102">
        <f t="shared" ca="1" si="25"/>
        <v>1323</v>
      </c>
      <c r="BH102" t="str">
        <f t="shared" ca="1" si="25"/>
        <v/>
      </c>
      <c r="BI102" t="str">
        <f t="shared" ca="1" si="25"/>
        <v/>
      </c>
      <c r="BJ102" t="str">
        <f t="shared" ca="1" si="25"/>
        <v/>
      </c>
      <c r="BK102" t="str">
        <f t="shared" ca="1" si="25"/>
        <v/>
      </c>
      <c r="BL102" t="str">
        <f t="shared" ca="1" si="25"/>
        <v/>
      </c>
      <c r="BM102" t="str">
        <f t="shared" ca="1" si="25"/>
        <v/>
      </c>
      <c r="BN102" t="str">
        <f>""</f>
        <v/>
      </c>
      <c r="BO102" t="str">
        <f>""</f>
        <v/>
      </c>
      <c r="BP102" t="str">
        <f>""</f>
        <v/>
      </c>
      <c r="BQ102" t="str">
        <f>""</f>
        <v/>
      </c>
      <c r="BR102" t="str">
        <f>""</f>
        <v/>
      </c>
      <c r="BS102" t="str">
        <f>""</f>
        <v/>
      </c>
      <c r="BT102" t="str">
        <f>""</f>
        <v/>
      </c>
      <c r="BU102" t="str">
        <f>""</f>
        <v/>
      </c>
      <c r="BV102" t="str">
        <f>""</f>
        <v/>
      </c>
      <c r="BW102" t="str">
        <f>""</f>
        <v/>
      </c>
      <c r="BX102" t="str">
        <f>""</f>
        <v/>
      </c>
      <c r="BY102" t="str">
        <f>""</f>
        <v/>
      </c>
      <c r="BZ102" t="str">
        <f>""</f>
        <v/>
      </c>
      <c r="CA102" t="str">
        <f>""</f>
        <v/>
      </c>
      <c r="CB102" t="str">
        <f>""</f>
        <v/>
      </c>
      <c r="CC102" t="str">
        <f>""</f>
        <v/>
      </c>
      <c r="CD102" t="str">
        <f>""</f>
        <v/>
      </c>
      <c r="CE102" t="str">
        <f>""</f>
        <v/>
      </c>
      <c r="CF102">
        <f>1612</f>
        <v>1612</v>
      </c>
      <c r="CG102">
        <f>1932</f>
        <v>1932</v>
      </c>
      <c r="CH102">
        <f>1699</f>
        <v>1699</v>
      </c>
      <c r="CI102" t="str">
        <f>""</f>
        <v/>
      </c>
      <c r="CJ102">
        <f>1499</f>
        <v>1499</v>
      </c>
      <c r="CK102">
        <f>1969</f>
        <v>1969</v>
      </c>
      <c r="CL102" t="str">
        <f>""</f>
        <v/>
      </c>
      <c r="CM102" t="str">
        <f>""</f>
        <v/>
      </c>
      <c r="CN102" t="str">
        <f>""</f>
        <v/>
      </c>
      <c r="CO102" t="str">
        <f>""</f>
        <v/>
      </c>
      <c r="CP102" t="str">
        <f>""</f>
        <v/>
      </c>
      <c r="CQ102" t="str">
        <f>""</f>
        <v/>
      </c>
      <c r="CR102" t="str">
        <f>""</f>
        <v/>
      </c>
      <c r="CS102" t="str">
        <f>""</f>
        <v/>
      </c>
      <c r="CT102" t="str">
        <f>""</f>
        <v/>
      </c>
      <c r="CU102" t="str">
        <f>""</f>
        <v/>
      </c>
      <c r="CV102" t="str">
        <f>""</f>
        <v/>
      </c>
      <c r="CW102" t="str">
        <f>""</f>
        <v/>
      </c>
      <c r="CX102" t="str">
        <f>""</f>
        <v/>
      </c>
      <c r="CY102" t="str">
        <f>""</f>
        <v/>
      </c>
      <c r="CZ102" t="str">
        <f>""</f>
        <v/>
      </c>
      <c r="DA102" t="str">
        <f>""</f>
        <v/>
      </c>
      <c r="DB102" t="str">
        <f>""</f>
        <v/>
      </c>
      <c r="DC102" t="str">
        <f>""</f>
        <v/>
      </c>
      <c r="DD102" t="str">
        <f>""</f>
        <v/>
      </c>
      <c r="DE102" t="str">
        <f>""</f>
        <v/>
      </c>
      <c r="DF102" t="str">
        <f>""</f>
        <v/>
      </c>
      <c r="DG102" t="str">
        <f>""</f>
        <v/>
      </c>
      <c r="DH102" t="str">
        <f>""</f>
        <v/>
      </c>
      <c r="DI102" t="str">
        <f>""</f>
        <v/>
      </c>
      <c r="DJ102" t="str">
        <f>""</f>
        <v/>
      </c>
      <c r="DK102" t="str">
        <f>""</f>
        <v/>
      </c>
      <c r="DL102" t="str">
        <f>""</f>
        <v/>
      </c>
      <c r="DM102" t="str">
        <f>""</f>
        <v/>
      </c>
      <c r="DN102" t="str">
        <f>""</f>
        <v/>
      </c>
      <c r="DO102">
        <f>1323</f>
        <v>1323</v>
      </c>
      <c r="DP102" t="str">
        <f>""</f>
        <v/>
      </c>
      <c r="DQ102" t="str">
        <f>""</f>
        <v/>
      </c>
      <c r="DR102" t="str">
        <f>""</f>
        <v/>
      </c>
      <c r="DS102" t="str">
        <f>""</f>
        <v/>
      </c>
      <c r="DT102" t="str">
        <f>""</f>
        <v/>
      </c>
      <c r="DU102" t="str">
        <f>""</f>
        <v/>
      </c>
    </row>
    <row r="103" spans="1:125" x14ac:dyDescent="0.25">
      <c r="A103" t="str">
        <f>"            Maserati"</f>
        <v xml:space="preserve">            Maserati</v>
      </c>
      <c r="B103" t="str">
        <f>"F IM Equity"</f>
        <v>F IM Equity</v>
      </c>
      <c r="E103" t="str">
        <f t="shared" si="19"/>
        <v>Static</v>
      </c>
      <c r="F103" t="str">
        <f t="shared" ca="1" si="20"/>
        <v/>
      </c>
      <c r="G103" t="str">
        <f t="shared" ca="1" si="20"/>
        <v/>
      </c>
      <c r="H103" t="str">
        <f t="shared" ca="1" si="20"/>
        <v/>
      </c>
      <c r="I103" t="str">
        <f t="shared" ca="1" si="20"/>
        <v/>
      </c>
      <c r="J103" t="str">
        <f t="shared" ca="1" si="20"/>
        <v/>
      </c>
      <c r="K103" t="str">
        <f t="shared" ca="1" si="20"/>
        <v/>
      </c>
      <c r="L103" t="str">
        <f t="shared" ca="1" si="20"/>
        <v/>
      </c>
      <c r="M103" t="str">
        <f t="shared" ca="1" si="20"/>
        <v/>
      </c>
      <c r="N103" t="str">
        <f t="shared" ca="1" si="20"/>
        <v/>
      </c>
      <c r="O103" t="str">
        <f t="shared" ca="1" si="20"/>
        <v/>
      </c>
      <c r="P103" t="str">
        <f t="shared" ca="1" si="21"/>
        <v/>
      </c>
      <c r="Q103" t="str">
        <f t="shared" ca="1" si="21"/>
        <v/>
      </c>
      <c r="R103" t="str">
        <f t="shared" ca="1" si="21"/>
        <v/>
      </c>
      <c r="S103" t="str">
        <f t="shared" ca="1" si="21"/>
        <v/>
      </c>
      <c r="T103" t="str">
        <f t="shared" ca="1" si="21"/>
        <v/>
      </c>
      <c r="U103" t="str">
        <f t="shared" ca="1" si="21"/>
        <v/>
      </c>
      <c r="V103" t="str">
        <f t="shared" ca="1" si="21"/>
        <v/>
      </c>
      <c r="W103" t="str">
        <f t="shared" ca="1" si="21"/>
        <v/>
      </c>
      <c r="X103">
        <f t="shared" ca="1" si="21"/>
        <v>8896</v>
      </c>
      <c r="Y103">
        <f t="shared" ca="1" si="21"/>
        <v>9491</v>
      </c>
      <c r="Z103">
        <f t="shared" ca="1" si="22"/>
        <v>8041</v>
      </c>
      <c r="AA103" t="str">
        <f t="shared" ca="1" si="22"/>
        <v/>
      </c>
      <c r="AB103">
        <f t="shared" ca="1" si="22"/>
        <v>3953</v>
      </c>
      <c r="AC103">
        <f t="shared" ca="1" si="22"/>
        <v>2291</v>
      </c>
      <c r="AD103" t="str">
        <f t="shared" ca="1" si="22"/>
        <v/>
      </c>
      <c r="AE103" t="str">
        <f t="shared" ca="1" si="22"/>
        <v/>
      </c>
      <c r="AF103" t="str">
        <f t="shared" ca="1" si="22"/>
        <v/>
      </c>
      <c r="AG103" t="str">
        <f t="shared" ca="1" si="22"/>
        <v/>
      </c>
      <c r="AH103" t="str">
        <f t="shared" ca="1" si="22"/>
        <v/>
      </c>
      <c r="AI103" t="str">
        <f t="shared" ca="1" si="22"/>
        <v/>
      </c>
      <c r="AJ103" t="str">
        <f t="shared" ca="1" si="23"/>
        <v/>
      </c>
      <c r="AK103" t="str">
        <f t="shared" ca="1" si="23"/>
        <v/>
      </c>
      <c r="AL103" t="str">
        <f t="shared" ca="1" si="23"/>
        <v/>
      </c>
      <c r="AM103" t="str">
        <f t="shared" ca="1" si="23"/>
        <v/>
      </c>
      <c r="AN103" t="str">
        <f t="shared" ca="1" si="23"/>
        <v/>
      </c>
      <c r="AO103" t="str">
        <f t="shared" ca="1" si="23"/>
        <v/>
      </c>
      <c r="AP103" t="str">
        <f t="shared" ca="1" si="23"/>
        <v/>
      </c>
      <c r="AQ103" t="str">
        <f t="shared" ca="1" si="23"/>
        <v/>
      </c>
      <c r="AR103" t="str">
        <f t="shared" ca="1" si="23"/>
        <v/>
      </c>
      <c r="AS103" t="str">
        <f t="shared" ca="1" si="23"/>
        <v/>
      </c>
      <c r="AT103" t="str">
        <f t="shared" ca="1" si="24"/>
        <v/>
      </c>
      <c r="AU103" t="str">
        <f t="shared" ca="1" si="24"/>
        <v/>
      </c>
      <c r="AV103" t="str">
        <f t="shared" ca="1" si="24"/>
        <v/>
      </c>
      <c r="AW103" t="str">
        <f t="shared" ca="1" si="24"/>
        <v/>
      </c>
      <c r="AX103" t="str">
        <f t="shared" ca="1" si="24"/>
        <v/>
      </c>
      <c r="AY103" t="str">
        <f t="shared" ca="1" si="24"/>
        <v/>
      </c>
      <c r="AZ103" t="str">
        <f t="shared" ca="1" si="24"/>
        <v/>
      </c>
      <c r="BA103" t="str">
        <f t="shared" ca="1" si="24"/>
        <v/>
      </c>
      <c r="BB103" t="str">
        <f t="shared" ca="1" si="24"/>
        <v/>
      </c>
      <c r="BC103" t="str">
        <f t="shared" ca="1" si="24"/>
        <v/>
      </c>
      <c r="BD103" t="str">
        <f t="shared" ca="1" si="25"/>
        <v/>
      </c>
      <c r="BE103" t="str">
        <f t="shared" ca="1" si="25"/>
        <v/>
      </c>
      <c r="BF103" t="str">
        <f t="shared" ca="1" si="25"/>
        <v/>
      </c>
      <c r="BG103">
        <f t="shared" ca="1" si="25"/>
        <v>1384</v>
      </c>
      <c r="BH103" t="str">
        <f t="shared" ca="1" si="25"/>
        <v/>
      </c>
      <c r="BI103" t="str">
        <f t="shared" ca="1" si="25"/>
        <v/>
      </c>
      <c r="BJ103" t="str">
        <f t="shared" ca="1" si="25"/>
        <v/>
      </c>
      <c r="BK103" t="str">
        <f t="shared" ca="1" si="25"/>
        <v/>
      </c>
      <c r="BL103" t="str">
        <f t="shared" ca="1" si="25"/>
        <v/>
      </c>
      <c r="BM103" t="str">
        <f t="shared" ca="1" si="25"/>
        <v/>
      </c>
      <c r="BN103" t="str">
        <f>""</f>
        <v/>
      </c>
      <c r="BO103" t="str">
        <f>""</f>
        <v/>
      </c>
      <c r="BP103" t="str">
        <f>""</f>
        <v/>
      </c>
      <c r="BQ103" t="str">
        <f>""</f>
        <v/>
      </c>
      <c r="BR103" t="str">
        <f>""</f>
        <v/>
      </c>
      <c r="BS103" t="str">
        <f>""</f>
        <v/>
      </c>
      <c r="BT103" t="str">
        <f>""</f>
        <v/>
      </c>
      <c r="BU103" t="str">
        <f>""</f>
        <v/>
      </c>
      <c r="BV103" t="str">
        <f>""</f>
        <v/>
      </c>
      <c r="BW103" t="str">
        <f>""</f>
        <v/>
      </c>
      <c r="BX103" t="str">
        <f>""</f>
        <v/>
      </c>
      <c r="BY103" t="str">
        <f>""</f>
        <v/>
      </c>
      <c r="BZ103" t="str">
        <f>""</f>
        <v/>
      </c>
      <c r="CA103" t="str">
        <f>""</f>
        <v/>
      </c>
      <c r="CB103" t="str">
        <f>""</f>
        <v/>
      </c>
      <c r="CC103" t="str">
        <f>""</f>
        <v/>
      </c>
      <c r="CD103" t="str">
        <f>""</f>
        <v/>
      </c>
      <c r="CE103" t="str">
        <f>""</f>
        <v/>
      </c>
      <c r="CF103">
        <f>8896</f>
        <v>8896</v>
      </c>
      <c r="CG103">
        <f>9491</f>
        <v>9491</v>
      </c>
      <c r="CH103">
        <f>8041</f>
        <v>8041</v>
      </c>
      <c r="CI103" t="str">
        <f>""</f>
        <v/>
      </c>
      <c r="CJ103">
        <f>3953</f>
        <v>3953</v>
      </c>
      <c r="CK103">
        <f>2291</f>
        <v>2291</v>
      </c>
      <c r="CL103" t="str">
        <f>""</f>
        <v/>
      </c>
      <c r="CM103" t="str">
        <f>""</f>
        <v/>
      </c>
      <c r="CN103" t="str">
        <f>""</f>
        <v/>
      </c>
      <c r="CO103" t="str">
        <f>""</f>
        <v/>
      </c>
      <c r="CP103" t="str">
        <f>""</f>
        <v/>
      </c>
      <c r="CQ103" t="str">
        <f>""</f>
        <v/>
      </c>
      <c r="CR103" t="str">
        <f>""</f>
        <v/>
      </c>
      <c r="CS103" t="str">
        <f>""</f>
        <v/>
      </c>
      <c r="CT103" t="str">
        <f>""</f>
        <v/>
      </c>
      <c r="CU103" t="str">
        <f>""</f>
        <v/>
      </c>
      <c r="CV103" t="str">
        <f>""</f>
        <v/>
      </c>
      <c r="CW103" t="str">
        <f>""</f>
        <v/>
      </c>
      <c r="CX103" t="str">
        <f>""</f>
        <v/>
      </c>
      <c r="CY103" t="str">
        <f>""</f>
        <v/>
      </c>
      <c r="CZ103" t="str">
        <f>""</f>
        <v/>
      </c>
      <c r="DA103" t="str">
        <f>""</f>
        <v/>
      </c>
      <c r="DB103" t="str">
        <f>""</f>
        <v/>
      </c>
      <c r="DC103" t="str">
        <f>""</f>
        <v/>
      </c>
      <c r="DD103" t="str">
        <f>""</f>
        <v/>
      </c>
      <c r="DE103" t="str">
        <f>""</f>
        <v/>
      </c>
      <c r="DF103" t="str">
        <f>""</f>
        <v/>
      </c>
      <c r="DG103" t="str">
        <f>""</f>
        <v/>
      </c>
      <c r="DH103" t="str">
        <f>""</f>
        <v/>
      </c>
      <c r="DI103" t="str">
        <f>""</f>
        <v/>
      </c>
      <c r="DJ103" t="str">
        <f>""</f>
        <v/>
      </c>
      <c r="DK103" t="str">
        <f>""</f>
        <v/>
      </c>
      <c r="DL103" t="str">
        <f>""</f>
        <v/>
      </c>
      <c r="DM103" t="str">
        <f>""</f>
        <v/>
      </c>
      <c r="DN103" t="str">
        <f>""</f>
        <v/>
      </c>
      <c r="DO103">
        <f>1384</f>
        <v>1384</v>
      </c>
      <c r="DP103" t="str">
        <f>""</f>
        <v/>
      </c>
      <c r="DQ103" t="str">
        <f>""</f>
        <v/>
      </c>
      <c r="DR103" t="str">
        <f>""</f>
        <v/>
      </c>
      <c r="DS103" t="str">
        <f>""</f>
        <v/>
      </c>
      <c r="DT103" t="str">
        <f>""</f>
        <v/>
      </c>
      <c r="DU103" t="str">
        <f>""</f>
        <v/>
      </c>
    </row>
    <row r="104" spans="1:125" x14ac:dyDescent="0.25">
      <c r="A104" t="str">
        <f>"        Chrysler Group LLC"</f>
        <v xml:space="preserve">        Chrysler Group LLC</v>
      </c>
      <c r="B104" t="str">
        <f>"3318058Z US Equity"</f>
        <v>3318058Z US Equity</v>
      </c>
      <c r="E104" t="str">
        <f t="shared" si="19"/>
        <v>Static</v>
      </c>
      <c r="F104" t="str">
        <f t="shared" ca="1" si="20"/>
        <v/>
      </c>
      <c r="G104" t="str">
        <f t="shared" ca="1" si="20"/>
        <v/>
      </c>
      <c r="H104" t="str">
        <f t="shared" ca="1" si="20"/>
        <v/>
      </c>
      <c r="I104" t="str">
        <f t="shared" ca="1" si="20"/>
        <v/>
      </c>
      <c r="J104" t="str">
        <f t="shared" ca="1" si="20"/>
        <v/>
      </c>
      <c r="K104" t="str">
        <f t="shared" ca="1" si="20"/>
        <v/>
      </c>
      <c r="L104" t="str">
        <f t="shared" ca="1" si="20"/>
        <v/>
      </c>
      <c r="M104" t="str">
        <f t="shared" ca="1" si="20"/>
        <v/>
      </c>
      <c r="N104" t="str">
        <f t="shared" ca="1" si="20"/>
        <v/>
      </c>
      <c r="O104" t="str">
        <f t="shared" ca="1" si="20"/>
        <v/>
      </c>
      <c r="P104" t="str">
        <f t="shared" ca="1" si="21"/>
        <v/>
      </c>
      <c r="Q104" t="str">
        <f t="shared" ca="1" si="21"/>
        <v/>
      </c>
      <c r="R104" t="str">
        <f t="shared" ca="1" si="21"/>
        <v/>
      </c>
      <c r="S104" t="str">
        <f t="shared" ca="1" si="21"/>
        <v/>
      </c>
      <c r="T104" t="str">
        <f t="shared" ca="1" si="21"/>
        <v/>
      </c>
      <c r="U104" t="str">
        <f t="shared" ca="1" si="21"/>
        <v/>
      </c>
      <c r="V104" t="str">
        <f t="shared" ca="1" si="21"/>
        <v/>
      </c>
      <c r="W104" t="str">
        <f t="shared" ca="1" si="21"/>
        <v/>
      </c>
      <c r="X104">
        <f t="shared" ca="1" si="21"/>
        <v>711000</v>
      </c>
      <c r="Y104">
        <f t="shared" ca="1" si="21"/>
        <v>727000</v>
      </c>
      <c r="Z104">
        <f t="shared" ca="1" si="22"/>
        <v>668000</v>
      </c>
      <c r="AA104">
        <f t="shared" ca="1" si="22"/>
        <v>591000</v>
      </c>
      <c r="AB104">
        <f t="shared" ca="1" si="22"/>
        <v>603000</v>
      </c>
      <c r="AC104">
        <f t="shared" ca="1" si="22"/>
        <v>643000</v>
      </c>
      <c r="AD104">
        <f t="shared" ca="1" si="22"/>
        <v>563000</v>
      </c>
      <c r="AE104">
        <f t="shared" ca="1" si="22"/>
        <v>533000</v>
      </c>
      <c r="AF104">
        <f t="shared" ca="1" si="22"/>
        <v>556000</v>
      </c>
      <c r="AG104">
        <f t="shared" ca="1" si="22"/>
        <v>595000</v>
      </c>
      <c r="AH104">
        <f t="shared" ca="1" si="22"/>
        <v>523000</v>
      </c>
      <c r="AI104">
        <f t="shared" ca="1" si="22"/>
        <v>543000</v>
      </c>
      <c r="AJ104">
        <f t="shared" ca="1" si="23"/>
        <v>469000</v>
      </c>
      <c r="AK104">
        <f t="shared" ca="1" si="23"/>
        <v>486000</v>
      </c>
      <c r="AL104">
        <f t="shared" ca="1" si="23"/>
        <v>394000</v>
      </c>
      <c r="AM104">
        <f t="shared" ca="1" si="23"/>
        <v>374000</v>
      </c>
      <c r="AN104">
        <f t="shared" ca="1" si="23"/>
        <v>401000</v>
      </c>
      <c r="AO104">
        <f t="shared" ca="1" si="23"/>
        <v>407000</v>
      </c>
      <c r="AP104">
        <f t="shared" ca="1" si="23"/>
        <v>334000</v>
      </c>
      <c r="AQ104" t="str">
        <f t="shared" ca="1" si="23"/>
        <v/>
      </c>
      <c r="AR104" t="str">
        <f t="shared" ca="1" si="23"/>
        <v/>
      </c>
      <c r="AS104" t="str">
        <f t="shared" ca="1" si="23"/>
        <v/>
      </c>
      <c r="AT104" t="str">
        <f t="shared" ca="1" si="24"/>
        <v/>
      </c>
      <c r="AU104" t="str">
        <f t="shared" ca="1" si="24"/>
        <v/>
      </c>
      <c r="AV104" t="str">
        <f t="shared" ca="1" si="24"/>
        <v/>
      </c>
      <c r="AW104" t="str">
        <f t="shared" ca="1" si="24"/>
        <v/>
      </c>
      <c r="AX104" t="str">
        <f t="shared" ca="1" si="24"/>
        <v/>
      </c>
      <c r="AY104" t="str">
        <f t="shared" ca="1" si="24"/>
        <v/>
      </c>
      <c r="AZ104" t="str">
        <f t="shared" ca="1" si="24"/>
        <v/>
      </c>
      <c r="BA104" t="str">
        <f t="shared" ca="1" si="24"/>
        <v/>
      </c>
      <c r="BB104" t="str">
        <f t="shared" ca="1" si="24"/>
        <v/>
      </c>
      <c r="BC104" t="str">
        <f t="shared" ca="1" si="24"/>
        <v/>
      </c>
      <c r="BD104" t="str">
        <f t="shared" ca="1" si="25"/>
        <v/>
      </c>
      <c r="BE104" t="str">
        <f t="shared" ca="1" si="25"/>
        <v/>
      </c>
      <c r="BF104" t="str">
        <f t="shared" ca="1" si="25"/>
        <v/>
      </c>
      <c r="BG104" t="str">
        <f t="shared" ca="1" si="25"/>
        <v/>
      </c>
      <c r="BH104" t="str">
        <f t="shared" ca="1" si="25"/>
        <v/>
      </c>
      <c r="BI104" t="str">
        <f t="shared" ca="1" si="25"/>
        <v/>
      </c>
      <c r="BJ104" t="str">
        <f t="shared" ca="1" si="25"/>
        <v/>
      </c>
      <c r="BK104" t="str">
        <f t="shared" ca="1" si="25"/>
        <v/>
      </c>
      <c r="BL104" t="str">
        <f t="shared" ca="1" si="25"/>
        <v/>
      </c>
      <c r="BM104" t="str">
        <f t="shared" ca="1" si="25"/>
        <v/>
      </c>
      <c r="BN104" t="str">
        <f>""</f>
        <v/>
      </c>
      <c r="BO104" t="str">
        <f>""</f>
        <v/>
      </c>
      <c r="BP104" t="str">
        <f>""</f>
        <v/>
      </c>
      <c r="BQ104" t="str">
        <f>""</f>
        <v/>
      </c>
      <c r="BR104" t="str">
        <f>""</f>
        <v/>
      </c>
      <c r="BS104" t="str">
        <f>""</f>
        <v/>
      </c>
      <c r="BT104" t="str">
        <f>""</f>
        <v/>
      </c>
      <c r="BU104" t="str">
        <f>""</f>
        <v/>
      </c>
      <c r="BV104" t="str">
        <f>""</f>
        <v/>
      </c>
      <c r="BW104" t="str">
        <f>""</f>
        <v/>
      </c>
      <c r="BX104" t="str">
        <f>""</f>
        <v/>
      </c>
      <c r="BY104" t="str">
        <f>""</f>
        <v/>
      </c>
      <c r="BZ104" t="str">
        <f>""</f>
        <v/>
      </c>
      <c r="CA104" t="str">
        <f>""</f>
        <v/>
      </c>
      <c r="CB104" t="str">
        <f>""</f>
        <v/>
      </c>
      <c r="CC104" t="str">
        <f>""</f>
        <v/>
      </c>
      <c r="CD104" t="str">
        <f>""</f>
        <v/>
      </c>
      <c r="CE104" t="str">
        <f>""</f>
        <v/>
      </c>
      <c r="CF104">
        <f>711000</f>
        <v>711000</v>
      </c>
      <c r="CG104">
        <f>727000</f>
        <v>727000</v>
      </c>
      <c r="CH104">
        <f>668000</f>
        <v>668000</v>
      </c>
      <c r="CI104">
        <f>591000</f>
        <v>591000</v>
      </c>
      <c r="CJ104">
        <f>603000</f>
        <v>603000</v>
      </c>
      <c r="CK104">
        <f>643000</f>
        <v>643000</v>
      </c>
      <c r="CL104">
        <f>563000</f>
        <v>563000</v>
      </c>
      <c r="CM104">
        <f>533000</f>
        <v>533000</v>
      </c>
      <c r="CN104">
        <f>556000</f>
        <v>556000</v>
      </c>
      <c r="CO104">
        <f>595000</f>
        <v>595000</v>
      </c>
      <c r="CP104">
        <f>523000</f>
        <v>523000</v>
      </c>
      <c r="CQ104">
        <f>543000</f>
        <v>543000</v>
      </c>
      <c r="CR104">
        <f>469000</f>
        <v>469000</v>
      </c>
      <c r="CS104">
        <f>486000</f>
        <v>486000</v>
      </c>
      <c r="CT104">
        <f>394000</f>
        <v>394000</v>
      </c>
      <c r="CU104">
        <f>374000</f>
        <v>374000</v>
      </c>
      <c r="CV104">
        <f>401000</f>
        <v>401000</v>
      </c>
      <c r="CW104">
        <f>407000</f>
        <v>407000</v>
      </c>
      <c r="CX104">
        <f>334000</f>
        <v>334000</v>
      </c>
      <c r="CY104" t="str">
        <f>""</f>
        <v/>
      </c>
      <c r="CZ104" t="str">
        <f>""</f>
        <v/>
      </c>
      <c r="DA104" t="str">
        <f>""</f>
        <v/>
      </c>
      <c r="DB104" t="str">
        <f>""</f>
        <v/>
      </c>
      <c r="DC104" t="str">
        <f>""</f>
        <v/>
      </c>
      <c r="DD104" t="str">
        <f>""</f>
        <v/>
      </c>
      <c r="DE104" t="str">
        <f>""</f>
        <v/>
      </c>
      <c r="DF104" t="str">
        <f>""</f>
        <v/>
      </c>
      <c r="DG104" t="str">
        <f>""</f>
        <v/>
      </c>
      <c r="DH104" t="str">
        <f>""</f>
        <v/>
      </c>
      <c r="DI104" t="str">
        <f>""</f>
        <v/>
      </c>
      <c r="DJ104" t="str">
        <f>""</f>
        <v/>
      </c>
      <c r="DK104" t="str">
        <f>""</f>
        <v/>
      </c>
      <c r="DL104" t="str">
        <f>""</f>
        <v/>
      </c>
      <c r="DM104" t="str">
        <f>""</f>
        <v/>
      </c>
      <c r="DN104" t="str">
        <f>""</f>
        <v/>
      </c>
      <c r="DO104" t="str">
        <f>""</f>
        <v/>
      </c>
      <c r="DP104" t="str">
        <f>""</f>
        <v/>
      </c>
      <c r="DQ104" t="str">
        <f>""</f>
        <v/>
      </c>
      <c r="DR104" t="str">
        <f>""</f>
        <v/>
      </c>
      <c r="DS104" t="str">
        <f>""</f>
        <v/>
      </c>
      <c r="DT104" t="str">
        <f>""</f>
        <v/>
      </c>
      <c r="DU104" t="str">
        <f>""</f>
        <v/>
      </c>
    </row>
    <row r="105" spans="1:125" x14ac:dyDescent="0.25">
      <c r="A105" t="str">
        <f>"    Chrysler Corp"</f>
        <v xml:space="preserve">    Chrysler Corp</v>
      </c>
      <c r="B105" t="str">
        <f>"2251Q US Equity"</f>
        <v>2251Q US Equity</v>
      </c>
      <c r="E105" t="str">
        <f t="shared" si="19"/>
        <v>Static</v>
      </c>
      <c r="F105" t="str">
        <f t="shared" ca="1" si="20"/>
        <v/>
      </c>
      <c r="G105" t="str">
        <f t="shared" ca="1" si="20"/>
        <v/>
      </c>
      <c r="H105" t="str">
        <f t="shared" ca="1" si="20"/>
        <v/>
      </c>
      <c r="I105" t="str">
        <f t="shared" ca="1" si="20"/>
        <v/>
      </c>
      <c r="J105" t="str">
        <f t="shared" ca="1" si="20"/>
        <v/>
      </c>
      <c r="K105" t="str">
        <f t="shared" ca="1" si="20"/>
        <v/>
      </c>
      <c r="L105" t="str">
        <f t="shared" ca="1" si="20"/>
        <v/>
      </c>
      <c r="M105" t="str">
        <f t="shared" ca="1" si="20"/>
        <v/>
      </c>
      <c r="N105" t="str">
        <f t="shared" ca="1" si="20"/>
        <v/>
      </c>
      <c r="O105" t="str">
        <f t="shared" ca="1" si="20"/>
        <v/>
      </c>
      <c r="P105" t="str">
        <f t="shared" ca="1" si="21"/>
        <v/>
      </c>
      <c r="Q105" t="str">
        <f t="shared" ca="1" si="21"/>
        <v/>
      </c>
      <c r="R105" t="str">
        <f t="shared" ca="1" si="21"/>
        <v/>
      </c>
      <c r="S105" t="str">
        <f t="shared" ca="1" si="21"/>
        <v/>
      </c>
      <c r="T105" t="str">
        <f t="shared" ca="1" si="21"/>
        <v/>
      </c>
      <c r="U105" t="str">
        <f t="shared" ca="1" si="21"/>
        <v/>
      </c>
      <c r="V105" t="str">
        <f t="shared" ca="1" si="21"/>
        <v/>
      </c>
      <c r="W105" t="str">
        <f t="shared" ca="1" si="21"/>
        <v/>
      </c>
      <c r="X105" t="str">
        <f t="shared" ca="1" si="21"/>
        <v/>
      </c>
      <c r="Y105" t="str">
        <f t="shared" ca="1" si="21"/>
        <v/>
      </c>
      <c r="Z105" t="str">
        <f t="shared" ca="1" si="22"/>
        <v/>
      </c>
      <c r="AA105" t="str">
        <f t="shared" ca="1" si="22"/>
        <v/>
      </c>
      <c r="AB105" t="str">
        <f t="shared" ca="1" si="22"/>
        <v/>
      </c>
      <c r="AC105" t="str">
        <f t="shared" ca="1" si="22"/>
        <v/>
      </c>
      <c r="AD105" t="str">
        <f t="shared" ca="1" si="22"/>
        <v/>
      </c>
      <c r="AE105" t="str">
        <f t="shared" ca="1" si="22"/>
        <v/>
      </c>
      <c r="AF105" t="str">
        <f t="shared" ca="1" si="22"/>
        <v/>
      </c>
      <c r="AG105" t="str">
        <f t="shared" ca="1" si="22"/>
        <v/>
      </c>
      <c r="AH105" t="str">
        <f t="shared" ca="1" si="22"/>
        <v/>
      </c>
      <c r="AI105" t="str">
        <f t="shared" ca="1" si="22"/>
        <v/>
      </c>
      <c r="AJ105" t="str">
        <f t="shared" ca="1" si="23"/>
        <v/>
      </c>
      <c r="AK105" t="str">
        <f t="shared" ca="1" si="23"/>
        <v/>
      </c>
      <c r="AL105" t="str">
        <f t="shared" ca="1" si="23"/>
        <v/>
      </c>
      <c r="AM105" t="str">
        <f t="shared" ca="1" si="23"/>
        <v/>
      </c>
      <c r="AN105" t="str">
        <f t="shared" ca="1" si="23"/>
        <v/>
      </c>
      <c r="AO105" t="str">
        <f t="shared" ca="1" si="23"/>
        <v/>
      </c>
      <c r="AP105" t="str">
        <f t="shared" ca="1" si="23"/>
        <v/>
      </c>
      <c r="AQ105" t="str">
        <f t="shared" ca="1" si="23"/>
        <v/>
      </c>
      <c r="AR105" t="str">
        <f t="shared" ca="1" si="23"/>
        <v/>
      </c>
      <c r="AS105" t="str">
        <f t="shared" ca="1" si="23"/>
        <v/>
      </c>
      <c r="AT105" t="str">
        <f t="shared" ca="1" si="24"/>
        <v/>
      </c>
      <c r="AU105" t="str">
        <f t="shared" ca="1" si="24"/>
        <v/>
      </c>
      <c r="AV105" t="str">
        <f t="shared" ca="1" si="24"/>
        <v/>
      </c>
      <c r="AW105" t="str">
        <f t="shared" ca="1" si="24"/>
        <v/>
      </c>
      <c r="AX105" t="str">
        <f t="shared" ca="1" si="24"/>
        <v/>
      </c>
      <c r="AY105" t="str">
        <f t="shared" ca="1" si="24"/>
        <v/>
      </c>
      <c r="AZ105" t="str">
        <f t="shared" ca="1" si="24"/>
        <v/>
      </c>
      <c r="BA105" t="str">
        <f t="shared" ca="1" si="24"/>
        <v/>
      </c>
      <c r="BB105" t="str">
        <f t="shared" ca="1" si="24"/>
        <v/>
      </c>
      <c r="BC105" t="str">
        <f t="shared" ca="1" si="24"/>
        <v/>
      </c>
      <c r="BD105" t="str">
        <f t="shared" ca="1" si="25"/>
        <v/>
      </c>
      <c r="BE105" t="str">
        <f t="shared" ca="1" si="25"/>
        <v/>
      </c>
      <c r="BF105" t="str">
        <f t="shared" ca="1" si="25"/>
        <v/>
      </c>
      <c r="BG105" t="str">
        <f t="shared" ca="1" si="25"/>
        <v/>
      </c>
      <c r="BH105" t="str">
        <f t="shared" ca="1" si="25"/>
        <v/>
      </c>
      <c r="BI105" t="str">
        <f t="shared" ca="1" si="25"/>
        <v/>
      </c>
      <c r="BJ105" t="str">
        <f t="shared" ca="1" si="25"/>
        <v/>
      </c>
      <c r="BK105" t="str">
        <f t="shared" ca="1" si="25"/>
        <v/>
      </c>
      <c r="BL105" t="str">
        <f t="shared" ca="1" si="25"/>
        <v/>
      </c>
      <c r="BM105" t="str">
        <f t="shared" ca="1" si="25"/>
        <v/>
      </c>
      <c r="BN105" t="str">
        <f>""</f>
        <v/>
      </c>
      <c r="BO105" t="str">
        <f>""</f>
        <v/>
      </c>
      <c r="BP105" t="str">
        <f>""</f>
        <v/>
      </c>
      <c r="BQ105" t="str">
        <f>""</f>
        <v/>
      </c>
      <c r="BR105" t="str">
        <f>""</f>
        <v/>
      </c>
      <c r="BS105" t="str">
        <f>""</f>
        <v/>
      </c>
      <c r="BT105" t="str">
        <f>""</f>
        <v/>
      </c>
      <c r="BU105" t="str">
        <f>""</f>
        <v/>
      </c>
      <c r="BV105" t="str">
        <f>""</f>
        <v/>
      </c>
      <c r="BW105" t="str">
        <f>""</f>
        <v/>
      </c>
      <c r="BX105" t="str">
        <f>""</f>
        <v/>
      </c>
      <c r="BY105" t="str">
        <f>""</f>
        <v/>
      </c>
      <c r="BZ105" t="str">
        <f>""</f>
        <v/>
      </c>
      <c r="CA105" t="str">
        <f>""</f>
        <v/>
      </c>
      <c r="CB105" t="str">
        <f>""</f>
        <v/>
      </c>
      <c r="CC105" t="str">
        <f>""</f>
        <v/>
      </c>
      <c r="CD105" t="str">
        <f>""</f>
        <v/>
      </c>
      <c r="CE105" t="str">
        <f>""</f>
        <v/>
      </c>
      <c r="CF105" t="str">
        <f>""</f>
        <v/>
      </c>
      <c r="CG105" t="str">
        <f>""</f>
        <v/>
      </c>
      <c r="CH105" t="str">
        <f>""</f>
        <v/>
      </c>
      <c r="CI105" t="str">
        <f>""</f>
        <v/>
      </c>
      <c r="CJ105" t="str">
        <f>""</f>
        <v/>
      </c>
      <c r="CK105" t="str">
        <f>""</f>
        <v/>
      </c>
      <c r="CL105" t="str">
        <f>""</f>
        <v/>
      </c>
      <c r="CM105" t="str">
        <f>""</f>
        <v/>
      </c>
      <c r="CN105" t="str">
        <f>""</f>
        <v/>
      </c>
      <c r="CO105" t="str">
        <f>""</f>
        <v/>
      </c>
      <c r="CP105" t="str">
        <f>""</f>
        <v/>
      </c>
      <c r="CQ105" t="str">
        <f>""</f>
        <v/>
      </c>
      <c r="CR105" t="str">
        <f>""</f>
        <v/>
      </c>
      <c r="CS105" t="str">
        <f>""</f>
        <v/>
      </c>
      <c r="CT105" t="str">
        <f>""</f>
        <v/>
      </c>
      <c r="CU105" t="str">
        <f>""</f>
        <v/>
      </c>
      <c r="CV105" t="str">
        <f>""</f>
        <v/>
      </c>
      <c r="CW105" t="str">
        <f>""</f>
        <v/>
      </c>
      <c r="CX105" t="str">
        <f>""</f>
        <v/>
      </c>
      <c r="CY105" t="str">
        <f>""</f>
        <v/>
      </c>
      <c r="CZ105" t="str">
        <f>""</f>
        <v/>
      </c>
      <c r="DA105" t="str">
        <f>""</f>
        <v/>
      </c>
      <c r="DB105" t="str">
        <f>""</f>
        <v/>
      </c>
      <c r="DC105" t="str">
        <f>""</f>
        <v/>
      </c>
      <c r="DD105" t="str">
        <f>""</f>
        <v/>
      </c>
      <c r="DE105" t="str">
        <f>""</f>
        <v/>
      </c>
      <c r="DF105" t="str">
        <f>""</f>
        <v/>
      </c>
      <c r="DG105" t="str">
        <f>""</f>
        <v/>
      </c>
      <c r="DH105" t="str">
        <f>""</f>
        <v/>
      </c>
      <c r="DI105" t="str">
        <f>""</f>
        <v/>
      </c>
      <c r="DJ105" t="str">
        <f>""</f>
        <v/>
      </c>
      <c r="DK105" t="str">
        <f>""</f>
        <v/>
      </c>
      <c r="DL105" t="str">
        <f>""</f>
        <v/>
      </c>
      <c r="DM105" t="str">
        <f>""</f>
        <v/>
      </c>
      <c r="DN105" t="str">
        <f>""</f>
        <v/>
      </c>
      <c r="DO105" t="str">
        <f>""</f>
        <v/>
      </c>
      <c r="DP105" t="str">
        <f>""</f>
        <v/>
      </c>
      <c r="DQ105" t="str">
        <f>""</f>
        <v/>
      </c>
      <c r="DR105" t="str">
        <f>""</f>
        <v/>
      </c>
      <c r="DS105" t="str">
        <f>""</f>
        <v/>
      </c>
      <c r="DT105" t="str">
        <f>""</f>
        <v/>
      </c>
      <c r="DU105" t="str">
        <f>""</f>
        <v/>
      </c>
    </row>
    <row r="106" spans="1:125" x14ac:dyDescent="0.25">
      <c r="A106" t="str">
        <f>"    Honda Motor Co Ltd"</f>
        <v xml:space="preserve">    Honda Motor Co Ltd</v>
      </c>
      <c r="B106" t="str">
        <f>"7267 JP Equity"</f>
        <v>7267 JP Equity</v>
      </c>
      <c r="E106" t="str">
        <f t="shared" si="19"/>
        <v>Static</v>
      </c>
      <c r="F106" t="str">
        <f t="shared" ca="1" si="20"/>
        <v/>
      </c>
      <c r="G106" t="str">
        <f t="shared" ca="1" si="20"/>
        <v/>
      </c>
      <c r="H106" t="str">
        <f t="shared" ca="1" si="20"/>
        <v/>
      </c>
      <c r="I106" t="str">
        <f t="shared" ca="1" si="20"/>
        <v/>
      </c>
      <c r="J106" t="str">
        <f t="shared" ca="1" si="20"/>
        <v/>
      </c>
      <c r="K106" t="str">
        <f t="shared" ca="1" si="20"/>
        <v/>
      </c>
      <c r="L106" t="str">
        <f t="shared" ca="1" si="20"/>
        <v/>
      </c>
      <c r="M106" t="str">
        <f t="shared" ca="1" si="20"/>
        <v/>
      </c>
      <c r="N106" t="str">
        <f t="shared" ca="1" si="20"/>
        <v/>
      </c>
      <c r="O106" t="str">
        <f t="shared" ca="1" si="20"/>
        <v/>
      </c>
      <c r="P106" t="str">
        <f t="shared" ca="1" si="21"/>
        <v/>
      </c>
      <c r="Q106" t="str">
        <f t="shared" ca="1" si="21"/>
        <v/>
      </c>
      <c r="R106" t="str">
        <f t="shared" ca="1" si="21"/>
        <v/>
      </c>
      <c r="S106">
        <f t="shared" ca="1" si="21"/>
        <v>879000</v>
      </c>
      <c r="T106">
        <f t="shared" ca="1" si="21"/>
        <v>889000</v>
      </c>
      <c r="U106">
        <f t="shared" ca="1" si="21"/>
        <v>888000</v>
      </c>
      <c r="V106">
        <f t="shared" ca="1" si="21"/>
        <v>915000</v>
      </c>
      <c r="W106">
        <f t="shared" ca="1" si="21"/>
        <v>877000</v>
      </c>
      <c r="X106">
        <f t="shared" ca="1" si="21"/>
        <v>880000</v>
      </c>
      <c r="Y106">
        <f t="shared" ca="1" si="21"/>
        <v>895000</v>
      </c>
      <c r="Z106">
        <f t="shared" ca="1" si="22"/>
        <v>933000</v>
      </c>
      <c r="AA106">
        <f t="shared" ca="1" si="22"/>
        <v>900000</v>
      </c>
      <c r="AB106">
        <f t="shared" ca="1" si="22"/>
        <v>869000</v>
      </c>
      <c r="AC106">
        <f t="shared" ca="1" si="22"/>
        <v>858000</v>
      </c>
      <c r="AD106">
        <f t="shared" ca="1" si="22"/>
        <v>902000</v>
      </c>
      <c r="AE106">
        <f t="shared" ca="1" si="22"/>
        <v>841000</v>
      </c>
      <c r="AF106">
        <f t="shared" ca="1" si="22"/>
        <v>816000</v>
      </c>
      <c r="AG106">
        <f t="shared" ca="1" si="22"/>
        <v>849000</v>
      </c>
      <c r="AH106">
        <f t="shared" ca="1" si="22"/>
        <v>988000</v>
      </c>
      <c r="AI106">
        <f t="shared" ca="1" si="22"/>
        <v>830000</v>
      </c>
      <c r="AJ106">
        <f t="shared" ca="1" si="23"/>
        <v>772000</v>
      </c>
      <c r="AK106">
        <f t="shared" ca="1" si="23"/>
        <v>547000</v>
      </c>
      <c r="AL106">
        <f t="shared" ca="1" si="23"/>
        <v>860000</v>
      </c>
      <c r="AM106">
        <f t="shared" ca="1" si="23"/>
        <v>855000</v>
      </c>
      <c r="AN106">
        <f t="shared" ca="1" si="23"/>
        <v>898000</v>
      </c>
      <c r="AO106">
        <f t="shared" ca="1" si="23"/>
        <v>899000</v>
      </c>
      <c r="AP106">
        <f t="shared" ca="1" si="23"/>
        <v>874000</v>
      </c>
      <c r="AQ106">
        <f t="shared" ca="1" si="23"/>
        <v>914000</v>
      </c>
      <c r="AR106">
        <f t="shared" ca="1" si="23"/>
        <v>838000</v>
      </c>
      <c r="AS106">
        <f t="shared" ca="1" si="23"/>
        <v>766000</v>
      </c>
      <c r="AT106">
        <f t="shared" ca="1" si="24"/>
        <v>680000</v>
      </c>
      <c r="AU106">
        <f t="shared" ca="1" si="24"/>
        <v>940000</v>
      </c>
      <c r="AV106">
        <f t="shared" ca="1" si="24"/>
        <v>935000</v>
      </c>
      <c r="AW106">
        <f t="shared" ca="1" si="24"/>
        <v>962000</v>
      </c>
      <c r="AX106">
        <f t="shared" ca="1" si="24"/>
        <v>1015000</v>
      </c>
      <c r="AY106">
        <f t="shared" ca="1" si="24"/>
        <v>991000</v>
      </c>
      <c r="AZ106">
        <f t="shared" ca="1" si="24"/>
        <v>937000</v>
      </c>
      <c r="BA106">
        <f t="shared" ca="1" si="24"/>
        <v>946000</v>
      </c>
      <c r="BB106">
        <f t="shared" ca="1" si="24"/>
        <v>957000</v>
      </c>
      <c r="BC106">
        <f t="shared" ca="1" si="24"/>
        <v>915000</v>
      </c>
      <c r="BD106">
        <f t="shared" ca="1" si="25"/>
        <v>884000</v>
      </c>
      <c r="BE106">
        <f t="shared" ca="1" si="25"/>
        <v>896000</v>
      </c>
      <c r="BF106">
        <f t="shared" ca="1" si="25"/>
        <v>901000</v>
      </c>
      <c r="BG106" t="str">
        <f t="shared" ca="1" si="25"/>
        <v/>
      </c>
      <c r="BH106" t="str">
        <f t="shared" ca="1" si="25"/>
        <v/>
      </c>
      <c r="BI106" t="str">
        <f t="shared" ca="1" si="25"/>
        <v/>
      </c>
      <c r="BJ106" t="str">
        <f t="shared" ca="1" si="25"/>
        <v/>
      </c>
      <c r="BK106" t="str">
        <f t="shared" ca="1" si="25"/>
        <v/>
      </c>
      <c r="BL106" t="str">
        <f t="shared" ca="1" si="25"/>
        <v/>
      </c>
      <c r="BM106" t="str">
        <f t="shared" ca="1" si="25"/>
        <v/>
      </c>
      <c r="BN106" t="str">
        <f>""</f>
        <v/>
      </c>
      <c r="BO106" t="str">
        <f>""</f>
        <v/>
      </c>
      <c r="BP106" t="str">
        <f>""</f>
        <v/>
      </c>
      <c r="BQ106" t="str">
        <f>""</f>
        <v/>
      </c>
      <c r="BR106" t="str">
        <f>""</f>
        <v/>
      </c>
      <c r="BS106" t="str">
        <f>""</f>
        <v/>
      </c>
      <c r="BT106" t="str">
        <f>""</f>
        <v/>
      </c>
      <c r="BU106" t="str">
        <f>""</f>
        <v/>
      </c>
      <c r="BV106" t="str">
        <f>""</f>
        <v/>
      </c>
      <c r="BW106" t="str">
        <f>""</f>
        <v/>
      </c>
      <c r="BX106" t="str">
        <f>""</f>
        <v/>
      </c>
      <c r="BY106" t="str">
        <f>""</f>
        <v/>
      </c>
      <c r="BZ106" t="str">
        <f>""</f>
        <v/>
      </c>
      <c r="CA106">
        <f>879000</f>
        <v>879000</v>
      </c>
      <c r="CB106">
        <f>889000</f>
        <v>889000</v>
      </c>
      <c r="CC106">
        <f>888000</f>
        <v>888000</v>
      </c>
      <c r="CD106">
        <f>915000</f>
        <v>915000</v>
      </c>
      <c r="CE106">
        <f>877000</f>
        <v>877000</v>
      </c>
      <c r="CF106">
        <f>880000</f>
        <v>880000</v>
      </c>
      <c r="CG106">
        <f>895000</f>
        <v>895000</v>
      </c>
      <c r="CH106">
        <f>933000</f>
        <v>933000</v>
      </c>
      <c r="CI106">
        <f>900000</f>
        <v>900000</v>
      </c>
      <c r="CJ106">
        <f>869000</f>
        <v>869000</v>
      </c>
      <c r="CK106">
        <f>858000</f>
        <v>858000</v>
      </c>
      <c r="CL106">
        <f>902000</f>
        <v>902000</v>
      </c>
      <c r="CM106">
        <f>841000</f>
        <v>841000</v>
      </c>
      <c r="CN106">
        <f>816000</f>
        <v>816000</v>
      </c>
      <c r="CO106">
        <f>849000</f>
        <v>849000</v>
      </c>
      <c r="CP106">
        <f>988000</f>
        <v>988000</v>
      </c>
      <c r="CQ106">
        <f>830000</f>
        <v>830000</v>
      </c>
      <c r="CR106">
        <f>772000</f>
        <v>772000</v>
      </c>
      <c r="CS106">
        <f>547000</f>
        <v>547000</v>
      </c>
      <c r="CT106">
        <f>860000</f>
        <v>860000</v>
      </c>
      <c r="CU106">
        <f>855000</f>
        <v>855000</v>
      </c>
      <c r="CV106">
        <f>898000</f>
        <v>898000</v>
      </c>
      <c r="CW106">
        <f>899000</f>
        <v>899000</v>
      </c>
      <c r="CX106">
        <f>874000</f>
        <v>874000</v>
      </c>
      <c r="CY106">
        <f>914000</f>
        <v>914000</v>
      </c>
      <c r="CZ106">
        <f>838000</f>
        <v>838000</v>
      </c>
      <c r="DA106">
        <f>766000</f>
        <v>766000</v>
      </c>
      <c r="DB106">
        <f>680000</f>
        <v>680000</v>
      </c>
      <c r="DC106">
        <f>940000</f>
        <v>940000</v>
      </c>
      <c r="DD106">
        <f>935000</f>
        <v>935000</v>
      </c>
      <c r="DE106">
        <f>962000</f>
        <v>962000</v>
      </c>
      <c r="DF106">
        <f>1015000</f>
        <v>1015000</v>
      </c>
      <c r="DG106">
        <f>991000</f>
        <v>991000</v>
      </c>
      <c r="DH106">
        <f>937000</f>
        <v>937000</v>
      </c>
      <c r="DI106">
        <f>946000</f>
        <v>946000</v>
      </c>
      <c r="DJ106">
        <f>957000</f>
        <v>957000</v>
      </c>
      <c r="DK106">
        <f>915000</f>
        <v>915000</v>
      </c>
      <c r="DL106">
        <f>884000</f>
        <v>884000</v>
      </c>
      <c r="DM106">
        <f>896000</f>
        <v>896000</v>
      </c>
      <c r="DN106">
        <f>901000</f>
        <v>901000</v>
      </c>
      <c r="DO106" t="str">
        <f>""</f>
        <v/>
      </c>
      <c r="DP106" t="str">
        <f>""</f>
        <v/>
      </c>
      <c r="DQ106" t="str">
        <f>""</f>
        <v/>
      </c>
      <c r="DR106" t="str">
        <f>""</f>
        <v/>
      </c>
      <c r="DS106" t="str">
        <f>""</f>
        <v/>
      </c>
      <c r="DT106" t="str">
        <f>""</f>
        <v/>
      </c>
      <c r="DU106" t="str">
        <f>""</f>
        <v/>
      </c>
    </row>
    <row r="107" spans="1:125" x14ac:dyDescent="0.25">
      <c r="A107" t="str">
        <f>"    Peugeot SA"</f>
        <v xml:space="preserve">    Peugeot SA</v>
      </c>
      <c r="B107" t="str">
        <f>"UG FP Equity"</f>
        <v>UG FP Equity</v>
      </c>
      <c r="C107" t="str">
        <f>"FS265"</f>
        <v>FS265</v>
      </c>
      <c r="D107" t="str">
        <f>"AUTO_VEHICLES_SOLD_WW"</f>
        <v>AUTO_VEHICLES_SOLD_WW</v>
      </c>
      <c r="E107" t="str">
        <f>"Dynamic"</f>
        <v>Dynamic</v>
      </c>
      <c r="F107" t="str">
        <f ca="1">IF(AND(ISNUMBER($F$239),$B$156=1),$F$239,HLOOKUP(INDIRECT(ADDRESS(2,COLUMN())),OFFSET($BN$2,0,0,ROW()-1,60),ROW()-1,FALSE))</f>
        <v/>
      </c>
      <c r="G107">
        <f ca="1">IF(AND(ISNUMBER($G$239),$B$156=1),$G$239,HLOOKUP(INDIRECT(ADDRESS(2,COLUMN())),OFFSET($BN$2,0,0,ROW()-1,60),ROW()-1,FALSE))</f>
        <v>993642</v>
      </c>
      <c r="H107">
        <f ca="1">IF(AND(ISNUMBER($H$239),$B$156=1),$H$239,HLOOKUP(INDIRECT(ADDRESS(2,COLUMN())),OFFSET($BN$2,0,0,ROW()-1,60),ROW()-1,FALSE))</f>
        <v>702300</v>
      </c>
      <c r="I107">
        <f ca="1">IF(AND(ISNUMBER($I$239),$B$156=1),$I$239,HLOOKUP(INDIRECT(ADDRESS(2,COLUMN())),OFFSET($BN$2,0,0,ROW()-1,60),ROW()-1,FALSE))</f>
        <v>1129876</v>
      </c>
      <c r="J107">
        <f ca="1">IF(AND(ISNUMBER($J$239),$B$156=1),$J$239,HLOOKUP(INDIRECT(ADDRESS(2,COLUMN())),OFFSET($BN$2,0,0,ROW()-1,60),ROW()-1,FALSE))</f>
        <v>1051947</v>
      </c>
      <c r="K107">
        <f ca="1">IF(AND(ISNUMBER($K$239),$B$156=1),$K$239,HLOOKUP(INDIRECT(ADDRESS(2,COLUMN())),OFFSET($BN$2,0,0,ROW()-1,60),ROW()-1,FALSE))</f>
        <v>1209480</v>
      </c>
      <c r="L107">
        <f ca="1">IF(AND(ISNUMBER($L$239),$B$156=1),$L$239,HLOOKUP(INDIRECT(ADDRESS(2,COLUMN())),OFFSET($BN$2,0,0,ROW()-1,60),ROW()-1,FALSE))</f>
        <v>842900</v>
      </c>
      <c r="M107">
        <f ca="1">IF(AND(ISNUMBER($M$239),$B$156=1),$M$239,HLOOKUP(INDIRECT(ADDRESS(2,COLUMN())),OFFSET($BN$2,0,0,ROW()-1,60),ROW()-1,FALSE))</f>
        <v>850510</v>
      </c>
      <c r="N107">
        <f ca="1">IF(AND(ISNUMBER($N$239),$B$156=1),$N$239,HLOOKUP(INDIRECT(ADDRESS(2,COLUMN())),OFFSET($BN$2,0,0,ROW()-1,60),ROW()-1,FALSE))</f>
        <v>729424</v>
      </c>
      <c r="O107">
        <f ca="1">IF(AND(ISNUMBER($O$239),$B$156=1),$O$239,HLOOKUP(INDIRECT(ADDRESS(2,COLUMN())),OFFSET($BN$2,0,0,ROW()-1,60),ROW()-1,FALSE))</f>
        <v>921078</v>
      </c>
      <c r="P107">
        <f ca="1">IF(AND(ISNUMBER($P$239),$B$156=1),$P$239,HLOOKUP(INDIRECT(ADDRESS(2,COLUMN())),OFFSET($BN$2,0,0,ROW()-1,60),ROW()-1,FALSE))</f>
        <v>681100</v>
      </c>
      <c r="Q107">
        <f ca="1">IF(AND(ISNUMBER($Q$239),$B$156=1),$Q$239,HLOOKUP(INDIRECT(ADDRESS(2,COLUMN())),OFFSET($BN$2,0,0,ROW()-1,60),ROW()-1,FALSE))</f>
        <v>844402</v>
      </c>
      <c r="R107">
        <f ca="1">IF(AND(ISNUMBER($R$239),$B$156=1),$R$239,HLOOKUP(INDIRECT(ADDRESS(2,COLUMN())),OFFSET($BN$2,0,0,ROW()-1,60),ROW()-1,FALSE))</f>
        <v>699802</v>
      </c>
      <c r="S107">
        <f ca="1">IF(AND(ISNUMBER($S$239),$B$156=1),$S$239,HLOOKUP(INDIRECT(ADDRESS(2,COLUMN())),OFFSET($BN$2,0,0,ROW()-1,60),ROW()-1,FALSE))</f>
        <v>810450</v>
      </c>
      <c r="T107">
        <f ca="1">IF(AND(ISNUMBER($T$239),$B$156=1),$T$239,HLOOKUP(INDIRECT(ADDRESS(2,COLUMN())),OFFSET($BN$2,0,0,ROW()-1,60),ROW()-1,FALSE))</f>
        <v>615990</v>
      </c>
      <c r="U107">
        <f ca="1">IF(AND(ISNUMBER($U$239),$B$156=1),$U$239,HLOOKUP(INDIRECT(ADDRESS(2,COLUMN())),OFFSET($BN$2,0,0,ROW()-1,60),ROW()-1,FALSE))</f>
        <v>834158</v>
      </c>
      <c r="V107">
        <f ca="1">IF(AND(ISNUMBER($V$239),$B$156=1),$V$239,HLOOKUP(INDIRECT(ADDRESS(2,COLUMN())),OFFSET($BN$2,0,0,ROW()-1,60),ROW()-1,FALSE))</f>
        <v>712402</v>
      </c>
      <c r="W107">
        <f ca="1">IF(AND(ISNUMBER($W$239),$B$156=1),$W$239,HLOOKUP(INDIRECT(ADDRESS(2,COLUMN())),OFFSET($BN$2,0,0,ROW()-1,60),ROW()-1,FALSE))</f>
        <v>754320</v>
      </c>
      <c r="X107">
        <f ca="1">IF(AND(ISNUMBER($X$239),$B$156=1),$X$239,HLOOKUP(INDIRECT(ADDRESS(2,COLUMN())),OFFSET($BN$2,0,0,ROW()-1,60),ROW()-1,FALSE))</f>
        <v>643789</v>
      </c>
      <c r="Y107">
        <f ca="1">IF(AND(ISNUMBER($Y$239),$B$156=1),$Y$239,HLOOKUP(INDIRECT(ADDRESS(2,COLUMN())),OFFSET($BN$2,0,0,ROW()-1,60),ROW()-1,FALSE))</f>
        <v>815083</v>
      </c>
      <c r="Z107">
        <f ca="1">IF(AND(ISNUMBER($Z$239),$B$156=1),$Z$239,HLOOKUP(INDIRECT(ADDRESS(2,COLUMN())),OFFSET($BN$2,0,0,ROW()-1,60),ROW()-1,FALSE))</f>
        <v>726000</v>
      </c>
      <c r="AA107">
        <f ca="1">IF(AND(ISNUMBER($AA$239),$B$156=1),$AA$239,HLOOKUP(INDIRECT(ADDRESS(2,COLUMN())),OFFSET($BN$2,0,0,ROW()-1,60),ROW()-1,FALSE))</f>
        <v>747600</v>
      </c>
      <c r="AB107">
        <f ca="1">IF(AND(ISNUMBER($AB$239),$B$156=1),$AB$239,HLOOKUP(INDIRECT(ADDRESS(2,COLUMN())),OFFSET($BN$2,0,0,ROW()-1,60),ROW()-1,FALSE))</f>
        <v>610400</v>
      </c>
      <c r="AC107">
        <f ca="1">IF(AND(ISNUMBER($AC$239),$B$156=1),$AC$239,HLOOKUP(INDIRECT(ADDRESS(2,COLUMN())),OFFSET($BN$2,0,0,ROW()-1,60),ROW()-1,FALSE))</f>
        <v>786400</v>
      </c>
      <c r="AD107">
        <f ca="1">IF(AND(ISNUMBER($AD$239),$B$156=1),$AD$239,HLOOKUP(INDIRECT(ADDRESS(2,COLUMN())),OFFSET($BN$2,0,0,ROW()-1,60),ROW()-1,FALSE))</f>
        <v>674600</v>
      </c>
      <c r="AE107">
        <f ca="1">IF(AND(ISNUMBER($AE$239),$B$156=1),$AE$239,HLOOKUP(INDIRECT(ADDRESS(2,COLUMN())),OFFSET($BN$2,0,0,ROW()-1,60),ROW()-1,FALSE))</f>
        <v>659963</v>
      </c>
      <c r="AF107">
        <f ca="1">IF(AND(ISNUMBER($AF$239),$B$156=1),$AF$239,HLOOKUP(INDIRECT(ADDRESS(2,COLUMN())),OFFSET($BN$2,0,0,ROW()-1,60),ROW()-1,FALSE))</f>
        <v>626037</v>
      </c>
      <c r="AG107">
        <f ca="1">IF(AND(ISNUMBER($AG$239),$B$156=1),$AG$239,HLOOKUP(INDIRECT(ADDRESS(2,COLUMN())),OFFSET($BN$2,0,0,ROW()-1,60),ROW()-1,FALSE))</f>
        <v>888900</v>
      </c>
      <c r="AH107">
        <f ca="1">IF(AND(ISNUMBER($AH$239),$B$156=1),$AH$239,HLOOKUP(INDIRECT(ADDRESS(2,COLUMN())),OFFSET($BN$2,0,0,ROW()-1,60),ROW()-1,FALSE))</f>
        <v>790100</v>
      </c>
      <c r="AI107">
        <f ca="1">IF(AND(ISNUMBER($AI$239),$B$156=1),$AI$239,HLOOKUP(INDIRECT(ADDRESS(2,COLUMN())),OFFSET($BN$2,0,0,ROW()-1,60),ROW()-1,FALSE))</f>
        <v>901000</v>
      </c>
      <c r="AJ107">
        <f ca="1">IF(AND(ISNUMBER($AJ$239),$B$156=1),$AJ$239,HLOOKUP(INDIRECT(ADDRESS(2,COLUMN())),OFFSET($BN$2,0,0,ROW()-1,60),ROW()-1,FALSE))</f>
        <v>787917</v>
      </c>
      <c r="AK107">
        <f ca="1">IF(AND(ISNUMBER($AK$239),$B$156=1),$AK$239,HLOOKUP(INDIRECT(ADDRESS(2,COLUMN())),OFFSET($BN$2,0,0,ROW()-1,60),ROW()-1,FALSE))</f>
        <v>938600</v>
      </c>
      <c r="AL107">
        <f ca="1">IF(AND(ISNUMBER($AL$239),$B$156=1),$AL$239,HLOOKUP(INDIRECT(ADDRESS(2,COLUMN())),OFFSET($BN$2,0,0,ROW()-1,60),ROW()-1,FALSE))</f>
        <v>921400</v>
      </c>
      <c r="AM107">
        <f ca="1">IF(AND(ISNUMBER($AM$239),$B$156=1),$AM$239,HLOOKUP(INDIRECT(ADDRESS(2,COLUMN())),OFFSET($BN$2,0,0,ROW()-1,60),ROW()-1,FALSE))</f>
        <v>937800</v>
      </c>
      <c r="AN107">
        <f ca="1">IF(AND(ISNUMBER($AN$239),$B$156=1),$AN$239,HLOOKUP(INDIRECT(ADDRESS(2,COLUMN())),OFFSET($BN$2,0,0,ROW()-1,60),ROW()-1,FALSE))</f>
        <v>808400</v>
      </c>
      <c r="AO107">
        <f ca="1">IF(AND(ISNUMBER($AO$239),$B$156=1),$AO$239,HLOOKUP(INDIRECT(ADDRESS(2,COLUMN())),OFFSET($BN$2,0,0,ROW()-1,60),ROW()-1,FALSE))</f>
        <v>942000</v>
      </c>
      <c r="AP107">
        <f ca="1">IF(AND(ISNUMBER($AP$239),$B$156=1),$AP$239,HLOOKUP(INDIRECT(ADDRESS(2,COLUMN())),OFFSET($BN$2,0,0,ROW()-1,60),ROW()-1,FALSE))</f>
        <v>914000</v>
      </c>
      <c r="AQ107">
        <f ca="1">IF(AND(ISNUMBER($AQ$239),$B$156=1),$AQ$239,HLOOKUP(INDIRECT(ADDRESS(2,COLUMN())),OFFSET($BN$2,0,0,ROW()-1,60),ROW()-1,FALSE))</f>
        <v>813000</v>
      </c>
      <c r="AR107">
        <f ca="1">IF(AND(ISNUMBER($AR$239),$B$156=1),$AR$239,HLOOKUP(INDIRECT(ADDRESS(2,COLUMN())),OFFSET($BN$2,0,0,ROW()-1,60),ROW()-1,FALSE))</f>
        <v>788000</v>
      </c>
      <c r="AS107" t="str">
        <f ca="1">IF(AND(ISNUMBER($AS$239),$B$156=1),$AS$239,HLOOKUP(INDIRECT(ADDRESS(2,COLUMN())),OFFSET($BN$2,0,0,ROW()-1,60),ROW()-1,FALSE))</f>
        <v/>
      </c>
      <c r="AT107" t="str">
        <f ca="1">IF(AND(ISNUMBER($AT$239),$B$156=1),$AT$239,HLOOKUP(INDIRECT(ADDRESS(2,COLUMN())),OFFSET($BN$2,0,0,ROW()-1,60),ROW()-1,FALSE))</f>
        <v/>
      </c>
      <c r="AU107" t="str">
        <f ca="1">IF(AND(ISNUMBER($AU$239),$B$156=1),$AU$239,HLOOKUP(INDIRECT(ADDRESS(2,COLUMN())),OFFSET($BN$2,0,0,ROW()-1,60),ROW()-1,FALSE))</f>
        <v/>
      </c>
      <c r="AV107">
        <f ca="1">IF(AND(ISNUMBER($AV$239),$B$156=1),$AV$239,HLOOKUP(INDIRECT(ADDRESS(2,COLUMN())),OFFSET($BN$2,0,0,ROW()-1,60),ROW()-1,FALSE))</f>
        <v>716000</v>
      </c>
      <c r="AW107" t="str">
        <f ca="1">IF(AND(ISNUMBER($AW$239),$B$156=1),$AW$239,HLOOKUP(INDIRECT(ADDRESS(2,COLUMN())),OFFSET($BN$2,0,0,ROW()-1,60),ROW()-1,FALSE))</f>
        <v/>
      </c>
      <c r="AX107" t="str">
        <f ca="1">IF(AND(ISNUMBER($AX$239),$B$156=1),$AX$239,HLOOKUP(INDIRECT(ADDRESS(2,COLUMN())),OFFSET($BN$2,0,0,ROW()-1,60),ROW()-1,FALSE))</f>
        <v/>
      </c>
      <c r="AY107" t="str">
        <f ca="1">IF(AND(ISNUMBER($AY$239),$B$156=1),$AY$239,HLOOKUP(INDIRECT(ADDRESS(2,COLUMN())),OFFSET($BN$2,0,0,ROW()-1,60),ROW()-1,FALSE))</f>
        <v/>
      </c>
      <c r="AZ107" t="str">
        <f ca="1">IF(AND(ISNUMBER($AZ$239),$B$156=1),$AZ$239,HLOOKUP(INDIRECT(ADDRESS(2,COLUMN())),OFFSET($BN$2,0,0,ROW()-1,60),ROW()-1,FALSE))</f>
        <v/>
      </c>
      <c r="BA107" t="str">
        <f ca="1">IF(AND(ISNUMBER($BA$239),$B$156=1),$BA$239,HLOOKUP(INDIRECT(ADDRESS(2,COLUMN())),OFFSET($BN$2,0,0,ROW()-1,60),ROW()-1,FALSE))</f>
        <v/>
      </c>
      <c r="BB107" t="str">
        <f ca="1">IF(AND(ISNUMBER($BB$239),$B$156=1),$BB$239,HLOOKUP(INDIRECT(ADDRESS(2,COLUMN())),OFFSET($BN$2,0,0,ROW()-1,60),ROW()-1,FALSE))</f>
        <v/>
      </c>
      <c r="BC107" t="str">
        <f ca="1">IF(AND(ISNUMBER($BC$239),$B$156=1),$BC$239,HLOOKUP(INDIRECT(ADDRESS(2,COLUMN())),OFFSET($BN$2,0,0,ROW()-1,60),ROW()-1,FALSE))</f>
        <v/>
      </c>
      <c r="BD107" t="str">
        <f ca="1">IF(AND(ISNUMBER($BD$239),$B$156=1),$BD$239,HLOOKUP(INDIRECT(ADDRESS(2,COLUMN())),OFFSET($BN$2,0,0,ROW()-1,60),ROW()-1,FALSE))</f>
        <v/>
      </c>
      <c r="BE107" t="str">
        <f ca="1">IF(AND(ISNUMBER($BE$239),$B$156=1),$BE$239,HLOOKUP(INDIRECT(ADDRESS(2,COLUMN())),OFFSET($BN$2,0,0,ROW()-1,60),ROW()-1,FALSE))</f>
        <v/>
      </c>
      <c r="BF107" t="str">
        <f ca="1">IF(AND(ISNUMBER($BF$239),$B$156=1),$BF$239,HLOOKUP(INDIRECT(ADDRESS(2,COLUMN())),OFFSET($BN$2,0,0,ROW()-1,60),ROW()-1,FALSE))</f>
        <v/>
      </c>
      <c r="BG107" t="str">
        <f ca="1">IF(AND(ISNUMBER($BG$239),$B$156=1),$BG$239,HLOOKUP(INDIRECT(ADDRESS(2,COLUMN())),OFFSET($BN$2,0,0,ROW()-1,60),ROW()-1,FALSE))</f>
        <v/>
      </c>
      <c r="BH107" t="str">
        <f ca="1">IF(AND(ISNUMBER($BH$239),$B$156=1),$BH$239,HLOOKUP(INDIRECT(ADDRESS(2,COLUMN())),OFFSET($BN$2,0,0,ROW()-1,60),ROW()-1,FALSE))</f>
        <v/>
      </c>
      <c r="BI107" t="str">
        <f ca="1">IF(AND(ISNUMBER($BI$239),$B$156=1),$BI$239,HLOOKUP(INDIRECT(ADDRESS(2,COLUMN())),OFFSET($BN$2,0,0,ROW()-1,60),ROW()-1,FALSE))</f>
        <v/>
      </c>
      <c r="BJ107" t="str">
        <f ca="1">IF(AND(ISNUMBER($BJ$239),$B$156=1),$BJ$239,HLOOKUP(INDIRECT(ADDRESS(2,COLUMN())),OFFSET($BN$2,0,0,ROW()-1,60),ROW()-1,FALSE))</f>
        <v/>
      </c>
      <c r="BK107" t="str">
        <f ca="1">IF(AND(ISNUMBER($BK$239),$B$156=1),$BK$239,HLOOKUP(INDIRECT(ADDRESS(2,COLUMN())),OFFSET($BN$2,0,0,ROW()-1,60),ROW()-1,FALSE))</f>
        <v/>
      </c>
      <c r="BL107" t="str">
        <f ca="1">IF(AND(ISNUMBER($BL$239),$B$156=1),$BL$239,HLOOKUP(INDIRECT(ADDRESS(2,COLUMN())),OFFSET($BN$2,0,0,ROW()-1,60),ROW()-1,FALSE))</f>
        <v/>
      </c>
      <c r="BM107" t="str">
        <f ca="1">IF(AND(ISNUMBER($BM$239),$B$156=1),$BM$239,HLOOKUP(INDIRECT(ADDRESS(2,COLUMN())),OFFSET($BN$2,0,0,ROW()-1,60),ROW()-1,FALSE))</f>
        <v/>
      </c>
      <c r="BN107" t="str">
        <f>""</f>
        <v/>
      </c>
      <c r="BO107">
        <f>993642</f>
        <v>993642</v>
      </c>
      <c r="BP107">
        <f>702300</f>
        <v>702300</v>
      </c>
      <c r="BQ107">
        <f>1129876</f>
        <v>1129876</v>
      </c>
      <c r="BR107">
        <f>1051947</f>
        <v>1051947</v>
      </c>
      <c r="BS107">
        <f>1209480</f>
        <v>1209480</v>
      </c>
      <c r="BT107">
        <f>842900</f>
        <v>842900</v>
      </c>
      <c r="BU107">
        <f>850510</f>
        <v>850510</v>
      </c>
      <c r="BV107">
        <f>729424</f>
        <v>729424</v>
      </c>
      <c r="BW107">
        <f>921078</f>
        <v>921078</v>
      </c>
      <c r="BX107">
        <f>681100</f>
        <v>681100</v>
      </c>
      <c r="BY107">
        <f>844402</f>
        <v>844402</v>
      </c>
      <c r="BZ107">
        <f>699802</f>
        <v>699802</v>
      </c>
      <c r="CA107">
        <f>810450</f>
        <v>810450</v>
      </c>
      <c r="CB107">
        <f>615990</f>
        <v>615990</v>
      </c>
      <c r="CC107">
        <f>834158</f>
        <v>834158</v>
      </c>
      <c r="CD107">
        <f>712402</f>
        <v>712402</v>
      </c>
      <c r="CE107">
        <f>754320</f>
        <v>754320</v>
      </c>
      <c r="CF107">
        <f>643789</f>
        <v>643789</v>
      </c>
      <c r="CG107">
        <f>815083</f>
        <v>815083</v>
      </c>
      <c r="CH107">
        <f>726000</f>
        <v>726000</v>
      </c>
      <c r="CI107">
        <f>747600</f>
        <v>747600</v>
      </c>
      <c r="CJ107">
        <f>610400</f>
        <v>610400</v>
      </c>
      <c r="CK107">
        <f>786400</f>
        <v>786400</v>
      </c>
      <c r="CL107">
        <f>674600</f>
        <v>674600</v>
      </c>
      <c r="CM107">
        <f>659963</f>
        <v>659963</v>
      </c>
      <c r="CN107">
        <f>626037</f>
        <v>626037</v>
      </c>
      <c r="CO107">
        <f>888900</f>
        <v>888900</v>
      </c>
      <c r="CP107">
        <f>790100</f>
        <v>790100</v>
      </c>
      <c r="CQ107">
        <f>901000</f>
        <v>901000</v>
      </c>
      <c r="CR107">
        <f>787917</f>
        <v>787917</v>
      </c>
      <c r="CS107">
        <f>938600</f>
        <v>938600</v>
      </c>
      <c r="CT107">
        <f>921400</f>
        <v>921400</v>
      </c>
      <c r="CU107">
        <f>937800</f>
        <v>937800</v>
      </c>
      <c r="CV107">
        <f>808400</f>
        <v>808400</v>
      </c>
      <c r="CW107">
        <f>942000</f>
        <v>942000</v>
      </c>
      <c r="CX107">
        <f>914000</f>
        <v>914000</v>
      </c>
      <c r="CY107">
        <f>813000</f>
        <v>813000</v>
      </c>
      <c r="CZ107">
        <f>788000</f>
        <v>788000</v>
      </c>
      <c r="DA107" t="str">
        <f>""</f>
        <v/>
      </c>
      <c r="DB107" t="str">
        <f>""</f>
        <v/>
      </c>
      <c r="DC107" t="str">
        <f>""</f>
        <v/>
      </c>
      <c r="DD107">
        <f>716000</f>
        <v>716000</v>
      </c>
      <c r="DE107" t="str">
        <f>""</f>
        <v/>
      </c>
      <c r="DF107" t="str">
        <f>""</f>
        <v/>
      </c>
      <c r="DG107" t="str">
        <f>""</f>
        <v/>
      </c>
      <c r="DH107" t="str">
        <f>""</f>
        <v/>
      </c>
      <c r="DI107" t="str">
        <f>""</f>
        <v/>
      </c>
      <c r="DJ107" t="str">
        <f>""</f>
        <v/>
      </c>
      <c r="DK107" t="str">
        <f>""</f>
        <v/>
      </c>
      <c r="DL107" t="str">
        <f>""</f>
        <v/>
      </c>
      <c r="DM107" t="str">
        <f>""</f>
        <v/>
      </c>
      <c r="DN107" t="str">
        <f>""</f>
        <v/>
      </c>
      <c r="DO107" t="str">
        <f>""</f>
        <v/>
      </c>
      <c r="DP107" t="str">
        <f>""</f>
        <v/>
      </c>
      <c r="DQ107" t="str">
        <f>""</f>
        <v/>
      </c>
      <c r="DR107" t="str">
        <f>""</f>
        <v/>
      </c>
      <c r="DS107" t="str">
        <f>""</f>
        <v/>
      </c>
      <c r="DT107" t="str">
        <f>""</f>
        <v/>
      </c>
      <c r="DU107" t="str">
        <f>""</f>
        <v/>
      </c>
    </row>
    <row r="108" spans="1:125" x14ac:dyDescent="0.25">
      <c r="A108" t="str">
        <f>"    Suzuki Motor Corp"</f>
        <v xml:space="preserve">    Suzuki Motor Corp</v>
      </c>
      <c r="B108" t="str">
        <f>"7269 JP Equity"</f>
        <v>7269 JP Equity</v>
      </c>
      <c r="E108" t="str">
        <f>"Static"</f>
        <v>Static</v>
      </c>
      <c r="F108" t="str">
        <f t="shared" ref="F108:AK108" ca="1" si="26">HLOOKUP(INDIRECT(ADDRESS(2,COLUMN())),OFFSET($BN$2,0,0,ROW()-1,60),ROW()-1,FALSE)</f>
        <v/>
      </c>
      <c r="G108" t="str">
        <f t="shared" ca="1" si="26"/>
        <v/>
      </c>
      <c r="H108" t="str">
        <f t="shared" ca="1" si="26"/>
        <v/>
      </c>
      <c r="I108" t="str">
        <f t="shared" ca="1" si="26"/>
        <v/>
      </c>
      <c r="J108" t="str">
        <f t="shared" ca="1" si="26"/>
        <v/>
      </c>
      <c r="K108" t="str">
        <f t="shared" ca="1" si="26"/>
        <v/>
      </c>
      <c r="L108" t="str">
        <f t="shared" ca="1" si="26"/>
        <v/>
      </c>
      <c r="M108" t="str">
        <f t="shared" ca="1" si="26"/>
        <v/>
      </c>
      <c r="N108" t="str">
        <f t="shared" ca="1" si="26"/>
        <v/>
      </c>
      <c r="O108" t="str">
        <f t="shared" ca="1" si="26"/>
        <v/>
      </c>
      <c r="P108" t="str">
        <f t="shared" ca="1" si="26"/>
        <v/>
      </c>
      <c r="Q108" t="str">
        <f t="shared" ca="1" si="26"/>
        <v/>
      </c>
      <c r="R108" t="str">
        <f t="shared" ca="1" si="26"/>
        <v/>
      </c>
      <c r="S108">
        <f t="shared" ca="1" si="26"/>
        <v>785000</v>
      </c>
      <c r="T108">
        <f t="shared" ca="1" si="26"/>
        <v>678000</v>
      </c>
      <c r="U108">
        <f t="shared" ca="1" si="26"/>
        <v>659000</v>
      </c>
      <c r="V108">
        <f t="shared" ca="1" si="26"/>
        <v>753000</v>
      </c>
      <c r="W108">
        <f t="shared" ca="1" si="26"/>
        <v>640768</v>
      </c>
      <c r="X108">
        <f t="shared" ca="1" si="26"/>
        <v>647185</v>
      </c>
      <c r="Y108">
        <f t="shared" ca="1" si="26"/>
        <v>629028</v>
      </c>
      <c r="Z108">
        <f t="shared" ca="1" si="26"/>
        <v>751000</v>
      </c>
      <c r="AA108">
        <f t="shared" ca="1" si="26"/>
        <v>639000</v>
      </c>
      <c r="AB108">
        <f t="shared" ca="1" si="26"/>
        <v>614000</v>
      </c>
      <c r="AC108">
        <f t="shared" ca="1" si="26"/>
        <v>590766</v>
      </c>
      <c r="AD108">
        <f t="shared" ca="1" si="26"/>
        <v>726000</v>
      </c>
      <c r="AE108">
        <f t="shared" ca="1" si="26"/>
        <v>610000</v>
      </c>
      <c r="AF108">
        <f t="shared" ca="1" si="26"/>
        <v>586000</v>
      </c>
      <c r="AG108">
        <f t="shared" ca="1" si="26"/>
        <v>663000</v>
      </c>
      <c r="AH108">
        <f t="shared" ca="1" si="26"/>
        <v>744000</v>
      </c>
      <c r="AI108">
        <f t="shared" ca="1" si="26"/>
        <v>582000</v>
      </c>
      <c r="AJ108">
        <f t="shared" ca="1" si="26"/>
        <v>599000</v>
      </c>
      <c r="AK108">
        <f t="shared" ca="1" si="26"/>
        <v>562000</v>
      </c>
      <c r="AL108">
        <f t="shared" ref="AL108:BM108" ca="1" si="27">HLOOKUP(INDIRECT(ADDRESS(2,COLUMN())),OFFSET($BN$2,0,0,ROW()-1,60),ROW()-1,FALSE)</f>
        <v>677000</v>
      </c>
      <c r="AM108">
        <f t="shared" ca="1" si="27"/>
        <v>641000</v>
      </c>
      <c r="AN108">
        <f t="shared" ca="1" si="27"/>
        <v>651000</v>
      </c>
      <c r="AO108">
        <f t="shared" ca="1" si="27"/>
        <v>610000</v>
      </c>
      <c r="AP108">
        <f t="shared" ca="1" si="27"/>
        <v>648000</v>
      </c>
      <c r="AQ108">
        <f t="shared" ca="1" si="27"/>
        <v>566000</v>
      </c>
      <c r="AR108">
        <f t="shared" ca="1" si="27"/>
        <v>547000</v>
      </c>
      <c r="AS108">
        <f t="shared" ca="1" si="27"/>
        <v>493000</v>
      </c>
      <c r="AT108">
        <f t="shared" ca="1" si="27"/>
        <v>577000</v>
      </c>
      <c r="AU108">
        <f t="shared" ca="1" si="27"/>
        <v>523000</v>
      </c>
      <c r="AV108">
        <f t="shared" ca="1" si="27"/>
        <v>593000</v>
      </c>
      <c r="AW108">
        <f t="shared" ca="1" si="27"/>
        <v>635000</v>
      </c>
      <c r="AX108">
        <f t="shared" ca="1" si="27"/>
        <v>656000</v>
      </c>
      <c r="AY108">
        <f t="shared" ca="1" si="27"/>
        <v>592000</v>
      </c>
      <c r="AZ108">
        <f t="shared" ca="1" si="27"/>
        <v>620000</v>
      </c>
      <c r="BA108">
        <f t="shared" ca="1" si="27"/>
        <v>544000</v>
      </c>
      <c r="BB108">
        <f t="shared" ca="1" si="27"/>
        <v>603000</v>
      </c>
      <c r="BC108">
        <f t="shared" ca="1" si="27"/>
        <v>523000</v>
      </c>
      <c r="BD108">
        <f t="shared" ca="1" si="27"/>
        <v>490000</v>
      </c>
      <c r="BE108">
        <f t="shared" ca="1" si="27"/>
        <v>493000</v>
      </c>
      <c r="BF108">
        <f t="shared" ca="1" si="27"/>
        <v>521000</v>
      </c>
      <c r="BG108" t="str">
        <f t="shared" ca="1" si="27"/>
        <v/>
      </c>
      <c r="BH108" t="str">
        <f t="shared" ca="1" si="27"/>
        <v/>
      </c>
      <c r="BI108" t="str">
        <f t="shared" ca="1" si="27"/>
        <v/>
      </c>
      <c r="BJ108" t="str">
        <f t="shared" ca="1" si="27"/>
        <v/>
      </c>
      <c r="BK108" t="str">
        <f t="shared" ca="1" si="27"/>
        <v/>
      </c>
      <c r="BL108" t="str">
        <f t="shared" ca="1" si="27"/>
        <v/>
      </c>
      <c r="BM108" t="str">
        <f t="shared" ca="1" si="27"/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  <c r="BT108" t="str">
        <f>""</f>
        <v/>
      </c>
      <c r="BU108" t="str">
        <f>""</f>
        <v/>
      </c>
      <c r="BV108" t="str">
        <f>""</f>
        <v/>
      </c>
      <c r="BW108" t="str">
        <f>""</f>
        <v/>
      </c>
      <c r="BX108" t="str">
        <f>""</f>
        <v/>
      </c>
      <c r="BY108" t="str">
        <f>""</f>
        <v/>
      </c>
      <c r="BZ108" t="str">
        <f>""</f>
        <v/>
      </c>
      <c r="CA108">
        <f>785000</f>
        <v>785000</v>
      </c>
      <c r="CB108">
        <f>678000</f>
        <v>678000</v>
      </c>
      <c r="CC108">
        <f>659000</f>
        <v>659000</v>
      </c>
      <c r="CD108">
        <f>753000</f>
        <v>753000</v>
      </c>
      <c r="CE108">
        <f>640768</f>
        <v>640768</v>
      </c>
      <c r="CF108">
        <f>647185</f>
        <v>647185</v>
      </c>
      <c r="CG108">
        <f>629028</f>
        <v>629028</v>
      </c>
      <c r="CH108">
        <f>751000</f>
        <v>751000</v>
      </c>
      <c r="CI108">
        <f>639000</f>
        <v>639000</v>
      </c>
      <c r="CJ108">
        <f>614000</f>
        <v>614000</v>
      </c>
      <c r="CK108">
        <f>590766</f>
        <v>590766</v>
      </c>
      <c r="CL108">
        <f>726000</f>
        <v>726000</v>
      </c>
      <c r="CM108">
        <f>610000</f>
        <v>610000</v>
      </c>
      <c r="CN108">
        <f>586000</f>
        <v>586000</v>
      </c>
      <c r="CO108">
        <f>663000</f>
        <v>663000</v>
      </c>
      <c r="CP108">
        <f>744000</f>
        <v>744000</v>
      </c>
      <c r="CQ108">
        <f>582000</f>
        <v>582000</v>
      </c>
      <c r="CR108">
        <f>599000</f>
        <v>599000</v>
      </c>
      <c r="CS108">
        <f>562000</f>
        <v>562000</v>
      </c>
      <c r="CT108">
        <f>677000</f>
        <v>677000</v>
      </c>
      <c r="CU108">
        <f>641000</f>
        <v>641000</v>
      </c>
      <c r="CV108">
        <f>651000</f>
        <v>651000</v>
      </c>
      <c r="CW108">
        <f>610000</f>
        <v>610000</v>
      </c>
      <c r="CX108">
        <f>648000</f>
        <v>648000</v>
      </c>
      <c r="CY108">
        <f>566000</f>
        <v>566000</v>
      </c>
      <c r="CZ108">
        <f>547000</f>
        <v>547000</v>
      </c>
      <c r="DA108">
        <f>493000</f>
        <v>493000</v>
      </c>
      <c r="DB108">
        <f>577000</f>
        <v>577000</v>
      </c>
      <c r="DC108">
        <f>523000</f>
        <v>523000</v>
      </c>
      <c r="DD108">
        <f>593000</f>
        <v>593000</v>
      </c>
      <c r="DE108">
        <f>635000</f>
        <v>635000</v>
      </c>
      <c r="DF108">
        <f>656000</f>
        <v>656000</v>
      </c>
      <c r="DG108">
        <f>592000</f>
        <v>592000</v>
      </c>
      <c r="DH108">
        <f>620000</f>
        <v>620000</v>
      </c>
      <c r="DI108">
        <f>544000</f>
        <v>544000</v>
      </c>
      <c r="DJ108">
        <f>603000</f>
        <v>603000</v>
      </c>
      <c r="DK108">
        <f>523000</f>
        <v>523000</v>
      </c>
      <c r="DL108">
        <f>490000</f>
        <v>490000</v>
      </c>
      <c r="DM108">
        <f>493000</f>
        <v>493000</v>
      </c>
      <c r="DN108">
        <f>521000</f>
        <v>521000</v>
      </c>
      <c r="DO108" t="str">
        <f>""</f>
        <v/>
      </c>
      <c r="DP108" t="str">
        <f>""</f>
        <v/>
      </c>
      <c r="DQ108" t="str">
        <f>""</f>
        <v/>
      </c>
      <c r="DR108" t="str">
        <f>""</f>
        <v/>
      </c>
      <c r="DS108" t="str">
        <f>""</f>
        <v/>
      </c>
      <c r="DT108" t="str">
        <f>""</f>
        <v/>
      </c>
      <c r="DU108" t="str">
        <f>""</f>
        <v/>
      </c>
    </row>
    <row r="109" spans="1:125" x14ac:dyDescent="0.25">
      <c r="A109" t="str">
        <f>"    Dongfeng Motor Group Co Ltd"</f>
        <v xml:space="preserve">    Dongfeng Motor Group Co Ltd</v>
      </c>
      <c r="B109" t="str">
        <f>"489 HK Equity"</f>
        <v>489 HK Equity</v>
      </c>
      <c r="C109" t="str">
        <f>"FS265"</f>
        <v>FS265</v>
      </c>
      <c r="D109" t="str">
        <f>"AUTO_VEHICLES_SOLD_WW"</f>
        <v>AUTO_VEHICLES_SOLD_WW</v>
      </c>
      <c r="E109" t="str">
        <f>"Dynamic"</f>
        <v>Dynamic</v>
      </c>
      <c r="F109" t="str">
        <f ca="1">IF(AND(ISNUMBER($F$240),$B$156=1),$F$240,HLOOKUP(INDIRECT(ADDRESS(2,COLUMN())),OFFSET($BN$2,0,0,ROW()-1,60),ROW()-1,FALSE))</f>
        <v/>
      </c>
      <c r="G109" t="str">
        <f ca="1">IF(AND(ISNUMBER($G$240),$B$156=1),$G$240,HLOOKUP(INDIRECT(ADDRESS(2,COLUMN())),OFFSET($BN$2,0,0,ROW()-1,60),ROW()-1,FALSE))</f>
        <v/>
      </c>
      <c r="H109" t="str">
        <f ca="1">IF(AND(ISNUMBER($H$240),$B$156=1),$H$240,HLOOKUP(INDIRECT(ADDRESS(2,COLUMN())),OFFSET($BN$2,0,0,ROW()-1,60),ROW()-1,FALSE))</f>
        <v/>
      </c>
      <c r="I109" t="str">
        <f ca="1">IF(AND(ISNUMBER($I$240),$B$156=1),$I$240,HLOOKUP(INDIRECT(ADDRESS(2,COLUMN())),OFFSET($BN$2,0,0,ROW()-1,60),ROW()-1,FALSE))</f>
        <v/>
      </c>
      <c r="J109" t="str">
        <f ca="1">IF(AND(ISNUMBER($J$240),$B$156=1),$J$240,HLOOKUP(INDIRECT(ADDRESS(2,COLUMN())),OFFSET($BN$2,0,0,ROW()-1,60),ROW()-1,FALSE))</f>
        <v/>
      </c>
      <c r="K109" t="str">
        <f ca="1">IF(AND(ISNUMBER($K$240),$B$156=1),$K$240,HLOOKUP(INDIRECT(ADDRESS(2,COLUMN())),OFFSET($BN$2,0,0,ROW()-1,60),ROW()-1,FALSE))</f>
        <v/>
      </c>
      <c r="L109" t="str">
        <f ca="1">IF(AND(ISNUMBER($L$240),$B$156=1),$L$240,HLOOKUP(INDIRECT(ADDRESS(2,COLUMN())),OFFSET($BN$2,0,0,ROW()-1,60),ROW()-1,FALSE))</f>
        <v/>
      </c>
      <c r="M109" t="str">
        <f ca="1">IF(AND(ISNUMBER($M$240),$B$156=1),$M$240,HLOOKUP(INDIRECT(ADDRESS(2,COLUMN())),OFFSET($BN$2,0,0,ROW()-1,60),ROW()-1,FALSE))</f>
        <v/>
      </c>
      <c r="N109" t="str">
        <f ca="1">IF(AND(ISNUMBER($N$240),$B$156=1),$N$240,HLOOKUP(INDIRECT(ADDRESS(2,COLUMN())),OFFSET($BN$2,0,0,ROW()-1,60),ROW()-1,FALSE))</f>
        <v/>
      </c>
      <c r="O109" t="str">
        <f ca="1">IF(AND(ISNUMBER($O$240),$B$156=1),$O$240,HLOOKUP(INDIRECT(ADDRESS(2,COLUMN())),OFFSET($BN$2,0,0,ROW()-1,60),ROW()-1,FALSE))</f>
        <v/>
      </c>
      <c r="P109" t="str">
        <f ca="1">IF(AND(ISNUMBER($P$240),$B$156=1),$P$240,HLOOKUP(INDIRECT(ADDRESS(2,COLUMN())),OFFSET($BN$2,0,0,ROW()-1,60),ROW()-1,FALSE))</f>
        <v/>
      </c>
      <c r="Q109" t="str">
        <f ca="1">IF(AND(ISNUMBER($Q$240),$B$156=1),$Q$240,HLOOKUP(INDIRECT(ADDRESS(2,COLUMN())),OFFSET($BN$2,0,0,ROW()-1,60),ROW()-1,FALSE))</f>
        <v/>
      </c>
      <c r="R109" t="str">
        <f ca="1">IF(AND(ISNUMBER($R$240),$B$156=1),$R$240,HLOOKUP(INDIRECT(ADDRESS(2,COLUMN())),OFFSET($BN$2,0,0,ROW()-1,60),ROW()-1,FALSE))</f>
        <v/>
      </c>
      <c r="S109" t="str">
        <f ca="1">IF(AND(ISNUMBER($S$240),$B$156=1),$S$240,HLOOKUP(INDIRECT(ADDRESS(2,COLUMN())),OFFSET($BN$2,0,0,ROW()-1,60),ROW()-1,FALSE))</f>
        <v/>
      </c>
      <c r="T109" t="str">
        <f ca="1">IF(AND(ISNUMBER($T$240),$B$156=1),$T$240,HLOOKUP(INDIRECT(ADDRESS(2,COLUMN())),OFFSET($BN$2,0,0,ROW()-1,60),ROW()-1,FALSE))</f>
        <v/>
      </c>
      <c r="U109" t="str">
        <f ca="1">IF(AND(ISNUMBER($U$240),$B$156=1),$U$240,HLOOKUP(INDIRECT(ADDRESS(2,COLUMN())),OFFSET($BN$2,0,0,ROW()-1,60),ROW()-1,FALSE))</f>
        <v/>
      </c>
      <c r="V109" t="str">
        <f ca="1">IF(AND(ISNUMBER($V$240),$B$156=1),$V$240,HLOOKUP(INDIRECT(ADDRESS(2,COLUMN())),OFFSET($BN$2,0,0,ROW()-1,60),ROW()-1,FALSE))</f>
        <v/>
      </c>
      <c r="W109" t="str">
        <f ca="1">IF(AND(ISNUMBER($W$240),$B$156=1),$W$240,HLOOKUP(INDIRECT(ADDRESS(2,COLUMN())),OFFSET($BN$2,0,0,ROW()-1,60),ROW()-1,FALSE))</f>
        <v/>
      </c>
      <c r="X109" t="str">
        <f ca="1">IF(AND(ISNUMBER($X$240),$B$156=1),$X$240,HLOOKUP(INDIRECT(ADDRESS(2,COLUMN())),OFFSET($BN$2,0,0,ROW()-1,60),ROW()-1,FALSE))</f>
        <v/>
      </c>
      <c r="Y109" t="str">
        <f ca="1">IF(AND(ISNUMBER($Y$240),$B$156=1),$Y$240,HLOOKUP(INDIRECT(ADDRESS(2,COLUMN())),OFFSET($BN$2,0,0,ROW()-1,60),ROW()-1,FALSE))</f>
        <v/>
      </c>
      <c r="Z109" t="str">
        <f ca="1">IF(AND(ISNUMBER($Z$240),$B$156=1),$Z$240,HLOOKUP(INDIRECT(ADDRESS(2,COLUMN())),OFFSET($BN$2,0,0,ROW()-1,60),ROW()-1,FALSE))</f>
        <v/>
      </c>
      <c r="AA109" t="str">
        <f ca="1">IF(AND(ISNUMBER($AA$240),$B$156=1),$AA$240,HLOOKUP(INDIRECT(ADDRESS(2,COLUMN())),OFFSET($BN$2,0,0,ROW()-1,60),ROW()-1,FALSE))</f>
        <v/>
      </c>
      <c r="AB109" t="str">
        <f ca="1">IF(AND(ISNUMBER($AB$240),$B$156=1),$AB$240,HLOOKUP(INDIRECT(ADDRESS(2,COLUMN())),OFFSET($BN$2,0,0,ROW()-1,60),ROW()-1,FALSE))</f>
        <v/>
      </c>
      <c r="AC109" t="str">
        <f ca="1">IF(AND(ISNUMBER($AC$240),$B$156=1),$AC$240,HLOOKUP(INDIRECT(ADDRESS(2,COLUMN())),OFFSET($BN$2,0,0,ROW()-1,60),ROW()-1,FALSE))</f>
        <v/>
      </c>
      <c r="AD109" t="str">
        <f ca="1">IF(AND(ISNUMBER($AD$240),$B$156=1),$AD$240,HLOOKUP(INDIRECT(ADDRESS(2,COLUMN())),OFFSET($BN$2,0,0,ROW()-1,60),ROW()-1,FALSE))</f>
        <v/>
      </c>
      <c r="AE109" t="str">
        <f ca="1">IF(AND(ISNUMBER($AE$240),$B$156=1),$AE$240,HLOOKUP(INDIRECT(ADDRESS(2,COLUMN())),OFFSET($BN$2,0,0,ROW()-1,60),ROW()-1,FALSE))</f>
        <v/>
      </c>
      <c r="AF109" t="str">
        <f ca="1">IF(AND(ISNUMBER($AF$240),$B$156=1),$AF$240,HLOOKUP(INDIRECT(ADDRESS(2,COLUMN())),OFFSET($BN$2,0,0,ROW()-1,60),ROW()-1,FALSE))</f>
        <v/>
      </c>
      <c r="AG109" t="str">
        <f ca="1">IF(AND(ISNUMBER($AG$240),$B$156=1),$AG$240,HLOOKUP(INDIRECT(ADDRESS(2,COLUMN())),OFFSET($BN$2,0,0,ROW()-1,60),ROW()-1,FALSE))</f>
        <v/>
      </c>
      <c r="AH109" t="str">
        <f ca="1">IF(AND(ISNUMBER($AH$240),$B$156=1),$AH$240,HLOOKUP(INDIRECT(ADDRESS(2,COLUMN())),OFFSET($BN$2,0,0,ROW()-1,60),ROW()-1,FALSE))</f>
        <v/>
      </c>
      <c r="AI109" t="str">
        <f ca="1">IF(AND(ISNUMBER($AI$240),$B$156=1),$AI$240,HLOOKUP(INDIRECT(ADDRESS(2,COLUMN())),OFFSET($BN$2,0,0,ROW()-1,60),ROW()-1,FALSE))</f>
        <v/>
      </c>
      <c r="AJ109" t="str">
        <f ca="1">IF(AND(ISNUMBER($AJ$240),$B$156=1),$AJ$240,HLOOKUP(INDIRECT(ADDRESS(2,COLUMN())),OFFSET($BN$2,0,0,ROW()-1,60),ROW()-1,FALSE))</f>
        <v/>
      </c>
      <c r="AK109" t="str">
        <f ca="1">IF(AND(ISNUMBER($AK$240),$B$156=1),$AK$240,HLOOKUP(INDIRECT(ADDRESS(2,COLUMN())),OFFSET($BN$2,0,0,ROW()-1,60),ROW()-1,FALSE))</f>
        <v/>
      </c>
      <c r="AL109" t="str">
        <f ca="1">IF(AND(ISNUMBER($AL$240),$B$156=1),$AL$240,HLOOKUP(INDIRECT(ADDRESS(2,COLUMN())),OFFSET($BN$2,0,0,ROW()-1,60),ROW()-1,FALSE))</f>
        <v/>
      </c>
      <c r="AM109" t="str">
        <f ca="1">IF(AND(ISNUMBER($AM$240),$B$156=1),$AM$240,HLOOKUP(INDIRECT(ADDRESS(2,COLUMN())),OFFSET($BN$2,0,0,ROW()-1,60),ROW()-1,FALSE))</f>
        <v/>
      </c>
      <c r="AN109" t="str">
        <f ca="1">IF(AND(ISNUMBER($AN$240),$B$156=1),$AN$240,HLOOKUP(INDIRECT(ADDRESS(2,COLUMN())),OFFSET($BN$2,0,0,ROW()-1,60),ROW()-1,FALSE))</f>
        <v/>
      </c>
      <c r="AO109" t="str">
        <f ca="1">IF(AND(ISNUMBER($AO$240),$B$156=1),$AO$240,HLOOKUP(INDIRECT(ADDRESS(2,COLUMN())),OFFSET($BN$2,0,0,ROW()-1,60),ROW()-1,FALSE))</f>
        <v/>
      </c>
      <c r="AP109" t="str">
        <f ca="1">IF(AND(ISNUMBER($AP$240),$B$156=1),$AP$240,HLOOKUP(INDIRECT(ADDRESS(2,COLUMN())),OFFSET($BN$2,0,0,ROW()-1,60),ROW()-1,FALSE))</f>
        <v/>
      </c>
      <c r="AQ109" t="str">
        <f ca="1">IF(AND(ISNUMBER($AQ$240),$B$156=1),$AQ$240,HLOOKUP(INDIRECT(ADDRESS(2,COLUMN())),OFFSET($BN$2,0,0,ROW()-1,60),ROW()-1,FALSE))</f>
        <v/>
      </c>
      <c r="AR109" t="str">
        <f ca="1">IF(AND(ISNUMBER($AR$240),$B$156=1),$AR$240,HLOOKUP(INDIRECT(ADDRESS(2,COLUMN())),OFFSET($BN$2,0,0,ROW()-1,60),ROW()-1,FALSE))</f>
        <v/>
      </c>
      <c r="AS109" t="str">
        <f ca="1">IF(AND(ISNUMBER($AS$240),$B$156=1),$AS$240,HLOOKUP(INDIRECT(ADDRESS(2,COLUMN())),OFFSET($BN$2,0,0,ROW()-1,60),ROW()-1,FALSE))</f>
        <v/>
      </c>
      <c r="AT109" t="str">
        <f ca="1">IF(AND(ISNUMBER($AT$240),$B$156=1),$AT$240,HLOOKUP(INDIRECT(ADDRESS(2,COLUMN())),OFFSET($BN$2,0,0,ROW()-1,60),ROW()-1,FALSE))</f>
        <v/>
      </c>
      <c r="AU109" t="str">
        <f ca="1">IF(AND(ISNUMBER($AU$240),$B$156=1),$AU$240,HLOOKUP(INDIRECT(ADDRESS(2,COLUMN())),OFFSET($BN$2,0,0,ROW()-1,60),ROW()-1,FALSE))</f>
        <v/>
      </c>
      <c r="AV109" t="str">
        <f ca="1">IF(AND(ISNUMBER($AV$240),$B$156=1),$AV$240,HLOOKUP(INDIRECT(ADDRESS(2,COLUMN())),OFFSET($BN$2,0,0,ROW()-1,60),ROW()-1,FALSE))</f>
        <v/>
      </c>
      <c r="AW109" t="str">
        <f ca="1">IF(AND(ISNUMBER($AW$240),$B$156=1),$AW$240,HLOOKUP(INDIRECT(ADDRESS(2,COLUMN())),OFFSET($BN$2,0,0,ROW()-1,60),ROW()-1,FALSE))</f>
        <v/>
      </c>
      <c r="AX109" t="str">
        <f ca="1">IF(AND(ISNUMBER($AX$240),$B$156=1),$AX$240,HLOOKUP(INDIRECT(ADDRESS(2,COLUMN())),OFFSET($BN$2,0,0,ROW()-1,60),ROW()-1,FALSE))</f>
        <v/>
      </c>
      <c r="AY109" t="str">
        <f ca="1">IF(AND(ISNUMBER($AY$240),$B$156=1),$AY$240,HLOOKUP(INDIRECT(ADDRESS(2,COLUMN())),OFFSET($BN$2,0,0,ROW()-1,60),ROW()-1,FALSE))</f>
        <v/>
      </c>
      <c r="AZ109" t="str">
        <f ca="1">IF(AND(ISNUMBER($AZ$240),$B$156=1),$AZ$240,HLOOKUP(INDIRECT(ADDRESS(2,COLUMN())),OFFSET($BN$2,0,0,ROW()-1,60),ROW()-1,FALSE))</f>
        <v/>
      </c>
      <c r="BA109" t="str">
        <f ca="1">IF(AND(ISNUMBER($BA$240),$B$156=1),$BA$240,HLOOKUP(INDIRECT(ADDRESS(2,COLUMN())),OFFSET($BN$2,0,0,ROW()-1,60),ROW()-1,FALSE))</f>
        <v/>
      </c>
      <c r="BB109" t="str">
        <f ca="1">IF(AND(ISNUMBER($BB$240),$B$156=1),$BB$240,HLOOKUP(INDIRECT(ADDRESS(2,COLUMN())),OFFSET($BN$2,0,0,ROW()-1,60),ROW()-1,FALSE))</f>
        <v/>
      </c>
      <c r="BC109" t="str">
        <f ca="1">IF(AND(ISNUMBER($BC$240),$B$156=1),$BC$240,HLOOKUP(INDIRECT(ADDRESS(2,COLUMN())),OFFSET($BN$2,0,0,ROW()-1,60),ROW()-1,FALSE))</f>
        <v/>
      </c>
      <c r="BD109" t="str">
        <f ca="1">IF(AND(ISNUMBER($BD$240),$B$156=1),$BD$240,HLOOKUP(INDIRECT(ADDRESS(2,COLUMN())),OFFSET($BN$2,0,0,ROW()-1,60),ROW()-1,FALSE))</f>
        <v/>
      </c>
      <c r="BE109" t="str">
        <f ca="1">IF(AND(ISNUMBER($BE$240),$B$156=1),$BE$240,HLOOKUP(INDIRECT(ADDRESS(2,COLUMN())),OFFSET($BN$2,0,0,ROW()-1,60),ROW()-1,FALSE))</f>
        <v/>
      </c>
      <c r="BF109" t="str">
        <f ca="1">IF(AND(ISNUMBER($BF$240),$B$156=1),$BF$240,HLOOKUP(INDIRECT(ADDRESS(2,COLUMN())),OFFSET($BN$2,0,0,ROW()-1,60),ROW()-1,FALSE))</f>
        <v/>
      </c>
      <c r="BG109" t="str">
        <f ca="1">IF(AND(ISNUMBER($BG$240),$B$156=1),$BG$240,HLOOKUP(INDIRECT(ADDRESS(2,COLUMN())),OFFSET($BN$2,0,0,ROW()-1,60),ROW()-1,FALSE))</f>
        <v/>
      </c>
      <c r="BH109" t="str">
        <f ca="1">IF(AND(ISNUMBER($BH$240),$B$156=1),$BH$240,HLOOKUP(INDIRECT(ADDRESS(2,COLUMN())),OFFSET($BN$2,0,0,ROW()-1,60),ROW()-1,FALSE))</f>
        <v/>
      </c>
      <c r="BI109" t="str">
        <f ca="1">IF(AND(ISNUMBER($BI$240),$B$156=1),$BI$240,HLOOKUP(INDIRECT(ADDRESS(2,COLUMN())),OFFSET($BN$2,0,0,ROW()-1,60),ROW()-1,FALSE))</f>
        <v/>
      </c>
      <c r="BJ109" t="str">
        <f ca="1">IF(AND(ISNUMBER($BJ$240),$B$156=1),$BJ$240,HLOOKUP(INDIRECT(ADDRESS(2,COLUMN())),OFFSET($BN$2,0,0,ROW()-1,60),ROW()-1,FALSE))</f>
        <v/>
      </c>
      <c r="BK109" t="str">
        <f ca="1">IF(AND(ISNUMBER($BK$240),$B$156=1),$BK$240,HLOOKUP(INDIRECT(ADDRESS(2,COLUMN())),OFFSET($BN$2,0,0,ROW()-1,60),ROW()-1,FALSE))</f>
        <v/>
      </c>
      <c r="BL109" t="str">
        <f ca="1">IF(AND(ISNUMBER($BL$240),$B$156=1),$BL$240,HLOOKUP(INDIRECT(ADDRESS(2,COLUMN())),OFFSET($BN$2,0,0,ROW()-1,60),ROW()-1,FALSE))</f>
        <v/>
      </c>
      <c r="BM109" t="str">
        <f ca="1">IF(AND(ISNUMBER($BM$240),$B$156=1),$BM$240,HLOOKUP(INDIRECT(ADDRESS(2,COLUMN())),OFFSET($BN$2,0,0,ROW()-1,60),ROW()-1,FALSE))</f>
        <v/>
      </c>
      <c r="BN109" t="str">
        <f>""</f>
        <v/>
      </c>
      <c r="BO109" t="str">
        <f>""</f>
        <v/>
      </c>
      <c r="BP109" t="str">
        <f>""</f>
        <v/>
      </c>
      <c r="BQ109" t="str">
        <f>""</f>
        <v/>
      </c>
      <c r="BR109" t="str">
        <f>""</f>
        <v/>
      </c>
      <c r="BS109" t="str">
        <f>""</f>
        <v/>
      </c>
      <c r="BT109" t="str">
        <f>""</f>
        <v/>
      </c>
      <c r="BU109" t="str">
        <f>""</f>
        <v/>
      </c>
      <c r="BV109" t="str">
        <f>""</f>
        <v/>
      </c>
      <c r="BW109" t="str">
        <f>""</f>
        <v/>
      </c>
      <c r="BX109" t="str">
        <f>""</f>
        <v/>
      </c>
      <c r="BY109" t="str">
        <f>""</f>
        <v/>
      </c>
      <c r="BZ109" t="str">
        <f>""</f>
        <v/>
      </c>
      <c r="CA109" t="str">
        <f>""</f>
        <v/>
      </c>
      <c r="CB109" t="str">
        <f>""</f>
        <v/>
      </c>
      <c r="CC109" t="str">
        <f>""</f>
        <v/>
      </c>
      <c r="CD109" t="str">
        <f>""</f>
        <v/>
      </c>
      <c r="CE109" t="str">
        <f>""</f>
        <v/>
      </c>
      <c r="CF109" t="str">
        <f>""</f>
        <v/>
      </c>
      <c r="CG109" t="str">
        <f>""</f>
        <v/>
      </c>
      <c r="CH109" t="str">
        <f>""</f>
        <v/>
      </c>
      <c r="CI109" t="str">
        <f>""</f>
        <v/>
      </c>
      <c r="CJ109" t="str">
        <f>""</f>
        <v/>
      </c>
      <c r="CK109" t="str">
        <f>""</f>
        <v/>
      </c>
      <c r="CL109" t="str">
        <f>""</f>
        <v/>
      </c>
      <c r="CM109" t="str">
        <f>""</f>
        <v/>
      </c>
      <c r="CN109" t="str">
        <f>""</f>
        <v/>
      </c>
      <c r="CO109" t="str">
        <f>""</f>
        <v/>
      </c>
      <c r="CP109" t="str">
        <f>""</f>
        <v/>
      </c>
      <c r="CQ109" t="str">
        <f>""</f>
        <v/>
      </c>
      <c r="CR109" t="str">
        <f>""</f>
        <v/>
      </c>
      <c r="CS109" t="str">
        <f>""</f>
        <v/>
      </c>
      <c r="CT109" t="str">
        <f>""</f>
        <v/>
      </c>
      <c r="CU109" t="str">
        <f>""</f>
        <v/>
      </c>
      <c r="CV109" t="str">
        <f>""</f>
        <v/>
      </c>
      <c r="CW109" t="str">
        <f>""</f>
        <v/>
      </c>
      <c r="CX109" t="str">
        <f>""</f>
        <v/>
      </c>
      <c r="CY109" t="str">
        <f>""</f>
        <v/>
      </c>
      <c r="CZ109" t="str">
        <f>""</f>
        <v/>
      </c>
      <c r="DA109" t="str">
        <f>""</f>
        <v/>
      </c>
      <c r="DB109" t="str">
        <f>""</f>
        <v/>
      </c>
      <c r="DC109" t="str">
        <f>""</f>
        <v/>
      </c>
      <c r="DD109" t="str">
        <f>""</f>
        <v/>
      </c>
      <c r="DE109" t="str">
        <f>""</f>
        <v/>
      </c>
      <c r="DF109" t="str">
        <f>""</f>
        <v/>
      </c>
      <c r="DG109" t="str">
        <f>""</f>
        <v/>
      </c>
      <c r="DH109" t="str">
        <f>""</f>
        <v/>
      </c>
      <c r="DI109" t="str">
        <f>""</f>
        <v/>
      </c>
      <c r="DJ109" t="str">
        <f>""</f>
        <v/>
      </c>
      <c r="DK109" t="str">
        <f>""</f>
        <v/>
      </c>
      <c r="DL109" t="str">
        <f>""</f>
        <v/>
      </c>
      <c r="DM109" t="str">
        <f>""</f>
        <v/>
      </c>
      <c r="DN109" t="str">
        <f>""</f>
        <v/>
      </c>
      <c r="DO109" t="str">
        <f>""</f>
        <v/>
      </c>
      <c r="DP109" t="str">
        <f>""</f>
        <v/>
      </c>
      <c r="DQ109" t="str">
        <f>""</f>
        <v/>
      </c>
      <c r="DR109" t="str">
        <f>""</f>
        <v/>
      </c>
      <c r="DS109" t="str">
        <f>""</f>
        <v/>
      </c>
      <c r="DT109" t="str">
        <f>""</f>
        <v/>
      </c>
      <c r="DU109" t="str">
        <f>""</f>
        <v/>
      </c>
    </row>
    <row r="110" spans="1:125" x14ac:dyDescent="0.25">
      <c r="A110" t="str">
        <f>"    Chongqing Changan Automobile Co Ltd"</f>
        <v xml:space="preserve">    Chongqing Changan Automobile Co Ltd</v>
      </c>
      <c r="B110" t="str">
        <f>"200625 CH Equity"</f>
        <v>200625 CH Equity</v>
      </c>
      <c r="C110" t="str">
        <f>"FS265"</f>
        <v>FS265</v>
      </c>
      <c r="D110" t="str">
        <f>"AUTO_VEHICLES_SOLD_WW"</f>
        <v>AUTO_VEHICLES_SOLD_WW</v>
      </c>
      <c r="E110" t="str">
        <f>"Dynamic"</f>
        <v>Dynamic</v>
      </c>
      <c r="F110" t="str">
        <f ca="1">IF(AND(ISNUMBER($F$241),$B$156=1),$F$241,HLOOKUP(INDIRECT(ADDRESS(2,COLUMN())),OFFSET($BN$2,0,0,ROW()-1,60),ROW()-1,FALSE))</f>
        <v/>
      </c>
      <c r="G110" t="str">
        <f ca="1">IF(AND(ISNUMBER($G$241),$B$156=1),$G$241,HLOOKUP(INDIRECT(ADDRESS(2,COLUMN())),OFFSET($BN$2,0,0,ROW()-1,60),ROW()-1,FALSE))</f>
        <v/>
      </c>
      <c r="H110" t="str">
        <f ca="1">IF(AND(ISNUMBER($H$241),$B$156=1),$H$241,HLOOKUP(INDIRECT(ADDRESS(2,COLUMN())),OFFSET($BN$2,0,0,ROW()-1,60),ROW()-1,FALSE))</f>
        <v/>
      </c>
      <c r="I110">
        <f ca="1">IF(AND(ISNUMBER($I$241),$B$156=1),$I$241,HLOOKUP(INDIRECT(ADDRESS(2,COLUMN())),OFFSET($BN$2,0,0,ROW()-1,60),ROW()-1,FALSE))</f>
        <v>549033</v>
      </c>
      <c r="J110">
        <f ca="1">IF(AND(ISNUMBER($J$241),$B$156=1),$J$241,HLOOKUP(INDIRECT(ADDRESS(2,COLUMN())),OFFSET($BN$2,0,0,ROW()-1,60),ROW()-1,FALSE))</f>
        <v>658348</v>
      </c>
      <c r="K110">
        <f ca="1">IF(AND(ISNUMBER($K$241),$B$156=1),$K$241,HLOOKUP(INDIRECT(ADDRESS(2,COLUMN())),OFFSET($BN$2,0,0,ROW()-1,60),ROW()-1,FALSE))</f>
        <v>814252</v>
      </c>
      <c r="L110" t="str">
        <f ca="1">IF(AND(ISNUMBER($L$241),$B$156=1),$L$241,HLOOKUP(INDIRECT(ADDRESS(2,COLUMN())),OFFSET($BN$2,0,0,ROW()-1,60),ROW()-1,FALSE))</f>
        <v/>
      </c>
      <c r="M110" t="str">
        <f ca="1">IF(AND(ISNUMBER($M$241),$B$156=1),$M$241,HLOOKUP(INDIRECT(ADDRESS(2,COLUMN())),OFFSET($BN$2,0,0,ROW()-1,60),ROW()-1,FALSE))</f>
        <v/>
      </c>
      <c r="N110">
        <f ca="1">IF(AND(ISNUMBER($N$241),$B$156=1),$N$241,HLOOKUP(INDIRECT(ADDRESS(2,COLUMN())),OFFSET($BN$2,0,0,ROW()-1,60),ROW()-1,FALSE))</f>
        <v>838728</v>
      </c>
      <c r="O110">
        <f ca="1">IF(AND(ISNUMBER($O$241),$B$156=1),$O$241,HLOOKUP(INDIRECT(ADDRESS(2,COLUMN())),OFFSET($BN$2,0,0,ROW()-1,60),ROW()-1,FALSE))</f>
        <v>1580113</v>
      </c>
      <c r="P110" t="str">
        <f ca="1">IF(AND(ISNUMBER($P$241),$B$156=1),$P$241,HLOOKUP(INDIRECT(ADDRESS(2,COLUMN())),OFFSET($BN$2,0,0,ROW()-1,60),ROW()-1,FALSE))</f>
        <v/>
      </c>
      <c r="Q110">
        <f ca="1">IF(AND(ISNUMBER($Q$241),$B$156=1),$Q$241,HLOOKUP(INDIRECT(ADDRESS(2,COLUMN())),OFFSET($BN$2,0,0,ROW()-1,60),ROW()-1,FALSE))</f>
        <v>644771</v>
      </c>
      <c r="R110">
        <f ca="1">IF(AND(ISNUMBER($R$241),$B$156=1),$R$241,HLOOKUP(INDIRECT(ADDRESS(2,COLUMN())),OFFSET($BN$2,0,0,ROW()-1,60),ROW()-1,FALSE))</f>
        <v>838519</v>
      </c>
      <c r="S110">
        <f ca="1">IF(AND(ISNUMBER($S$241),$B$156=1),$S$241,HLOOKUP(INDIRECT(ADDRESS(2,COLUMN())),OFFSET($BN$2,0,0,ROW()-1,60),ROW()-1,FALSE))</f>
        <v>745433</v>
      </c>
      <c r="T110">
        <f ca="1">IF(AND(ISNUMBER($T$241),$B$156=1),$T$241,HLOOKUP(INDIRECT(ADDRESS(2,COLUMN())),OFFSET($BN$2,0,0,ROW()-1,60),ROW()-1,FALSE))</f>
        <v>565376</v>
      </c>
      <c r="U110">
        <f ca="1">IF(AND(ISNUMBER($U$241),$B$156=1),$U$241,HLOOKUP(INDIRECT(ADDRESS(2,COLUMN())),OFFSET($BN$2,0,0,ROW()-1,60),ROW()-1,FALSE))</f>
        <v>803167</v>
      </c>
      <c r="V110">
        <f ca="1">IF(AND(ISNUMBER($V$241),$B$156=1),$V$241,HLOOKUP(INDIRECT(ADDRESS(2,COLUMN())),OFFSET($BN$2,0,0,ROW()-1,60),ROW()-1,FALSE))</f>
        <v>662833</v>
      </c>
      <c r="W110">
        <f ca="1">IF(AND(ISNUMBER($W$241),$B$156=1),$W$241,HLOOKUP(INDIRECT(ADDRESS(2,COLUMN())),OFFSET($BN$2,0,0,ROW()-1,60),ROW()-1,FALSE))</f>
        <v>671450</v>
      </c>
      <c r="X110">
        <f ca="1">IF(AND(ISNUMBER($X$241),$B$156=1),$X$241,HLOOKUP(INDIRECT(ADDRESS(2,COLUMN())),OFFSET($BN$2,0,0,ROW()-1,60),ROW()-1,FALSE))</f>
        <v>548550</v>
      </c>
      <c r="Y110">
        <f ca="1">IF(AND(ISNUMBER($Y$241),$B$156=1),$Y$241,HLOOKUP(INDIRECT(ADDRESS(2,COLUMN())),OFFSET($BN$2,0,0,ROW()-1,60),ROW()-1,FALSE))</f>
        <v>657157</v>
      </c>
      <c r="Z110">
        <f ca="1">IF(AND(ISNUMBER($Z$241),$B$156=1),$Z$241,HLOOKUP(INDIRECT(ADDRESS(2,COLUMN())),OFFSET($BN$2,0,0,ROW()-1,60),ROW()-1,FALSE))</f>
        <v>662843</v>
      </c>
      <c r="AA110" t="str">
        <f ca="1">IF(AND(ISNUMBER($AA$241),$B$156=1),$AA$241,HLOOKUP(INDIRECT(ADDRESS(2,COLUMN())),OFFSET($BN$2,0,0,ROW()-1,60),ROW()-1,FALSE))</f>
        <v/>
      </c>
      <c r="AB110">
        <f ca="1">IF(AND(ISNUMBER($AB$241),$B$156=1),$AB$241,HLOOKUP(INDIRECT(ADDRESS(2,COLUMN())),OFFSET($BN$2,0,0,ROW()-1,60),ROW()-1,FALSE))</f>
        <v>466861</v>
      </c>
      <c r="AC110" t="str">
        <f ca="1">IF(AND(ISNUMBER($AC$241),$B$156=1),$AC$241,HLOOKUP(INDIRECT(ADDRESS(2,COLUMN())),OFFSET($BN$2,0,0,ROW()-1,60),ROW()-1,FALSE))</f>
        <v/>
      </c>
      <c r="AD110">
        <f ca="1">IF(AND(ISNUMBER($AD$241),$B$156=1),$AD$241,HLOOKUP(INDIRECT(ADDRESS(2,COLUMN())),OFFSET($BN$2,0,0,ROW()-1,60),ROW()-1,FALSE))</f>
        <v>528636</v>
      </c>
      <c r="AE110">
        <f ca="1">IF(AND(ISNUMBER($AE$241),$B$156=1),$AE$241,HLOOKUP(INDIRECT(ADDRESS(2,COLUMN())),OFFSET($BN$2,0,0,ROW()-1,60),ROW()-1,FALSE))</f>
        <v>497100</v>
      </c>
      <c r="AF110">
        <f ca="1">IF(AND(ISNUMBER($AF$241),$B$156=1),$AF$241,HLOOKUP(INDIRECT(ADDRESS(2,COLUMN())),OFFSET($BN$2,0,0,ROW()-1,60),ROW()-1,FALSE))</f>
        <v>363330</v>
      </c>
      <c r="AG110">
        <f ca="1">IF(AND(ISNUMBER($AG$241),$B$156=1),$AG$241,HLOOKUP(INDIRECT(ADDRESS(2,COLUMN())),OFFSET($BN$2,0,0,ROW()-1,60),ROW()-1,FALSE))</f>
        <v>442719</v>
      </c>
      <c r="AH110">
        <f ca="1">IF(AND(ISNUMBER($AH$241),$B$156=1),$AH$241,HLOOKUP(INDIRECT(ADDRESS(2,COLUMN())),OFFSET($BN$2,0,0,ROW()-1,60),ROW()-1,FALSE))</f>
        <v>444081</v>
      </c>
      <c r="AI110">
        <f ca="1">IF(AND(ISNUMBER($AI$241),$B$156=1),$AI$241,HLOOKUP(INDIRECT(ADDRESS(2,COLUMN())),OFFSET($BN$2,0,0,ROW()-1,60),ROW()-1,FALSE))</f>
        <v>442846</v>
      </c>
      <c r="AJ110">
        <f ca="1">IF(AND(ISNUMBER($AJ$241),$B$156=1),$AJ$241,HLOOKUP(INDIRECT(ADDRESS(2,COLUMN())),OFFSET($BN$2,0,0,ROW()-1,60),ROW()-1,FALSE))</f>
        <v>331909</v>
      </c>
      <c r="AK110">
        <f ca="1">IF(AND(ISNUMBER($AK$241),$B$156=1),$AK$241,HLOOKUP(INDIRECT(ADDRESS(2,COLUMN())),OFFSET($BN$2,0,0,ROW()-1,60),ROW()-1,FALSE))</f>
        <v>387145</v>
      </c>
      <c r="AL110">
        <f ca="1">IF(AND(ISNUMBER($AL$241),$B$156=1),$AL$241,HLOOKUP(INDIRECT(ADDRESS(2,COLUMN())),OFFSET($BN$2,0,0,ROW()-1,60),ROW()-1,FALSE))</f>
        <v>538100</v>
      </c>
      <c r="AM110">
        <f ca="1">IF(AND(ISNUMBER($AM$241),$B$156=1),$AM$241,HLOOKUP(INDIRECT(ADDRESS(2,COLUMN())),OFFSET($BN$2,0,0,ROW()-1,60),ROW()-1,FALSE))</f>
        <v>513838</v>
      </c>
      <c r="AN110">
        <f ca="1">IF(AND(ISNUMBER($AN$241),$B$156=1),$AN$241,HLOOKUP(INDIRECT(ADDRESS(2,COLUMN())),OFFSET($BN$2,0,0,ROW()-1,60),ROW()-1,FALSE))</f>
        <v>363159</v>
      </c>
      <c r="AO110">
        <f ca="1">IF(AND(ISNUMBER($AO$241),$B$156=1),$AO$241,HLOOKUP(INDIRECT(ADDRESS(2,COLUMN())),OFFSET($BN$2,0,0,ROW()-1,60),ROW()-1,FALSE))</f>
        <v>421503</v>
      </c>
      <c r="AP110">
        <f ca="1">IF(AND(ISNUMBER($AP$241),$B$156=1),$AP$241,HLOOKUP(INDIRECT(ADDRESS(2,COLUMN())),OFFSET($BN$2,0,0,ROW()-1,60),ROW()-1,FALSE))</f>
        <v>552996</v>
      </c>
      <c r="AQ110">
        <f ca="1">IF(AND(ISNUMBER($AQ$241),$B$156=1),$AQ$241,HLOOKUP(INDIRECT(ADDRESS(2,COLUMN())),OFFSET($BN$2,0,0,ROW()-1,60),ROW()-1,FALSE))</f>
        <v>365155</v>
      </c>
      <c r="AR110">
        <f ca="1">IF(AND(ISNUMBER($AR$241),$B$156=1),$AR$241,HLOOKUP(INDIRECT(ADDRESS(2,COLUMN())),OFFSET($BN$2,0,0,ROW()-1,60),ROW()-1,FALSE))</f>
        <v>343714</v>
      </c>
      <c r="AS110">
        <f ca="1">IF(AND(ISNUMBER($AS$241),$B$156=1),$AS$241,HLOOKUP(INDIRECT(ADDRESS(2,COLUMN())),OFFSET($BN$2,0,0,ROW()-1,60),ROW()-1,FALSE))</f>
        <v>362471</v>
      </c>
      <c r="AT110">
        <f ca="1">IF(AND(ISNUMBER($AT$241),$B$156=1),$AT$241,HLOOKUP(INDIRECT(ADDRESS(2,COLUMN())),OFFSET($BN$2,0,0,ROW()-1,60),ROW()-1,FALSE))</f>
        <v>297748</v>
      </c>
      <c r="AU110">
        <f ca="1">IF(AND(ISNUMBER($AU$241),$B$156=1),$AU$241,HLOOKUP(INDIRECT(ADDRESS(2,COLUMN())),OFFSET($BN$2,0,0,ROW()-1,60),ROW()-1,FALSE))</f>
        <v>170460</v>
      </c>
      <c r="AV110">
        <f ca="1">IF(AND(ISNUMBER($AV$241),$B$156=1),$AV$241,HLOOKUP(INDIRECT(ADDRESS(2,COLUMN())),OFFSET($BN$2,0,0,ROW()-1,60),ROW()-1,FALSE))</f>
        <v>225759</v>
      </c>
      <c r="AW110">
        <f ca="1">IF(AND(ISNUMBER($AW$241),$B$156=1),$AW$241,HLOOKUP(INDIRECT(ADDRESS(2,COLUMN())),OFFSET($BN$2,0,0,ROW()-1,60),ROW()-1,FALSE))</f>
        <v>176598</v>
      </c>
      <c r="AX110">
        <f ca="1">IF(AND(ISNUMBER($AX$241),$B$156=1),$AX$241,HLOOKUP(INDIRECT(ADDRESS(2,COLUMN())),OFFSET($BN$2,0,0,ROW()-1,60),ROW()-1,FALSE))</f>
        <v>261661</v>
      </c>
      <c r="AY110" t="str">
        <f ca="1">IF(AND(ISNUMBER($AY$241),$B$156=1),$AY$241,HLOOKUP(INDIRECT(ADDRESS(2,COLUMN())),OFFSET($BN$2,0,0,ROW()-1,60),ROW()-1,FALSE))</f>
        <v/>
      </c>
      <c r="AZ110" t="str">
        <f ca="1">IF(AND(ISNUMBER($AZ$241),$B$156=1),$AZ$241,HLOOKUP(INDIRECT(ADDRESS(2,COLUMN())),OFFSET($BN$2,0,0,ROW()-1,60),ROW()-1,FALSE))</f>
        <v/>
      </c>
      <c r="BA110" t="str">
        <f ca="1">IF(AND(ISNUMBER($BA$241),$B$156=1),$BA$241,HLOOKUP(INDIRECT(ADDRESS(2,COLUMN())),OFFSET($BN$2,0,0,ROW()-1,60),ROW()-1,FALSE))</f>
        <v/>
      </c>
      <c r="BB110" t="str">
        <f ca="1">IF(AND(ISNUMBER($BB$241),$B$156=1),$BB$241,HLOOKUP(INDIRECT(ADDRESS(2,COLUMN())),OFFSET($BN$2,0,0,ROW()-1,60),ROW()-1,FALSE))</f>
        <v/>
      </c>
      <c r="BC110" t="str">
        <f ca="1">IF(AND(ISNUMBER($BC$241),$B$156=1),$BC$241,HLOOKUP(INDIRECT(ADDRESS(2,COLUMN())),OFFSET($BN$2,0,0,ROW()-1,60),ROW()-1,FALSE))</f>
        <v/>
      </c>
      <c r="BD110" t="str">
        <f ca="1">IF(AND(ISNUMBER($BD$241),$B$156=1),$BD$241,HLOOKUP(INDIRECT(ADDRESS(2,COLUMN())),OFFSET($BN$2,0,0,ROW()-1,60),ROW()-1,FALSE))</f>
        <v/>
      </c>
      <c r="BE110" t="str">
        <f ca="1">IF(AND(ISNUMBER($BE$241),$B$156=1),$BE$241,HLOOKUP(INDIRECT(ADDRESS(2,COLUMN())),OFFSET($BN$2,0,0,ROW()-1,60),ROW()-1,FALSE))</f>
        <v/>
      </c>
      <c r="BF110" t="str">
        <f ca="1">IF(AND(ISNUMBER($BF$241),$B$156=1),$BF$241,HLOOKUP(INDIRECT(ADDRESS(2,COLUMN())),OFFSET($BN$2,0,0,ROW()-1,60),ROW()-1,FALSE))</f>
        <v/>
      </c>
      <c r="BG110" t="str">
        <f ca="1">IF(AND(ISNUMBER($BG$241),$B$156=1),$BG$241,HLOOKUP(INDIRECT(ADDRESS(2,COLUMN())),OFFSET($BN$2,0,0,ROW()-1,60),ROW()-1,FALSE))</f>
        <v/>
      </c>
      <c r="BH110">
        <f ca="1">IF(AND(ISNUMBER($BH$241),$B$156=1),$BH$241,HLOOKUP(INDIRECT(ADDRESS(2,COLUMN())),OFFSET($BN$2,0,0,ROW()-1,60),ROW()-1,FALSE))</f>
        <v>87546</v>
      </c>
      <c r="BI110" t="str">
        <f ca="1">IF(AND(ISNUMBER($BI$241),$B$156=1),$BI$241,HLOOKUP(INDIRECT(ADDRESS(2,COLUMN())),OFFSET($BN$2,0,0,ROW()-1,60),ROW()-1,FALSE))</f>
        <v/>
      </c>
      <c r="BJ110">
        <f ca="1">IF(AND(ISNUMBER($BJ$241),$B$156=1),$BJ$241,HLOOKUP(INDIRECT(ADDRESS(2,COLUMN())),OFFSET($BN$2,0,0,ROW()-1,60),ROW()-1,FALSE))</f>
        <v>124000</v>
      </c>
      <c r="BK110" t="str">
        <f ca="1">IF(AND(ISNUMBER($BK$241),$B$156=1),$BK$241,HLOOKUP(INDIRECT(ADDRESS(2,COLUMN())),OFFSET($BN$2,0,0,ROW()-1,60),ROW()-1,FALSE))</f>
        <v/>
      </c>
      <c r="BL110" t="str">
        <f ca="1">IF(AND(ISNUMBER($BL$241),$B$156=1),$BL$241,HLOOKUP(INDIRECT(ADDRESS(2,COLUMN())),OFFSET($BN$2,0,0,ROW()-1,60),ROW()-1,FALSE))</f>
        <v/>
      </c>
      <c r="BM110" t="str">
        <f ca="1">IF(AND(ISNUMBER($BM$241),$B$156=1),$BM$241,HLOOKUP(INDIRECT(ADDRESS(2,COLUMN())),OFFSET($BN$2,0,0,ROW()-1,60),ROW()-1,FALSE))</f>
        <v/>
      </c>
      <c r="BN110" t="str">
        <f>""</f>
        <v/>
      </c>
      <c r="BO110" t="str">
        <f>""</f>
        <v/>
      </c>
      <c r="BP110" t="str">
        <f>""</f>
        <v/>
      </c>
      <c r="BQ110">
        <f>549033</f>
        <v>549033</v>
      </c>
      <c r="BR110">
        <f>658348</f>
        <v>658348</v>
      </c>
      <c r="BS110">
        <f>814252</f>
        <v>814252</v>
      </c>
      <c r="BT110" t="str">
        <f>""</f>
        <v/>
      </c>
      <c r="BU110" t="str">
        <f>""</f>
        <v/>
      </c>
      <c r="BV110">
        <f>838728</f>
        <v>838728</v>
      </c>
      <c r="BW110">
        <f>1580113</f>
        <v>1580113</v>
      </c>
      <c r="BX110" t="str">
        <f>""</f>
        <v/>
      </c>
      <c r="BY110">
        <f>644771</f>
        <v>644771</v>
      </c>
      <c r="BZ110">
        <f>838519</f>
        <v>838519</v>
      </c>
      <c r="CA110">
        <f>745433</f>
        <v>745433</v>
      </c>
      <c r="CB110">
        <f>565376</f>
        <v>565376</v>
      </c>
      <c r="CC110">
        <f>803167</f>
        <v>803167</v>
      </c>
      <c r="CD110">
        <f>662833</f>
        <v>662833</v>
      </c>
      <c r="CE110">
        <f>671450</f>
        <v>671450</v>
      </c>
      <c r="CF110">
        <f>548550</f>
        <v>548550</v>
      </c>
      <c r="CG110">
        <f>657157</f>
        <v>657157</v>
      </c>
      <c r="CH110">
        <f>662843</f>
        <v>662843</v>
      </c>
      <c r="CI110" t="str">
        <f>""</f>
        <v/>
      </c>
      <c r="CJ110">
        <f>466861</f>
        <v>466861</v>
      </c>
      <c r="CK110" t="str">
        <f>""</f>
        <v/>
      </c>
      <c r="CL110">
        <f>528636</f>
        <v>528636</v>
      </c>
      <c r="CM110">
        <f>497100</f>
        <v>497100</v>
      </c>
      <c r="CN110">
        <f>363330</f>
        <v>363330</v>
      </c>
      <c r="CO110">
        <f>442719</f>
        <v>442719</v>
      </c>
      <c r="CP110">
        <f>444081</f>
        <v>444081</v>
      </c>
      <c r="CQ110">
        <f>442846</f>
        <v>442846</v>
      </c>
      <c r="CR110">
        <f>331909</f>
        <v>331909</v>
      </c>
      <c r="CS110">
        <f>387145</f>
        <v>387145</v>
      </c>
      <c r="CT110">
        <f>538100</f>
        <v>538100</v>
      </c>
      <c r="CU110">
        <f>513838</f>
        <v>513838</v>
      </c>
      <c r="CV110">
        <f>363159</f>
        <v>363159</v>
      </c>
      <c r="CW110">
        <f>421503</f>
        <v>421503</v>
      </c>
      <c r="CX110">
        <f>552996</f>
        <v>552996</v>
      </c>
      <c r="CY110">
        <f>365155</f>
        <v>365155</v>
      </c>
      <c r="CZ110">
        <f>343714</f>
        <v>343714</v>
      </c>
      <c r="DA110">
        <f>362471</f>
        <v>362471</v>
      </c>
      <c r="DB110">
        <f>297748</f>
        <v>297748</v>
      </c>
      <c r="DC110">
        <f>170460</f>
        <v>170460</v>
      </c>
      <c r="DD110">
        <f>225759</f>
        <v>225759</v>
      </c>
      <c r="DE110">
        <f>176598</f>
        <v>176598</v>
      </c>
      <c r="DF110">
        <f>261661</f>
        <v>261661</v>
      </c>
      <c r="DG110" t="str">
        <f>""</f>
        <v/>
      </c>
      <c r="DH110" t="str">
        <f>""</f>
        <v/>
      </c>
      <c r="DI110" t="str">
        <f>""</f>
        <v/>
      </c>
      <c r="DJ110" t="str">
        <f>""</f>
        <v/>
      </c>
      <c r="DK110" t="str">
        <f>""</f>
        <v/>
      </c>
      <c r="DL110" t="str">
        <f>""</f>
        <v/>
      </c>
      <c r="DM110" t="str">
        <f>""</f>
        <v/>
      </c>
      <c r="DN110" t="str">
        <f>""</f>
        <v/>
      </c>
      <c r="DO110" t="str">
        <f>""</f>
        <v/>
      </c>
      <c r="DP110">
        <f>87546</f>
        <v>87546</v>
      </c>
      <c r="DQ110" t="str">
        <f>""</f>
        <v/>
      </c>
      <c r="DR110">
        <f>124000</f>
        <v>124000</v>
      </c>
      <c r="DS110" t="str">
        <f>""</f>
        <v/>
      </c>
      <c r="DT110" t="str">
        <f>""</f>
        <v/>
      </c>
      <c r="DU110" t="str">
        <f>""</f>
        <v/>
      </c>
    </row>
    <row r="111" spans="1:125" x14ac:dyDescent="0.25">
      <c r="A111" t="str">
        <f>"    Daimler AG"</f>
        <v xml:space="preserve">    Daimler AG</v>
      </c>
      <c r="B111" t="str">
        <f>""</f>
        <v/>
      </c>
      <c r="E111" t="str">
        <f>"Sum"</f>
        <v>Sum</v>
      </c>
      <c r="F111" t="str">
        <f ca="1">IF(ISERROR(IF(SUM($F$112,$F$115) = 0, "", SUM($F$112,$F$115))), "", (IF(SUM($F$112,$F$115) = 0, "", SUM($F$112,$F$115))))</f>
        <v/>
      </c>
      <c r="G111">
        <f ca="1">IF(ISERROR(IF(SUM($G$112,$G$115) = 0, "", SUM($G$112,$G$115))), "", (IF(SUM($G$112,$G$115) = 0, "", SUM($G$112,$G$115))))</f>
        <v>917756</v>
      </c>
      <c r="H111">
        <f ca="1">IF(ISERROR(IF(SUM($H$112,$H$115) = 0, "", SUM($H$112,$H$115))), "", (IF(SUM($H$112,$H$115) = 0, "", SUM($H$112,$H$115))))</f>
        <v>794700</v>
      </c>
      <c r="I111">
        <f ca="1">IF(ISERROR(IF(SUM($I$112,$I$115) = 0, "", SUM($I$112,$I$115))), "", (IF(SUM($I$112,$I$115) = 0, "", SUM($I$112,$I$115))))</f>
        <v>833005</v>
      </c>
      <c r="J111">
        <f ca="1">IF(ISERROR(IF(SUM($J$112,$J$115) = 0, "", SUM($J$112,$J$115))), "", (IF(SUM($J$112,$J$115) = 0, "", SUM($J$112,$J$115))))</f>
        <v>806905</v>
      </c>
      <c r="K111">
        <f ca="1">IF(ISERROR(IF(SUM($K$112,$K$115) = 0, "", SUM($K$112,$K$115))), "", (IF(SUM($K$112,$K$115) = 0, "", SUM($K$112,$K$115))))</f>
        <v>873040</v>
      </c>
      <c r="L111">
        <f ca="1">IF(ISERROR(IF(SUM($L$112,$L$115) = 0, "", SUM($L$112,$L$115))), "", (IF(SUM($L$112,$L$115) = 0, "", SUM($L$112,$L$115))))</f>
        <v>824130</v>
      </c>
      <c r="M111">
        <f ca="1">IF(ISERROR(IF(SUM($M$112,$M$115) = 0, "", SUM($M$112,$M$115))), "", (IF(SUM($M$112,$M$115) = 0, "", SUM($M$112,$M$115))))</f>
        <v>822504</v>
      </c>
      <c r="N111">
        <f ca="1">IF(ISERROR(IF(SUM($N$112,$N$115) = 0, "", SUM($N$112,$N$115))), "", (IF(SUM($N$112,$N$115) = 0, "", SUM($N$112,$N$115))))</f>
        <v>754259</v>
      </c>
      <c r="O111">
        <f ca="1">IF(ISERROR(IF(SUM($O$112,$O$115) = 0, "", SUM($O$112,$O$115))), "", (IF(SUM($O$112,$O$115) = 0, "", SUM($O$112,$O$115))))</f>
        <v>799031</v>
      </c>
      <c r="P111">
        <f ca="1">IF(ISERROR(IF(SUM($P$112,$P$115) = 0, "", SUM($P$112,$P$115))), "", (IF(SUM($P$112,$P$115) = 0, "", SUM($P$112,$P$115))))</f>
        <v>754130</v>
      </c>
      <c r="Q111">
        <f ca="1">IF(ISERROR(IF(SUM($Q$112,$Q$115) = 0, "", SUM($Q$112,$Q$115))), "", (IF(SUM($Q$112,$Q$115) = 0, "", SUM($Q$112,$Q$115))))</f>
        <v>761340</v>
      </c>
      <c r="R111">
        <f ca="1">IF(ISERROR(IF(SUM($R$112,$R$115) = 0, "", SUM($R$112,$R$115))), "", (IF(SUM($R$112,$R$115) = 0, "", SUM($R$112,$R$115))))</f>
        <v>683885</v>
      </c>
      <c r="S111">
        <f ca="1">IF(ISERROR(IF(SUM($S$112,$S$115) = 0, "", SUM($S$112,$S$115))), "", (IF(SUM($S$112,$S$115) = 0, "", SUM($S$112,$S$115))))</f>
        <v>776625</v>
      </c>
      <c r="T111">
        <f ca="1">IF(ISERROR(IF(SUM($T$112,$T$115) = 0, "", SUM($T$112,$T$115))), "", (IF(SUM($T$112,$T$115) = 0, "", SUM($T$112,$T$115))))</f>
        <v>720016</v>
      </c>
      <c r="U111">
        <f ca="1">IF(ISERROR(IF(SUM($U$112,$U$115) = 0, "", SUM($U$112,$U$115))), "", (IF(SUM($U$112,$U$115) = 0, "", SUM($U$112,$U$115))))</f>
        <v>714759</v>
      </c>
      <c r="V111">
        <f ca="1">IF(ISERROR(IF(SUM($V$112,$V$115) = 0, "", SUM($V$112,$V$115))), "", (IF(SUM($V$112,$V$115) = 0, "", SUM($V$112,$V$115))))</f>
        <v>641614</v>
      </c>
      <c r="W111">
        <f ca="1">IF(ISERROR(IF(SUM($W$112,$W$115) = 0, "", SUM($W$112,$W$115))), "", (IF(SUM($W$112,$W$115) = 0, "", SUM($W$112,$W$115))))</f>
        <v>713906</v>
      </c>
      <c r="X111">
        <f ca="1">IF(ISERROR(IF(SUM($X$112,$X$115) = 0, "", SUM($X$112,$X$115))), "", (IF(SUM($X$112,$X$115) = 0, "", SUM($X$112,$X$115))))</f>
        <v>637423</v>
      </c>
      <c r="Y111">
        <f ca="1">IF(ISERROR(IF(SUM($Y$112,$Y$115) = 0, "", SUM($Y$112,$Y$115))), "", (IF(SUM($Y$112,$Y$115) = 0, "", SUM($Y$112,$Y$115))))</f>
        <v>628857</v>
      </c>
      <c r="Z111">
        <f ca="1">IF(ISERROR(IF(SUM($Z$112,$Z$115) = 0, "", SUM($Z$112,$Z$115))), "", (IF(SUM($Z$112,$Z$115) = 0, "", SUM($Z$112,$Z$115))))</f>
        <v>565799</v>
      </c>
      <c r="AA111">
        <f ca="1">IF(ISERROR(IF(SUM($AA$112,$AA$115) = 0, "", SUM($AA$112,$AA$115))), "", (IF(SUM($AA$112,$AA$115) = 0, "", SUM($AA$112,$AA$115))))</f>
        <v>552763</v>
      </c>
      <c r="AB111">
        <f ca="1">IF(ISERROR(IF(SUM($AB$112,$AB$115) = 0, "", SUM($AB$112,$AB$115))), "", (IF(SUM($AB$112,$AB$115) = 0, "", SUM($AB$112,$AB$115))))</f>
        <v>594874</v>
      </c>
      <c r="AC111">
        <f ca="1">IF(ISERROR(IF(SUM($AC$112,$AC$115) = 0, "", SUM($AC$112,$AC$115))), "", (IF(SUM($AC$112,$AC$115) = 0, "", SUM($AC$112,$AC$115))))</f>
        <v>605823</v>
      </c>
      <c r="AD111">
        <f ca="1">IF(ISERROR(IF(SUM($AD$112,$AD$115) = 0, "", SUM($AD$112,$AD$115))), "", (IF(SUM($AD$112,$AD$115) = 0, "", SUM($AD$112,$AD$115))))</f>
        <v>501600</v>
      </c>
      <c r="AE111">
        <f ca="1">IF(ISERROR(IF(SUM($AE$112,$AE$115) = 0, "", SUM($AE$112,$AE$115))), "", (IF(SUM($AE$112,$AE$115) = 0, "", SUM($AE$112,$AE$115))))</f>
        <v>491472</v>
      </c>
      <c r="AF111">
        <f ca="1">IF(ISERROR(IF(SUM($AF$112,$AF$115) = 0, "", SUM($AF$112,$AF$115))), "", (IF(SUM($AF$112,$AF$115) = 0, "", SUM($AF$112,$AF$115))))</f>
        <v>528559</v>
      </c>
      <c r="AG111">
        <f ca="1">IF(ISERROR(IF(SUM($AG$112,$AG$115) = 0, "", SUM($AG$112,$AG$115))), "", (IF(SUM($AG$112,$AG$115) = 0, "", SUM($AG$112,$AG$115))))</f>
        <v>570343</v>
      </c>
      <c r="AH111">
        <f ca="1">IF(ISERROR(IF(SUM($AH$112,$AH$115) = 0, "", SUM($AH$112,$AH$115))), "", (IF(SUM($AH$112,$AH$115) = 0, "", SUM($AH$112,$AH$115))))</f>
        <v>502086</v>
      </c>
      <c r="AI111">
        <f ca="1">IF(ISERROR(IF(SUM($AI$112,$AI$115) = 0, "", SUM($AI$112,$AI$115))), "", (IF(SUM($AI$112,$AI$115) = 0, "", SUM($AI$112,$AI$115))))</f>
        <v>596203</v>
      </c>
      <c r="AJ111">
        <f ca="1">IF(ISERROR(IF(SUM($AJ$112,$AJ$115) = 0, "", SUM($AJ$112,$AJ$115))), "", (IF(SUM($AJ$112,$AJ$115) = 0, "", SUM($AJ$112,$AJ$115))))</f>
        <v>525517</v>
      </c>
      <c r="AK111">
        <f ca="1">IF(ISERROR(IF(SUM($AK$112,$AK$115) = 0, "", SUM($AK$112,$AK$115))), "", (IF(SUM($AK$112,$AK$115) = 0, "", SUM($AK$112,$AK$115))))</f>
        <v>527644</v>
      </c>
      <c r="AL111">
        <f ca="1">IF(ISERROR(IF(SUM($AL$112,$AL$115) = 0, "", SUM($AL$112,$AL$115))), "", (IF(SUM($AL$112,$AL$115) = 0, "", SUM($AL$112,$AL$115))))</f>
        <v>461742</v>
      </c>
      <c r="AM111">
        <f ca="1">IF(ISERROR(IF(SUM($AM$112,$AM$115) = 0, "", SUM($AM$112,$AM$115))), "", (IF(SUM($AM$112,$AM$115) = 0, "", SUM($AM$112,$AM$115))))</f>
        <v>409686</v>
      </c>
      <c r="AN111">
        <f ca="1">IF(ISERROR(IF(SUM($AN$112,$AN$115) = 0, "", SUM($AN$112,$AN$115))), "", (IF(SUM($AN$112,$AN$115) = 0, "", SUM($AN$112,$AN$115))))</f>
        <v>475110</v>
      </c>
      <c r="AO111">
        <f ca="1">IF(ISERROR(IF(SUM($AO$112,$AO$115) = 0, "", SUM($AO$112,$AO$115))), "", (IF(SUM($AO$112,$AO$115) = 0, "", SUM($AO$112,$AO$115))))</f>
        <v>496481</v>
      </c>
      <c r="AP111">
        <f ca="1">IF(ISERROR(IF(SUM($AP$112,$AP$115) = 0, "", SUM($AP$112,$AP$115))), "", (IF(SUM($AP$112,$AP$115) = 0, "", SUM($AP$112,$AP$115))))</f>
        <v>402725</v>
      </c>
      <c r="AQ111">
        <f ca="1">IF(ISERROR(IF(SUM($AQ$112,$AQ$115) = 0, "", SUM($AQ$112,$AQ$115))), "", (IF(SUM($AQ$112,$AQ$115) = 0, "", SUM($AQ$112,$AQ$115))))</f>
        <v>435133</v>
      </c>
      <c r="AR111">
        <f ca="1">IF(ISERROR(IF(SUM($AR$112,$AR$115) = 0, "", SUM($AR$112,$AR$115))), "", (IF(SUM($AR$112,$AR$115) = 0, "", SUM($AR$112,$AR$115))))</f>
        <v>386461</v>
      </c>
      <c r="AS111">
        <f ca="1">IF(ISERROR(IF(SUM($AS$112,$AS$115) = 0, "", SUM($AS$112,$AS$115))), "", (IF(SUM($AS$112,$AS$115) = 0, "", SUM($AS$112,$AS$115))))</f>
        <v>391540</v>
      </c>
      <c r="AT111">
        <f ca="1">IF(ISERROR(IF(SUM($AT$112,$AT$115) = 0, "", SUM($AT$112,$AT$115))), "", (IF(SUM($AT$112,$AT$115) = 0, "", SUM($AT$112,$AT$115))))</f>
        <v>332252</v>
      </c>
      <c r="AU111">
        <f ca="1">IF(ISERROR(IF(SUM($AU$112,$AU$115) = 0, "", SUM($AU$112,$AU$115))), "", (IF(SUM($AU$112,$AU$115) = 0, "", SUM($AU$112,$AU$115))))</f>
        <v>479968</v>
      </c>
      <c r="AV111">
        <f ca="1">IF(ISERROR(IF(SUM($AV$112,$AV$115) = 0, "", SUM($AV$112,$AV$115))), "", (IF(SUM($AV$112,$AV$115) = 0, "", SUM($AV$112,$AV$115))))</f>
        <v>522525</v>
      </c>
      <c r="AW111">
        <f ca="1">IF(ISERROR(IF(SUM($AW$112,$AW$115) = 0, "", SUM($AW$112,$AW$115))), "", (IF(SUM($AW$112,$AW$115) = 0, "", SUM($AW$112,$AW$115))))</f>
        <v>566480</v>
      </c>
      <c r="AX111">
        <f ca="1">IF(ISERROR(IF(SUM($AX$112,$AX$115) = 0, "", SUM($AX$112,$AX$115))), "", (IF(SUM($AX$112,$AX$115) = 0, "", SUM($AX$112,$AX$115))))</f>
        <v>503816</v>
      </c>
      <c r="AY111">
        <f ca="1">IF(ISERROR(IF(SUM($AY$112,$AY$115) = 0, "", SUM($AY$112,$AY$115))), "", (IF(SUM($AY$112,$AY$115) = 0, "", SUM($AY$112,$AY$115))))</f>
        <v>575502</v>
      </c>
      <c r="AZ111">
        <f ca="1">IF(ISERROR(IF(SUM($AZ$112,$AZ$115) = 0, "", SUM($AZ$112,$AZ$115))), "", (IF(SUM($AZ$112,$AZ$115) = 0, "", SUM($AZ$112,$AZ$115))))</f>
        <v>536973</v>
      </c>
      <c r="BA111">
        <f ca="1">IF(ISERROR(IF(SUM($BA$112,$BA$115) = 0, "", SUM($BA$112,$BA$115))), "", (IF(SUM($BA$112,$BA$115) = 0, "", SUM($BA$112,$BA$115))))</f>
        <v>516366</v>
      </c>
      <c r="BB111">
        <f ca="1">IF(ISERROR(IF(SUM($BB$112,$BB$115) = 0, "", SUM($BB$112,$BB$115))), "", (IF(SUM($BB$112,$BB$115) = 0, "", SUM($BB$112,$BB$115))))</f>
        <v>460281</v>
      </c>
      <c r="BC111">
        <f ca="1">IF(ISERROR(IF(SUM($BC$112,$BC$115) = 0, "", SUM($BC$112,$BC$115))), "", (IF(SUM($BC$112,$BC$115) = 0, "", SUM($BC$112,$BC$115))))</f>
        <v>445172</v>
      </c>
      <c r="BD111">
        <f ca="1">IF(ISERROR(IF(SUM($BD$112,$BD$115) = 0, "", SUM($BD$112,$BD$115))), "", (IF(SUM($BD$112,$BD$115) = 0, "", SUM($BD$112,$BD$115))))</f>
        <v>510961</v>
      </c>
      <c r="BE111">
        <f ca="1">IF(ISERROR(IF(SUM($BE$112,$BE$115) = 0, "", SUM($BE$112,$BE$115))), "", (IF(SUM($BE$112,$BE$115) = 0, "", SUM($BE$112,$BE$115))))</f>
        <v>533776</v>
      </c>
      <c r="BF111">
        <f ca="1">IF(ISERROR(IF(SUM($BF$112,$BF$115) = 0, "", SUM($BF$112,$BF$115))), "", (IF(SUM($BF$112,$BF$115) = 0, "", SUM($BF$112,$BF$115))))</f>
        <v>468365</v>
      </c>
      <c r="BG111">
        <f ca="1">IF(ISERROR(IF(SUM($BG$112,$BG$115) = 0, "", SUM($BG$112,$BG$115))), "", (IF(SUM($BG$112,$BG$115) = 0, "", SUM($BG$112,$BG$115))))</f>
        <v>350904</v>
      </c>
      <c r="BH111">
        <f ca="1">IF(ISERROR(IF(SUM($BH$112,$BH$115) = 0, "", SUM($BH$112,$BH$115))), "", (IF(SUM($BH$112,$BH$115) = 0, "", SUM($BH$112,$BH$115))))</f>
        <v>310885</v>
      </c>
      <c r="BI111">
        <f ca="1">IF(ISERROR(IF(SUM($BI$112,$BI$115) = 0, "", SUM($BI$112,$BI$115))), "", (IF(SUM($BI$112,$BI$115) = 0, "", SUM($BI$112,$BI$115))))</f>
        <v>308081</v>
      </c>
      <c r="BJ111">
        <f ca="1">IF(ISERROR(IF(SUM($BJ$112,$BJ$115) = 0, "", SUM($BJ$112,$BJ$115))), "", (IF(SUM($BJ$112,$BJ$115) = 0, "", SUM($BJ$112,$BJ$115))))</f>
        <v>246968</v>
      </c>
      <c r="BK111">
        <f ca="1">IF(ISERROR(IF(SUM($BK$112,$BK$115) = 0, "", SUM($BK$112,$BK$115))), "", (IF(SUM($BK$112,$BK$115) = 0, "", SUM($BK$112,$BK$115))))</f>
        <v>348260</v>
      </c>
      <c r="BL111">
        <f ca="1">IF(ISERROR(IF(SUM($BL$112,$BL$115) = 0, "", SUM($BL$112,$BL$115))), "", (IF(SUM($BL$112,$BL$115) = 0, "", SUM($BL$112,$BL$115))))</f>
        <v>293172</v>
      </c>
      <c r="BM111">
        <f ca="1">IF(ISERROR(IF(SUM($BM$112,$BM$115) = 0, "", SUM($BM$112,$BM$115))), "", (IF(SUM($BM$112,$BM$115) = 0, "", SUM($BM$112,$BM$115))))</f>
        <v>319353</v>
      </c>
      <c r="BN111" t="str">
        <f>""</f>
        <v/>
      </c>
      <c r="BO111">
        <f>917756</f>
        <v>917756</v>
      </c>
      <c r="BP111">
        <f>794700</f>
        <v>794700</v>
      </c>
      <c r="BQ111">
        <f>833005</f>
        <v>833005</v>
      </c>
      <c r="BR111">
        <f>806905</f>
        <v>806905</v>
      </c>
      <c r="BS111">
        <f>873040</f>
        <v>873040</v>
      </c>
      <c r="BT111">
        <f>824130</f>
        <v>824130</v>
      </c>
      <c r="BU111">
        <f>822504</f>
        <v>822504</v>
      </c>
      <c r="BV111">
        <f>754259</f>
        <v>754259</v>
      </c>
      <c r="BW111">
        <f>799031</f>
        <v>799031</v>
      </c>
      <c r="BX111">
        <f>754130</f>
        <v>754130</v>
      </c>
      <c r="BY111">
        <f>761340</f>
        <v>761340</v>
      </c>
      <c r="BZ111">
        <f>683885</f>
        <v>683885</v>
      </c>
      <c r="CA111">
        <f>776625</f>
        <v>776625</v>
      </c>
      <c r="CB111">
        <f>720016</f>
        <v>720016</v>
      </c>
      <c r="CC111">
        <f>714759</f>
        <v>714759</v>
      </c>
      <c r="CD111">
        <f>641614</f>
        <v>641614</v>
      </c>
      <c r="CE111">
        <f>713906</f>
        <v>713906</v>
      </c>
      <c r="CF111">
        <f>637423</f>
        <v>637423</v>
      </c>
      <c r="CG111">
        <f>628857</f>
        <v>628857</v>
      </c>
      <c r="CH111">
        <f>565799</f>
        <v>565799</v>
      </c>
      <c r="CI111">
        <f>552763</f>
        <v>552763</v>
      </c>
      <c r="CJ111">
        <f>594874</f>
        <v>594874</v>
      </c>
      <c r="CK111">
        <f>605823</f>
        <v>605823</v>
      </c>
      <c r="CL111">
        <f>501600</f>
        <v>501600</v>
      </c>
      <c r="CM111">
        <f>491472</f>
        <v>491472</v>
      </c>
      <c r="CN111">
        <f>528559</f>
        <v>528559</v>
      </c>
      <c r="CO111">
        <f>570343</f>
        <v>570343</v>
      </c>
      <c r="CP111">
        <f>502086</f>
        <v>502086</v>
      </c>
      <c r="CQ111">
        <f>596203</f>
        <v>596203</v>
      </c>
      <c r="CR111">
        <f>525517</f>
        <v>525517</v>
      </c>
      <c r="CS111">
        <f>527644</f>
        <v>527644</v>
      </c>
      <c r="CT111">
        <f>461742</f>
        <v>461742</v>
      </c>
      <c r="CU111">
        <f>409686</f>
        <v>409686</v>
      </c>
      <c r="CV111">
        <f>475110</f>
        <v>475110</v>
      </c>
      <c r="CW111">
        <f>496481</f>
        <v>496481</v>
      </c>
      <c r="CX111">
        <f>402725</f>
        <v>402725</v>
      </c>
      <c r="CY111">
        <f>435133</f>
        <v>435133</v>
      </c>
      <c r="CZ111">
        <f>386461</f>
        <v>386461</v>
      </c>
      <c r="DA111">
        <f>391540</f>
        <v>391540</v>
      </c>
      <c r="DB111">
        <f>332252</f>
        <v>332252</v>
      </c>
      <c r="DC111">
        <f>479968</f>
        <v>479968</v>
      </c>
      <c r="DD111">
        <f>522525</f>
        <v>522525</v>
      </c>
      <c r="DE111">
        <f>566480</f>
        <v>566480</v>
      </c>
      <c r="DF111">
        <f>503816</f>
        <v>503816</v>
      </c>
      <c r="DG111">
        <f>575502</f>
        <v>575502</v>
      </c>
      <c r="DH111">
        <f>536973</f>
        <v>536973</v>
      </c>
      <c r="DI111">
        <f>516366</f>
        <v>516366</v>
      </c>
      <c r="DJ111">
        <f>460281</f>
        <v>460281</v>
      </c>
      <c r="DK111">
        <f>445172</f>
        <v>445172</v>
      </c>
      <c r="DL111">
        <f>510961</f>
        <v>510961</v>
      </c>
      <c r="DM111">
        <f>533776</f>
        <v>533776</v>
      </c>
      <c r="DN111">
        <f>468365</f>
        <v>468365</v>
      </c>
      <c r="DO111">
        <f>564369</f>
        <v>564369</v>
      </c>
      <c r="DP111">
        <f>521285</f>
        <v>521285</v>
      </c>
      <c r="DQ111">
        <f>529698</f>
        <v>529698</v>
      </c>
      <c r="DR111">
        <f>426353</f>
        <v>426353</v>
      </c>
      <c r="DS111">
        <f>539299</f>
        <v>539299</v>
      </c>
      <c r="DT111">
        <f>503572</f>
        <v>503572</v>
      </c>
      <c r="DU111">
        <f>504290</f>
        <v>504290</v>
      </c>
    </row>
    <row r="112" spans="1:125" x14ac:dyDescent="0.25">
      <c r="A112" t="str">
        <f>"        Mercedes-Benz"</f>
        <v xml:space="preserve">        Mercedes-Benz</v>
      </c>
      <c r="B112" t="str">
        <f>""</f>
        <v/>
      </c>
      <c r="E112" t="str">
        <f>"Sum"</f>
        <v>Sum</v>
      </c>
      <c r="F112" t="str">
        <f ca="1">IF(ISERROR(IF(SUM($F$113:$F$114) = 0, "", SUM($F$113:$F$114))), "", (IF(SUM($F$113:$F$114) = 0, "", SUM($F$113:$F$114))))</f>
        <v/>
      </c>
      <c r="G112">
        <f ca="1">IF(ISERROR(IF(SUM($G$113:$G$114) = 0, "", SUM($G$113:$G$114))), "", (IF(SUM($G$113:$G$114) = 0, "", SUM($G$113:$G$114))))</f>
        <v>764351</v>
      </c>
      <c r="H112">
        <f ca="1">IF(ISERROR(IF(SUM($H$113:$H$114) = 0, "", SUM($H$113:$H$114))), "", (IF(SUM($H$113:$H$114) = 0, "", SUM($H$113:$H$114))))</f>
        <v>650900</v>
      </c>
      <c r="I112">
        <f ca="1">IF(ISERROR(IF(SUM($I$113:$I$114) = 0, "", SUM($I$113:$I$114))), "", (IF(SUM($I$113:$I$114) = 0, "", SUM($I$113:$I$114))))</f>
        <v>701573</v>
      </c>
      <c r="J112">
        <f ca="1">IF(ISERROR(IF(SUM($J$113:$J$114) = 0, "", SUM($J$113:$J$114))), "", (IF(SUM($J$113:$J$114) = 0, "", SUM($J$113:$J$114))))</f>
        <v>687315</v>
      </c>
      <c r="K112">
        <f ca="1">IF(ISERROR(IF(SUM($K$113:$K$114) = 0, "", SUM($K$113:$K$114))), "", (IF(SUM($K$113:$K$114) = 0, "", SUM($K$113:$K$114))))</f>
        <v>730774</v>
      </c>
      <c r="L112">
        <f ca="1">IF(ISERROR(IF(SUM($L$113:$L$114) = 0, "", SUM($L$113:$L$114))), "", (IF(SUM($L$113:$L$114) = 0, "", SUM($L$113:$L$114))))</f>
        <v>690359</v>
      </c>
      <c r="M112">
        <f ca="1">IF(ISERROR(IF(SUM($M$113:$M$114) = 0, "", SUM($M$113:$M$114))), "", (IF(SUM($M$113:$M$114) = 0, "", SUM($M$113:$M$114))))</f>
        <v>698571</v>
      </c>
      <c r="N112">
        <f ca="1">IF(ISERROR(IF(SUM($N$113:$N$114) = 0, "", SUM($N$113:$N$114))), "", (IF(SUM($N$113:$N$114) = 0, "", SUM($N$113:$N$114))))</f>
        <v>654848</v>
      </c>
      <c r="O112">
        <f ca="1">IF(ISERROR(IF(SUM($O$113:$O$114) = 0, "", SUM($O$113:$O$114))), "", (IF(SUM($O$113:$O$114) = 0, "", SUM($O$113:$O$114))))</f>
        <v>686747</v>
      </c>
      <c r="P112">
        <f ca="1">IF(ISERROR(IF(SUM($P$113:$P$114) = 0, "", SUM($P$113:$P$114))), "", (IF(SUM($P$113:$P$114) = 0, "", SUM($P$113:$P$114))))</f>
        <v>650802</v>
      </c>
      <c r="Q112">
        <f ca="1">IF(ISERROR(IF(SUM($Q$113:$Q$114) = 0, "", SUM($Q$113:$Q$114))), "", (IF(SUM($Q$113:$Q$114) = 0, "", SUM($Q$113:$Q$114))))</f>
        <v>646100</v>
      </c>
      <c r="R112">
        <f ca="1">IF(ISERROR(IF(SUM($R$113:$R$114) = 0, "", SUM($R$113:$R$114))), "", (IF(SUM($R$113:$R$114) = 0, "", SUM($R$113:$R$114))))</f>
        <v>573403</v>
      </c>
      <c r="S112">
        <f ca="1">IF(ISERROR(IF(SUM($S$113:$S$114) = 0, "", SUM($S$113:$S$114))), "", (IF(SUM($S$113:$S$114) = 0, "", SUM($S$113:$S$114))))</f>
        <v>632555</v>
      </c>
      <c r="T112">
        <f ca="1">IF(ISERROR(IF(SUM($T$113:$T$114) = 0, "", SUM($T$113:$T$114))), "", (IF(SUM($T$113:$T$114) = 0, "", SUM($T$113:$T$114))))</f>
        <v>584082</v>
      </c>
      <c r="U112">
        <f ca="1">IF(ISERROR(IF(SUM($U$113:$U$114) = 0, "", SUM($U$113:$U$114))), "", (IF(SUM($U$113:$U$114) = 0, "", SUM($U$113:$U$114))))</f>
        <v>582305</v>
      </c>
      <c r="V112">
        <f ca="1">IF(ISERROR(IF(SUM($V$113:$V$114) = 0, "", SUM($V$113:$V$114))), "", (IF(SUM($V$113:$V$114) = 0, "", SUM($V$113:$V$114))))</f>
        <v>523513</v>
      </c>
      <c r="W112">
        <f ca="1">IF(ISERROR(IF(SUM($W$113:$W$114) = 0, "", SUM($W$113:$W$114))), "", (IF(SUM($W$113:$W$114) = 0, "", SUM($W$113:$W$114))))</f>
        <v>568618</v>
      </c>
      <c r="X112">
        <f ca="1">IF(ISERROR(IF(SUM($X$113:$X$114) = 0, "", SUM($X$113:$X$114))), "", (IF(SUM($X$113:$X$114) = 0, "", SUM($X$113:$X$114))))</f>
        <v>503248</v>
      </c>
      <c r="Y112">
        <f ca="1">IF(ISERROR(IF(SUM($Y$113:$Y$114) = 0, "", SUM($Y$113:$Y$114))), "", (IF(SUM($Y$113:$Y$114) = 0, "", SUM($Y$113:$Y$114))))</f>
        <v>494694</v>
      </c>
      <c r="Z112">
        <f ca="1">IF(ISERROR(IF(SUM($Z$113:$Z$114) = 0, "", SUM($Z$113:$Z$114))), "", (IF(SUM($Z$113:$Z$114) = 0, "", SUM($Z$113:$Z$114))))</f>
        <v>450595</v>
      </c>
      <c r="AA112">
        <f ca="1">IF(ISERROR(IF(SUM($AA$113:$AA$114) = 0, "", SUM($AA$113:$AA$114))), "", (IF(SUM($AA$113:$AA$114) = 0, "", SUM($AA$113:$AA$114))))</f>
        <v>408103</v>
      </c>
      <c r="AB112">
        <f ca="1">IF(ISERROR(IF(SUM($AB$113:$AB$114) = 0, "", SUM($AB$113:$AB$114))), "", (IF(SUM($AB$113:$AB$114) = 0, "", SUM($AB$113:$AB$114))))</f>
        <v>460760</v>
      </c>
      <c r="AC112">
        <f ca="1">IF(ISERROR(IF(SUM($AC$113:$AC$114) = 0, "", SUM($AC$113:$AC$114))), "", (IF(SUM($AC$113:$AC$114) = 0, "", SUM($AC$113:$AC$114))))</f>
        <v>474147</v>
      </c>
      <c r="AD112">
        <f ca="1">IF(ISERROR(IF(SUM($AD$113:$AD$114) = 0, "", SUM($AD$113:$AD$114))), "", (IF(SUM($AD$113:$AD$114) = 0, "", SUM($AD$113:$AD$114))))</f>
        <v>394134</v>
      </c>
      <c r="AE112">
        <f ca="1">IF(ISERROR(IF(SUM($AE$113:$AE$114) = 0, "", SUM($AE$113:$AE$114))), "", (IF(SUM($AE$113:$AE$114) = 0, "", SUM($AE$113:$AE$114))))</f>
        <v>368024</v>
      </c>
      <c r="AF112">
        <f ca="1">IF(ISERROR(IF(SUM($AF$113:$AF$114) = 0, "", SUM($AF$113:$AF$114))), "", (IF(SUM($AF$113:$AF$114) = 0, "", SUM($AF$113:$AF$114))))</f>
        <v>401160</v>
      </c>
      <c r="AG112">
        <f ca="1">IF(ISERROR(IF(SUM($AG$113:$AG$114) = 0, "", SUM($AG$113:$AG$114))), "", (IF(SUM($AG$113:$AG$114) = 0, "", SUM($AG$113:$AG$114))))</f>
        <v>439708</v>
      </c>
      <c r="AH112">
        <f ca="1">IF(ISERROR(IF(SUM($AH$113:$AH$114) = 0, "", SUM($AH$113:$AH$114))), "", (IF(SUM($AH$113:$AH$114) = 0, "", SUM($AH$113:$AH$114))))</f>
        <v>389526</v>
      </c>
      <c r="AI112">
        <f ca="1">IF(ISERROR(IF(SUM($AI$113:$AI$114) = 0, "", SUM($AI$113:$AI$114))), "", (IF(SUM($AI$113:$AI$114) = 0, "", SUM($AI$113:$AI$114))))</f>
        <v>475877</v>
      </c>
      <c r="AJ112">
        <f ca="1">IF(ISERROR(IF(SUM($AJ$113:$AJ$114) = 0, "", SUM($AJ$113:$AJ$114))), "", (IF(SUM($AJ$113:$AJ$114) = 0, "", SUM($AJ$113:$AJ$114))))</f>
        <v>400681</v>
      </c>
      <c r="AK112">
        <f ca="1">IF(ISERROR(IF(SUM($AK$113:$AK$114) = 0, "", SUM($AK$113:$AK$114))), "", (IF(SUM($AK$113:$AK$114) = 0, "", SUM($AK$113:$AK$114))))</f>
        <v>425625</v>
      </c>
      <c r="AL112">
        <f ca="1">IF(ISERROR(IF(SUM($AL$113:$AL$114) = 0, "", SUM($AL$113:$AL$114))), "", (IF(SUM($AL$113:$AL$114) = 0, "", SUM($AL$113:$AL$114))))</f>
        <v>364735</v>
      </c>
      <c r="AM112">
        <f ca="1">IF(ISERROR(IF(SUM($AM$113:$AM$114) = 0, "", SUM($AM$113:$AM$114))), "", (IF(SUM($AM$113:$AM$114) = 0, "", SUM($AM$113:$AM$114))))</f>
        <v>337375</v>
      </c>
      <c r="AN112">
        <f ca="1">IF(ISERROR(IF(SUM($AN$113:$AN$114) = 0, "", SUM($AN$113:$AN$114))), "", (IF(SUM($AN$113:$AN$114) = 0, "", SUM($AN$113:$AN$114))))</f>
        <v>371223</v>
      </c>
      <c r="AO112">
        <f ca="1">IF(ISERROR(IF(SUM($AO$113:$AO$114) = 0, "", SUM($AO$113:$AO$114))), "", (IF(SUM($AO$113:$AO$114) = 0, "", SUM($AO$113:$AO$114))))</f>
        <v>401854</v>
      </c>
      <c r="AP112">
        <f ca="1">IF(ISERROR(IF(SUM($AP$113:$AP$114) = 0, "", SUM($AP$113:$AP$114))), "", (IF(SUM($AP$113:$AP$114) = 0, "", SUM($AP$113:$AP$114))))</f>
        <v>323772</v>
      </c>
      <c r="AQ112">
        <f ca="1">IF(ISERROR(IF(SUM($AQ$113:$AQ$114) = 0, "", SUM($AQ$113:$AQ$114))), "", (IF(SUM($AQ$113:$AQ$114) = 0, "", SUM($AQ$113:$AQ$114))))</f>
        <v>352395</v>
      </c>
      <c r="AR112">
        <f ca="1">IF(ISERROR(IF(SUM($AR$113:$AR$114) = 0, "", SUM($AR$113:$AR$114))), "", (IF(SUM($AR$113:$AR$114) = 0, "", SUM($AR$113:$AR$114))))</f>
        <v>312040</v>
      </c>
      <c r="AS112">
        <f ca="1">IF(ISERROR(IF(SUM($AS$113:$AS$114) = 0, "", SUM($AS$113:$AS$114))), "", (IF(SUM($AS$113:$AS$114) = 0, "", SUM($AS$113:$AS$114))))</f>
        <v>329114</v>
      </c>
      <c r="AT112">
        <f ca="1">IF(ISERROR(IF(SUM($AT$113:$AT$114) = 0, "", SUM($AT$113:$AT$114))), "", (IF(SUM($AT$113:$AT$114) = 0, "", SUM($AT$113:$AT$114))))</f>
        <v>260027</v>
      </c>
      <c r="AU112">
        <f ca="1">IF(ISERROR(IF(SUM($AU$113:$AU$114) = 0, "", SUM($AU$113:$AU$114))), "", (IF(SUM($AU$113:$AU$114) = 0, "", SUM($AU$113:$AU$114))))</f>
        <v>351645</v>
      </c>
      <c r="AV112">
        <f ca="1">IF(ISERROR(IF(SUM($AV$113:$AV$114) = 0, "", SUM($AV$113:$AV$114))), "", (IF(SUM($AV$113:$AV$114) = 0, "", SUM($AV$113:$AV$114))))</f>
        <v>389037</v>
      </c>
      <c r="AW112">
        <f ca="1">IF(ISERROR(IF(SUM($AW$113:$AW$114) = 0, "", SUM($AW$113:$AW$114))), "", (IF(SUM($AW$113:$AW$114) = 0, "", SUM($AW$113:$AW$114))))</f>
        <v>432605</v>
      </c>
      <c r="AX112">
        <f ca="1">IF(ISERROR(IF(SUM($AX$113:$AX$114) = 0, "", SUM($AX$113:$AX$114))), "", (IF(SUM($AX$113:$AX$114) = 0, "", SUM($AX$113:$AX$114))))</f>
        <v>386911</v>
      </c>
      <c r="AY112">
        <f ca="1">IF(ISERROR(IF(SUM($AY$113:$AY$114) = 0, "", SUM($AY$113:$AY$114))), "", (IF(SUM($AY$113:$AY$114) = 0, "", SUM($AY$113:$AY$114))))</f>
        <v>445414</v>
      </c>
      <c r="AZ112">
        <f ca="1">IF(ISERROR(IF(SUM($AZ$113:$AZ$114) = 0, "", SUM($AZ$113:$AZ$114))), "", (IF(SUM($AZ$113:$AZ$114) = 0, "", SUM($AZ$113:$AZ$114))))</f>
        <v>409924</v>
      </c>
      <c r="BA112">
        <f ca="1">IF(ISERROR(IF(SUM($BA$113:$BA$114) = 0, "", SUM($BA$113:$BA$114))), "", (IF(SUM($BA$113:$BA$114) = 0, "", SUM($BA$113:$BA$114))))</f>
        <v>393974</v>
      </c>
      <c r="BB112">
        <f ca="1">IF(ISERROR(IF(SUM($BB$113:$BB$114) = 0, "", SUM($BB$113:$BB$114))), "", (IF(SUM($BB$113:$BB$114) = 0, "", SUM($BB$113:$BB$114))))</f>
        <v>332761</v>
      </c>
      <c r="BC112">
        <f ca="1">IF(ISERROR(IF(SUM($BC$113:$BC$114) = 0, "", SUM($BC$113:$BC$114))), "", (IF(SUM($BC$113:$BC$114) = 0, "", SUM($BC$113:$BC$114))))</f>
        <v>307448</v>
      </c>
      <c r="BD112">
        <f ca="1">IF(ISERROR(IF(SUM($BD$113:$BD$114) = 0, "", SUM($BD$113:$BD$114))), "", (IF(SUM($BD$113:$BD$114) = 0, "", SUM($BD$113:$BD$114))))</f>
        <v>366290</v>
      </c>
      <c r="BE112">
        <f ca="1">IF(ISERROR(IF(SUM($BE$113:$BE$114) = 0, "", SUM($BE$113:$BE$114))), "", (IF(SUM($BE$113:$BE$114) = 0, "", SUM($BE$113:$BE$114))))</f>
        <v>391075</v>
      </c>
      <c r="BF112">
        <f ca="1">IF(ISERROR(IF(SUM($BF$113:$BF$114) = 0, "", SUM($BF$113:$BF$114))), "", (IF(SUM($BF$113:$BF$114) = 0, "", SUM($BF$113:$BF$114))))</f>
        <v>341182</v>
      </c>
      <c r="BG112">
        <f ca="1">IF(ISERROR(IF(SUM($BG$113:$BG$114) = 0, "", SUM($BG$113:$BG$114))), "", (IF(SUM($BG$113:$BG$114) = 0, "", SUM($BG$113:$BG$114))))</f>
        <v>350904</v>
      </c>
      <c r="BH112">
        <f ca="1">IF(ISERROR(IF(SUM($BH$113:$BH$114) = 0, "", SUM($BH$113:$BH$114))), "", (IF(SUM($BH$113:$BH$114) = 0, "", SUM($BH$113:$BH$114))))</f>
        <v>310885</v>
      </c>
      <c r="BI112">
        <f ca="1">IF(ISERROR(IF(SUM($BI$113:$BI$114) = 0, "", SUM($BI$113:$BI$114))), "", (IF(SUM($BI$113:$BI$114) = 0, "", SUM($BI$113:$BI$114))))</f>
        <v>308081</v>
      </c>
      <c r="BJ112">
        <f ca="1">IF(ISERROR(IF(SUM($BJ$113:$BJ$114) = 0, "", SUM($BJ$113:$BJ$114))), "", (IF(SUM($BJ$113:$BJ$114) = 0, "", SUM($BJ$113:$BJ$114))))</f>
        <v>246968</v>
      </c>
      <c r="BK112">
        <f ca="1">IF(ISERROR(IF(SUM($BK$113:$BK$114) = 0, "", SUM($BK$113:$BK$114))), "", (IF(SUM($BK$113:$BK$114) = 0, "", SUM($BK$113:$BK$114))))</f>
        <v>348260</v>
      </c>
      <c r="BL112">
        <f ca="1">IF(ISERROR(IF(SUM($BL$113:$BL$114) = 0, "", SUM($BL$113:$BL$114))), "", (IF(SUM($BL$113:$BL$114) = 0, "", SUM($BL$113:$BL$114))))</f>
        <v>293172</v>
      </c>
      <c r="BM112">
        <f ca="1">IF(ISERROR(IF(SUM($BM$113:$BM$114) = 0, "", SUM($BM$113:$BM$114))), "", (IF(SUM($BM$113:$BM$114) = 0, "", SUM($BM$113:$BM$114))))</f>
        <v>319353</v>
      </c>
      <c r="BN112" t="str">
        <f>""</f>
        <v/>
      </c>
      <c r="BO112">
        <f>764351</f>
        <v>764351</v>
      </c>
      <c r="BP112">
        <f>650900</f>
        <v>650900</v>
      </c>
      <c r="BQ112">
        <f>701573</f>
        <v>701573</v>
      </c>
      <c r="BR112">
        <f>687315</f>
        <v>687315</v>
      </c>
      <c r="BS112">
        <f>730774</f>
        <v>730774</v>
      </c>
      <c r="BT112">
        <f>690359</f>
        <v>690359</v>
      </c>
      <c r="BU112">
        <f>698571</f>
        <v>698571</v>
      </c>
      <c r="BV112">
        <f>654848</f>
        <v>654848</v>
      </c>
      <c r="BW112">
        <f>686747</f>
        <v>686747</v>
      </c>
      <c r="BX112">
        <f>650802</f>
        <v>650802</v>
      </c>
      <c r="BY112">
        <f>646100</f>
        <v>646100</v>
      </c>
      <c r="BZ112">
        <f>573403</f>
        <v>573403</v>
      </c>
      <c r="CA112">
        <f>632555</f>
        <v>632555</v>
      </c>
      <c r="CB112">
        <f>584082</f>
        <v>584082</v>
      </c>
      <c r="CC112">
        <f>582305</f>
        <v>582305</v>
      </c>
      <c r="CD112">
        <f>523513</f>
        <v>523513</v>
      </c>
      <c r="CE112">
        <f>568618</f>
        <v>568618</v>
      </c>
      <c r="CF112">
        <f>503248</f>
        <v>503248</v>
      </c>
      <c r="CG112">
        <f>494694</f>
        <v>494694</v>
      </c>
      <c r="CH112">
        <f>450595</f>
        <v>450595</v>
      </c>
      <c r="CI112">
        <f>408103</f>
        <v>408103</v>
      </c>
      <c r="CJ112">
        <f>460760</f>
        <v>460760</v>
      </c>
      <c r="CK112">
        <f>474147</f>
        <v>474147</v>
      </c>
      <c r="CL112">
        <f>394134</f>
        <v>394134</v>
      </c>
      <c r="CM112">
        <f>368024</f>
        <v>368024</v>
      </c>
      <c r="CN112">
        <f>401160</f>
        <v>401160</v>
      </c>
      <c r="CO112">
        <f>439708</f>
        <v>439708</v>
      </c>
      <c r="CP112">
        <f>389526</f>
        <v>389526</v>
      </c>
      <c r="CQ112">
        <f>475877</f>
        <v>475877</v>
      </c>
      <c r="CR112">
        <f>400681</f>
        <v>400681</v>
      </c>
      <c r="CS112">
        <f>425625</f>
        <v>425625</v>
      </c>
      <c r="CT112">
        <f>364735</f>
        <v>364735</v>
      </c>
      <c r="CU112">
        <f>337375</f>
        <v>337375</v>
      </c>
      <c r="CV112">
        <f>371223</f>
        <v>371223</v>
      </c>
      <c r="CW112">
        <f>401854</f>
        <v>401854</v>
      </c>
      <c r="CX112">
        <f>323772</f>
        <v>323772</v>
      </c>
      <c r="CY112">
        <f>352395</f>
        <v>352395</v>
      </c>
      <c r="CZ112">
        <f>312040</f>
        <v>312040</v>
      </c>
      <c r="DA112">
        <f>329114</f>
        <v>329114</v>
      </c>
      <c r="DB112">
        <f>260027</f>
        <v>260027</v>
      </c>
      <c r="DC112">
        <f>351645</f>
        <v>351645</v>
      </c>
      <c r="DD112">
        <f>389037</f>
        <v>389037</v>
      </c>
      <c r="DE112">
        <f>432605</f>
        <v>432605</v>
      </c>
      <c r="DF112">
        <f>386911</f>
        <v>386911</v>
      </c>
      <c r="DG112">
        <f>445414</f>
        <v>445414</v>
      </c>
      <c r="DH112">
        <f>409924</f>
        <v>409924</v>
      </c>
      <c r="DI112">
        <f>393974</f>
        <v>393974</v>
      </c>
      <c r="DJ112">
        <f>332761</f>
        <v>332761</v>
      </c>
      <c r="DK112">
        <f>307448</f>
        <v>307448</v>
      </c>
      <c r="DL112">
        <f>366290</f>
        <v>366290</v>
      </c>
      <c r="DM112">
        <f>391075</f>
        <v>391075</v>
      </c>
      <c r="DN112">
        <f>341182</f>
        <v>341182</v>
      </c>
      <c r="DO112">
        <f>350904</f>
        <v>350904</v>
      </c>
      <c r="DP112">
        <f>310885</f>
        <v>310885</v>
      </c>
      <c r="DQ112">
        <f>308081</f>
        <v>308081</v>
      </c>
      <c r="DR112">
        <f>246968</f>
        <v>246968</v>
      </c>
      <c r="DS112">
        <f>348260</f>
        <v>348260</v>
      </c>
      <c r="DT112">
        <f>293172</f>
        <v>293172</v>
      </c>
      <c r="DU112">
        <f>319353</f>
        <v>319353</v>
      </c>
    </row>
    <row r="113" spans="1:125" x14ac:dyDescent="0.25">
      <c r="A113" t="str">
        <f>"            Mercedes-Benz Cars"</f>
        <v xml:space="preserve">            Mercedes-Benz Cars</v>
      </c>
      <c r="B113" t="str">
        <f>"DAI GR Equity"</f>
        <v>DAI GR Equity</v>
      </c>
      <c r="C113" t="str">
        <f>"BI047"</f>
        <v>BI047</v>
      </c>
      <c r="D113" t="str">
        <f>"BICS_SEGMENT_DATA"</f>
        <v>BICS_SEGMENT_DATA</v>
      </c>
      <c r="E113" t="str">
        <f>"Dynamic"</f>
        <v>Dynamic</v>
      </c>
      <c r="F113" t="str">
        <f ca="1">IF(AND(ISNUMBER($F$242),$B$156=1),$F$242,HLOOKUP(INDIRECT(ADDRESS(2,COLUMN())),OFFSET($BN$2,0,0,ROW()-1,60),ROW()-1,FALSE))</f>
        <v/>
      </c>
      <c r="G113">
        <f ca="1">IF(AND(ISNUMBER($G$242),$B$156=1),$G$242,HLOOKUP(INDIRECT(ADDRESS(2,COLUMN())),OFFSET($BN$2,0,0,ROW()-1,60),ROW()-1,FALSE))</f>
        <v>638263</v>
      </c>
      <c r="H113">
        <f ca="1">IF(AND(ISNUMBER($H$242),$B$156=1),$H$242,HLOOKUP(INDIRECT(ADDRESS(2,COLUMN())),OFFSET($BN$2,0,0,ROW()-1,60),ROW()-1,FALSE))</f>
        <v>559500</v>
      </c>
      <c r="I113">
        <f ca="1">IF(AND(ISNUMBER($I$242),$B$156=1),$I$242,HLOOKUP(INDIRECT(ADDRESS(2,COLUMN())),OFFSET($BN$2,0,0,ROW()-1,60),ROW()-1,FALSE))</f>
        <v>590690</v>
      </c>
      <c r="J113">
        <f ca="1">IF(AND(ISNUMBER($J$242),$B$156=1),$J$242,HLOOKUP(INDIRECT(ADDRESS(2,COLUMN())),OFFSET($BN$2,0,0,ROW()-1,60),ROW()-1,FALSE))</f>
        <v>594299</v>
      </c>
      <c r="K113">
        <f ca="1">IF(AND(ISNUMBER($K$242),$B$156=1),$K$242,HLOOKUP(INDIRECT(ADDRESS(2,COLUMN())),OFFSET($BN$2,0,0,ROW()-1,60),ROW()-1,FALSE))</f>
        <v>613026</v>
      </c>
      <c r="L113">
        <f ca="1">IF(AND(ISNUMBER($L$242),$B$156=1),$L$242,HLOOKUP(INDIRECT(ADDRESS(2,COLUMN())),OFFSET($BN$2,0,0,ROW()-1,60),ROW()-1,FALSE))</f>
        <v>597253</v>
      </c>
      <c r="M113">
        <f ca="1">IF(AND(ISNUMBER($M$242),$B$156=1),$M$242,HLOOKUP(INDIRECT(ADDRESS(2,COLUMN())),OFFSET($BN$2,0,0,ROW()-1,60),ROW()-1,FALSE))</f>
        <v>595178</v>
      </c>
      <c r="N113">
        <f ca="1">IF(AND(ISNUMBER($N$242),$B$156=1),$N$242,HLOOKUP(INDIRECT(ADDRESS(2,COLUMN())),OFFSET($BN$2,0,0,ROW()-1,60),ROW()-1,FALSE))</f>
        <v>568070</v>
      </c>
      <c r="O113">
        <f ca="1">IF(AND(ISNUMBER($O$242),$B$156=1),$O$242,HLOOKUP(INDIRECT(ADDRESS(2,COLUMN())),OFFSET($BN$2,0,0,ROW()-1,60),ROW()-1,FALSE))</f>
        <v>589119</v>
      </c>
      <c r="P113">
        <f ca="1">IF(AND(ISNUMBER($P$242),$B$156=1),$P$242,HLOOKUP(INDIRECT(ADDRESS(2,COLUMN())),OFFSET($BN$2,0,0,ROW()-1,60),ROW()-1,FALSE))</f>
        <v>565564</v>
      </c>
      <c r="Q113">
        <f ca="1">IF(AND(ISNUMBER($Q$242),$B$156=1),$Q$242,HLOOKUP(INDIRECT(ADDRESS(2,COLUMN())),OFFSET($BN$2,0,0,ROW()-1,60),ROW()-1,FALSE))</f>
        <v>546517</v>
      </c>
      <c r="R113">
        <f ca="1">IF(AND(ISNUMBER($R$242),$B$156=1),$R$242,HLOOKUP(INDIRECT(ADDRESS(2,COLUMN())),OFFSET($BN$2,0,0,ROW()-1,60),ROW()-1,FALSE))</f>
        <v>496756</v>
      </c>
      <c r="S113">
        <f ca="1">IF(AND(ISNUMBER($S$242),$B$156=1),$S$242,HLOOKUP(INDIRECT(ADDRESS(2,COLUMN())),OFFSET($BN$2,0,0,ROW()-1,60),ROW()-1,FALSE))</f>
        <v>532686</v>
      </c>
      <c r="T113">
        <f ca="1">IF(AND(ISNUMBER($T$242),$B$156=1),$T$242,HLOOKUP(INDIRECT(ADDRESS(2,COLUMN())),OFFSET($BN$2,0,0,ROW()-1,60),ROW()-1,FALSE))</f>
        <v>508350</v>
      </c>
      <c r="U113">
        <f ca="1">IF(AND(ISNUMBER($U$242),$B$156=1),$U$242,HLOOKUP(INDIRECT(ADDRESS(2,COLUMN())),OFFSET($BN$2,0,0,ROW()-1,60),ROW()-1,FALSE))</f>
        <v>500694</v>
      </c>
      <c r="V113">
        <f ca="1">IF(AND(ISNUMBER($V$242),$B$156=1),$V$242,HLOOKUP(INDIRECT(ADDRESS(2,COLUMN())),OFFSET($BN$2,0,0,ROW()-1,60),ROW()-1,FALSE))</f>
        <v>459708</v>
      </c>
      <c r="W113">
        <f ca="1">IF(AND(ISNUMBER($W$242),$B$156=1),$W$242,HLOOKUP(INDIRECT(ADDRESS(2,COLUMN())),OFFSET($BN$2,0,0,ROW()-1,60),ROW()-1,FALSE))</f>
        <v>483359</v>
      </c>
      <c r="X113">
        <f ca="1">IF(AND(ISNUMBER($X$242),$B$156=1),$X$242,HLOOKUP(INDIRECT(ADDRESS(2,COLUMN())),OFFSET($BN$2,0,0,ROW()-1,60),ROW()-1,FALSE))</f>
        <v>431041</v>
      </c>
      <c r="Y113">
        <f ca="1">IF(AND(ISNUMBER($Y$242),$B$156=1),$Y$242,HLOOKUP(INDIRECT(ADDRESS(2,COLUMN())),OFFSET($BN$2,0,0,ROW()-1,60),ROW()-1,FALSE))</f>
        <v>418685</v>
      </c>
      <c r="Z113">
        <f ca="1">IF(AND(ISNUMBER($Z$242),$B$156=1),$Z$242,HLOOKUP(INDIRECT(ADDRESS(2,COLUMN())),OFFSET($BN$2,0,0,ROW()-1,60),ROW()-1,FALSE))</f>
        <v>389476</v>
      </c>
      <c r="AA113">
        <f ca="1">IF(AND(ISNUMBER($AA$242),$B$156=1),$AA$242,HLOOKUP(INDIRECT(ADDRESS(2,COLUMN())),OFFSET($BN$2,0,0,ROW()-1,60),ROW()-1,FALSE))</f>
        <v>325332</v>
      </c>
      <c r="AB113">
        <f ca="1">IF(AND(ISNUMBER($AB$242),$B$156=1),$AB$242,HLOOKUP(INDIRECT(ADDRESS(2,COLUMN())),OFFSET($BN$2,0,0,ROW()-1,60),ROW()-1,FALSE))</f>
        <v>395446</v>
      </c>
      <c r="AC113">
        <f ca="1">IF(AND(ISNUMBER($AC$242),$B$156=1),$AC$242,HLOOKUP(INDIRECT(ADDRESS(2,COLUMN())),OFFSET($BN$2,0,0,ROW()-1,60),ROW()-1,FALSE))</f>
        <v>404711</v>
      </c>
      <c r="AD113">
        <f ca="1">IF(AND(ISNUMBER($AD$242),$B$156=1),$AD$242,HLOOKUP(INDIRECT(ADDRESS(2,COLUMN())),OFFSET($BN$2,0,0,ROW()-1,60),ROW()-1,FALSE))</f>
        <v>341511</v>
      </c>
      <c r="AE113">
        <f ca="1">IF(AND(ISNUMBER($AE$242),$B$156=1),$AE$242,HLOOKUP(INDIRECT(ADDRESS(2,COLUMN())),OFFSET($BN$2,0,0,ROW()-1,60),ROW()-1,FALSE))</f>
        <v>291895</v>
      </c>
      <c r="AF113">
        <f ca="1">IF(AND(ISNUMBER($AF$242),$B$156=1),$AF$242,HLOOKUP(INDIRECT(ADDRESS(2,COLUMN())),OFFSET($BN$2,0,0,ROW()-1,60),ROW()-1,FALSE))</f>
        <v>345418</v>
      </c>
      <c r="AG113">
        <f ca="1">IF(AND(ISNUMBER($AG$242),$B$156=1),$AG$242,HLOOKUP(INDIRECT(ADDRESS(2,COLUMN())),OFFSET($BN$2,0,0,ROW()-1,60),ROW()-1,FALSE))</f>
        <v>370384</v>
      </c>
      <c r="AH113">
        <f ca="1">IF(AND(ISNUMBER($AH$242),$B$156=1),$AH$242,HLOOKUP(INDIRECT(ADDRESS(2,COLUMN())),OFFSET($BN$2,0,0,ROW()-1,60),ROW()-1,FALSE))</f>
        <v>338303</v>
      </c>
      <c r="AI113">
        <f ca="1">IF(AND(ISNUMBER($AI$242),$B$156=1),$AI$242,HLOOKUP(INDIRECT(ADDRESS(2,COLUMN())),OFFSET($BN$2,0,0,ROW()-1,60),ROW()-1,FALSE))</f>
        <v>402184</v>
      </c>
      <c r="AJ113">
        <f ca="1">IF(AND(ISNUMBER($AJ$242),$B$156=1),$AJ$242,HLOOKUP(INDIRECT(ADDRESS(2,COLUMN())),OFFSET($BN$2,0,0,ROW()-1,60),ROW()-1,FALSE))</f>
        <v>337163</v>
      </c>
      <c r="AK113">
        <f ca="1">IF(AND(ISNUMBER($AK$242),$B$156=1),$AK$242,HLOOKUP(INDIRECT(ADDRESS(2,COLUMN())),OFFSET($BN$2,0,0,ROW()-1,60),ROW()-1,FALSE))</f>
        <v>357636</v>
      </c>
      <c r="AL113">
        <f ca="1">IF(AND(ISNUMBER($AL$242),$B$156=1),$AL$242,HLOOKUP(INDIRECT(ADDRESS(2,COLUMN())),OFFSET($BN$2,0,0,ROW()-1,60),ROW()-1,FALSE))</f>
        <v>310717</v>
      </c>
      <c r="AM113">
        <f ca="1">IF(AND(ISNUMBER($AM$242),$B$156=1),$AM$242,HLOOKUP(INDIRECT(ADDRESS(2,COLUMN())),OFFSET($BN$2,0,0,ROW()-1,60),ROW()-1,FALSE))</f>
        <v>272926</v>
      </c>
      <c r="AN113">
        <f ca="1">IF(AND(ISNUMBER($AN$242),$B$156=1),$AN$242,HLOOKUP(INDIRECT(ADDRESS(2,COLUMN())),OFFSET($BN$2,0,0,ROW()-1,60),ROW()-1,FALSE))</f>
        <v>317496</v>
      </c>
      <c r="AO113">
        <f ca="1">IF(AND(ISNUMBER($AO$242),$B$156=1),$AO$242,HLOOKUP(INDIRECT(ADDRESS(2,COLUMN())),OFFSET($BN$2,0,0,ROW()-1,60),ROW()-1,FALSE))</f>
        <v>342461</v>
      </c>
      <c r="AP113">
        <f ca="1">IF(AND(ISNUMBER($AP$242),$B$156=1),$AP$242,HLOOKUP(INDIRECT(ADDRESS(2,COLUMN())),OFFSET($BN$2,0,0,ROW()-1,60),ROW()-1,FALSE))</f>
        <v>277117</v>
      </c>
      <c r="AQ113">
        <f ca="1">IF(AND(ISNUMBER($AQ$242),$B$156=1),$AQ$242,HLOOKUP(INDIRECT(ADDRESS(2,COLUMN())),OFFSET($BN$2,0,0,ROW()-1,60),ROW()-1,FALSE))</f>
        <v>297647</v>
      </c>
      <c r="AR113">
        <f ca="1">IF(AND(ISNUMBER($AR$242),$B$156=1),$AR$242,HLOOKUP(INDIRECT(ADDRESS(2,COLUMN())),OFFSET($BN$2,0,0,ROW()-1,60),ROW()-1,FALSE))</f>
        <v>271917</v>
      </c>
      <c r="AS113">
        <f ca="1">IF(AND(ISNUMBER($AS$242),$B$156=1),$AS$242,HLOOKUP(INDIRECT(ADDRESS(2,COLUMN())),OFFSET($BN$2,0,0,ROW()-1,60),ROW()-1,FALSE))</f>
        <v>287243</v>
      </c>
      <c r="AT113">
        <f ca="1">IF(AND(ISNUMBER($AT$242),$B$156=1),$AT$242,HLOOKUP(INDIRECT(ADDRESS(2,COLUMN())),OFFSET($BN$2,0,0,ROW()-1,60),ROW()-1,FALSE))</f>
        <v>231193</v>
      </c>
      <c r="AU113">
        <f ca="1">IF(AND(ISNUMBER($AU$242),$B$156=1),$AU$242,HLOOKUP(INDIRECT(ADDRESS(2,COLUMN())),OFFSET($BN$2,0,0,ROW()-1,60),ROW()-1,FALSE))</f>
        <v>284943</v>
      </c>
      <c r="AV113">
        <f ca="1">IF(AND(ISNUMBER($AV$242),$B$156=1),$AV$242,HLOOKUP(INDIRECT(ADDRESS(2,COLUMN())),OFFSET($BN$2,0,0,ROW()-1,60),ROW()-1,FALSE))</f>
        <v>315796</v>
      </c>
      <c r="AW113">
        <f ca="1">IF(AND(ISNUMBER($AW$242),$B$156=1),$AW$242,HLOOKUP(INDIRECT(ADDRESS(2,COLUMN())),OFFSET($BN$2,0,0,ROW()-1,60),ROW()-1,FALSE))</f>
        <v>353976</v>
      </c>
      <c r="AX113">
        <f ca="1">IF(AND(ISNUMBER($AX$242),$B$156=1),$AX$242,HLOOKUP(INDIRECT(ADDRESS(2,COLUMN())),OFFSET($BN$2,0,0,ROW()-1,60),ROW()-1,FALSE))</f>
        <v>318285</v>
      </c>
      <c r="AY113">
        <f ca="1">IF(AND(ISNUMBER($AY$242),$B$156=1),$AY$242,HLOOKUP(INDIRECT(ADDRESS(2,COLUMN())),OFFSET($BN$2,0,0,ROW()-1,60),ROW()-1,FALSE))</f>
        <v>364443</v>
      </c>
      <c r="AZ113">
        <f ca="1">IF(AND(ISNUMBER($AZ$242),$B$156=1),$AZ$242,HLOOKUP(INDIRECT(ADDRESS(2,COLUMN())),OFFSET($BN$2,0,0,ROW()-1,60),ROW()-1,FALSE))</f>
        <v>337348</v>
      </c>
      <c r="BA113">
        <f ca="1">IF(AND(ISNUMBER($BA$242),$B$156=1),$BA$242,HLOOKUP(INDIRECT(ADDRESS(2,COLUMN())),OFFSET($BN$2,0,0,ROW()-1,60),ROW()-1,FALSE))</f>
        <v>320151</v>
      </c>
      <c r="BB113">
        <f ca="1">IF(AND(ISNUMBER($BB$242),$B$156=1),$BB$242,HLOOKUP(INDIRECT(ADDRESS(2,COLUMN())),OFFSET($BN$2,0,0,ROW()-1,60),ROW()-1,FALSE))</f>
        <v>271058</v>
      </c>
      <c r="BC113">
        <f ca="1">IF(AND(ISNUMBER($BC$242),$B$156=1),$BC$242,HLOOKUP(INDIRECT(ADDRESS(2,COLUMN())),OFFSET($BN$2,0,0,ROW()-1,60),ROW()-1,FALSE))</f>
        <v>234663</v>
      </c>
      <c r="BD113">
        <f ca="1">IF(AND(ISNUMBER($BD$242),$B$156=1),$BD$242,HLOOKUP(INDIRECT(ADDRESS(2,COLUMN())),OFFSET($BN$2,0,0,ROW()-1,60),ROW()-1,FALSE))</f>
        <v>307478</v>
      </c>
      <c r="BE113">
        <f ca="1">IF(AND(ISNUMBER($BE$242),$B$156=1),$BE$242,HLOOKUP(INDIRECT(ADDRESS(2,COLUMN())),OFFSET($BN$2,0,0,ROW()-1,60),ROW()-1,FALSE))</f>
        <v>325501</v>
      </c>
      <c r="BF113">
        <f ca="1">IF(AND(ISNUMBER($BF$242),$B$156=1),$BF$242,HLOOKUP(INDIRECT(ADDRESS(2,COLUMN())),OFFSET($BN$2,0,0,ROW()-1,60),ROW()-1,FALSE))</f>
        <v>281458</v>
      </c>
      <c r="BG113">
        <f ca="1">IF(AND(ISNUMBER($BG$242),$B$156=1),$BG$242,HLOOKUP(INDIRECT(ADDRESS(2,COLUMN())),OFFSET($BN$2,0,0,ROW()-1,60),ROW()-1,FALSE))</f>
        <v>350904</v>
      </c>
      <c r="BH113">
        <f ca="1">IF(AND(ISNUMBER($BH$242),$B$156=1),$BH$242,HLOOKUP(INDIRECT(ADDRESS(2,COLUMN())),OFFSET($BN$2,0,0,ROW()-1,60),ROW()-1,FALSE))</f>
        <v>310885</v>
      </c>
      <c r="BI113">
        <f ca="1">IF(AND(ISNUMBER($BI$242),$B$156=1),$BI$242,HLOOKUP(INDIRECT(ADDRESS(2,COLUMN())),OFFSET($BN$2,0,0,ROW()-1,60),ROW()-1,FALSE))</f>
        <v>308081</v>
      </c>
      <c r="BJ113">
        <f ca="1">IF(AND(ISNUMBER($BJ$242),$B$156=1),$BJ$242,HLOOKUP(INDIRECT(ADDRESS(2,COLUMN())),OFFSET($BN$2,0,0,ROW()-1,60),ROW()-1,FALSE))</f>
        <v>246968</v>
      </c>
      <c r="BK113">
        <f ca="1">IF(AND(ISNUMBER($BK$242),$B$156=1),$BK$242,HLOOKUP(INDIRECT(ADDRESS(2,COLUMN())),OFFSET($BN$2,0,0,ROW()-1,60),ROW()-1,FALSE))</f>
        <v>348260</v>
      </c>
      <c r="BL113">
        <f ca="1">IF(AND(ISNUMBER($BL$242),$B$156=1),$BL$242,HLOOKUP(INDIRECT(ADDRESS(2,COLUMN())),OFFSET($BN$2,0,0,ROW()-1,60),ROW()-1,FALSE))</f>
        <v>293172</v>
      </c>
      <c r="BM113">
        <f ca="1">IF(AND(ISNUMBER($BM$242),$B$156=1),$BM$242,HLOOKUP(INDIRECT(ADDRESS(2,COLUMN())),OFFSET($BN$2,0,0,ROW()-1,60),ROW()-1,FALSE))</f>
        <v>319353</v>
      </c>
      <c r="BN113" t="str">
        <f>""</f>
        <v/>
      </c>
      <c r="BO113">
        <f>638263</f>
        <v>638263</v>
      </c>
      <c r="BP113">
        <f>559500</f>
        <v>559500</v>
      </c>
      <c r="BQ113">
        <f>590690</f>
        <v>590690</v>
      </c>
      <c r="BR113">
        <f>594299</f>
        <v>594299</v>
      </c>
      <c r="BS113">
        <f>613026</f>
        <v>613026</v>
      </c>
      <c r="BT113">
        <f>597253</f>
        <v>597253</v>
      </c>
      <c r="BU113">
        <f>595178</f>
        <v>595178</v>
      </c>
      <c r="BV113">
        <f>568070</f>
        <v>568070</v>
      </c>
      <c r="BW113">
        <f>589119</f>
        <v>589119</v>
      </c>
      <c r="BX113">
        <f>565564</f>
        <v>565564</v>
      </c>
      <c r="BY113">
        <f>546517</f>
        <v>546517</v>
      </c>
      <c r="BZ113">
        <f>496756</f>
        <v>496756</v>
      </c>
      <c r="CA113">
        <f>532686</f>
        <v>532686</v>
      </c>
      <c r="CB113">
        <f>508350</f>
        <v>508350</v>
      </c>
      <c r="CC113">
        <f>500694</f>
        <v>500694</v>
      </c>
      <c r="CD113">
        <f>459708</f>
        <v>459708</v>
      </c>
      <c r="CE113">
        <f>483359</f>
        <v>483359</v>
      </c>
      <c r="CF113">
        <f>431041</f>
        <v>431041</v>
      </c>
      <c r="CG113">
        <f>418685</f>
        <v>418685</v>
      </c>
      <c r="CH113">
        <f>389476</f>
        <v>389476</v>
      </c>
      <c r="CI113">
        <f>325332</f>
        <v>325332</v>
      </c>
      <c r="CJ113">
        <f>395446</f>
        <v>395446</v>
      </c>
      <c r="CK113">
        <f>404711</f>
        <v>404711</v>
      </c>
      <c r="CL113">
        <f>341511</f>
        <v>341511</v>
      </c>
      <c r="CM113">
        <f>291895</f>
        <v>291895</v>
      </c>
      <c r="CN113">
        <f>345418</f>
        <v>345418</v>
      </c>
      <c r="CO113">
        <f>370384</f>
        <v>370384</v>
      </c>
      <c r="CP113">
        <f>338303</f>
        <v>338303</v>
      </c>
      <c r="CQ113">
        <f>402184</f>
        <v>402184</v>
      </c>
      <c r="CR113">
        <f>337163</f>
        <v>337163</v>
      </c>
      <c r="CS113">
        <f>357636</f>
        <v>357636</v>
      </c>
      <c r="CT113">
        <f>310717</f>
        <v>310717</v>
      </c>
      <c r="CU113">
        <f>272926</f>
        <v>272926</v>
      </c>
      <c r="CV113">
        <f>317496</f>
        <v>317496</v>
      </c>
      <c r="CW113">
        <f>342461</f>
        <v>342461</v>
      </c>
      <c r="CX113">
        <f>277117</f>
        <v>277117</v>
      </c>
      <c r="CY113">
        <f>297647</f>
        <v>297647</v>
      </c>
      <c r="CZ113">
        <f>271917</f>
        <v>271917</v>
      </c>
      <c r="DA113">
        <f>287243</f>
        <v>287243</v>
      </c>
      <c r="DB113">
        <f>231193</f>
        <v>231193</v>
      </c>
      <c r="DC113">
        <f>284943</f>
        <v>284943</v>
      </c>
      <c r="DD113">
        <f>315796</f>
        <v>315796</v>
      </c>
      <c r="DE113">
        <f>353976</f>
        <v>353976</v>
      </c>
      <c r="DF113">
        <f>318285</f>
        <v>318285</v>
      </c>
      <c r="DG113">
        <f>364443</f>
        <v>364443</v>
      </c>
      <c r="DH113">
        <f>337348</f>
        <v>337348</v>
      </c>
      <c r="DI113">
        <f>320151</f>
        <v>320151</v>
      </c>
      <c r="DJ113">
        <f>271058</f>
        <v>271058</v>
      </c>
      <c r="DK113">
        <f>234663</f>
        <v>234663</v>
      </c>
      <c r="DL113">
        <f>307478</f>
        <v>307478</v>
      </c>
      <c r="DM113">
        <f>325501</f>
        <v>325501</v>
      </c>
      <c r="DN113">
        <f>281458</f>
        <v>281458</v>
      </c>
      <c r="DO113">
        <f>350904</f>
        <v>350904</v>
      </c>
      <c r="DP113">
        <f>310885</f>
        <v>310885</v>
      </c>
      <c r="DQ113">
        <f>308081</f>
        <v>308081</v>
      </c>
      <c r="DR113">
        <f>246968</f>
        <v>246968</v>
      </c>
      <c r="DS113">
        <f>348260</f>
        <v>348260</v>
      </c>
      <c r="DT113">
        <f>293172</f>
        <v>293172</v>
      </c>
      <c r="DU113">
        <f>319353</f>
        <v>319353</v>
      </c>
    </row>
    <row r="114" spans="1:125" x14ac:dyDescent="0.25">
      <c r="A114" t="str">
        <f>"            Mercedes-Benz Vans"</f>
        <v xml:space="preserve">            Mercedes-Benz Vans</v>
      </c>
      <c r="B114" t="str">
        <f>"DAI GR Equity"</f>
        <v>DAI GR Equity</v>
      </c>
      <c r="C114" t="str">
        <f>"BI047"</f>
        <v>BI047</v>
      </c>
      <c r="D114" t="str">
        <f>"BICS_SEGMENT_DATA"</f>
        <v>BICS_SEGMENT_DATA</v>
      </c>
      <c r="E114" t="str">
        <f>"Dynamic"</f>
        <v>Dynamic</v>
      </c>
      <c r="F114" t="str">
        <f ca="1">IF(AND(ISNUMBER($F$243),$B$156=1),$F$243,HLOOKUP(INDIRECT(ADDRESS(2,COLUMN())),OFFSET($BN$2,0,0,ROW()-1,60),ROW()-1,FALSE))</f>
        <v/>
      </c>
      <c r="G114">
        <f ca="1">IF(AND(ISNUMBER($G$243),$B$156=1),$G$243,HLOOKUP(INDIRECT(ADDRESS(2,COLUMN())),OFFSET($BN$2,0,0,ROW()-1,60),ROW()-1,FALSE))</f>
        <v>126088</v>
      </c>
      <c r="H114">
        <f ca="1">IF(AND(ISNUMBER($H$243),$B$156=1),$H$243,HLOOKUP(INDIRECT(ADDRESS(2,COLUMN())),OFFSET($BN$2,0,0,ROW()-1,60),ROW()-1,FALSE))</f>
        <v>91400</v>
      </c>
      <c r="I114">
        <f ca="1">IF(AND(ISNUMBER($I$243),$B$156=1),$I$243,HLOOKUP(INDIRECT(ADDRESS(2,COLUMN())),OFFSET($BN$2,0,0,ROW()-1,60),ROW()-1,FALSE))</f>
        <v>110883</v>
      </c>
      <c r="J114">
        <f ca="1">IF(AND(ISNUMBER($J$243),$B$156=1),$J$243,HLOOKUP(INDIRECT(ADDRESS(2,COLUMN())),OFFSET($BN$2,0,0,ROW()-1,60),ROW()-1,FALSE))</f>
        <v>93016</v>
      </c>
      <c r="K114">
        <f ca="1">IF(AND(ISNUMBER($K$243),$B$156=1),$K$243,HLOOKUP(INDIRECT(ADDRESS(2,COLUMN())),OFFSET($BN$2,0,0,ROW()-1,60),ROW()-1,FALSE))</f>
        <v>117748</v>
      </c>
      <c r="L114">
        <f ca="1">IF(AND(ISNUMBER($L$243),$B$156=1),$L$243,HLOOKUP(INDIRECT(ADDRESS(2,COLUMN())),OFFSET($BN$2,0,0,ROW()-1,60),ROW()-1,FALSE))</f>
        <v>93106</v>
      </c>
      <c r="M114">
        <f ca="1">IF(AND(ISNUMBER($M$243),$B$156=1),$M$243,HLOOKUP(INDIRECT(ADDRESS(2,COLUMN())),OFFSET($BN$2,0,0,ROW()-1,60),ROW()-1,FALSE))</f>
        <v>103393</v>
      </c>
      <c r="N114">
        <f ca="1">IF(AND(ISNUMBER($N$243),$B$156=1),$N$243,HLOOKUP(INDIRECT(ADDRESS(2,COLUMN())),OFFSET($BN$2,0,0,ROW()-1,60),ROW()-1,FALSE))</f>
        <v>86778</v>
      </c>
      <c r="O114">
        <f ca="1">IF(AND(ISNUMBER($O$243),$B$156=1),$O$243,HLOOKUP(INDIRECT(ADDRESS(2,COLUMN())),OFFSET($BN$2,0,0,ROW()-1,60),ROW()-1,FALSE))</f>
        <v>97628</v>
      </c>
      <c r="P114">
        <f ca="1">IF(AND(ISNUMBER($P$243),$B$156=1),$P$243,HLOOKUP(INDIRECT(ADDRESS(2,COLUMN())),OFFSET($BN$2,0,0,ROW()-1,60),ROW()-1,FALSE))</f>
        <v>85238</v>
      </c>
      <c r="Q114">
        <f ca="1">IF(AND(ISNUMBER($Q$243),$B$156=1),$Q$243,HLOOKUP(INDIRECT(ADDRESS(2,COLUMN())),OFFSET($BN$2,0,0,ROW()-1,60),ROW()-1,FALSE))</f>
        <v>99583</v>
      </c>
      <c r="R114">
        <f ca="1">IF(AND(ISNUMBER($R$243),$B$156=1),$R$243,HLOOKUP(INDIRECT(ADDRESS(2,COLUMN())),OFFSET($BN$2,0,0,ROW()-1,60),ROW()-1,FALSE))</f>
        <v>76647</v>
      </c>
      <c r="S114">
        <f ca="1">IF(AND(ISNUMBER($S$243),$B$156=1),$S$243,HLOOKUP(INDIRECT(ADDRESS(2,COLUMN())),OFFSET($BN$2,0,0,ROW()-1,60),ROW()-1,FALSE))</f>
        <v>99869</v>
      </c>
      <c r="T114">
        <f ca="1">IF(AND(ISNUMBER($T$243),$B$156=1),$T$243,HLOOKUP(INDIRECT(ADDRESS(2,COLUMN())),OFFSET($BN$2,0,0,ROW()-1,60),ROW()-1,FALSE))</f>
        <v>75732</v>
      </c>
      <c r="U114">
        <f ca="1">IF(AND(ISNUMBER($U$243),$B$156=1),$U$243,HLOOKUP(INDIRECT(ADDRESS(2,COLUMN())),OFFSET($BN$2,0,0,ROW()-1,60),ROW()-1,FALSE))</f>
        <v>81611</v>
      </c>
      <c r="V114">
        <f ca="1">IF(AND(ISNUMBER($V$243),$B$156=1),$V$243,HLOOKUP(INDIRECT(ADDRESS(2,COLUMN())),OFFSET($BN$2,0,0,ROW()-1,60),ROW()-1,FALSE))</f>
        <v>63805</v>
      </c>
      <c r="W114">
        <f ca="1">IF(AND(ISNUMBER($W$243),$B$156=1),$W$243,HLOOKUP(INDIRECT(ADDRESS(2,COLUMN())),OFFSET($BN$2,0,0,ROW()-1,60),ROW()-1,FALSE))</f>
        <v>85259</v>
      </c>
      <c r="X114">
        <f ca="1">IF(AND(ISNUMBER($X$243),$B$156=1),$X$243,HLOOKUP(INDIRECT(ADDRESS(2,COLUMN())),OFFSET($BN$2,0,0,ROW()-1,60),ROW()-1,FALSE))</f>
        <v>72207</v>
      </c>
      <c r="Y114">
        <f ca="1">IF(AND(ISNUMBER($Y$243),$B$156=1),$Y$243,HLOOKUP(INDIRECT(ADDRESS(2,COLUMN())),OFFSET($BN$2,0,0,ROW()-1,60),ROW()-1,FALSE))</f>
        <v>76009</v>
      </c>
      <c r="Z114">
        <f ca="1">IF(AND(ISNUMBER($Z$243),$B$156=1),$Z$243,HLOOKUP(INDIRECT(ADDRESS(2,COLUMN())),OFFSET($BN$2,0,0,ROW()-1,60),ROW()-1,FALSE))</f>
        <v>61119</v>
      </c>
      <c r="AA114">
        <f ca="1">IF(AND(ISNUMBER($AA$243),$B$156=1),$AA$243,HLOOKUP(INDIRECT(ADDRESS(2,COLUMN())),OFFSET($BN$2,0,0,ROW()-1,60),ROW()-1,FALSE))</f>
        <v>82771</v>
      </c>
      <c r="AB114">
        <f ca="1">IF(AND(ISNUMBER($AB$243),$B$156=1),$AB$243,HLOOKUP(INDIRECT(ADDRESS(2,COLUMN())),OFFSET($BN$2,0,0,ROW()-1,60),ROW()-1,FALSE))</f>
        <v>65314</v>
      </c>
      <c r="AC114">
        <f ca="1">IF(AND(ISNUMBER($AC$243),$B$156=1),$AC$243,HLOOKUP(INDIRECT(ADDRESS(2,COLUMN())),OFFSET($BN$2,0,0,ROW()-1,60),ROW()-1,FALSE))</f>
        <v>69436</v>
      </c>
      <c r="AD114">
        <f ca="1">IF(AND(ISNUMBER($AD$243),$B$156=1),$AD$243,HLOOKUP(INDIRECT(ADDRESS(2,COLUMN())),OFFSET($BN$2,0,0,ROW()-1,60),ROW()-1,FALSE))</f>
        <v>52623</v>
      </c>
      <c r="AE114">
        <f ca="1">IF(AND(ISNUMBER($AE$243),$B$156=1),$AE$243,HLOOKUP(INDIRECT(ADDRESS(2,COLUMN())),OFFSET($BN$2,0,0,ROW()-1,60),ROW()-1,FALSE))</f>
        <v>76129</v>
      </c>
      <c r="AF114">
        <f ca="1">IF(AND(ISNUMBER($AF$243),$B$156=1),$AF$243,HLOOKUP(INDIRECT(ADDRESS(2,COLUMN())),OFFSET($BN$2,0,0,ROW()-1,60),ROW()-1,FALSE))</f>
        <v>55742</v>
      </c>
      <c r="AG114">
        <f ca="1">IF(AND(ISNUMBER($AG$243),$B$156=1),$AG$243,HLOOKUP(INDIRECT(ADDRESS(2,COLUMN())),OFFSET($BN$2,0,0,ROW()-1,60),ROW()-1,FALSE))</f>
        <v>69324</v>
      </c>
      <c r="AH114">
        <f ca="1">IF(AND(ISNUMBER($AH$243),$B$156=1),$AH$243,HLOOKUP(INDIRECT(ADDRESS(2,COLUMN())),OFFSET($BN$2,0,0,ROW()-1,60),ROW()-1,FALSE))</f>
        <v>51223</v>
      </c>
      <c r="AI114">
        <f ca="1">IF(AND(ISNUMBER($AI$243),$B$156=1),$AI$243,HLOOKUP(INDIRECT(ADDRESS(2,COLUMN())),OFFSET($BN$2,0,0,ROW()-1,60),ROW()-1,FALSE))</f>
        <v>73693</v>
      </c>
      <c r="AJ114">
        <f ca="1">IF(AND(ISNUMBER($AJ$243),$B$156=1),$AJ$243,HLOOKUP(INDIRECT(ADDRESS(2,COLUMN())),OFFSET($BN$2,0,0,ROW()-1,60),ROW()-1,FALSE))</f>
        <v>63518</v>
      </c>
      <c r="AK114">
        <f ca="1">IF(AND(ISNUMBER($AK$243),$B$156=1),$AK$243,HLOOKUP(INDIRECT(ADDRESS(2,COLUMN())),OFFSET($BN$2,0,0,ROW()-1,60),ROW()-1,FALSE))</f>
        <v>67989</v>
      </c>
      <c r="AL114">
        <f ca="1">IF(AND(ISNUMBER($AL$243),$B$156=1),$AL$243,HLOOKUP(INDIRECT(ADDRESS(2,COLUMN())),OFFSET($BN$2,0,0,ROW()-1,60),ROW()-1,FALSE))</f>
        <v>54018</v>
      </c>
      <c r="AM114">
        <f ca="1">IF(AND(ISNUMBER($AM$243),$B$156=1),$AM$243,HLOOKUP(INDIRECT(ADDRESS(2,COLUMN())),OFFSET($BN$2,0,0,ROW()-1,60),ROW()-1,FALSE))</f>
        <v>64449</v>
      </c>
      <c r="AN114">
        <f ca="1">IF(AND(ISNUMBER($AN$243),$B$156=1),$AN$243,HLOOKUP(INDIRECT(ADDRESS(2,COLUMN())),OFFSET($BN$2,0,0,ROW()-1,60),ROW()-1,FALSE))</f>
        <v>53727</v>
      </c>
      <c r="AO114">
        <f ca="1">IF(AND(ISNUMBER($AO$243),$B$156=1),$AO$243,HLOOKUP(INDIRECT(ADDRESS(2,COLUMN())),OFFSET($BN$2,0,0,ROW()-1,60),ROW()-1,FALSE))</f>
        <v>59393</v>
      </c>
      <c r="AP114">
        <f ca="1">IF(AND(ISNUMBER($AP$243),$B$156=1),$AP$243,HLOOKUP(INDIRECT(ADDRESS(2,COLUMN())),OFFSET($BN$2,0,0,ROW()-1,60),ROW()-1,FALSE))</f>
        <v>46655</v>
      </c>
      <c r="AQ114">
        <f ca="1">IF(AND(ISNUMBER($AQ$243),$B$156=1),$AQ$243,HLOOKUP(INDIRECT(ADDRESS(2,COLUMN())),OFFSET($BN$2,0,0,ROW()-1,60),ROW()-1,FALSE))</f>
        <v>54748</v>
      </c>
      <c r="AR114">
        <f ca="1">IF(AND(ISNUMBER($AR$243),$B$156=1),$AR$243,HLOOKUP(INDIRECT(ADDRESS(2,COLUMN())),OFFSET($BN$2,0,0,ROW()-1,60),ROW()-1,FALSE))</f>
        <v>40123</v>
      </c>
      <c r="AS114">
        <f ca="1">IF(AND(ISNUMBER($AS$243),$B$156=1),$AS$243,HLOOKUP(INDIRECT(ADDRESS(2,COLUMN())),OFFSET($BN$2,0,0,ROW()-1,60),ROW()-1,FALSE))</f>
        <v>41871</v>
      </c>
      <c r="AT114">
        <f ca="1">IF(AND(ISNUMBER($AT$243),$B$156=1),$AT$243,HLOOKUP(INDIRECT(ADDRESS(2,COLUMN())),OFFSET($BN$2,0,0,ROW()-1,60),ROW()-1,FALSE))</f>
        <v>28834</v>
      </c>
      <c r="AU114">
        <f ca="1">IF(AND(ISNUMBER($AU$243),$B$156=1),$AU$243,HLOOKUP(INDIRECT(ADDRESS(2,COLUMN())),OFFSET($BN$2,0,0,ROW()-1,60),ROW()-1,FALSE))</f>
        <v>66702</v>
      </c>
      <c r="AV114">
        <f ca="1">IF(AND(ISNUMBER($AV$243),$B$156=1),$AV$243,HLOOKUP(INDIRECT(ADDRESS(2,COLUMN())),OFFSET($BN$2,0,0,ROW()-1,60),ROW()-1,FALSE))</f>
        <v>73241</v>
      </c>
      <c r="AW114">
        <f ca="1">IF(AND(ISNUMBER($AW$243),$B$156=1),$AW$243,HLOOKUP(INDIRECT(ADDRESS(2,COLUMN())),OFFSET($BN$2,0,0,ROW()-1,60),ROW()-1,FALSE))</f>
        <v>78629</v>
      </c>
      <c r="AX114">
        <f ca="1">IF(AND(ISNUMBER($AX$243),$B$156=1),$AX$243,HLOOKUP(INDIRECT(ADDRESS(2,COLUMN())),OFFSET($BN$2,0,0,ROW()-1,60),ROW()-1,FALSE))</f>
        <v>68626</v>
      </c>
      <c r="AY114">
        <f ca="1">IF(AND(ISNUMBER($AY$243),$B$156=1),$AY$243,HLOOKUP(INDIRECT(ADDRESS(2,COLUMN())),OFFSET($BN$2,0,0,ROW()-1,60),ROW()-1,FALSE))</f>
        <v>80971</v>
      </c>
      <c r="AZ114">
        <f ca="1">IF(AND(ISNUMBER($AZ$243),$B$156=1),$AZ$243,HLOOKUP(INDIRECT(ADDRESS(2,COLUMN())),OFFSET($BN$2,0,0,ROW()-1,60),ROW()-1,FALSE))</f>
        <v>72576</v>
      </c>
      <c r="BA114">
        <f ca="1">IF(AND(ISNUMBER($BA$243),$B$156=1),$BA$243,HLOOKUP(INDIRECT(ADDRESS(2,COLUMN())),OFFSET($BN$2,0,0,ROW()-1,60),ROW()-1,FALSE))</f>
        <v>73823</v>
      </c>
      <c r="BB114">
        <f ca="1">IF(AND(ISNUMBER($BB$243),$B$156=1),$BB$243,HLOOKUP(INDIRECT(ADDRESS(2,COLUMN())),OFFSET($BN$2,0,0,ROW()-1,60),ROW()-1,FALSE))</f>
        <v>61703</v>
      </c>
      <c r="BC114">
        <f ca="1">IF(AND(ISNUMBER($BC$243),$B$156=1),$BC$243,HLOOKUP(INDIRECT(ADDRESS(2,COLUMN())),OFFSET($BN$2,0,0,ROW()-1,60),ROW()-1,FALSE))</f>
        <v>72785</v>
      </c>
      <c r="BD114">
        <f ca="1">IF(AND(ISNUMBER($BD$243),$B$156=1),$BD$243,HLOOKUP(INDIRECT(ADDRESS(2,COLUMN())),OFFSET($BN$2,0,0,ROW()-1,60),ROW()-1,FALSE))</f>
        <v>58812</v>
      </c>
      <c r="BE114">
        <f ca="1">IF(AND(ISNUMBER($BE$243),$B$156=1),$BE$243,HLOOKUP(INDIRECT(ADDRESS(2,COLUMN())),OFFSET($BN$2,0,0,ROW()-1,60),ROW()-1,FALSE))</f>
        <v>65574</v>
      </c>
      <c r="BF114">
        <f ca="1">IF(AND(ISNUMBER($BF$243),$B$156=1),$BF$243,HLOOKUP(INDIRECT(ADDRESS(2,COLUMN())),OFFSET($BN$2,0,0,ROW()-1,60),ROW()-1,FALSE))</f>
        <v>59724</v>
      </c>
      <c r="BG114" t="str">
        <f ca="1">IF(AND(ISNUMBER($BG$243),$B$156=1),$BG$243,HLOOKUP(INDIRECT(ADDRESS(2,COLUMN())),OFFSET($BN$2,0,0,ROW()-1,60),ROW()-1,FALSE))</f>
        <v/>
      </c>
      <c r="BH114" t="str">
        <f ca="1">IF(AND(ISNUMBER($BH$243),$B$156=1),$BH$243,HLOOKUP(INDIRECT(ADDRESS(2,COLUMN())),OFFSET($BN$2,0,0,ROW()-1,60),ROW()-1,FALSE))</f>
        <v/>
      </c>
      <c r="BI114" t="str">
        <f ca="1">IF(AND(ISNUMBER($BI$243),$B$156=1),$BI$243,HLOOKUP(INDIRECT(ADDRESS(2,COLUMN())),OFFSET($BN$2,0,0,ROW()-1,60),ROW()-1,FALSE))</f>
        <v/>
      </c>
      <c r="BJ114" t="str">
        <f ca="1">IF(AND(ISNUMBER($BJ$243),$B$156=1),$BJ$243,HLOOKUP(INDIRECT(ADDRESS(2,COLUMN())),OFFSET($BN$2,0,0,ROW()-1,60),ROW()-1,FALSE))</f>
        <v/>
      </c>
      <c r="BK114" t="str">
        <f ca="1">IF(AND(ISNUMBER($BK$243),$B$156=1),$BK$243,HLOOKUP(INDIRECT(ADDRESS(2,COLUMN())),OFFSET($BN$2,0,0,ROW()-1,60),ROW()-1,FALSE))</f>
        <v/>
      </c>
      <c r="BL114" t="str">
        <f ca="1">IF(AND(ISNUMBER($BL$243),$B$156=1),$BL$243,HLOOKUP(INDIRECT(ADDRESS(2,COLUMN())),OFFSET($BN$2,0,0,ROW()-1,60),ROW()-1,FALSE))</f>
        <v/>
      </c>
      <c r="BM114" t="str">
        <f ca="1">IF(AND(ISNUMBER($BM$243),$B$156=1),$BM$243,HLOOKUP(INDIRECT(ADDRESS(2,COLUMN())),OFFSET($BN$2,0,0,ROW()-1,60),ROW()-1,FALSE))</f>
        <v/>
      </c>
      <c r="BN114" t="str">
        <f>""</f>
        <v/>
      </c>
      <c r="BO114">
        <f>126088</f>
        <v>126088</v>
      </c>
      <c r="BP114">
        <f>91400</f>
        <v>91400</v>
      </c>
      <c r="BQ114">
        <f>110883</f>
        <v>110883</v>
      </c>
      <c r="BR114">
        <f>93016</f>
        <v>93016</v>
      </c>
      <c r="BS114">
        <f>117748</f>
        <v>117748</v>
      </c>
      <c r="BT114">
        <f>93106</f>
        <v>93106</v>
      </c>
      <c r="BU114">
        <f>103393</f>
        <v>103393</v>
      </c>
      <c r="BV114">
        <f>86778</f>
        <v>86778</v>
      </c>
      <c r="BW114">
        <f>97628</f>
        <v>97628</v>
      </c>
      <c r="BX114">
        <f>85238</f>
        <v>85238</v>
      </c>
      <c r="BY114">
        <f>99583</f>
        <v>99583</v>
      </c>
      <c r="BZ114">
        <f>76647</f>
        <v>76647</v>
      </c>
      <c r="CA114">
        <f>99869</f>
        <v>99869</v>
      </c>
      <c r="CB114">
        <f>75732</f>
        <v>75732</v>
      </c>
      <c r="CC114">
        <f>81611</f>
        <v>81611</v>
      </c>
      <c r="CD114">
        <f>63805</f>
        <v>63805</v>
      </c>
      <c r="CE114">
        <f>85259</f>
        <v>85259</v>
      </c>
      <c r="CF114">
        <f>72207</f>
        <v>72207</v>
      </c>
      <c r="CG114">
        <f>76009</f>
        <v>76009</v>
      </c>
      <c r="CH114">
        <f>61119</f>
        <v>61119</v>
      </c>
      <c r="CI114">
        <f>82771</f>
        <v>82771</v>
      </c>
      <c r="CJ114">
        <f>65314</f>
        <v>65314</v>
      </c>
      <c r="CK114">
        <f>69436</f>
        <v>69436</v>
      </c>
      <c r="CL114">
        <f>52623</f>
        <v>52623</v>
      </c>
      <c r="CM114">
        <f>76129</f>
        <v>76129</v>
      </c>
      <c r="CN114">
        <f>55742</f>
        <v>55742</v>
      </c>
      <c r="CO114">
        <f>69324</f>
        <v>69324</v>
      </c>
      <c r="CP114">
        <f>51223</f>
        <v>51223</v>
      </c>
      <c r="CQ114">
        <f>73693</f>
        <v>73693</v>
      </c>
      <c r="CR114">
        <f>63518</f>
        <v>63518</v>
      </c>
      <c r="CS114">
        <f>67989</f>
        <v>67989</v>
      </c>
      <c r="CT114">
        <f>54018</f>
        <v>54018</v>
      </c>
      <c r="CU114">
        <f>64449</f>
        <v>64449</v>
      </c>
      <c r="CV114">
        <f>53727</f>
        <v>53727</v>
      </c>
      <c r="CW114">
        <f>59393</f>
        <v>59393</v>
      </c>
      <c r="CX114">
        <f>46655</f>
        <v>46655</v>
      </c>
      <c r="CY114">
        <f>54748</f>
        <v>54748</v>
      </c>
      <c r="CZ114">
        <f>40123</f>
        <v>40123</v>
      </c>
      <c r="DA114">
        <f>41871</f>
        <v>41871</v>
      </c>
      <c r="DB114">
        <f>28834</f>
        <v>28834</v>
      </c>
      <c r="DC114">
        <f>66702</f>
        <v>66702</v>
      </c>
      <c r="DD114">
        <f>73241</f>
        <v>73241</v>
      </c>
      <c r="DE114">
        <f>78629</f>
        <v>78629</v>
      </c>
      <c r="DF114">
        <f>68626</f>
        <v>68626</v>
      </c>
      <c r="DG114">
        <f>80971</f>
        <v>80971</v>
      </c>
      <c r="DH114">
        <f>72576</f>
        <v>72576</v>
      </c>
      <c r="DI114">
        <f>73823</f>
        <v>73823</v>
      </c>
      <c r="DJ114">
        <f>61703</f>
        <v>61703</v>
      </c>
      <c r="DK114">
        <f>72785</f>
        <v>72785</v>
      </c>
      <c r="DL114">
        <f>58812</f>
        <v>58812</v>
      </c>
      <c r="DM114">
        <f>65574</f>
        <v>65574</v>
      </c>
      <c r="DN114">
        <f>59724</f>
        <v>59724</v>
      </c>
      <c r="DO114" t="str">
        <f>""</f>
        <v/>
      </c>
      <c r="DP114" t="str">
        <f>""</f>
        <v/>
      </c>
      <c r="DQ114" t="str">
        <f>""</f>
        <v/>
      </c>
      <c r="DR114" t="str">
        <f>""</f>
        <v/>
      </c>
      <c r="DS114" t="str">
        <f>""</f>
        <v/>
      </c>
      <c r="DT114" t="str">
        <f>""</f>
        <v/>
      </c>
      <c r="DU114" t="str">
        <f>""</f>
        <v/>
      </c>
    </row>
    <row r="115" spans="1:125" x14ac:dyDescent="0.25">
      <c r="A115" t="str">
        <f>"        Daimler"</f>
        <v xml:space="preserve">        Daimler</v>
      </c>
      <c r="B115" t="str">
        <f>""</f>
        <v/>
      </c>
      <c r="E115" t="str">
        <f>"Sum"</f>
        <v>Sum</v>
      </c>
      <c r="F115" t="str">
        <f ca="1">IF(ISERROR(IF(SUM($F$116:$F$117) = 0, "", SUM($F$116:$F$117))), "", (IF(SUM($F$116:$F$117) = 0, "", SUM($F$116:$F$117))))</f>
        <v/>
      </c>
      <c r="G115">
        <f ca="1">IF(ISERROR(IF(SUM($G$116:$G$117) = 0, "", SUM($G$116:$G$117))), "", (IF(SUM($G$116:$G$117) = 0, "", SUM($G$116:$G$117))))</f>
        <v>153405</v>
      </c>
      <c r="H115">
        <f ca="1">IF(ISERROR(IF(SUM($H$116:$H$117) = 0, "", SUM($H$116:$H$117))), "", (IF(SUM($H$116:$H$117) = 0, "", SUM($H$116:$H$117))))</f>
        <v>143800</v>
      </c>
      <c r="I115">
        <f ca="1">IF(ISERROR(IF(SUM($I$116:$I$117) = 0, "", SUM($I$116:$I$117))), "", (IF(SUM($I$116:$I$117) = 0, "", SUM($I$116:$I$117))))</f>
        <v>131432</v>
      </c>
      <c r="J115">
        <f ca="1">IF(ISERROR(IF(SUM($J$116:$J$117) = 0, "", SUM($J$116:$J$117))), "", (IF(SUM($J$116:$J$117) = 0, "", SUM($J$116:$J$117))))</f>
        <v>119590</v>
      </c>
      <c r="K115">
        <f ca="1">IF(ISERROR(IF(SUM($K$116:$K$117) = 0, "", SUM($K$116:$K$117))), "", (IF(SUM($K$116:$K$117) = 0, "", SUM($K$116:$K$117))))</f>
        <v>142266</v>
      </c>
      <c r="L115">
        <f ca="1">IF(ISERROR(IF(SUM($L$116:$L$117) = 0, "", SUM($L$116:$L$117))), "", (IF(SUM($L$116:$L$117) = 0, "", SUM($L$116:$L$117))))</f>
        <v>133771</v>
      </c>
      <c r="M115">
        <f ca="1">IF(ISERROR(IF(SUM($M$116:$M$117) = 0, "", SUM($M$116:$M$117))), "", (IF(SUM($M$116:$M$117) = 0, "", SUM($M$116:$M$117))))</f>
        <v>123933</v>
      </c>
      <c r="N115">
        <f ca="1">IF(ISERROR(IF(SUM($N$116:$N$117) = 0, "", SUM($N$116:$N$117))), "", (IF(SUM($N$116:$N$117) = 0, "", SUM($N$116:$N$117))))</f>
        <v>99411</v>
      </c>
      <c r="O115">
        <f ca="1">IF(ISERROR(IF(SUM($O$116:$O$117) = 0, "", SUM($O$116:$O$117))), "", (IF(SUM($O$116:$O$117) = 0, "", SUM($O$116:$O$117))))</f>
        <v>112284</v>
      </c>
      <c r="P115">
        <f ca="1">IF(ISERROR(IF(SUM($P$116:$P$117) = 0, "", SUM($P$116:$P$117))), "", (IF(SUM($P$116:$P$117) = 0, "", SUM($P$116:$P$117))))</f>
        <v>103328</v>
      </c>
      <c r="Q115">
        <f ca="1">IF(ISERROR(IF(SUM($Q$116:$Q$117) = 0, "", SUM($Q$116:$Q$117))), "", (IF(SUM($Q$116:$Q$117) = 0, "", SUM($Q$116:$Q$117))))</f>
        <v>115240</v>
      </c>
      <c r="R115">
        <f ca="1">IF(ISERROR(IF(SUM($R$116:$R$117) = 0, "", SUM($R$116:$R$117))), "", (IF(SUM($R$116:$R$117) = 0, "", SUM($R$116:$R$117))))</f>
        <v>110482</v>
      </c>
      <c r="S115">
        <f ca="1">IF(ISERROR(IF(SUM($S$116:$S$117) = 0, "", SUM($S$116:$S$117))), "", (IF(SUM($S$116:$S$117) = 0, "", SUM($S$116:$S$117))))</f>
        <v>144070</v>
      </c>
      <c r="T115">
        <f ca="1">IF(ISERROR(IF(SUM($T$116:$T$117) = 0, "", SUM($T$116:$T$117))), "", (IF(SUM($T$116:$T$117) = 0, "", SUM($T$116:$T$117))))</f>
        <v>135934</v>
      </c>
      <c r="U115">
        <f ca="1">IF(ISERROR(IF(SUM($U$116:$U$117) = 0, "", SUM($U$116:$U$117))), "", (IF(SUM($U$116:$U$117) = 0, "", SUM($U$116:$U$117))))</f>
        <v>132454</v>
      </c>
      <c r="V115">
        <f ca="1">IF(ISERROR(IF(SUM($V$116:$V$117) = 0, "", SUM($V$116:$V$117))), "", (IF(SUM($V$116:$V$117) = 0, "", SUM($V$116:$V$117))))</f>
        <v>118101</v>
      </c>
      <c r="W115">
        <f ca="1">IF(ISERROR(IF(SUM($W$116:$W$117) = 0, "", SUM($W$116:$W$117))), "", (IF(SUM($W$116:$W$117) = 0, "", SUM($W$116:$W$117))))</f>
        <v>145288</v>
      </c>
      <c r="X115">
        <f ca="1">IF(ISERROR(IF(SUM($X$116:$X$117) = 0, "", SUM($X$116:$X$117))), "", (IF(SUM($X$116:$X$117) = 0, "", SUM($X$116:$X$117))))</f>
        <v>134175</v>
      </c>
      <c r="Y115">
        <f ca="1">IF(ISERROR(IF(SUM($Y$116:$Y$117) = 0, "", SUM($Y$116:$Y$117))), "", (IF(SUM($Y$116:$Y$117) = 0, "", SUM($Y$116:$Y$117))))</f>
        <v>134163</v>
      </c>
      <c r="Z115">
        <f ca="1">IF(ISERROR(IF(SUM($Z$116:$Z$117) = 0, "", SUM($Z$116:$Z$117))), "", (IF(SUM($Z$116:$Z$117) = 0, "", SUM($Z$116:$Z$117))))</f>
        <v>115204</v>
      </c>
      <c r="AA115">
        <f ca="1">IF(ISERROR(IF(SUM($AA$116:$AA$117) = 0, "", SUM($AA$116:$AA$117))), "", (IF(SUM($AA$116:$AA$117) = 0, "", SUM($AA$116:$AA$117))))</f>
        <v>144660</v>
      </c>
      <c r="AB115">
        <f ca="1">IF(ISERROR(IF(SUM($AB$116:$AB$117) = 0, "", SUM($AB$116:$AB$117))), "", (IF(SUM($AB$116:$AB$117) = 0, "", SUM($AB$116:$AB$117))))</f>
        <v>134114</v>
      </c>
      <c r="AC115">
        <f ca="1">IF(ISERROR(IF(SUM($AC$116:$AC$117) = 0, "", SUM($AC$116:$AC$117))), "", (IF(SUM($AC$116:$AC$117) = 0, "", SUM($AC$116:$AC$117))))</f>
        <v>131676</v>
      </c>
      <c r="AD115">
        <f ca="1">IF(ISERROR(IF(SUM($AD$116:$AD$117) = 0, "", SUM($AD$116:$AD$117))), "", (IF(SUM($AD$116:$AD$117) = 0, "", SUM($AD$116:$AD$117))))</f>
        <v>107466</v>
      </c>
      <c r="AE115">
        <f ca="1">IF(ISERROR(IF(SUM($AE$116:$AE$117) = 0, "", SUM($AE$116:$AE$117))), "", (IF(SUM($AE$116:$AE$117) = 0, "", SUM($AE$116:$AE$117))))</f>
        <v>123448</v>
      </c>
      <c r="AF115">
        <f ca="1">IF(ISERROR(IF(SUM($AF$116:$AF$117) = 0, "", SUM($AF$116:$AF$117))), "", (IF(SUM($AF$116:$AF$117) = 0, "", SUM($AF$116:$AF$117))))</f>
        <v>127399</v>
      </c>
      <c r="AG115">
        <f ca="1">IF(ISERROR(IF(SUM($AG$116:$AG$117) = 0, "", SUM($AG$116:$AG$117))), "", (IF(SUM($AG$116:$AG$117) = 0, "", SUM($AG$116:$AG$117))))</f>
        <v>130635</v>
      </c>
      <c r="AH115">
        <f ca="1">IF(ISERROR(IF(SUM($AH$116:$AH$117) = 0, "", SUM($AH$116:$AH$117))), "", (IF(SUM($AH$116:$AH$117) = 0, "", SUM($AH$116:$AH$117))))</f>
        <v>112560</v>
      </c>
      <c r="AI115">
        <f ca="1">IF(ISERROR(IF(SUM($AI$116:$AI$117) = 0, "", SUM($AI$116:$AI$117))), "", (IF(SUM($AI$116:$AI$117) = 0, "", SUM($AI$116:$AI$117))))</f>
        <v>120326</v>
      </c>
      <c r="AJ115">
        <f ca="1">IF(ISERROR(IF(SUM($AJ$116:$AJ$117) = 0, "", SUM($AJ$116:$AJ$117))), "", (IF(SUM($AJ$116:$AJ$117) = 0, "", SUM($AJ$116:$AJ$117))))</f>
        <v>124836</v>
      </c>
      <c r="AK115">
        <f ca="1">IF(ISERROR(IF(SUM($AK$116:$AK$117) = 0, "", SUM($AK$116:$AK$117))), "", (IF(SUM($AK$116:$AK$117) = 0, "", SUM($AK$116:$AK$117))))</f>
        <v>102019</v>
      </c>
      <c r="AL115">
        <f ca="1">IF(ISERROR(IF(SUM($AL$116:$AL$117) = 0, "", SUM($AL$116:$AL$117))), "", (IF(SUM($AL$116:$AL$117) = 0, "", SUM($AL$116:$AL$117))))</f>
        <v>97007</v>
      </c>
      <c r="AM115">
        <f ca="1">IF(ISERROR(IF(SUM($AM$116:$AM$117) = 0, "", SUM($AM$116:$AM$117))), "", (IF(SUM($AM$116:$AM$117) = 0, "", SUM($AM$116:$AM$117))))</f>
        <v>72311</v>
      </c>
      <c r="AN115">
        <f ca="1">IF(ISERROR(IF(SUM($AN$116:$AN$117) = 0, "", SUM($AN$116:$AN$117))), "", (IF(SUM($AN$116:$AN$117) = 0, "", SUM($AN$116:$AN$117))))</f>
        <v>103887</v>
      </c>
      <c r="AO115">
        <f ca="1">IF(ISERROR(IF(SUM($AO$116:$AO$117) = 0, "", SUM($AO$116:$AO$117))), "", (IF(SUM($AO$116:$AO$117) = 0, "", SUM($AO$116:$AO$117))))</f>
        <v>94627</v>
      </c>
      <c r="AP115">
        <f ca="1">IF(ISERROR(IF(SUM($AP$116:$AP$117) = 0, "", SUM($AP$116:$AP$117))), "", (IF(SUM($AP$116:$AP$117) = 0, "", SUM($AP$116:$AP$117))))</f>
        <v>78953</v>
      </c>
      <c r="AQ115">
        <f ca="1">IF(ISERROR(IF(SUM($AQ$116:$AQ$117) = 0, "", SUM($AQ$116:$AQ$117))), "", (IF(SUM($AQ$116:$AQ$117) = 0, "", SUM($AQ$116:$AQ$117))))</f>
        <v>82738</v>
      </c>
      <c r="AR115">
        <f ca="1">IF(ISERROR(IF(SUM($AR$116:$AR$117) = 0, "", SUM($AR$116:$AR$117))), "", (IF(SUM($AR$116:$AR$117) = 0, "", SUM($AR$116:$AR$117))))</f>
        <v>74421</v>
      </c>
      <c r="AS115">
        <f ca="1">IF(ISERROR(IF(SUM($AS$116:$AS$117) = 0, "", SUM($AS$116:$AS$117))), "", (IF(SUM($AS$116:$AS$117) = 0, "", SUM($AS$116:$AS$117))))</f>
        <v>62426</v>
      </c>
      <c r="AT115">
        <f ca="1">IF(ISERROR(IF(SUM($AT$116:$AT$117) = 0, "", SUM($AT$116:$AT$117))), "", (IF(SUM($AT$116:$AT$117) = 0, "", SUM($AT$116:$AT$117))))</f>
        <v>72225</v>
      </c>
      <c r="AU115">
        <f ca="1">IF(ISERROR(IF(SUM($AU$116:$AU$117) = 0, "", SUM($AU$116:$AU$117))), "", (IF(SUM($AU$116:$AU$117) = 0, "", SUM($AU$116:$AU$117))))</f>
        <v>128323</v>
      </c>
      <c r="AV115">
        <f ca="1">IF(ISERROR(IF(SUM($AV$116:$AV$117) = 0, "", SUM($AV$116:$AV$117))), "", (IF(SUM($AV$116:$AV$117) = 0, "", SUM($AV$116:$AV$117))))</f>
        <v>133488</v>
      </c>
      <c r="AW115">
        <f ca="1">IF(ISERROR(IF(SUM($AW$116:$AW$117) = 0, "", SUM($AW$116:$AW$117))), "", (IF(SUM($AW$116:$AW$117) = 0, "", SUM($AW$116:$AW$117))))</f>
        <v>133875</v>
      </c>
      <c r="AX115">
        <f ca="1">IF(ISERROR(IF(SUM($AX$116:$AX$117) = 0, "", SUM($AX$116:$AX$117))), "", (IF(SUM($AX$116:$AX$117) = 0, "", SUM($AX$116:$AX$117))))</f>
        <v>116905</v>
      </c>
      <c r="AY115">
        <f ca="1">IF(ISERROR(IF(SUM($AY$116:$AY$117) = 0, "", SUM($AY$116:$AY$117))), "", (IF(SUM($AY$116:$AY$117) = 0, "", SUM($AY$116:$AY$117))))</f>
        <v>130088</v>
      </c>
      <c r="AZ115">
        <f ca="1">IF(ISERROR(IF(SUM($AZ$116:$AZ$117) = 0, "", SUM($AZ$116:$AZ$117))), "", (IF(SUM($AZ$116:$AZ$117) = 0, "", SUM($AZ$116:$AZ$117))))</f>
        <v>127049</v>
      </c>
      <c r="BA115">
        <f ca="1">IF(ISERROR(IF(SUM($BA$116:$BA$117) = 0, "", SUM($BA$116:$BA$117))), "", (IF(SUM($BA$116:$BA$117) = 0, "", SUM($BA$116:$BA$117))))</f>
        <v>122392</v>
      </c>
      <c r="BB115">
        <f ca="1">IF(ISERROR(IF(SUM($BB$116:$BB$117) = 0, "", SUM($BB$116:$BB$117))), "", (IF(SUM($BB$116:$BB$117) = 0, "", SUM($BB$116:$BB$117))))</f>
        <v>127520</v>
      </c>
      <c r="BC115">
        <f ca="1">IF(ISERROR(IF(SUM($BC$116:$BC$117) = 0, "", SUM($BC$116:$BC$117))), "", (IF(SUM($BC$116:$BC$117) = 0, "", SUM($BC$116:$BC$117))))</f>
        <v>137724</v>
      </c>
      <c r="BD115">
        <f ca="1">IF(ISERROR(IF(SUM($BD$116:$BD$117) = 0, "", SUM($BD$116:$BD$117))), "", (IF(SUM($BD$116:$BD$117) = 0, "", SUM($BD$116:$BD$117))))</f>
        <v>144671</v>
      </c>
      <c r="BE115">
        <f ca="1">IF(ISERROR(IF(SUM($BE$116:$BE$117) = 0, "", SUM($BE$116:$BE$117))), "", (IF(SUM($BE$116:$BE$117) = 0, "", SUM($BE$116:$BE$117))))</f>
        <v>142701</v>
      </c>
      <c r="BF115">
        <f ca="1">IF(ISERROR(IF(SUM($BF$116:$BF$117) = 0, "", SUM($BF$116:$BF$117))), "", (IF(SUM($BF$116:$BF$117) = 0, "", SUM($BF$116:$BF$117))))</f>
        <v>127183</v>
      </c>
      <c r="BG115" t="str">
        <f ca="1">IF(ISERROR(IF(SUM($BG$116:$BG$117) = 0, "", SUM($BG$116:$BG$117))), "", (IF(SUM($BG$116:$BG$117) = 0, "", SUM($BG$116:$BG$117))))</f>
        <v/>
      </c>
      <c r="BH115" t="str">
        <f ca="1">IF(ISERROR(IF(SUM($BH$116:$BH$117) = 0, "", SUM($BH$116:$BH$117))), "", (IF(SUM($BH$116:$BH$117) = 0, "", SUM($BH$116:$BH$117))))</f>
        <v/>
      </c>
      <c r="BI115" t="str">
        <f ca="1">IF(ISERROR(IF(SUM($BI$116:$BI$117) = 0, "", SUM($BI$116:$BI$117))), "", (IF(SUM($BI$116:$BI$117) = 0, "", SUM($BI$116:$BI$117))))</f>
        <v/>
      </c>
      <c r="BJ115" t="str">
        <f ca="1">IF(ISERROR(IF(SUM($BJ$116:$BJ$117) = 0, "", SUM($BJ$116:$BJ$117))), "", (IF(SUM($BJ$116:$BJ$117) = 0, "", SUM($BJ$116:$BJ$117))))</f>
        <v/>
      </c>
      <c r="BK115" t="str">
        <f ca="1">IF(ISERROR(IF(SUM($BK$116:$BK$117) = 0, "", SUM($BK$116:$BK$117))), "", (IF(SUM($BK$116:$BK$117) = 0, "", SUM($BK$116:$BK$117))))</f>
        <v/>
      </c>
      <c r="BL115" t="str">
        <f ca="1">IF(ISERROR(IF(SUM($BL$116:$BL$117) = 0, "", SUM($BL$116:$BL$117))), "", (IF(SUM($BL$116:$BL$117) = 0, "", SUM($BL$116:$BL$117))))</f>
        <v/>
      </c>
      <c r="BM115" t="str">
        <f ca="1">IF(ISERROR(IF(SUM($BM$116:$BM$117) = 0, "", SUM($BM$116:$BM$117))), "", (IF(SUM($BM$116:$BM$117) = 0, "", SUM($BM$116:$BM$117))))</f>
        <v/>
      </c>
      <c r="BN115" t="str">
        <f>""</f>
        <v/>
      </c>
      <c r="BO115">
        <f>153405</f>
        <v>153405</v>
      </c>
      <c r="BP115">
        <f>143800</f>
        <v>143800</v>
      </c>
      <c r="BQ115">
        <f>131432</f>
        <v>131432</v>
      </c>
      <c r="BR115">
        <f>119590</f>
        <v>119590</v>
      </c>
      <c r="BS115">
        <f>142266</f>
        <v>142266</v>
      </c>
      <c r="BT115">
        <f>133771</f>
        <v>133771</v>
      </c>
      <c r="BU115">
        <f>123933</f>
        <v>123933</v>
      </c>
      <c r="BV115">
        <f>99411</f>
        <v>99411</v>
      </c>
      <c r="BW115">
        <f>112284</f>
        <v>112284</v>
      </c>
      <c r="BX115">
        <f>103328</f>
        <v>103328</v>
      </c>
      <c r="BY115">
        <f>115240</f>
        <v>115240</v>
      </c>
      <c r="BZ115">
        <f>110482</f>
        <v>110482</v>
      </c>
      <c r="CA115">
        <f>144070</f>
        <v>144070</v>
      </c>
      <c r="CB115">
        <f>135934</f>
        <v>135934</v>
      </c>
      <c r="CC115">
        <f>132454</f>
        <v>132454</v>
      </c>
      <c r="CD115">
        <f>118101</f>
        <v>118101</v>
      </c>
      <c r="CE115">
        <f>145288</f>
        <v>145288</v>
      </c>
      <c r="CF115">
        <f>134175</f>
        <v>134175</v>
      </c>
      <c r="CG115">
        <f>134163</f>
        <v>134163</v>
      </c>
      <c r="CH115">
        <f>115204</f>
        <v>115204</v>
      </c>
      <c r="CI115">
        <f>144660</f>
        <v>144660</v>
      </c>
      <c r="CJ115">
        <f>134114</f>
        <v>134114</v>
      </c>
      <c r="CK115">
        <f>131676</f>
        <v>131676</v>
      </c>
      <c r="CL115">
        <f>107466</f>
        <v>107466</v>
      </c>
      <c r="CM115">
        <f>123448</f>
        <v>123448</v>
      </c>
      <c r="CN115">
        <f>127399</f>
        <v>127399</v>
      </c>
      <c r="CO115">
        <f>130635</f>
        <v>130635</v>
      </c>
      <c r="CP115">
        <f>112560</f>
        <v>112560</v>
      </c>
      <c r="CQ115">
        <f>120326</f>
        <v>120326</v>
      </c>
      <c r="CR115">
        <f>124836</f>
        <v>124836</v>
      </c>
      <c r="CS115">
        <f>102019</f>
        <v>102019</v>
      </c>
      <c r="CT115">
        <f>97007</f>
        <v>97007</v>
      </c>
      <c r="CU115">
        <f>72311</f>
        <v>72311</v>
      </c>
      <c r="CV115">
        <f>103887</f>
        <v>103887</v>
      </c>
      <c r="CW115">
        <f>94627</f>
        <v>94627</v>
      </c>
      <c r="CX115">
        <f>78953</f>
        <v>78953</v>
      </c>
      <c r="CY115">
        <f>82738</f>
        <v>82738</v>
      </c>
      <c r="CZ115">
        <f>74421</f>
        <v>74421</v>
      </c>
      <c r="DA115">
        <f>62426</f>
        <v>62426</v>
      </c>
      <c r="DB115">
        <f>72225</f>
        <v>72225</v>
      </c>
      <c r="DC115">
        <f>128323</f>
        <v>128323</v>
      </c>
      <c r="DD115">
        <f>133488</f>
        <v>133488</v>
      </c>
      <c r="DE115">
        <f>133875</f>
        <v>133875</v>
      </c>
      <c r="DF115">
        <f>116905</f>
        <v>116905</v>
      </c>
      <c r="DG115">
        <f>130088</f>
        <v>130088</v>
      </c>
      <c r="DH115">
        <f>127049</f>
        <v>127049</v>
      </c>
      <c r="DI115">
        <f>122392</f>
        <v>122392</v>
      </c>
      <c r="DJ115">
        <f>127520</f>
        <v>127520</v>
      </c>
      <c r="DK115">
        <f>137724</f>
        <v>137724</v>
      </c>
      <c r="DL115">
        <f>144671</f>
        <v>144671</v>
      </c>
      <c r="DM115">
        <f>142701</f>
        <v>142701</v>
      </c>
      <c r="DN115">
        <f>127183</f>
        <v>127183</v>
      </c>
      <c r="DO115">
        <f>213465</f>
        <v>213465</v>
      </c>
      <c r="DP115">
        <f>210400</f>
        <v>210400</v>
      </c>
      <c r="DQ115">
        <f>221617</f>
        <v>221617</v>
      </c>
      <c r="DR115">
        <f>179385</f>
        <v>179385</v>
      </c>
      <c r="DS115">
        <f>191039</f>
        <v>191039</v>
      </c>
      <c r="DT115">
        <f>210400</f>
        <v>210400</v>
      </c>
      <c r="DU115">
        <f>184937</f>
        <v>184937</v>
      </c>
    </row>
    <row r="116" spans="1:125" x14ac:dyDescent="0.25">
      <c r="A116" t="str">
        <f>"            Daimler Truck"</f>
        <v xml:space="preserve">            Daimler Truck</v>
      </c>
      <c r="B116" t="str">
        <f>"DAI GR Equity"</f>
        <v>DAI GR Equity</v>
      </c>
      <c r="C116" t="str">
        <f>"BI047"</f>
        <v>BI047</v>
      </c>
      <c r="D116" t="str">
        <f>"BICS_SEGMENT_DATA"</f>
        <v>BICS_SEGMENT_DATA</v>
      </c>
      <c r="E116" t="str">
        <f>"Dynamic"</f>
        <v>Dynamic</v>
      </c>
      <c r="F116" t="str">
        <f ca="1">IF(AND(ISNUMBER($F$244),$B$156=1),$F$244,HLOOKUP(INDIRECT(ADDRESS(2,COLUMN())),OFFSET($BN$2,0,0,ROW()-1,60),ROW()-1,FALSE))</f>
        <v/>
      </c>
      <c r="G116">
        <f ca="1">IF(AND(ISNUMBER($G$244),$B$156=1),$G$244,HLOOKUP(INDIRECT(ADDRESS(2,COLUMN())),OFFSET($BN$2,0,0,ROW()-1,60),ROW()-1,FALSE))</f>
        <v>143524</v>
      </c>
      <c r="H116">
        <f ca="1">IF(AND(ISNUMBER($H$244),$B$156=1),$H$244,HLOOKUP(INDIRECT(ADDRESS(2,COLUMN())),OFFSET($BN$2,0,0,ROW()-1,60),ROW()-1,FALSE))</f>
        <v>136100</v>
      </c>
      <c r="I116">
        <f ca="1">IF(AND(ISNUMBER($I$244),$B$156=1),$I$244,HLOOKUP(INDIRECT(ADDRESS(2,COLUMN())),OFFSET($BN$2,0,0,ROW()-1,60),ROW()-1,FALSE))</f>
        <v>123910</v>
      </c>
      <c r="J116">
        <f ca="1">IF(AND(ISNUMBER($J$244),$B$156=1),$J$244,HLOOKUP(INDIRECT(ADDRESS(2,COLUMN())),OFFSET($BN$2,0,0,ROW()-1,60),ROW()-1,FALSE))</f>
        <v>113846</v>
      </c>
      <c r="K116">
        <f ca="1">IF(AND(ISNUMBER($K$244),$B$156=1),$K$244,HLOOKUP(INDIRECT(ADDRESS(2,COLUMN())),OFFSET($BN$2,0,0,ROW()-1,60),ROW()-1,FALSE))</f>
        <v>133711</v>
      </c>
      <c r="L116">
        <f ca="1">IF(AND(ISNUMBER($L$244),$B$156=1),$L$244,HLOOKUP(INDIRECT(ADDRESS(2,COLUMN())),OFFSET($BN$2,0,0,ROW()-1,60),ROW()-1,FALSE))</f>
        <v>126558</v>
      </c>
      <c r="M116">
        <f ca="1">IF(AND(ISNUMBER($M$244),$B$156=1),$M$244,HLOOKUP(INDIRECT(ADDRESS(2,COLUMN())),OFFSET($BN$2,0,0,ROW()-1,60),ROW()-1,FALSE))</f>
        <v>116429</v>
      </c>
      <c r="N116">
        <f ca="1">IF(AND(ISNUMBER($N$244),$B$156=1),$N$244,HLOOKUP(INDIRECT(ADDRESS(2,COLUMN())),OFFSET($BN$2,0,0,ROW()-1,60),ROW()-1,FALSE))</f>
        <v>94007</v>
      </c>
      <c r="O116">
        <f ca="1">IF(AND(ISNUMBER($O$244),$B$156=1),$O$244,HLOOKUP(INDIRECT(ADDRESS(2,COLUMN())),OFFSET($BN$2,0,0,ROW()-1,60),ROW()-1,FALSE))</f>
        <v>104019</v>
      </c>
      <c r="P116">
        <f ca="1">IF(AND(ISNUMBER($P$244),$B$156=1),$P$244,HLOOKUP(INDIRECT(ADDRESS(2,COLUMN())),OFFSET($BN$2,0,0,ROW()-1,60),ROW()-1,FALSE))</f>
        <v>97143</v>
      </c>
      <c r="Q116">
        <f ca="1">IF(AND(ISNUMBER($Q$244),$B$156=1),$Q$244,HLOOKUP(INDIRECT(ADDRESS(2,COLUMN())),OFFSET($BN$2,0,0,ROW()-1,60),ROW()-1,FALSE))</f>
        <v>108282</v>
      </c>
      <c r="R116">
        <f ca="1">IF(AND(ISNUMBER($R$244),$B$156=1),$R$244,HLOOKUP(INDIRECT(ADDRESS(2,COLUMN())),OFFSET($BN$2,0,0,ROW()-1,60),ROW()-1,FALSE))</f>
        <v>105664</v>
      </c>
      <c r="S116">
        <f ca="1">IF(AND(ISNUMBER($S$244),$B$156=1),$S$244,HLOOKUP(INDIRECT(ADDRESS(2,COLUMN())),OFFSET($BN$2,0,0,ROW()-1,60),ROW()-1,FALSE))</f>
        <v>136445</v>
      </c>
      <c r="T116">
        <f ca="1">IF(AND(ISNUMBER($T$244),$B$156=1),$T$244,HLOOKUP(INDIRECT(ADDRESS(2,COLUMN())),OFFSET($BN$2,0,0,ROW()-1,60),ROW()-1,FALSE))</f>
        <v>128496</v>
      </c>
      <c r="U116">
        <f ca="1">IF(AND(ISNUMBER($U$244),$B$156=1),$U$244,HLOOKUP(INDIRECT(ADDRESS(2,COLUMN())),OFFSET($BN$2,0,0,ROW()-1,60),ROW()-1,FALSE))</f>
        <v>125113</v>
      </c>
      <c r="V116">
        <f ca="1">IF(AND(ISNUMBER($V$244),$B$156=1),$V$244,HLOOKUP(INDIRECT(ADDRESS(2,COLUMN())),OFFSET($BN$2,0,0,ROW()-1,60),ROW()-1,FALSE))</f>
        <v>112424</v>
      </c>
      <c r="W116">
        <f ca="1">IF(AND(ISNUMBER($W$244),$B$156=1),$W$244,HLOOKUP(INDIRECT(ADDRESS(2,COLUMN())),OFFSET($BN$2,0,0,ROW()-1,60),ROW()-1,FALSE))</f>
        <v>135517</v>
      </c>
      <c r="X116">
        <f ca="1">IF(AND(ISNUMBER($X$244),$B$156=1),$X$244,HLOOKUP(INDIRECT(ADDRESS(2,COLUMN())),OFFSET($BN$2,0,0,ROW()-1,60),ROW()-1,FALSE))</f>
        <v>125556</v>
      </c>
      <c r="Y116">
        <f ca="1">IF(AND(ISNUMBER($Y$244),$B$156=1),$Y$244,HLOOKUP(INDIRECT(ADDRESS(2,COLUMN())),OFFSET($BN$2,0,0,ROW()-1,60),ROW()-1,FALSE))</f>
        <v>126066</v>
      </c>
      <c r="Z116">
        <f ca="1">IF(AND(ISNUMBER($Z$244),$B$156=1),$Z$244,HLOOKUP(INDIRECT(ADDRESS(2,COLUMN())),OFFSET($BN$2,0,0,ROW()-1,60),ROW()-1,FALSE))</f>
        <v>108529</v>
      </c>
      <c r="AA116">
        <f ca="1">IF(AND(ISNUMBER($AA$244),$B$156=1),$AA$244,HLOOKUP(INDIRECT(ADDRESS(2,COLUMN())),OFFSET($BN$2,0,0,ROW()-1,60),ROW()-1,FALSE))</f>
        <v>134550</v>
      </c>
      <c r="AB116">
        <f ca="1">IF(AND(ISNUMBER($AB$244),$B$156=1),$AB$244,HLOOKUP(INDIRECT(ADDRESS(2,COLUMN())),OFFSET($BN$2,0,0,ROW()-1,60),ROW()-1,FALSE))</f>
        <v>124465</v>
      </c>
      <c r="AC116">
        <f ca="1">IF(AND(ISNUMBER($AC$244),$B$156=1),$AC$244,HLOOKUP(INDIRECT(ADDRESS(2,COLUMN())),OFFSET($BN$2,0,0,ROW()-1,60),ROW()-1,FALSE))</f>
        <v>123763</v>
      </c>
      <c r="AD116">
        <f ca="1">IF(AND(ISNUMBER($AD$244),$B$156=1),$AD$244,HLOOKUP(INDIRECT(ADDRESS(2,COLUMN())),OFFSET($BN$2,0,0,ROW()-1,60),ROW()-1,FALSE))</f>
        <v>101433</v>
      </c>
      <c r="AE116">
        <f ca="1">IF(AND(ISNUMBER($AE$244),$B$156=1),$AE$244,HLOOKUP(INDIRECT(ADDRESS(2,COLUMN())),OFFSET($BN$2,0,0,ROW()-1,60),ROW()-1,FALSE))</f>
        <v>112931</v>
      </c>
      <c r="AF116">
        <f ca="1">IF(AND(ISNUMBER($AF$244),$B$156=1),$AF$244,HLOOKUP(INDIRECT(ADDRESS(2,COLUMN())),OFFSET($BN$2,0,0,ROW()-1,60),ROW()-1,FALSE))</f>
        <v>119142</v>
      </c>
      <c r="AG116">
        <f ca="1">IF(AND(ISNUMBER($AG$244),$B$156=1),$AG$244,HLOOKUP(INDIRECT(ADDRESS(2,COLUMN())),OFFSET($BN$2,0,0,ROW()-1,60),ROW()-1,FALSE))</f>
        <v>122217</v>
      </c>
      <c r="AH116">
        <f ca="1">IF(AND(ISNUMBER($AH$244),$B$156=1),$AH$244,HLOOKUP(INDIRECT(ADDRESS(2,COLUMN())),OFFSET($BN$2,0,0,ROW()-1,60),ROW()-1,FALSE))</f>
        <v>107664</v>
      </c>
      <c r="AI116">
        <f ca="1">IF(AND(ISNUMBER($AI$244),$B$156=1),$AI$244,HLOOKUP(INDIRECT(ADDRESS(2,COLUMN())),OFFSET($BN$2,0,0,ROW()-1,60),ROW()-1,FALSE))</f>
        <v>108681</v>
      </c>
      <c r="AJ116">
        <f ca="1">IF(AND(ISNUMBER($AJ$244),$B$156=1),$AJ$244,HLOOKUP(INDIRECT(ADDRESS(2,COLUMN())),OFFSET($BN$2,0,0,ROW()-1,60),ROW()-1,FALSE))</f>
        <v>115634</v>
      </c>
      <c r="AK116">
        <f ca="1">IF(AND(ISNUMBER($AK$244),$B$156=1),$AK$244,HLOOKUP(INDIRECT(ADDRESS(2,COLUMN())),OFFSET($BN$2,0,0,ROW()-1,60),ROW()-1,FALSE))</f>
        <v>91458</v>
      </c>
      <c r="AL116">
        <f ca="1">IF(AND(ISNUMBER($AL$244),$B$156=1),$AL$244,HLOOKUP(INDIRECT(ADDRESS(2,COLUMN())),OFFSET($BN$2,0,0,ROW()-1,60),ROW()-1,FALSE))</f>
        <v>89260</v>
      </c>
      <c r="AM116">
        <f ca="1">IF(AND(ISNUMBER($AM$244),$B$156=1),$AM$244,HLOOKUP(INDIRECT(ADDRESS(2,COLUMN())),OFFSET($BN$2,0,0,ROW()-1,60),ROW()-1,FALSE))</f>
        <v>66833</v>
      </c>
      <c r="AN116">
        <f ca="1">IF(AND(ISNUMBER($AN$244),$B$156=1),$AN$244,HLOOKUP(INDIRECT(ADDRESS(2,COLUMN())),OFFSET($BN$2,0,0,ROW()-1,60),ROW()-1,FALSE))</f>
        <v>94813</v>
      </c>
      <c r="AO116">
        <f ca="1">IF(AND(ISNUMBER($AO$244),$B$156=1),$AO$244,HLOOKUP(INDIRECT(ADDRESS(2,COLUMN())),OFFSET($BN$2,0,0,ROW()-1,60),ROW()-1,FALSE))</f>
        <v>83797</v>
      </c>
      <c r="AP116">
        <f ca="1">IF(AND(ISNUMBER($AP$244),$B$156=1),$AP$244,HLOOKUP(INDIRECT(ADDRESS(2,COLUMN())),OFFSET($BN$2,0,0,ROW()-1,60),ROW()-1,FALSE))</f>
        <v>70557</v>
      </c>
      <c r="AQ116">
        <f ca="1">IF(AND(ISNUMBER($AQ$244),$B$156=1),$AQ$244,HLOOKUP(INDIRECT(ADDRESS(2,COLUMN())),OFFSET($BN$2,0,0,ROW()-1,60),ROW()-1,FALSE))</f>
        <v>73718</v>
      </c>
      <c r="AR116">
        <f ca="1">IF(AND(ISNUMBER($AR$244),$B$156=1),$AR$244,HLOOKUP(INDIRECT(ADDRESS(2,COLUMN())),OFFSET($BN$2,0,0,ROW()-1,60),ROW()-1,FALSE))</f>
        <v>66071</v>
      </c>
      <c r="AS116">
        <f ca="1">IF(AND(ISNUMBER($AS$244),$B$156=1),$AS$244,HLOOKUP(INDIRECT(ADDRESS(2,COLUMN())),OFFSET($BN$2,0,0,ROW()-1,60),ROW()-1,FALSE))</f>
        <v>54134</v>
      </c>
      <c r="AT116">
        <f ca="1">IF(AND(ISNUMBER($AT$244),$B$156=1),$AT$244,HLOOKUP(INDIRECT(ADDRESS(2,COLUMN())),OFFSET($BN$2,0,0,ROW()-1,60),ROW()-1,FALSE))</f>
        <v>65405</v>
      </c>
      <c r="AU116">
        <f ca="1">IF(AND(ISNUMBER($AU$244),$B$156=1),$AU$244,HLOOKUP(INDIRECT(ADDRESS(2,COLUMN())),OFFSET($BN$2,0,0,ROW()-1,60),ROW()-1,FALSE))</f>
        <v>118785</v>
      </c>
      <c r="AV116">
        <f ca="1">IF(AND(ISNUMBER($AV$244),$B$156=1),$AV$244,HLOOKUP(INDIRECT(ADDRESS(2,COLUMN())),OFFSET($BN$2,0,0,ROW()-1,60),ROW()-1,FALSE))</f>
        <v>122678</v>
      </c>
      <c r="AW116">
        <f ca="1">IF(AND(ISNUMBER($AW$244),$B$156=1),$AW$244,HLOOKUP(INDIRECT(ADDRESS(2,COLUMN())),OFFSET($BN$2,0,0,ROW()-1,60),ROW()-1,FALSE))</f>
        <v>122809</v>
      </c>
      <c r="AX116">
        <f ca="1">IF(AND(ISNUMBER($AX$244),$B$156=1),$AX$244,HLOOKUP(INDIRECT(ADDRESS(2,COLUMN())),OFFSET($BN$2,0,0,ROW()-1,60),ROW()-1,FALSE))</f>
        <v>107728</v>
      </c>
      <c r="AY116">
        <f ca="1">IF(AND(ISNUMBER($AY$244),$B$156=1),$AY$244,HLOOKUP(INDIRECT(ADDRESS(2,COLUMN())),OFFSET($BN$2,0,0,ROW()-1,60),ROW()-1,FALSE))</f>
        <v>119053</v>
      </c>
      <c r="AZ116">
        <f ca="1">IF(AND(ISNUMBER($AZ$244),$B$156=1),$AZ$244,HLOOKUP(INDIRECT(ADDRESS(2,COLUMN())),OFFSET($BN$2,0,0,ROW()-1,60),ROW()-1,FALSE))</f>
        <v>117675</v>
      </c>
      <c r="BA116">
        <f ca="1">IF(AND(ISNUMBER($BA$244),$B$156=1),$BA$244,HLOOKUP(INDIRECT(ADDRESS(2,COLUMN())),OFFSET($BN$2,0,0,ROW()-1,60),ROW()-1,FALSE))</f>
        <v>112054</v>
      </c>
      <c r="BB116">
        <f ca="1">IF(AND(ISNUMBER($BB$244),$B$156=1),$BB$244,HLOOKUP(INDIRECT(ADDRESS(2,COLUMN())),OFFSET($BN$2,0,0,ROW()-1,60),ROW()-1,FALSE))</f>
        <v>119218</v>
      </c>
      <c r="BC116">
        <f ca="1">IF(AND(ISNUMBER($BC$244),$B$156=1),$BC$244,HLOOKUP(INDIRECT(ADDRESS(2,COLUMN())),OFFSET($BN$2,0,0,ROW()-1,60),ROW()-1,FALSE))</f>
        <v>128287</v>
      </c>
      <c r="BD116">
        <f ca="1">IF(AND(ISNUMBER($BD$244),$B$156=1),$BD$244,HLOOKUP(INDIRECT(ADDRESS(2,COLUMN())),OFFSET($BN$2,0,0,ROW()-1,60),ROW()-1,FALSE))</f>
        <v>136051</v>
      </c>
      <c r="BE116">
        <f ca="1">IF(AND(ISNUMBER($BE$244),$B$156=1),$BE$244,HLOOKUP(INDIRECT(ADDRESS(2,COLUMN())),OFFSET($BN$2,0,0,ROW()-1,60),ROW()-1,FALSE))</f>
        <v>132406</v>
      </c>
      <c r="BF116">
        <f ca="1">IF(AND(ISNUMBER($BF$244),$B$156=1),$BF$244,HLOOKUP(INDIRECT(ADDRESS(2,COLUMN())),OFFSET($BN$2,0,0,ROW()-1,60),ROW()-1,FALSE))</f>
        <v>119343</v>
      </c>
      <c r="BG116" t="str">
        <f ca="1">IF(AND(ISNUMBER($BG$244),$B$156=1),$BG$244,HLOOKUP(INDIRECT(ADDRESS(2,COLUMN())),OFFSET($BN$2,0,0,ROW()-1,60),ROW()-1,FALSE))</f>
        <v/>
      </c>
      <c r="BH116" t="str">
        <f ca="1">IF(AND(ISNUMBER($BH$244),$B$156=1),$BH$244,HLOOKUP(INDIRECT(ADDRESS(2,COLUMN())),OFFSET($BN$2,0,0,ROW()-1,60),ROW()-1,FALSE))</f>
        <v/>
      </c>
      <c r="BI116" t="str">
        <f ca="1">IF(AND(ISNUMBER($BI$244),$B$156=1),$BI$244,HLOOKUP(INDIRECT(ADDRESS(2,COLUMN())),OFFSET($BN$2,0,0,ROW()-1,60),ROW()-1,FALSE))</f>
        <v/>
      </c>
      <c r="BJ116" t="str">
        <f ca="1">IF(AND(ISNUMBER($BJ$244),$B$156=1),$BJ$244,HLOOKUP(INDIRECT(ADDRESS(2,COLUMN())),OFFSET($BN$2,0,0,ROW()-1,60),ROW()-1,FALSE))</f>
        <v/>
      </c>
      <c r="BK116" t="str">
        <f ca="1">IF(AND(ISNUMBER($BK$244),$B$156=1),$BK$244,HLOOKUP(INDIRECT(ADDRESS(2,COLUMN())),OFFSET($BN$2,0,0,ROW()-1,60),ROW()-1,FALSE))</f>
        <v/>
      </c>
      <c r="BL116" t="str">
        <f ca="1">IF(AND(ISNUMBER($BL$244),$B$156=1),$BL$244,HLOOKUP(INDIRECT(ADDRESS(2,COLUMN())),OFFSET($BN$2,0,0,ROW()-1,60),ROW()-1,FALSE))</f>
        <v/>
      </c>
      <c r="BM116" t="str">
        <f ca="1">IF(AND(ISNUMBER($BM$244),$B$156=1),$BM$244,HLOOKUP(INDIRECT(ADDRESS(2,COLUMN())),OFFSET($BN$2,0,0,ROW()-1,60),ROW()-1,FALSE))</f>
        <v/>
      </c>
      <c r="BN116" t="str">
        <f>""</f>
        <v/>
      </c>
      <c r="BO116">
        <f>143524</f>
        <v>143524</v>
      </c>
      <c r="BP116">
        <f>136100</f>
        <v>136100</v>
      </c>
      <c r="BQ116">
        <f>123910</f>
        <v>123910</v>
      </c>
      <c r="BR116">
        <f>113846</f>
        <v>113846</v>
      </c>
      <c r="BS116">
        <f>133711</f>
        <v>133711</v>
      </c>
      <c r="BT116">
        <f>126558</f>
        <v>126558</v>
      </c>
      <c r="BU116">
        <f>116429</f>
        <v>116429</v>
      </c>
      <c r="BV116">
        <f>94007</f>
        <v>94007</v>
      </c>
      <c r="BW116">
        <f>104019</f>
        <v>104019</v>
      </c>
      <c r="BX116">
        <f>97143</f>
        <v>97143</v>
      </c>
      <c r="BY116">
        <f>108282</f>
        <v>108282</v>
      </c>
      <c r="BZ116">
        <f>105664</f>
        <v>105664</v>
      </c>
      <c r="CA116">
        <f>136445</f>
        <v>136445</v>
      </c>
      <c r="CB116">
        <f>128496</f>
        <v>128496</v>
      </c>
      <c r="CC116">
        <f>125113</f>
        <v>125113</v>
      </c>
      <c r="CD116">
        <f>112424</f>
        <v>112424</v>
      </c>
      <c r="CE116">
        <f>135517</f>
        <v>135517</v>
      </c>
      <c r="CF116">
        <f>125556</f>
        <v>125556</v>
      </c>
      <c r="CG116">
        <f>126066</f>
        <v>126066</v>
      </c>
      <c r="CH116">
        <f>108529</f>
        <v>108529</v>
      </c>
      <c r="CI116">
        <f>134550</f>
        <v>134550</v>
      </c>
      <c r="CJ116">
        <f>124465</f>
        <v>124465</v>
      </c>
      <c r="CK116">
        <f>123763</f>
        <v>123763</v>
      </c>
      <c r="CL116">
        <f>101433</f>
        <v>101433</v>
      </c>
      <c r="CM116">
        <f>112931</f>
        <v>112931</v>
      </c>
      <c r="CN116">
        <f>119142</f>
        <v>119142</v>
      </c>
      <c r="CO116">
        <f>122217</f>
        <v>122217</v>
      </c>
      <c r="CP116">
        <f>107664</f>
        <v>107664</v>
      </c>
      <c r="CQ116">
        <f>108681</f>
        <v>108681</v>
      </c>
      <c r="CR116">
        <f>115634</f>
        <v>115634</v>
      </c>
      <c r="CS116">
        <f>91458</f>
        <v>91458</v>
      </c>
      <c r="CT116">
        <f>89260</f>
        <v>89260</v>
      </c>
      <c r="CU116">
        <f>66833</f>
        <v>66833</v>
      </c>
      <c r="CV116">
        <f>94813</f>
        <v>94813</v>
      </c>
      <c r="CW116">
        <f>83797</f>
        <v>83797</v>
      </c>
      <c r="CX116">
        <f>70557</f>
        <v>70557</v>
      </c>
      <c r="CY116">
        <f>73718</f>
        <v>73718</v>
      </c>
      <c r="CZ116">
        <f>66071</f>
        <v>66071</v>
      </c>
      <c r="DA116">
        <f>54134</f>
        <v>54134</v>
      </c>
      <c r="DB116">
        <f>65405</f>
        <v>65405</v>
      </c>
      <c r="DC116">
        <f>118785</f>
        <v>118785</v>
      </c>
      <c r="DD116">
        <f>122678</f>
        <v>122678</v>
      </c>
      <c r="DE116">
        <f>122809</f>
        <v>122809</v>
      </c>
      <c r="DF116">
        <f>107728</f>
        <v>107728</v>
      </c>
      <c r="DG116">
        <f>119053</f>
        <v>119053</v>
      </c>
      <c r="DH116">
        <f>117675</f>
        <v>117675</v>
      </c>
      <c r="DI116">
        <f>112054</f>
        <v>112054</v>
      </c>
      <c r="DJ116">
        <f>119218</f>
        <v>119218</v>
      </c>
      <c r="DK116">
        <f>128287</f>
        <v>128287</v>
      </c>
      <c r="DL116">
        <f>136051</f>
        <v>136051</v>
      </c>
      <c r="DM116">
        <f>132406</f>
        <v>132406</v>
      </c>
      <c r="DN116">
        <f>119343</f>
        <v>119343</v>
      </c>
      <c r="DO116" t="str">
        <f>""</f>
        <v/>
      </c>
      <c r="DP116" t="str">
        <f>""</f>
        <v/>
      </c>
      <c r="DQ116" t="str">
        <f>""</f>
        <v/>
      </c>
      <c r="DR116" t="str">
        <f>""</f>
        <v/>
      </c>
      <c r="DS116" t="str">
        <f>""</f>
        <v/>
      </c>
      <c r="DT116" t="str">
        <f>""</f>
        <v/>
      </c>
      <c r="DU116" t="str">
        <f>""</f>
        <v/>
      </c>
    </row>
    <row r="117" spans="1:125" x14ac:dyDescent="0.25">
      <c r="A117" t="str">
        <f>"            Daimler Buses"</f>
        <v xml:space="preserve">            Daimler Buses</v>
      </c>
      <c r="B117" t="str">
        <f>"DAI GR Equity"</f>
        <v>DAI GR Equity</v>
      </c>
      <c r="C117" t="str">
        <f>"BI047"</f>
        <v>BI047</v>
      </c>
      <c r="D117" t="str">
        <f>"BICS_SEGMENT_DATA"</f>
        <v>BICS_SEGMENT_DATA</v>
      </c>
      <c r="E117" t="str">
        <f>"Dynamic"</f>
        <v>Dynamic</v>
      </c>
      <c r="F117" t="str">
        <f ca="1">IF(AND(ISNUMBER($F$245),$B$156=1),$F$245,HLOOKUP(INDIRECT(ADDRESS(2,COLUMN())),OFFSET($BN$2,0,0,ROW()-1,60),ROW()-1,FALSE))</f>
        <v/>
      </c>
      <c r="G117">
        <f ca="1">IF(AND(ISNUMBER($G$245),$B$156=1),$G$245,HLOOKUP(INDIRECT(ADDRESS(2,COLUMN())),OFFSET($BN$2,0,0,ROW()-1,60),ROW()-1,FALSE))</f>
        <v>9881</v>
      </c>
      <c r="H117">
        <f ca="1">IF(AND(ISNUMBER($H$245),$B$156=1),$H$245,HLOOKUP(INDIRECT(ADDRESS(2,COLUMN())),OFFSET($BN$2,0,0,ROW()-1,60),ROW()-1,FALSE))</f>
        <v>7700</v>
      </c>
      <c r="I117">
        <f ca="1">IF(AND(ISNUMBER($I$245),$B$156=1),$I$245,HLOOKUP(INDIRECT(ADDRESS(2,COLUMN())),OFFSET($BN$2,0,0,ROW()-1,60),ROW()-1,FALSE))</f>
        <v>7522</v>
      </c>
      <c r="J117">
        <f ca="1">IF(AND(ISNUMBER($J$245),$B$156=1),$J$245,HLOOKUP(INDIRECT(ADDRESS(2,COLUMN())),OFFSET($BN$2,0,0,ROW()-1,60),ROW()-1,FALSE))</f>
        <v>5744</v>
      </c>
      <c r="K117">
        <f ca="1">IF(AND(ISNUMBER($K$245),$B$156=1),$K$245,HLOOKUP(INDIRECT(ADDRESS(2,COLUMN())),OFFSET($BN$2,0,0,ROW()-1,60),ROW()-1,FALSE))</f>
        <v>8555</v>
      </c>
      <c r="L117">
        <f ca="1">IF(AND(ISNUMBER($L$245),$B$156=1),$L$245,HLOOKUP(INDIRECT(ADDRESS(2,COLUMN())),OFFSET($BN$2,0,0,ROW()-1,60),ROW()-1,FALSE))</f>
        <v>7213</v>
      </c>
      <c r="M117">
        <f ca="1">IF(AND(ISNUMBER($M$245),$B$156=1),$M$245,HLOOKUP(INDIRECT(ADDRESS(2,COLUMN())),OFFSET($BN$2,0,0,ROW()-1,60),ROW()-1,FALSE))</f>
        <v>7504</v>
      </c>
      <c r="N117">
        <f ca="1">IF(AND(ISNUMBER($N$245),$B$156=1),$N$245,HLOOKUP(INDIRECT(ADDRESS(2,COLUMN())),OFFSET($BN$2,0,0,ROW()-1,60),ROW()-1,FALSE))</f>
        <v>5404</v>
      </c>
      <c r="O117">
        <f ca="1">IF(AND(ISNUMBER($O$245),$B$156=1),$O$245,HLOOKUP(INDIRECT(ADDRESS(2,COLUMN())),OFFSET($BN$2,0,0,ROW()-1,60),ROW()-1,FALSE))</f>
        <v>8265</v>
      </c>
      <c r="P117">
        <f ca="1">IF(AND(ISNUMBER($P$245),$B$156=1),$P$245,HLOOKUP(INDIRECT(ADDRESS(2,COLUMN())),OFFSET($BN$2,0,0,ROW()-1,60),ROW()-1,FALSE))</f>
        <v>6185</v>
      </c>
      <c r="Q117">
        <f ca="1">IF(AND(ISNUMBER($Q$245),$B$156=1),$Q$245,HLOOKUP(INDIRECT(ADDRESS(2,COLUMN())),OFFSET($BN$2,0,0,ROW()-1,60),ROW()-1,FALSE))</f>
        <v>6958</v>
      </c>
      <c r="R117">
        <f ca="1">IF(AND(ISNUMBER($R$245),$B$156=1),$R$245,HLOOKUP(INDIRECT(ADDRESS(2,COLUMN())),OFFSET($BN$2,0,0,ROW()-1,60),ROW()-1,FALSE))</f>
        <v>4818</v>
      </c>
      <c r="S117">
        <f ca="1">IF(AND(ISNUMBER($S$245),$B$156=1),$S$245,HLOOKUP(INDIRECT(ADDRESS(2,COLUMN())),OFFSET($BN$2,0,0,ROW()-1,60),ROW()-1,FALSE))</f>
        <v>7625</v>
      </c>
      <c r="T117">
        <f ca="1">IF(AND(ISNUMBER($T$245),$B$156=1),$T$245,HLOOKUP(INDIRECT(ADDRESS(2,COLUMN())),OFFSET($BN$2,0,0,ROW()-1,60),ROW()-1,FALSE))</f>
        <v>7438</v>
      </c>
      <c r="U117">
        <f ca="1">IF(AND(ISNUMBER($U$245),$B$156=1),$U$245,HLOOKUP(INDIRECT(ADDRESS(2,COLUMN())),OFFSET($BN$2,0,0,ROW()-1,60),ROW()-1,FALSE))</f>
        <v>7341</v>
      </c>
      <c r="V117">
        <f ca="1">IF(AND(ISNUMBER($V$245),$B$156=1),$V$245,HLOOKUP(INDIRECT(ADDRESS(2,COLUMN())),OFFSET($BN$2,0,0,ROW()-1,60),ROW()-1,FALSE))</f>
        <v>5677</v>
      </c>
      <c r="W117">
        <f ca="1">IF(AND(ISNUMBER($W$245),$B$156=1),$W$245,HLOOKUP(INDIRECT(ADDRESS(2,COLUMN())),OFFSET($BN$2,0,0,ROW()-1,60),ROW()-1,FALSE))</f>
        <v>9771</v>
      </c>
      <c r="X117">
        <f ca="1">IF(AND(ISNUMBER($X$245),$B$156=1),$X$245,HLOOKUP(INDIRECT(ADDRESS(2,COLUMN())),OFFSET($BN$2,0,0,ROW()-1,60),ROW()-1,FALSE))</f>
        <v>8619</v>
      </c>
      <c r="Y117">
        <f ca="1">IF(AND(ISNUMBER($Y$245),$B$156=1),$Y$245,HLOOKUP(INDIRECT(ADDRESS(2,COLUMN())),OFFSET($BN$2,0,0,ROW()-1,60),ROW()-1,FALSE))</f>
        <v>8097</v>
      </c>
      <c r="Z117">
        <f ca="1">IF(AND(ISNUMBER($Z$245),$B$156=1),$Z$245,HLOOKUP(INDIRECT(ADDRESS(2,COLUMN())),OFFSET($BN$2,0,0,ROW()-1,60),ROW()-1,FALSE))</f>
        <v>6675</v>
      </c>
      <c r="AA117">
        <f ca="1">IF(AND(ISNUMBER($AA$245),$B$156=1),$AA$245,HLOOKUP(INDIRECT(ADDRESS(2,COLUMN())),OFFSET($BN$2,0,0,ROW()-1,60),ROW()-1,FALSE))</f>
        <v>10110</v>
      </c>
      <c r="AB117">
        <f ca="1">IF(AND(ISNUMBER($AB$245),$B$156=1),$AB$245,HLOOKUP(INDIRECT(ADDRESS(2,COLUMN())),OFFSET($BN$2,0,0,ROW()-1,60),ROW()-1,FALSE))</f>
        <v>9649</v>
      </c>
      <c r="AC117">
        <f ca="1">IF(AND(ISNUMBER($AC$245),$B$156=1),$AC$245,HLOOKUP(INDIRECT(ADDRESS(2,COLUMN())),OFFSET($BN$2,0,0,ROW()-1,60),ROW()-1,FALSE))</f>
        <v>7913</v>
      </c>
      <c r="AD117">
        <f ca="1">IF(AND(ISNUMBER($AD$245),$B$156=1),$AD$245,HLOOKUP(INDIRECT(ADDRESS(2,COLUMN())),OFFSET($BN$2,0,0,ROW()-1,60),ROW()-1,FALSE))</f>
        <v>6033</v>
      </c>
      <c r="AE117">
        <f ca="1">IF(AND(ISNUMBER($AE$245),$B$156=1),$AE$245,HLOOKUP(INDIRECT(ADDRESS(2,COLUMN())),OFFSET($BN$2,0,0,ROW()-1,60),ROW()-1,FALSE))</f>
        <v>10517</v>
      </c>
      <c r="AF117">
        <f ca="1">IF(AND(ISNUMBER($AF$245),$B$156=1),$AF$245,HLOOKUP(INDIRECT(ADDRESS(2,COLUMN())),OFFSET($BN$2,0,0,ROW()-1,60),ROW()-1,FALSE))</f>
        <v>8257</v>
      </c>
      <c r="AG117">
        <f ca="1">IF(AND(ISNUMBER($AG$245),$B$156=1),$AG$245,HLOOKUP(INDIRECT(ADDRESS(2,COLUMN())),OFFSET($BN$2,0,0,ROW()-1,60),ROW()-1,FALSE))</f>
        <v>8418</v>
      </c>
      <c r="AH117">
        <f ca="1">IF(AND(ISNUMBER($AH$245),$B$156=1),$AH$245,HLOOKUP(INDIRECT(ADDRESS(2,COLUMN())),OFFSET($BN$2,0,0,ROW()-1,60),ROW()-1,FALSE))</f>
        <v>4896</v>
      </c>
      <c r="AI117">
        <f ca="1">IF(AND(ISNUMBER($AI$245),$B$156=1),$AI$245,HLOOKUP(INDIRECT(ADDRESS(2,COLUMN())),OFFSET($BN$2,0,0,ROW()-1,60),ROW()-1,FALSE))</f>
        <v>11645</v>
      </c>
      <c r="AJ117">
        <f ca="1">IF(AND(ISNUMBER($AJ$245),$B$156=1),$AJ$245,HLOOKUP(INDIRECT(ADDRESS(2,COLUMN())),OFFSET($BN$2,0,0,ROW()-1,60),ROW()-1,FALSE))</f>
        <v>9202</v>
      </c>
      <c r="AK117">
        <f ca="1">IF(AND(ISNUMBER($AK$245),$B$156=1),$AK$245,HLOOKUP(INDIRECT(ADDRESS(2,COLUMN())),OFFSET($BN$2,0,0,ROW()-1,60),ROW()-1,FALSE))</f>
        <v>10561</v>
      </c>
      <c r="AL117">
        <f ca="1">IF(AND(ISNUMBER($AL$245),$B$156=1),$AL$245,HLOOKUP(INDIRECT(ADDRESS(2,COLUMN())),OFFSET($BN$2,0,0,ROW()-1,60),ROW()-1,FALSE))</f>
        <v>7747</v>
      </c>
      <c r="AM117">
        <f ca="1">IF(AND(ISNUMBER($AM$245),$B$156=1),$AM$245,HLOOKUP(INDIRECT(ADDRESS(2,COLUMN())),OFFSET($BN$2,0,0,ROW()-1,60),ROW()-1,FALSE))</f>
        <v>5478</v>
      </c>
      <c r="AN117">
        <f ca="1">IF(AND(ISNUMBER($AN$245),$B$156=1),$AN$245,HLOOKUP(INDIRECT(ADDRESS(2,COLUMN())),OFFSET($BN$2,0,0,ROW()-1,60),ROW()-1,FALSE))</f>
        <v>9074</v>
      </c>
      <c r="AO117">
        <f ca="1">IF(AND(ISNUMBER($AO$245),$B$156=1),$AO$245,HLOOKUP(INDIRECT(ADDRESS(2,COLUMN())),OFFSET($BN$2,0,0,ROW()-1,60),ROW()-1,FALSE))</f>
        <v>10830</v>
      </c>
      <c r="AP117">
        <f ca="1">IF(AND(ISNUMBER($AP$245),$B$156=1),$AP$245,HLOOKUP(INDIRECT(ADDRESS(2,COLUMN())),OFFSET($BN$2,0,0,ROW()-1,60),ROW()-1,FALSE))</f>
        <v>8396</v>
      </c>
      <c r="AQ117">
        <f ca="1">IF(AND(ISNUMBER($AQ$245),$B$156=1),$AQ$245,HLOOKUP(INDIRECT(ADDRESS(2,COLUMN())),OFFSET($BN$2,0,0,ROW()-1,60),ROW()-1,FALSE))</f>
        <v>9020</v>
      </c>
      <c r="AR117">
        <f ca="1">IF(AND(ISNUMBER($AR$245),$B$156=1),$AR$245,HLOOKUP(INDIRECT(ADDRESS(2,COLUMN())),OFFSET($BN$2,0,0,ROW()-1,60),ROW()-1,FALSE))</f>
        <v>8350</v>
      </c>
      <c r="AS117">
        <f ca="1">IF(AND(ISNUMBER($AS$245),$B$156=1),$AS$245,HLOOKUP(INDIRECT(ADDRESS(2,COLUMN())),OFFSET($BN$2,0,0,ROW()-1,60),ROW()-1,FALSE))</f>
        <v>8292</v>
      </c>
      <c r="AT117">
        <f ca="1">IF(AND(ISNUMBER($AT$245),$B$156=1),$AT$245,HLOOKUP(INDIRECT(ADDRESS(2,COLUMN())),OFFSET($BN$2,0,0,ROW()-1,60),ROW()-1,FALSE))</f>
        <v>6820</v>
      </c>
      <c r="AU117">
        <f ca="1">IF(AND(ISNUMBER($AU$245),$B$156=1),$AU$245,HLOOKUP(INDIRECT(ADDRESS(2,COLUMN())),OFFSET($BN$2,0,0,ROW()-1,60),ROW()-1,FALSE))</f>
        <v>9538</v>
      </c>
      <c r="AV117">
        <f ca="1">IF(AND(ISNUMBER($AV$245),$B$156=1),$AV$245,HLOOKUP(INDIRECT(ADDRESS(2,COLUMN())),OFFSET($BN$2,0,0,ROW()-1,60),ROW()-1,FALSE))</f>
        <v>10810</v>
      </c>
      <c r="AW117">
        <f ca="1">IF(AND(ISNUMBER($AW$245),$B$156=1),$AW$245,HLOOKUP(INDIRECT(ADDRESS(2,COLUMN())),OFFSET($BN$2,0,0,ROW()-1,60),ROW()-1,FALSE))</f>
        <v>11066</v>
      </c>
      <c r="AX117">
        <f ca="1">IF(AND(ISNUMBER($AX$245),$B$156=1),$AX$245,HLOOKUP(INDIRECT(ADDRESS(2,COLUMN())),OFFSET($BN$2,0,0,ROW()-1,60),ROW()-1,FALSE))</f>
        <v>9177</v>
      </c>
      <c r="AY117">
        <f ca="1">IF(AND(ISNUMBER($AY$245),$B$156=1),$AY$245,HLOOKUP(INDIRECT(ADDRESS(2,COLUMN())),OFFSET($BN$2,0,0,ROW()-1,60),ROW()-1,FALSE))</f>
        <v>11035</v>
      </c>
      <c r="AZ117">
        <f ca="1">IF(AND(ISNUMBER($AZ$245),$B$156=1),$AZ$245,HLOOKUP(INDIRECT(ADDRESS(2,COLUMN())),OFFSET($BN$2,0,0,ROW()-1,60),ROW()-1,FALSE))</f>
        <v>9374</v>
      </c>
      <c r="BA117">
        <f ca="1">IF(AND(ISNUMBER($BA$245),$B$156=1),$BA$245,HLOOKUP(INDIRECT(ADDRESS(2,COLUMN())),OFFSET($BN$2,0,0,ROW()-1,60),ROW()-1,FALSE))</f>
        <v>10338</v>
      </c>
      <c r="BB117">
        <f ca="1">IF(AND(ISNUMBER($BB$245),$B$156=1),$BB$245,HLOOKUP(INDIRECT(ADDRESS(2,COLUMN())),OFFSET($BN$2,0,0,ROW()-1,60),ROW()-1,FALSE))</f>
        <v>8302</v>
      </c>
      <c r="BC117">
        <f ca="1">IF(AND(ISNUMBER($BC$245),$B$156=1),$BC$245,HLOOKUP(INDIRECT(ADDRESS(2,COLUMN())),OFFSET($BN$2,0,0,ROW()-1,60),ROW()-1,FALSE))</f>
        <v>9437</v>
      </c>
      <c r="BD117">
        <f ca="1">IF(AND(ISNUMBER($BD$245),$B$156=1),$BD$245,HLOOKUP(INDIRECT(ADDRESS(2,COLUMN())),OFFSET($BN$2,0,0,ROW()-1,60),ROW()-1,FALSE))</f>
        <v>8620</v>
      </c>
      <c r="BE117">
        <f ca="1">IF(AND(ISNUMBER($BE$245),$B$156=1),$BE$245,HLOOKUP(INDIRECT(ADDRESS(2,COLUMN())),OFFSET($BN$2,0,0,ROW()-1,60),ROW()-1,FALSE))</f>
        <v>10295</v>
      </c>
      <c r="BF117">
        <f ca="1">IF(AND(ISNUMBER($BF$245),$B$156=1),$BF$245,HLOOKUP(INDIRECT(ADDRESS(2,COLUMN())),OFFSET($BN$2,0,0,ROW()-1,60),ROW()-1,FALSE))</f>
        <v>7840</v>
      </c>
      <c r="BG117" t="str">
        <f ca="1">IF(AND(ISNUMBER($BG$245),$B$156=1),$BG$245,HLOOKUP(INDIRECT(ADDRESS(2,COLUMN())),OFFSET($BN$2,0,0,ROW()-1,60),ROW()-1,FALSE))</f>
        <v/>
      </c>
      <c r="BH117" t="str">
        <f ca="1">IF(AND(ISNUMBER($BH$245),$B$156=1),$BH$245,HLOOKUP(INDIRECT(ADDRESS(2,COLUMN())),OFFSET($BN$2,0,0,ROW()-1,60),ROW()-1,FALSE))</f>
        <v/>
      </c>
      <c r="BI117" t="str">
        <f ca="1">IF(AND(ISNUMBER($BI$245),$B$156=1),$BI$245,HLOOKUP(INDIRECT(ADDRESS(2,COLUMN())),OFFSET($BN$2,0,0,ROW()-1,60),ROW()-1,FALSE))</f>
        <v/>
      </c>
      <c r="BJ117" t="str">
        <f ca="1">IF(AND(ISNUMBER($BJ$245),$B$156=1),$BJ$245,HLOOKUP(INDIRECT(ADDRESS(2,COLUMN())),OFFSET($BN$2,0,0,ROW()-1,60),ROW()-1,FALSE))</f>
        <v/>
      </c>
      <c r="BK117" t="str">
        <f ca="1">IF(AND(ISNUMBER($BK$245),$B$156=1),$BK$245,HLOOKUP(INDIRECT(ADDRESS(2,COLUMN())),OFFSET($BN$2,0,0,ROW()-1,60),ROW()-1,FALSE))</f>
        <v/>
      </c>
      <c r="BL117" t="str">
        <f ca="1">IF(AND(ISNUMBER($BL$245),$B$156=1),$BL$245,HLOOKUP(INDIRECT(ADDRESS(2,COLUMN())),OFFSET($BN$2,0,0,ROW()-1,60),ROW()-1,FALSE))</f>
        <v/>
      </c>
      <c r="BM117" t="str">
        <f ca="1">IF(AND(ISNUMBER($BM$245),$B$156=1),$BM$245,HLOOKUP(INDIRECT(ADDRESS(2,COLUMN())),OFFSET($BN$2,0,0,ROW()-1,60),ROW()-1,FALSE))</f>
        <v/>
      </c>
      <c r="BN117" t="str">
        <f>""</f>
        <v/>
      </c>
      <c r="BO117">
        <f>9881</f>
        <v>9881</v>
      </c>
      <c r="BP117">
        <f>7700</f>
        <v>7700</v>
      </c>
      <c r="BQ117">
        <f>7522</f>
        <v>7522</v>
      </c>
      <c r="BR117">
        <f>5744</f>
        <v>5744</v>
      </c>
      <c r="BS117">
        <f>8555</f>
        <v>8555</v>
      </c>
      <c r="BT117">
        <f>7213</f>
        <v>7213</v>
      </c>
      <c r="BU117">
        <f>7504</f>
        <v>7504</v>
      </c>
      <c r="BV117">
        <f>5404</f>
        <v>5404</v>
      </c>
      <c r="BW117">
        <f>8265</f>
        <v>8265</v>
      </c>
      <c r="BX117">
        <f>6185</f>
        <v>6185</v>
      </c>
      <c r="BY117">
        <f>6958</f>
        <v>6958</v>
      </c>
      <c r="BZ117">
        <f>4818</f>
        <v>4818</v>
      </c>
      <c r="CA117">
        <f>7625</f>
        <v>7625</v>
      </c>
      <c r="CB117">
        <f>7438</f>
        <v>7438</v>
      </c>
      <c r="CC117">
        <f>7341</f>
        <v>7341</v>
      </c>
      <c r="CD117">
        <f>5677</f>
        <v>5677</v>
      </c>
      <c r="CE117">
        <f>9771</f>
        <v>9771</v>
      </c>
      <c r="CF117">
        <f>8619</f>
        <v>8619</v>
      </c>
      <c r="CG117">
        <f>8097</f>
        <v>8097</v>
      </c>
      <c r="CH117">
        <f>6675</f>
        <v>6675</v>
      </c>
      <c r="CI117">
        <f>10110</f>
        <v>10110</v>
      </c>
      <c r="CJ117">
        <f>9649</f>
        <v>9649</v>
      </c>
      <c r="CK117">
        <f>7913</f>
        <v>7913</v>
      </c>
      <c r="CL117">
        <f>6033</f>
        <v>6033</v>
      </c>
      <c r="CM117">
        <f>10517</f>
        <v>10517</v>
      </c>
      <c r="CN117">
        <f>8257</f>
        <v>8257</v>
      </c>
      <c r="CO117">
        <f>8418</f>
        <v>8418</v>
      </c>
      <c r="CP117">
        <f>4896</f>
        <v>4896</v>
      </c>
      <c r="CQ117">
        <f>11645</f>
        <v>11645</v>
      </c>
      <c r="CR117">
        <f>9202</f>
        <v>9202</v>
      </c>
      <c r="CS117">
        <f>10561</f>
        <v>10561</v>
      </c>
      <c r="CT117">
        <f>7747</f>
        <v>7747</v>
      </c>
      <c r="CU117">
        <f>5478</f>
        <v>5478</v>
      </c>
      <c r="CV117">
        <f>9074</f>
        <v>9074</v>
      </c>
      <c r="CW117">
        <f>10830</f>
        <v>10830</v>
      </c>
      <c r="CX117">
        <f>8396</f>
        <v>8396</v>
      </c>
      <c r="CY117">
        <f>9020</f>
        <v>9020</v>
      </c>
      <c r="CZ117">
        <f>8350</f>
        <v>8350</v>
      </c>
      <c r="DA117">
        <f>8292</f>
        <v>8292</v>
      </c>
      <c r="DB117">
        <f>6820</f>
        <v>6820</v>
      </c>
      <c r="DC117">
        <f>9538</f>
        <v>9538</v>
      </c>
      <c r="DD117">
        <f>10810</f>
        <v>10810</v>
      </c>
      <c r="DE117">
        <f>11066</f>
        <v>11066</v>
      </c>
      <c r="DF117">
        <f>9177</f>
        <v>9177</v>
      </c>
      <c r="DG117">
        <f>11035</f>
        <v>11035</v>
      </c>
      <c r="DH117">
        <f>9374</f>
        <v>9374</v>
      </c>
      <c r="DI117">
        <f>10338</f>
        <v>10338</v>
      </c>
      <c r="DJ117">
        <f>8302</f>
        <v>8302</v>
      </c>
      <c r="DK117">
        <f>9437</f>
        <v>9437</v>
      </c>
      <c r="DL117">
        <f>8620</f>
        <v>8620</v>
      </c>
      <c r="DM117">
        <f>10295</f>
        <v>10295</v>
      </c>
      <c r="DN117">
        <f>7840</f>
        <v>7840</v>
      </c>
      <c r="DO117" t="str">
        <f>""</f>
        <v/>
      </c>
      <c r="DP117" t="str">
        <f>""</f>
        <v/>
      </c>
      <c r="DQ117" t="str">
        <f>""</f>
        <v/>
      </c>
      <c r="DR117" t="str">
        <f>""</f>
        <v/>
      </c>
      <c r="DS117" t="str">
        <f>""</f>
        <v/>
      </c>
      <c r="DT117" t="str">
        <f>""</f>
        <v/>
      </c>
      <c r="DU117" t="str">
        <f>""</f>
        <v/>
      </c>
    </row>
    <row r="118" spans="1:125" x14ac:dyDescent="0.25">
      <c r="A118" t="str">
        <f>"    Bayerische Motoren Werke AG"</f>
        <v xml:space="preserve">    Bayerische Motoren Werke AG</v>
      </c>
      <c r="B118" t="str">
        <f>"BMW GR Equity"</f>
        <v>BMW GR Equity</v>
      </c>
      <c r="C118" t="str">
        <f>"FS265"</f>
        <v>FS265</v>
      </c>
      <c r="D118" t="str">
        <f>"AUTO_VEHICLES_SOLD_WW"</f>
        <v>AUTO_VEHICLES_SOLD_WW</v>
      </c>
      <c r="E118" t="str">
        <f>"Dynamic"</f>
        <v>Dynamic</v>
      </c>
      <c r="F118" t="str">
        <f ca="1">IF(AND(ISNUMBER($F$246),$B$156=1),$F$246,HLOOKUP(INDIRECT(ADDRESS(2,COLUMN())),OFFSET($BN$2,0,0,ROW()-1,60),ROW()-1,FALSE))</f>
        <v/>
      </c>
      <c r="G118" t="str">
        <f ca="1">IF(AND(ISNUMBER($G$246),$B$156=1),$G$246,HLOOKUP(INDIRECT(ADDRESS(2,COLUMN())),OFFSET($BN$2,0,0,ROW()-1,60),ROW()-1,FALSE))</f>
        <v/>
      </c>
      <c r="H118">
        <f ca="1">IF(AND(ISNUMBER($H$246),$B$156=1),$H$246,HLOOKUP(INDIRECT(ADDRESS(2,COLUMN())),OFFSET($BN$2,0,0,ROW()-1,60),ROW()-1,FALSE))</f>
        <v>592303</v>
      </c>
      <c r="I118">
        <f ca="1">IF(AND(ISNUMBER($I$246),$B$156=1),$I$246,HLOOKUP(INDIRECT(ADDRESS(2,COLUMN())),OFFSET($BN$2,0,0,ROW()-1,60),ROW()-1,FALSE))</f>
        <v>663150</v>
      </c>
      <c r="J118">
        <f ca="1">IF(AND(ISNUMBER($J$246),$B$156=1),$J$246,HLOOKUP(INDIRECT(ADDRESS(2,COLUMN())),OFFSET($BN$2,0,0,ROW()-1,60),ROW()-1,FALSE))</f>
        <v>623082</v>
      </c>
      <c r="K118">
        <f ca="1">IF(AND(ISNUMBER($K$246),$B$156=1),$K$246,HLOOKUP(INDIRECT(ADDRESS(2,COLUMN())),OFFSET($BN$2,0,0,ROW()-1,60),ROW()-1,FALSE))</f>
        <v>686685</v>
      </c>
      <c r="L118">
        <f ca="1">IF(AND(ISNUMBER($L$246),$B$156=1),$L$246,HLOOKUP(INDIRECT(ADDRESS(2,COLUMN())),OFFSET($BN$2,0,0,ROW()-1,60),ROW()-1,FALSE))</f>
        <v>590415</v>
      </c>
      <c r="M118">
        <f ca="1">IF(AND(ISNUMBER($M$246),$B$156=1),$M$246,HLOOKUP(INDIRECT(ADDRESS(2,COLUMN())),OFFSET($BN$2,0,0,ROW()-1,60),ROW()-1,FALSE))</f>
        <v>648914</v>
      </c>
      <c r="N118">
        <f ca="1">IF(AND(ISNUMBER($N$246),$B$156=1),$N$246,HLOOKUP(INDIRECT(ADDRESS(2,COLUMN())),OFFSET($BN$2,0,0,ROW()-1,60),ROW()-1,FALSE))</f>
        <v>587237</v>
      </c>
      <c r="O118">
        <f ca="1">IF(AND(ISNUMBER($O$246),$B$156=1),$O$246,HLOOKUP(INDIRECT(ADDRESS(2,COLUMN())),OFFSET($BN$2,0,0,ROW()-1,60),ROW()-1,FALSE))</f>
        <v>620965</v>
      </c>
      <c r="P118">
        <f ca="1">IF(AND(ISNUMBER($P$246),$B$156=1),$P$246,HLOOKUP(INDIRECT(ADDRESS(2,COLUMN())),OFFSET($BN$2,0,0,ROW()-1,60),ROW()-1,FALSE))</f>
        <v>583499</v>
      </c>
      <c r="Q118">
        <f ca="1">IF(AND(ISNUMBER($Q$246),$B$156=1),$Q$246,HLOOKUP(INDIRECT(ADDRESS(2,COLUMN())),OFFSET($BN$2,0,0,ROW()-1,60),ROW()-1,FALSE))</f>
        <v>605534</v>
      </c>
      <c r="R118">
        <f ca="1">IF(AND(ISNUMBER($R$246),$B$156=1),$R$246,HLOOKUP(INDIRECT(ADDRESS(2,COLUMN())),OFFSET($BN$2,0,0,ROW()-1,60),ROW()-1,FALSE))</f>
        <v>557605</v>
      </c>
      <c r="S118">
        <f ca="1">IF(AND(ISNUMBER($S$246),$B$156=1),$S$246,HLOOKUP(INDIRECT(ADDRESS(2,COLUMN())),OFFSET($BN$2,0,0,ROW()-1,60),ROW()-1,FALSE))</f>
        <v>602675</v>
      </c>
      <c r="T118">
        <f ca="1">IF(AND(ISNUMBER($T$246),$B$156=1),$T$246,HLOOKUP(INDIRECT(ADDRESS(2,COLUMN())),OFFSET($BN$2,0,0,ROW()-1,60),ROW()-1,FALSE))</f>
        <v>545062</v>
      </c>
      <c r="U118">
        <f ca="1">IF(AND(ISNUMBER($U$246),$B$156=1),$U$246,HLOOKUP(INDIRECT(ADDRESS(2,COLUMN())),OFFSET($BN$2,0,0,ROW()-1,60),ROW()-1,FALSE))</f>
        <v>573079</v>
      </c>
      <c r="V118">
        <f ca="1">IF(AND(ISNUMBER($V$246),$B$156=1),$V$246,HLOOKUP(INDIRECT(ADDRESS(2,COLUMN())),OFFSET($BN$2,0,0,ROW()-1,60),ROW()-1,FALSE))</f>
        <v>526669</v>
      </c>
      <c r="W118">
        <f ca="1">IF(AND(ISNUMBER($W$246),$B$156=1),$W$246,HLOOKUP(INDIRECT(ADDRESS(2,COLUMN())),OFFSET($BN$2,0,0,ROW()-1,60),ROW()-1,FALSE))</f>
        <v>588085</v>
      </c>
      <c r="X118">
        <f ca="1">IF(AND(ISNUMBER($X$246),$B$156=1),$X$246,HLOOKUP(INDIRECT(ADDRESS(2,COLUMN())),OFFSET($BN$2,0,0,ROW()-1,60),ROW()-1,FALSE))</f>
        <v>509669</v>
      </c>
      <c r="Y118">
        <f ca="1">IF(AND(ISNUMBER($Y$246),$B$156=1),$Y$246,HLOOKUP(INDIRECT(ADDRESS(2,COLUMN())),OFFSET($BN$2,0,0,ROW()-1,60),ROW()-1,FALSE))</f>
        <v>533187</v>
      </c>
      <c r="Z118">
        <f ca="1">IF(AND(ISNUMBER($Z$246),$B$156=1),$Z$246,HLOOKUP(INDIRECT(ADDRESS(2,COLUMN())),OFFSET($BN$2,0,0,ROW()-1,60),ROW()-1,FALSE))</f>
        <v>487024</v>
      </c>
      <c r="AA118">
        <f ca="1">IF(AND(ISNUMBER($AA$246),$B$156=1),$AA$246,HLOOKUP(INDIRECT(ADDRESS(2,COLUMN())),OFFSET($BN$2,0,0,ROW()-1,60),ROW()-1,FALSE))</f>
        <v>527620</v>
      </c>
      <c r="AB118">
        <f ca="1">IF(AND(ISNUMBER($AB$246),$B$156=1),$AB$246,HLOOKUP(INDIRECT(ADDRESS(2,COLUMN())),OFFSET($BN$2,0,0,ROW()-1,60),ROW()-1,FALSE))</f>
        <v>481657</v>
      </c>
      <c r="AC118">
        <f ca="1">IF(AND(ISNUMBER($AC$246),$B$156=1),$AC$246,HLOOKUP(INDIRECT(ADDRESS(2,COLUMN())),OFFSET($BN$2,0,0,ROW()-1,60),ROW()-1,FALSE))</f>
        <v>506321</v>
      </c>
      <c r="AD118">
        <f ca="1">IF(AND(ISNUMBER($AD$246),$B$156=1),$AD$246,HLOOKUP(INDIRECT(ADDRESS(2,COLUMN())),OFFSET($BN$2,0,0,ROW()-1,60),ROW()-1,FALSE))</f>
        <v>448200</v>
      </c>
      <c r="AE118">
        <f ca="1">IF(AND(ISNUMBER($AE$246),$B$156=1),$AE$246,HLOOKUP(INDIRECT(ADDRESS(2,COLUMN())),OFFSET($BN$2,0,0,ROW()-1,60),ROW()-1,FALSE))</f>
        <v>509684</v>
      </c>
      <c r="AF118">
        <f ca="1">IF(AND(ISNUMBER($AF$246),$B$156=1),$AF$246,HLOOKUP(INDIRECT(ADDRESS(2,COLUMN())),OFFSET($BN$2,0,0,ROW()-1,60),ROW()-1,FALSE))</f>
        <v>434963</v>
      </c>
      <c r="AG118">
        <f ca="1">IF(AND(ISNUMBER($AG$246),$B$156=1),$AG$246,HLOOKUP(INDIRECT(ADDRESS(2,COLUMN())),OFFSET($BN$2,0,0,ROW()-1,60),ROW()-1,FALSE))</f>
        <v>475011</v>
      </c>
      <c r="AH118">
        <f ca="1">IF(AND(ISNUMBER($AH$246),$B$156=1),$AH$246,HLOOKUP(INDIRECT(ADDRESS(2,COLUMN())),OFFSET($BN$2,0,0,ROW()-1,60),ROW()-1,FALSE))</f>
        <v>425528</v>
      </c>
      <c r="AI118">
        <f ca="1">IF(AND(ISNUMBER($AI$246),$B$156=1),$AI$246,HLOOKUP(INDIRECT(ADDRESS(2,COLUMN())),OFFSET($BN$2,0,0,ROW()-1,60),ROW()-1,FALSE))</f>
        <v>436398</v>
      </c>
      <c r="AJ118">
        <f ca="1">IF(AND(ISNUMBER($AJ$246),$B$156=1),$AJ$246,HLOOKUP(INDIRECT(ADDRESS(2,COLUMN())),OFFSET($BN$2,0,0,ROW()-1,60),ROW()-1,FALSE))</f>
        <v>399218</v>
      </c>
      <c r="AK118">
        <f ca="1">IF(AND(ISNUMBER($AK$246),$B$156=1),$AK$246,HLOOKUP(INDIRECT(ADDRESS(2,COLUMN())),OFFSET($BN$2,0,0,ROW()-1,60),ROW()-1,FALSE))</f>
        <v>450608</v>
      </c>
      <c r="AL118">
        <f ca="1">IF(AND(ISNUMBER($AL$246),$B$156=1),$AL$246,HLOOKUP(INDIRECT(ADDRESS(2,COLUMN())),OFFSET($BN$2,0,0,ROW()-1,60),ROW()-1,FALSE))</f>
        <v>382758</v>
      </c>
      <c r="AM118">
        <f ca="1">IF(AND(ISNUMBER($AM$246),$B$156=1),$AM$246,HLOOKUP(INDIRECT(ADDRESS(2,COLUMN())),OFFSET($BN$2,0,0,ROW()-1,60),ROW()-1,FALSE))</f>
        <v>398984</v>
      </c>
      <c r="AN118">
        <f ca="1">IF(AND(ISNUMBER($AN$246),$B$156=1),$AN$246,HLOOKUP(INDIRECT(ADDRESS(2,COLUMN())),OFFSET($BN$2,0,0,ROW()-1,60),ROW()-1,FALSE))</f>
        <v>366190</v>
      </c>
      <c r="AO118">
        <f ca="1">IF(AND(ISNUMBER($AO$246),$B$156=1),$AO$246,HLOOKUP(INDIRECT(ADDRESS(2,COLUMN())),OFFSET($BN$2,0,0,ROW()-1,60),ROW()-1,FALSE))</f>
        <v>380412</v>
      </c>
      <c r="AP118">
        <f ca="1">IF(AND(ISNUMBER($AP$246),$B$156=1),$AP$246,HLOOKUP(INDIRECT(ADDRESS(2,COLUMN())),OFFSET($BN$2,0,0,ROW()-1,60),ROW()-1,FALSE))</f>
        <v>315614</v>
      </c>
      <c r="AQ118">
        <f ca="1">IF(AND(ISNUMBER($AQ$246),$B$156=1),$AQ$246,HLOOKUP(INDIRECT(ADDRESS(2,COLUMN())),OFFSET($BN$2,0,0,ROW()-1,60),ROW()-1,FALSE))</f>
        <v>346756</v>
      </c>
      <c r="AR118">
        <f ca="1">IF(AND(ISNUMBER($AR$246),$B$156=1),$AR$246,HLOOKUP(INDIRECT(ADDRESS(2,COLUMN())),OFFSET($BN$2,0,0,ROW()-1,60),ROW()-1,FALSE))</f>
        <v>324100</v>
      </c>
      <c r="AS118">
        <f ca="1">IF(AND(ISNUMBER($AS$246),$B$156=1),$AS$246,HLOOKUP(INDIRECT(ADDRESS(2,COLUMN())),OFFSET($BN$2,0,0,ROW()-1,60),ROW()-1,FALSE))</f>
        <v>338190</v>
      </c>
      <c r="AT118">
        <f ca="1">IF(AND(ISNUMBER($AT$246),$B$156=1),$AT$246,HLOOKUP(INDIRECT(ADDRESS(2,COLUMN())),OFFSET($BN$2,0,0,ROW()-1,60),ROW()-1,FALSE))</f>
        <v>277264</v>
      </c>
      <c r="AU118" t="str">
        <f ca="1">IF(AND(ISNUMBER($AU$246),$B$156=1),$AU$246,HLOOKUP(INDIRECT(ADDRESS(2,COLUMN())),OFFSET($BN$2,0,0,ROW()-1,60),ROW()-1,FALSE))</f>
        <v/>
      </c>
      <c r="AV118">
        <f ca="1">IF(AND(ISNUMBER($AV$246),$B$156=1),$AV$246,HLOOKUP(INDIRECT(ADDRESS(2,COLUMN())),OFFSET($BN$2,0,0,ROW()-1,60),ROW()-1,FALSE))</f>
        <v>349098</v>
      </c>
      <c r="AW118">
        <f ca="1">IF(AND(ISNUMBER($AW$246),$B$156=1),$AW$246,HLOOKUP(INDIRECT(ADDRESS(2,COLUMN())),OFFSET($BN$2,0,0,ROW()-1,60),ROW()-1,FALSE))</f>
        <v>413087</v>
      </c>
      <c r="AX118">
        <f ca="1">IF(AND(ISNUMBER($AX$246),$B$156=1),$AX$246,HLOOKUP(INDIRECT(ADDRESS(2,COLUMN())),OFFSET($BN$2,0,0,ROW()-1,60),ROW()-1,FALSE))</f>
        <v>351787</v>
      </c>
      <c r="AY118">
        <f ca="1">IF(AND(ISNUMBER($AY$246),$B$156=1),$AY$246,HLOOKUP(INDIRECT(ADDRESS(2,COLUMN())),OFFSET($BN$2,0,0,ROW()-1,60),ROW()-1,FALSE))</f>
        <v>405829</v>
      </c>
      <c r="AZ118">
        <f ca="1">IF(AND(ISNUMBER($AZ$246),$B$156=1),$AZ$246,HLOOKUP(INDIRECT(ADDRESS(2,COLUMN())),OFFSET($BN$2,0,0,ROW()-1,60),ROW()-1,FALSE))</f>
        <v>364564</v>
      </c>
      <c r="BA118">
        <f ca="1">IF(AND(ISNUMBER($BA$246),$B$156=1),$BA$246,HLOOKUP(INDIRECT(ADDRESS(2,COLUMN())),OFFSET($BN$2,0,0,ROW()-1,60),ROW()-1,FALSE))</f>
        <v>397009</v>
      </c>
      <c r="BB118">
        <f ca="1">IF(AND(ISNUMBER($BB$246),$B$156=1),$BB$246,HLOOKUP(INDIRECT(ADDRESS(2,COLUMN())),OFFSET($BN$2,0,0,ROW()-1,60),ROW()-1,FALSE))</f>
        <v>333276</v>
      </c>
      <c r="BC118">
        <f ca="1">IF(AND(ISNUMBER($BC$246),$B$156=1),$BC$246,HLOOKUP(INDIRECT(ADDRESS(2,COLUMN())),OFFSET($BN$2,0,0,ROW()-1,60),ROW()-1,FALSE))</f>
        <v>352436</v>
      </c>
      <c r="BD118">
        <f ca="1">IF(AND(ISNUMBER($BD$246),$B$156=1),$BD$246,HLOOKUP(INDIRECT(ADDRESS(2,COLUMN())),OFFSET($BN$2,0,0,ROW()-1,60),ROW()-1,FALSE))</f>
        <v>323064</v>
      </c>
      <c r="BE118">
        <f ca="1">IF(AND(ISNUMBER($BE$246),$B$156=1),$BE$246,HLOOKUP(INDIRECT(ADDRESS(2,COLUMN())),OFFSET($BN$2,0,0,ROW()-1,60),ROW()-1,FALSE))</f>
        <v>365547</v>
      </c>
      <c r="BF118">
        <f ca="1">IF(AND(ISNUMBER($BF$246),$B$156=1),$BF$246,HLOOKUP(INDIRECT(ADDRESS(2,COLUMN())),OFFSET($BN$2,0,0,ROW()-1,60),ROW()-1,FALSE))</f>
        <v>332923</v>
      </c>
      <c r="BG118">
        <f ca="1">IF(AND(ISNUMBER($BG$246),$B$156=1),$BG$246,HLOOKUP(INDIRECT(ADDRESS(2,COLUMN())),OFFSET($BN$2,0,0,ROW()-1,60),ROW()-1,FALSE))</f>
        <v>339530</v>
      </c>
      <c r="BH118">
        <f ca="1">IF(AND(ISNUMBER($BH$246),$B$156=1),$BH$246,HLOOKUP(INDIRECT(ADDRESS(2,COLUMN())),OFFSET($BN$2,0,0,ROW()-1,60),ROW()-1,FALSE))</f>
        <v>341932</v>
      </c>
      <c r="BI118">
        <f ca="1">IF(AND(ISNUMBER($BI$246),$B$156=1),$BI$246,HLOOKUP(INDIRECT(ADDRESS(2,COLUMN())),OFFSET($BN$2,0,0,ROW()-1,60),ROW()-1,FALSE))</f>
        <v>354324</v>
      </c>
      <c r="BJ118">
        <f ca="1">IF(AND(ISNUMBER($BJ$246),$B$156=1),$BJ$246,HLOOKUP(INDIRECT(ADDRESS(2,COLUMN())),OFFSET($BN$2,0,0,ROW()-1,60),ROW()-1,FALSE))</f>
        <v>292207</v>
      </c>
      <c r="BK118">
        <f ca="1">IF(AND(ISNUMBER($BK$246),$B$156=1),$BK$246,HLOOKUP(INDIRECT(ADDRESS(2,COLUMN())),OFFSET($BN$2,0,0,ROW()-1,60),ROW()-1,FALSE))</f>
        <v>363052</v>
      </c>
      <c r="BL118">
        <f ca="1">IF(AND(ISNUMBER($BL$246),$B$156=1),$BL$246,HLOOKUP(INDIRECT(ADDRESS(2,COLUMN())),OFFSET($BN$2,0,0,ROW()-1,60),ROW()-1,FALSE))</f>
        <v>296310</v>
      </c>
      <c r="BM118">
        <f ca="1">IF(AND(ISNUMBER($BM$246),$B$156=1),$BM$246,HLOOKUP(INDIRECT(ADDRESS(2,COLUMN())),OFFSET($BN$2,0,0,ROW()-1,60),ROW()-1,FALSE))</f>
        <v>321010</v>
      </c>
      <c r="BN118" t="str">
        <f>""</f>
        <v/>
      </c>
      <c r="BO118" t="str">
        <f>""</f>
        <v/>
      </c>
      <c r="BP118">
        <f>592303</f>
        <v>592303</v>
      </c>
      <c r="BQ118">
        <f>663150</f>
        <v>663150</v>
      </c>
      <c r="BR118">
        <f>623082</f>
        <v>623082</v>
      </c>
      <c r="BS118">
        <f>686685</f>
        <v>686685</v>
      </c>
      <c r="BT118">
        <f>590415</f>
        <v>590415</v>
      </c>
      <c r="BU118">
        <f>648914</f>
        <v>648914</v>
      </c>
      <c r="BV118">
        <f>587237</f>
        <v>587237</v>
      </c>
      <c r="BW118">
        <f>620965</f>
        <v>620965</v>
      </c>
      <c r="BX118">
        <f>583499</f>
        <v>583499</v>
      </c>
      <c r="BY118">
        <f>605534</f>
        <v>605534</v>
      </c>
      <c r="BZ118">
        <f>557605</f>
        <v>557605</v>
      </c>
      <c r="CA118">
        <f>602675</f>
        <v>602675</v>
      </c>
      <c r="CB118">
        <f>545062</f>
        <v>545062</v>
      </c>
      <c r="CC118">
        <f>573079</f>
        <v>573079</v>
      </c>
      <c r="CD118">
        <f>526669</f>
        <v>526669</v>
      </c>
      <c r="CE118">
        <f>588085</f>
        <v>588085</v>
      </c>
      <c r="CF118">
        <f>509669</f>
        <v>509669</v>
      </c>
      <c r="CG118">
        <f>533187</f>
        <v>533187</v>
      </c>
      <c r="CH118">
        <f>487024</f>
        <v>487024</v>
      </c>
      <c r="CI118">
        <f>527620</f>
        <v>527620</v>
      </c>
      <c r="CJ118">
        <f>481657</f>
        <v>481657</v>
      </c>
      <c r="CK118">
        <f>506321</f>
        <v>506321</v>
      </c>
      <c r="CL118">
        <f>448200</f>
        <v>448200</v>
      </c>
      <c r="CM118">
        <f>509684</f>
        <v>509684</v>
      </c>
      <c r="CN118">
        <f>434963</f>
        <v>434963</v>
      </c>
      <c r="CO118">
        <f>475011</f>
        <v>475011</v>
      </c>
      <c r="CP118">
        <f>425528</f>
        <v>425528</v>
      </c>
      <c r="CQ118">
        <f>436398</f>
        <v>436398</v>
      </c>
      <c r="CR118">
        <f>399218</f>
        <v>399218</v>
      </c>
      <c r="CS118">
        <f>450608</f>
        <v>450608</v>
      </c>
      <c r="CT118">
        <f>382758</f>
        <v>382758</v>
      </c>
      <c r="CU118">
        <f>398984</f>
        <v>398984</v>
      </c>
      <c r="CV118">
        <f>366190</f>
        <v>366190</v>
      </c>
      <c r="CW118">
        <f>380412</f>
        <v>380412</v>
      </c>
      <c r="CX118">
        <f>315614</f>
        <v>315614</v>
      </c>
      <c r="CY118">
        <f>346756</f>
        <v>346756</v>
      </c>
      <c r="CZ118">
        <f>324100</f>
        <v>324100</v>
      </c>
      <c r="DA118">
        <f>338190</f>
        <v>338190</v>
      </c>
      <c r="DB118">
        <f>277264</f>
        <v>277264</v>
      </c>
      <c r="DC118" t="str">
        <f>""</f>
        <v/>
      </c>
      <c r="DD118">
        <f>349098</f>
        <v>349098</v>
      </c>
      <c r="DE118">
        <f>413087</f>
        <v>413087</v>
      </c>
      <c r="DF118">
        <f>351787</f>
        <v>351787</v>
      </c>
      <c r="DG118">
        <f>405829</f>
        <v>405829</v>
      </c>
      <c r="DH118">
        <f>364564</f>
        <v>364564</v>
      </c>
      <c r="DI118">
        <f>397009</f>
        <v>397009</v>
      </c>
      <c r="DJ118">
        <f>333276</f>
        <v>333276</v>
      </c>
      <c r="DK118">
        <f>352436</f>
        <v>352436</v>
      </c>
      <c r="DL118">
        <f>323064</f>
        <v>323064</v>
      </c>
      <c r="DM118">
        <f>365547</f>
        <v>365547</v>
      </c>
      <c r="DN118">
        <f>332923</f>
        <v>332923</v>
      </c>
      <c r="DO118">
        <f>339530</f>
        <v>339530</v>
      </c>
      <c r="DP118">
        <f>341932</f>
        <v>341932</v>
      </c>
      <c r="DQ118">
        <f>354324</f>
        <v>354324</v>
      </c>
      <c r="DR118">
        <f>292207</f>
        <v>292207</v>
      </c>
      <c r="DS118">
        <f>363052</f>
        <v>363052</v>
      </c>
      <c r="DT118">
        <f>296310</f>
        <v>296310</v>
      </c>
      <c r="DU118">
        <f>321010</f>
        <v>321010</v>
      </c>
    </row>
    <row r="119" spans="1:125" x14ac:dyDescent="0.25">
      <c r="A119" t="str">
        <f>"        BMW"</f>
        <v xml:space="preserve">        BMW</v>
      </c>
      <c r="B119" t="str">
        <f>"BMW GR Equity"</f>
        <v>BMW GR Equity</v>
      </c>
      <c r="E119" t="str">
        <f>"Static"</f>
        <v>Static</v>
      </c>
      <c r="F119" t="str">
        <f t="shared" ref="F119:O122" ca="1" si="28">HLOOKUP(INDIRECT(ADDRESS(2,COLUMN())),OFFSET($BN$2,0,0,ROW()-1,60),ROW()-1,FALSE)</f>
        <v/>
      </c>
      <c r="G119" t="str">
        <f t="shared" ca="1" si="28"/>
        <v/>
      </c>
      <c r="H119" t="str">
        <f t="shared" ca="1" si="28"/>
        <v/>
      </c>
      <c r="I119" t="str">
        <f t="shared" ca="1" si="28"/>
        <v/>
      </c>
      <c r="J119" t="str">
        <f t="shared" ca="1" si="28"/>
        <v/>
      </c>
      <c r="K119" t="str">
        <f t="shared" ca="1" si="28"/>
        <v/>
      </c>
      <c r="L119" t="str">
        <f t="shared" ca="1" si="28"/>
        <v/>
      </c>
      <c r="M119" t="str">
        <f t="shared" ca="1" si="28"/>
        <v/>
      </c>
      <c r="N119" t="str">
        <f t="shared" ca="1" si="28"/>
        <v/>
      </c>
      <c r="O119" t="str">
        <f t="shared" ca="1" si="28"/>
        <v/>
      </c>
      <c r="P119" t="str">
        <f t="shared" ref="P119:Y122" ca="1" si="29">HLOOKUP(INDIRECT(ADDRESS(2,COLUMN())),OFFSET($BN$2,0,0,ROW()-1,60),ROW()-1,FALSE)</f>
        <v/>
      </c>
      <c r="Q119" t="str">
        <f t="shared" ca="1" si="29"/>
        <v/>
      </c>
      <c r="R119" t="str">
        <f t="shared" ca="1" si="29"/>
        <v/>
      </c>
      <c r="S119" t="str">
        <f t="shared" ca="1" si="29"/>
        <v/>
      </c>
      <c r="T119" t="str">
        <f t="shared" ca="1" si="29"/>
        <v/>
      </c>
      <c r="U119" t="str">
        <f t="shared" ca="1" si="29"/>
        <v/>
      </c>
      <c r="V119" t="str">
        <f t="shared" ca="1" si="29"/>
        <v/>
      </c>
      <c r="W119" t="str">
        <f t="shared" ca="1" si="29"/>
        <v/>
      </c>
      <c r="X119">
        <f t="shared" ca="1" si="29"/>
        <v>433145</v>
      </c>
      <c r="Y119">
        <f t="shared" ca="1" si="29"/>
        <v>458088</v>
      </c>
      <c r="Z119">
        <f t="shared" ref="Z119:AI122" ca="1" si="30">HLOOKUP(INDIRECT(ADDRESS(2,COLUMN())),OFFSET($BN$2,0,0,ROW()-1,60),ROW()-1,FALSE)</f>
        <v>428259</v>
      </c>
      <c r="AA119">
        <f t="shared" ca="1" si="30"/>
        <v>445524</v>
      </c>
      <c r="AB119">
        <f t="shared" ca="1" si="30"/>
        <v>405366</v>
      </c>
      <c r="AC119">
        <f t="shared" ca="1" si="30"/>
        <v>422844</v>
      </c>
      <c r="AD119">
        <f t="shared" ca="1" si="30"/>
        <v>381404</v>
      </c>
      <c r="AE119">
        <f t="shared" ca="1" si="30"/>
        <v>430123</v>
      </c>
      <c r="AF119">
        <f t="shared" ca="1" si="30"/>
        <v>362898</v>
      </c>
      <c r="AG119">
        <f t="shared" ca="1" si="30"/>
        <v>390516</v>
      </c>
      <c r="AH119">
        <f t="shared" ca="1" si="30"/>
        <v>356548</v>
      </c>
      <c r="AI119">
        <f t="shared" ca="1" si="30"/>
        <v>358457</v>
      </c>
      <c r="AJ119">
        <f t="shared" ref="AJ119:AS122" ca="1" si="31">HLOOKUP(INDIRECT(ADDRESS(2,COLUMN())),OFFSET($BN$2,0,0,ROW()-1,60),ROW()-1,FALSE)</f>
        <v>332066</v>
      </c>
      <c r="AK119">
        <f t="shared" ca="1" si="31"/>
        <v>368686</v>
      </c>
      <c r="AL119">
        <f t="shared" ca="1" si="31"/>
        <v>321175</v>
      </c>
      <c r="AM119">
        <f t="shared" ca="1" si="31"/>
        <v>331543</v>
      </c>
      <c r="AN119">
        <f t="shared" ca="1" si="31"/>
        <v>306982</v>
      </c>
      <c r="AO119">
        <f t="shared" ca="1" si="31"/>
        <v>319946</v>
      </c>
      <c r="AP119">
        <f t="shared" ca="1" si="31"/>
        <v>265809</v>
      </c>
      <c r="AQ119">
        <f t="shared" ca="1" si="31"/>
        <v>291315</v>
      </c>
      <c r="AR119">
        <f t="shared" ca="1" si="31"/>
        <v>263864</v>
      </c>
      <c r="AS119">
        <f t="shared" ca="1" si="31"/>
        <v>280093</v>
      </c>
      <c r="AT119">
        <f t="shared" ref="AT119:BC122" ca="1" si="32">HLOOKUP(INDIRECT(ADDRESS(2,COLUMN())),OFFSET($BN$2,0,0,ROW()-1,60),ROW()-1,FALSE)</f>
        <v>233498</v>
      </c>
      <c r="AU119">
        <f t="shared" ca="1" si="32"/>
        <v>274009</v>
      </c>
      <c r="AV119">
        <f t="shared" ca="1" si="32"/>
        <v>290661</v>
      </c>
      <c r="AW119">
        <f t="shared" ca="1" si="32"/>
        <v>344019</v>
      </c>
      <c r="AX119">
        <f t="shared" ca="1" si="32"/>
        <v>293550</v>
      </c>
      <c r="AY119">
        <f t="shared" ca="1" si="32"/>
        <v>347414</v>
      </c>
      <c r="AZ119">
        <f t="shared" ca="1" si="32"/>
        <v>306964</v>
      </c>
      <c r="BA119">
        <f t="shared" ca="1" si="32"/>
        <v>336230</v>
      </c>
      <c r="BB119">
        <f t="shared" ca="1" si="32"/>
        <v>286185</v>
      </c>
      <c r="BC119">
        <f t="shared" ca="1" si="32"/>
        <v>305109</v>
      </c>
      <c r="BD119">
        <f t="shared" ref="BD119:BM122" ca="1" si="33">HLOOKUP(INDIRECT(ADDRESS(2,COLUMN())),OFFSET($BN$2,0,0,ROW()-1,60),ROW()-1,FALSE)</f>
        <v>277088</v>
      </c>
      <c r="BE119">
        <f t="shared" ca="1" si="33"/>
        <v>313823</v>
      </c>
      <c r="BF119">
        <f t="shared" ca="1" si="33"/>
        <v>283297</v>
      </c>
      <c r="BG119">
        <f t="shared" ca="1" si="33"/>
        <v>293722</v>
      </c>
      <c r="BH119">
        <f t="shared" ca="1" si="33"/>
        <v>290454</v>
      </c>
      <c r="BI119">
        <f t="shared" ca="1" si="33"/>
        <v>298745</v>
      </c>
      <c r="BJ119">
        <f t="shared" ca="1" si="33"/>
        <v>239387</v>
      </c>
      <c r="BK119">
        <f t="shared" ca="1" si="33"/>
        <v>316051</v>
      </c>
      <c r="BL119">
        <f t="shared" ca="1" si="33"/>
        <v>248431</v>
      </c>
      <c r="BM119">
        <f t="shared" ca="1" si="33"/>
        <v>273429</v>
      </c>
      <c r="BN119" t="str">
        <f>""</f>
        <v/>
      </c>
      <c r="BO119" t="str">
        <f>""</f>
        <v/>
      </c>
      <c r="BP119" t="str">
        <f>""</f>
        <v/>
      </c>
      <c r="BQ119" t="str">
        <f>""</f>
        <v/>
      </c>
      <c r="BR119" t="str">
        <f>""</f>
        <v/>
      </c>
      <c r="BS119" t="str">
        <f>""</f>
        <v/>
      </c>
      <c r="BT119" t="str">
        <f>""</f>
        <v/>
      </c>
      <c r="BU119" t="str">
        <f>""</f>
        <v/>
      </c>
      <c r="BV119" t="str">
        <f>""</f>
        <v/>
      </c>
      <c r="BW119" t="str">
        <f>""</f>
        <v/>
      </c>
      <c r="BX119" t="str">
        <f>""</f>
        <v/>
      </c>
      <c r="BY119" t="str">
        <f>""</f>
        <v/>
      </c>
      <c r="BZ119" t="str">
        <f>""</f>
        <v/>
      </c>
      <c r="CA119" t="str">
        <f>""</f>
        <v/>
      </c>
      <c r="CB119" t="str">
        <f>""</f>
        <v/>
      </c>
      <c r="CC119" t="str">
        <f>""</f>
        <v/>
      </c>
      <c r="CD119" t="str">
        <f>""</f>
        <v/>
      </c>
      <c r="CE119" t="str">
        <f>""</f>
        <v/>
      </c>
      <c r="CF119">
        <f>433145</f>
        <v>433145</v>
      </c>
      <c r="CG119">
        <f>458088</f>
        <v>458088</v>
      </c>
      <c r="CH119">
        <f>428259</f>
        <v>428259</v>
      </c>
      <c r="CI119">
        <f>445524</f>
        <v>445524</v>
      </c>
      <c r="CJ119">
        <f>405366</f>
        <v>405366</v>
      </c>
      <c r="CK119">
        <f>422844</f>
        <v>422844</v>
      </c>
      <c r="CL119">
        <f>381404</f>
        <v>381404</v>
      </c>
      <c r="CM119">
        <f>430123</f>
        <v>430123</v>
      </c>
      <c r="CN119">
        <f>362898</f>
        <v>362898</v>
      </c>
      <c r="CO119">
        <f>390516</f>
        <v>390516</v>
      </c>
      <c r="CP119">
        <f>356548</f>
        <v>356548</v>
      </c>
      <c r="CQ119">
        <f>358457</f>
        <v>358457</v>
      </c>
      <c r="CR119">
        <f>332066</f>
        <v>332066</v>
      </c>
      <c r="CS119">
        <f>368686</f>
        <v>368686</v>
      </c>
      <c r="CT119">
        <f>321175</f>
        <v>321175</v>
      </c>
      <c r="CU119">
        <f>331543</f>
        <v>331543</v>
      </c>
      <c r="CV119">
        <f>306982</f>
        <v>306982</v>
      </c>
      <c r="CW119">
        <f>319946</f>
        <v>319946</v>
      </c>
      <c r="CX119">
        <f>265809</f>
        <v>265809</v>
      </c>
      <c r="CY119">
        <f>291315</f>
        <v>291315</v>
      </c>
      <c r="CZ119">
        <f>263864</f>
        <v>263864</v>
      </c>
      <c r="DA119">
        <f>280093</f>
        <v>280093</v>
      </c>
      <c r="DB119">
        <f>233498</f>
        <v>233498</v>
      </c>
      <c r="DC119">
        <f>274009</f>
        <v>274009</v>
      </c>
      <c r="DD119">
        <f>290661</f>
        <v>290661</v>
      </c>
      <c r="DE119">
        <f>344019</f>
        <v>344019</v>
      </c>
      <c r="DF119">
        <f>293550</f>
        <v>293550</v>
      </c>
      <c r="DG119">
        <f>347414</f>
        <v>347414</v>
      </c>
      <c r="DH119">
        <f>306964</f>
        <v>306964</v>
      </c>
      <c r="DI119">
        <f>336230</f>
        <v>336230</v>
      </c>
      <c r="DJ119">
        <f>286185</f>
        <v>286185</v>
      </c>
      <c r="DK119">
        <f>305109</f>
        <v>305109</v>
      </c>
      <c r="DL119">
        <f>277088</f>
        <v>277088</v>
      </c>
      <c r="DM119">
        <f>313823</f>
        <v>313823</v>
      </c>
      <c r="DN119">
        <f>283297</f>
        <v>283297</v>
      </c>
      <c r="DO119">
        <f>293722</f>
        <v>293722</v>
      </c>
      <c r="DP119">
        <f>290454</f>
        <v>290454</v>
      </c>
      <c r="DQ119">
        <f>298745</f>
        <v>298745</v>
      </c>
      <c r="DR119">
        <f>239387</f>
        <v>239387</v>
      </c>
      <c r="DS119">
        <f>316051</f>
        <v>316051</v>
      </c>
      <c r="DT119">
        <f>248431</f>
        <v>248431</v>
      </c>
      <c r="DU119">
        <f>273429</f>
        <v>273429</v>
      </c>
    </row>
    <row r="120" spans="1:125" x14ac:dyDescent="0.25">
      <c r="A120" t="str">
        <f>"        Mini"</f>
        <v xml:space="preserve">        Mini</v>
      </c>
      <c r="B120" t="str">
        <f>"BMW GR Equity"</f>
        <v>BMW GR Equity</v>
      </c>
      <c r="E120" t="str">
        <f>"Static"</f>
        <v>Static</v>
      </c>
      <c r="F120" t="str">
        <f t="shared" ca="1" si="28"/>
        <v/>
      </c>
      <c r="G120" t="str">
        <f t="shared" ca="1" si="28"/>
        <v/>
      </c>
      <c r="H120" t="str">
        <f t="shared" ca="1" si="28"/>
        <v/>
      </c>
      <c r="I120" t="str">
        <f t="shared" ca="1" si="28"/>
        <v/>
      </c>
      <c r="J120" t="str">
        <f t="shared" ca="1" si="28"/>
        <v/>
      </c>
      <c r="K120" t="str">
        <f t="shared" ca="1" si="28"/>
        <v/>
      </c>
      <c r="L120" t="str">
        <f t="shared" ca="1" si="28"/>
        <v/>
      </c>
      <c r="M120" t="str">
        <f t="shared" ca="1" si="28"/>
        <v/>
      </c>
      <c r="N120" t="str">
        <f t="shared" ca="1" si="28"/>
        <v/>
      </c>
      <c r="O120" t="str">
        <f t="shared" ca="1" si="28"/>
        <v/>
      </c>
      <c r="P120" t="str">
        <f t="shared" ca="1" si="29"/>
        <v/>
      </c>
      <c r="Q120" t="str">
        <f t="shared" ca="1" si="29"/>
        <v/>
      </c>
      <c r="R120" t="str">
        <f t="shared" ca="1" si="29"/>
        <v/>
      </c>
      <c r="S120" t="str">
        <f t="shared" ca="1" si="29"/>
        <v/>
      </c>
      <c r="T120" t="str">
        <f t="shared" ca="1" si="29"/>
        <v/>
      </c>
      <c r="U120" t="str">
        <f t="shared" ca="1" si="29"/>
        <v/>
      </c>
      <c r="V120" t="str">
        <f t="shared" ca="1" si="29"/>
        <v/>
      </c>
      <c r="W120" t="str">
        <f t="shared" ca="1" si="29"/>
        <v/>
      </c>
      <c r="X120">
        <f t="shared" ca="1" si="29"/>
        <v>75633</v>
      </c>
      <c r="Y120">
        <f t="shared" ca="1" si="29"/>
        <v>74028</v>
      </c>
      <c r="Z120">
        <f t="shared" ca="1" si="30"/>
        <v>57868</v>
      </c>
      <c r="AA120">
        <f t="shared" ca="1" si="30"/>
        <v>77672</v>
      </c>
      <c r="AB120">
        <f t="shared" ca="1" si="30"/>
        <v>75481</v>
      </c>
      <c r="AC120">
        <f t="shared" ca="1" si="30"/>
        <v>85723</v>
      </c>
      <c r="AD120">
        <f t="shared" ca="1" si="30"/>
        <v>66154</v>
      </c>
      <c r="AE120">
        <f t="shared" ca="1" si="30"/>
        <v>78312</v>
      </c>
      <c r="AF120">
        <f t="shared" ca="1" si="30"/>
        <v>71339</v>
      </c>
      <c r="AG120">
        <f t="shared" ca="1" si="30"/>
        <v>83665</v>
      </c>
      <c r="AH120">
        <f t="shared" ca="1" si="30"/>
        <v>68210</v>
      </c>
      <c r="AI120">
        <f t="shared" ca="1" si="30"/>
        <v>76844</v>
      </c>
      <c r="AJ120">
        <f t="shared" ca="1" si="31"/>
        <v>66303</v>
      </c>
      <c r="AK120">
        <f t="shared" ca="1" si="31"/>
        <v>81053</v>
      </c>
      <c r="AL120">
        <f t="shared" ca="1" si="31"/>
        <v>60860</v>
      </c>
      <c r="AM120">
        <f t="shared" ca="1" si="31"/>
        <v>66424</v>
      </c>
      <c r="AN120">
        <f t="shared" ca="1" si="31"/>
        <v>58450</v>
      </c>
      <c r="AO120">
        <f t="shared" ca="1" si="31"/>
        <v>59775</v>
      </c>
      <c r="AP120">
        <f t="shared" ca="1" si="31"/>
        <v>49526</v>
      </c>
      <c r="AQ120">
        <f t="shared" ca="1" si="31"/>
        <v>54900</v>
      </c>
      <c r="AR120">
        <f t="shared" ca="1" si="31"/>
        <v>60104</v>
      </c>
      <c r="AS120">
        <f t="shared" ca="1" si="31"/>
        <v>57942</v>
      </c>
      <c r="AT120">
        <f t="shared" ca="1" si="32"/>
        <v>43592</v>
      </c>
      <c r="AU120">
        <f t="shared" ca="1" si="32"/>
        <v>47844</v>
      </c>
      <c r="AV120">
        <f t="shared" ca="1" si="32"/>
        <v>58105</v>
      </c>
      <c r="AW120">
        <f t="shared" ca="1" si="32"/>
        <v>68756</v>
      </c>
      <c r="AX120">
        <f t="shared" ca="1" si="32"/>
        <v>58054</v>
      </c>
      <c r="AY120">
        <f t="shared" ca="1" si="32"/>
        <v>57984</v>
      </c>
      <c r="AZ120">
        <f t="shared" ca="1" si="32"/>
        <v>57315</v>
      </c>
      <c r="BA120">
        <f t="shared" ca="1" si="32"/>
        <v>60598</v>
      </c>
      <c r="BB120">
        <f t="shared" ca="1" si="32"/>
        <v>46978</v>
      </c>
      <c r="BC120">
        <f t="shared" ca="1" si="32"/>
        <v>39823</v>
      </c>
      <c r="BD120">
        <f t="shared" ca="1" si="33"/>
        <v>45788</v>
      </c>
      <c r="BE120">
        <f t="shared" ca="1" si="33"/>
        <v>51544</v>
      </c>
      <c r="BF120">
        <f t="shared" ca="1" si="33"/>
        <v>49519</v>
      </c>
      <c r="BG120">
        <f t="shared" ca="1" si="33"/>
        <v>40706</v>
      </c>
      <c r="BH120">
        <f t="shared" ca="1" si="33"/>
        <v>51299</v>
      </c>
      <c r="BI120">
        <f t="shared" ca="1" si="33"/>
        <v>55420</v>
      </c>
      <c r="BJ120">
        <f t="shared" ca="1" si="33"/>
        <v>52694</v>
      </c>
      <c r="BK120">
        <f t="shared" ca="1" si="33"/>
        <v>46611</v>
      </c>
      <c r="BL120">
        <f t="shared" ca="1" si="33"/>
        <v>47713</v>
      </c>
      <c r="BM120">
        <f t="shared" ca="1" si="33"/>
        <v>47402</v>
      </c>
      <c r="BN120" t="str">
        <f>""</f>
        <v/>
      </c>
      <c r="BO120" t="str">
        <f>""</f>
        <v/>
      </c>
      <c r="BP120" t="str">
        <f>""</f>
        <v/>
      </c>
      <c r="BQ120" t="str">
        <f>""</f>
        <v/>
      </c>
      <c r="BR120" t="str">
        <f>""</f>
        <v/>
      </c>
      <c r="BS120" t="str">
        <f>""</f>
        <v/>
      </c>
      <c r="BT120" t="str">
        <f>""</f>
        <v/>
      </c>
      <c r="BU120" t="str">
        <f>""</f>
        <v/>
      </c>
      <c r="BV120" t="str">
        <f>""</f>
        <v/>
      </c>
      <c r="BW120" t="str">
        <f>""</f>
        <v/>
      </c>
      <c r="BX120" t="str">
        <f>""</f>
        <v/>
      </c>
      <c r="BY120" t="str">
        <f>""</f>
        <v/>
      </c>
      <c r="BZ120" t="str">
        <f>""</f>
        <v/>
      </c>
      <c r="CA120" t="str">
        <f>""</f>
        <v/>
      </c>
      <c r="CB120" t="str">
        <f>""</f>
        <v/>
      </c>
      <c r="CC120" t="str">
        <f>""</f>
        <v/>
      </c>
      <c r="CD120" t="str">
        <f>""</f>
        <v/>
      </c>
      <c r="CE120" t="str">
        <f>""</f>
        <v/>
      </c>
      <c r="CF120">
        <f>75633</f>
        <v>75633</v>
      </c>
      <c r="CG120">
        <f>74028</f>
        <v>74028</v>
      </c>
      <c r="CH120">
        <f>57868</f>
        <v>57868</v>
      </c>
      <c r="CI120">
        <f>77672</f>
        <v>77672</v>
      </c>
      <c r="CJ120">
        <f>75481</f>
        <v>75481</v>
      </c>
      <c r="CK120">
        <f>85723</f>
        <v>85723</v>
      </c>
      <c r="CL120">
        <f>66154</f>
        <v>66154</v>
      </c>
      <c r="CM120">
        <f>78312</f>
        <v>78312</v>
      </c>
      <c r="CN120">
        <f>71339</f>
        <v>71339</v>
      </c>
      <c r="CO120">
        <f>83665</f>
        <v>83665</v>
      </c>
      <c r="CP120">
        <f>68210</f>
        <v>68210</v>
      </c>
      <c r="CQ120">
        <f>76844</f>
        <v>76844</v>
      </c>
      <c r="CR120">
        <f>66303</f>
        <v>66303</v>
      </c>
      <c r="CS120">
        <f>81053</f>
        <v>81053</v>
      </c>
      <c r="CT120">
        <f>60860</f>
        <v>60860</v>
      </c>
      <c r="CU120">
        <f>66424</f>
        <v>66424</v>
      </c>
      <c r="CV120">
        <f>58450</f>
        <v>58450</v>
      </c>
      <c r="CW120">
        <f>59775</f>
        <v>59775</v>
      </c>
      <c r="CX120">
        <f>49526</f>
        <v>49526</v>
      </c>
      <c r="CY120">
        <f>54900</f>
        <v>54900</v>
      </c>
      <c r="CZ120">
        <f>60104</f>
        <v>60104</v>
      </c>
      <c r="DA120">
        <f>57942</f>
        <v>57942</v>
      </c>
      <c r="DB120">
        <f>43592</f>
        <v>43592</v>
      </c>
      <c r="DC120">
        <f>47844</f>
        <v>47844</v>
      </c>
      <c r="DD120">
        <f>58105</f>
        <v>58105</v>
      </c>
      <c r="DE120">
        <f>68756</f>
        <v>68756</v>
      </c>
      <c r="DF120">
        <f>58054</f>
        <v>58054</v>
      </c>
      <c r="DG120">
        <f>57984</f>
        <v>57984</v>
      </c>
      <c r="DH120">
        <f>57315</f>
        <v>57315</v>
      </c>
      <c r="DI120">
        <f>60598</f>
        <v>60598</v>
      </c>
      <c r="DJ120">
        <f>46978</f>
        <v>46978</v>
      </c>
      <c r="DK120">
        <f>39823</f>
        <v>39823</v>
      </c>
      <c r="DL120">
        <f>45788</f>
        <v>45788</v>
      </c>
      <c r="DM120">
        <f>51544</f>
        <v>51544</v>
      </c>
      <c r="DN120">
        <f>49519</f>
        <v>49519</v>
      </c>
      <c r="DO120">
        <f>40706</f>
        <v>40706</v>
      </c>
      <c r="DP120">
        <f>51299</f>
        <v>51299</v>
      </c>
      <c r="DQ120">
        <f>55420</f>
        <v>55420</v>
      </c>
      <c r="DR120">
        <f>52694</f>
        <v>52694</v>
      </c>
      <c r="DS120">
        <f>46611</f>
        <v>46611</v>
      </c>
      <c r="DT120">
        <f>47713</f>
        <v>47713</v>
      </c>
      <c r="DU120">
        <f>47402</f>
        <v>47402</v>
      </c>
    </row>
    <row r="121" spans="1:125" x14ac:dyDescent="0.25">
      <c r="A121" t="str">
        <f>"        Rolls-Royce"</f>
        <v xml:space="preserve">        Rolls-Royce</v>
      </c>
      <c r="B121" t="str">
        <f>"BMW GR Equity"</f>
        <v>BMW GR Equity</v>
      </c>
      <c r="E121" t="str">
        <f>"Static"</f>
        <v>Static</v>
      </c>
      <c r="F121" t="str">
        <f t="shared" ca="1" si="28"/>
        <v/>
      </c>
      <c r="G121" t="str">
        <f t="shared" ca="1" si="28"/>
        <v/>
      </c>
      <c r="H121" t="str">
        <f t="shared" ca="1" si="28"/>
        <v/>
      </c>
      <c r="I121" t="str">
        <f t="shared" ca="1" si="28"/>
        <v/>
      </c>
      <c r="J121" t="str">
        <f t="shared" ca="1" si="28"/>
        <v/>
      </c>
      <c r="K121" t="str">
        <f t="shared" ca="1" si="28"/>
        <v/>
      </c>
      <c r="L121" t="str">
        <f t="shared" ca="1" si="28"/>
        <v/>
      </c>
      <c r="M121" t="str">
        <f t="shared" ca="1" si="28"/>
        <v/>
      </c>
      <c r="N121" t="str">
        <f t="shared" ca="1" si="28"/>
        <v/>
      </c>
      <c r="O121" t="str">
        <f t="shared" ca="1" si="28"/>
        <v/>
      </c>
      <c r="P121" t="str">
        <f t="shared" ca="1" si="29"/>
        <v/>
      </c>
      <c r="Q121" t="str">
        <f t="shared" ca="1" si="29"/>
        <v/>
      </c>
      <c r="R121" t="str">
        <f t="shared" ca="1" si="29"/>
        <v/>
      </c>
      <c r="S121" t="str">
        <f t="shared" ca="1" si="29"/>
        <v/>
      </c>
      <c r="T121" t="str">
        <f t="shared" ca="1" si="29"/>
        <v/>
      </c>
      <c r="U121" t="str">
        <f t="shared" ca="1" si="29"/>
        <v/>
      </c>
      <c r="V121" t="str">
        <f t="shared" ca="1" si="29"/>
        <v/>
      </c>
      <c r="W121" t="str">
        <f t="shared" ca="1" si="29"/>
        <v/>
      </c>
      <c r="X121">
        <f t="shared" ca="1" si="29"/>
        <v>891</v>
      </c>
      <c r="Y121">
        <f t="shared" ca="1" si="29"/>
        <v>1071</v>
      </c>
      <c r="Z121">
        <f t="shared" ca="1" si="30"/>
        <v>897</v>
      </c>
      <c r="AA121">
        <f t="shared" ca="1" si="30"/>
        <v>1330</v>
      </c>
      <c r="AB121">
        <f t="shared" ca="1" si="30"/>
        <v>825</v>
      </c>
      <c r="AC121">
        <f t="shared" ca="1" si="30"/>
        <v>833</v>
      </c>
      <c r="AD121">
        <f t="shared" ca="1" si="30"/>
        <v>642</v>
      </c>
      <c r="AE121">
        <f t="shared" ca="1" si="30"/>
        <v>1249</v>
      </c>
      <c r="AF121">
        <f t="shared" ca="1" si="30"/>
        <v>726</v>
      </c>
      <c r="AG121">
        <f t="shared" ca="1" si="30"/>
        <v>830</v>
      </c>
      <c r="AH121">
        <f t="shared" ca="1" si="30"/>
        <v>770</v>
      </c>
      <c r="AI121">
        <f t="shared" ca="1" si="30"/>
        <v>1097</v>
      </c>
      <c r="AJ121">
        <f t="shared" ca="1" si="31"/>
        <v>849</v>
      </c>
      <c r="AK121">
        <f t="shared" ca="1" si="31"/>
        <v>869</v>
      </c>
      <c r="AL121">
        <f t="shared" ca="1" si="31"/>
        <v>723</v>
      </c>
      <c r="AM121">
        <f t="shared" ca="1" si="31"/>
        <v>983</v>
      </c>
      <c r="AN121">
        <f t="shared" ca="1" si="31"/>
        <v>758</v>
      </c>
      <c r="AO121">
        <f t="shared" ca="1" si="31"/>
        <v>691</v>
      </c>
      <c r="AP121">
        <f t="shared" ca="1" si="31"/>
        <v>279</v>
      </c>
      <c r="AQ121">
        <f t="shared" ca="1" si="31"/>
        <v>541</v>
      </c>
      <c r="AR121">
        <f t="shared" ca="1" si="31"/>
        <v>132</v>
      </c>
      <c r="AS121">
        <f t="shared" ca="1" si="31"/>
        <v>155</v>
      </c>
      <c r="AT121">
        <f t="shared" ca="1" si="32"/>
        <v>174</v>
      </c>
      <c r="AU121">
        <f t="shared" ca="1" si="32"/>
        <v>385</v>
      </c>
      <c r="AV121">
        <f t="shared" ca="1" si="32"/>
        <v>332</v>
      </c>
      <c r="AW121">
        <f t="shared" ca="1" si="32"/>
        <v>312</v>
      </c>
      <c r="AX121">
        <f t="shared" ca="1" si="32"/>
        <v>183</v>
      </c>
      <c r="AY121">
        <f t="shared" ca="1" si="32"/>
        <v>431</v>
      </c>
      <c r="AZ121">
        <f t="shared" ca="1" si="32"/>
        <v>285</v>
      </c>
      <c r="BA121">
        <f t="shared" ca="1" si="32"/>
        <v>181</v>
      </c>
      <c r="BB121">
        <f t="shared" ca="1" si="32"/>
        <v>113</v>
      </c>
      <c r="BC121">
        <f t="shared" ca="1" si="32"/>
        <v>372</v>
      </c>
      <c r="BD121">
        <f t="shared" ca="1" si="33"/>
        <v>188</v>
      </c>
      <c r="BE121">
        <f t="shared" ca="1" si="33"/>
        <v>180</v>
      </c>
      <c r="BF121">
        <f t="shared" ca="1" si="33"/>
        <v>107</v>
      </c>
      <c r="BG121">
        <f t="shared" ca="1" si="33"/>
        <v>228</v>
      </c>
      <c r="BH121">
        <f t="shared" ca="1" si="33"/>
        <v>179</v>
      </c>
      <c r="BI121">
        <f t="shared" ca="1" si="33"/>
        <v>159</v>
      </c>
      <c r="BJ121">
        <f t="shared" ca="1" si="33"/>
        <v>126</v>
      </c>
      <c r="BK121">
        <f t="shared" ca="1" si="33"/>
        <v>390</v>
      </c>
      <c r="BL121">
        <f t="shared" ca="1" si="33"/>
        <v>166</v>
      </c>
      <c r="BM121">
        <f t="shared" ca="1" si="33"/>
        <v>179</v>
      </c>
      <c r="BN121" t="str">
        <f>""</f>
        <v/>
      </c>
      <c r="BO121" t="str">
        <f>""</f>
        <v/>
      </c>
      <c r="BP121" t="str">
        <f>""</f>
        <v/>
      </c>
      <c r="BQ121" t="str">
        <f>""</f>
        <v/>
      </c>
      <c r="BR121" t="str">
        <f>""</f>
        <v/>
      </c>
      <c r="BS121" t="str">
        <f>""</f>
        <v/>
      </c>
      <c r="BT121" t="str">
        <f>""</f>
        <v/>
      </c>
      <c r="BU121" t="str">
        <f>""</f>
        <v/>
      </c>
      <c r="BV121" t="str">
        <f>""</f>
        <v/>
      </c>
      <c r="BW121" t="str">
        <f>""</f>
        <v/>
      </c>
      <c r="BX121" t="str">
        <f>""</f>
        <v/>
      </c>
      <c r="BY121" t="str">
        <f>""</f>
        <v/>
      </c>
      <c r="BZ121" t="str">
        <f>""</f>
        <v/>
      </c>
      <c r="CA121" t="str">
        <f>""</f>
        <v/>
      </c>
      <c r="CB121" t="str">
        <f>""</f>
        <v/>
      </c>
      <c r="CC121" t="str">
        <f>""</f>
        <v/>
      </c>
      <c r="CD121" t="str">
        <f>""</f>
        <v/>
      </c>
      <c r="CE121" t="str">
        <f>""</f>
        <v/>
      </c>
      <c r="CF121">
        <f>891</f>
        <v>891</v>
      </c>
      <c r="CG121">
        <f>1071</f>
        <v>1071</v>
      </c>
      <c r="CH121">
        <f>897</f>
        <v>897</v>
      </c>
      <c r="CI121">
        <f>1330</f>
        <v>1330</v>
      </c>
      <c r="CJ121">
        <f>825</f>
        <v>825</v>
      </c>
      <c r="CK121">
        <f>833</f>
        <v>833</v>
      </c>
      <c r="CL121">
        <f>642</f>
        <v>642</v>
      </c>
      <c r="CM121">
        <f>1249</f>
        <v>1249</v>
      </c>
      <c r="CN121">
        <f>726</f>
        <v>726</v>
      </c>
      <c r="CO121">
        <f>830</f>
        <v>830</v>
      </c>
      <c r="CP121">
        <f>770</f>
        <v>770</v>
      </c>
      <c r="CQ121">
        <f>1097</f>
        <v>1097</v>
      </c>
      <c r="CR121">
        <f>849</f>
        <v>849</v>
      </c>
      <c r="CS121">
        <f>869</f>
        <v>869</v>
      </c>
      <c r="CT121">
        <f>723</f>
        <v>723</v>
      </c>
      <c r="CU121">
        <f>983</f>
        <v>983</v>
      </c>
      <c r="CV121">
        <f>758</f>
        <v>758</v>
      </c>
      <c r="CW121">
        <f>691</f>
        <v>691</v>
      </c>
      <c r="CX121">
        <f>279</f>
        <v>279</v>
      </c>
      <c r="CY121">
        <f>541</f>
        <v>541</v>
      </c>
      <c r="CZ121">
        <f>132</f>
        <v>132</v>
      </c>
      <c r="DA121">
        <f>155</f>
        <v>155</v>
      </c>
      <c r="DB121">
        <f>174</f>
        <v>174</v>
      </c>
      <c r="DC121">
        <f>385</f>
        <v>385</v>
      </c>
      <c r="DD121">
        <f>332</f>
        <v>332</v>
      </c>
      <c r="DE121">
        <f>312</f>
        <v>312</v>
      </c>
      <c r="DF121">
        <f>183</f>
        <v>183</v>
      </c>
      <c r="DG121">
        <f>431</f>
        <v>431</v>
      </c>
      <c r="DH121">
        <f>285</f>
        <v>285</v>
      </c>
      <c r="DI121">
        <f>181</f>
        <v>181</v>
      </c>
      <c r="DJ121">
        <f>113</f>
        <v>113</v>
      </c>
      <c r="DK121">
        <f>372</f>
        <v>372</v>
      </c>
      <c r="DL121">
        <f>188</f>
        <v>188</v>
      </c>
      <c r="DM121">
        <f>180</f>
        <v>180</v>
      </c>
      <c r="DN121">
        <f>107</f>
        <v>107</v>
      </c>
      <c r="DO121">
        <f>228</f>
        <v>228</v>
      </c>
      <c r="DP121">
        <f>179</f>
        <v>179</v>
      </c>
      <c r="DQ121">
        <f>159</f>
        <v>159</v>
      </c>
      <c r="DR121">
        <f>126</f>
        <v>126</v>
      </c>
      <c r="DS121">
        <f>390</f>
        <v>390</v>
      </c>
      <c r="DT121">
        <f>166</f>
        <v>166</v>
      </c>
      <c r="DU121">
        <f>179</f>
        <v>179</v>
      </c>
    </row>
    <row r="122" spans="1:125" x14ac:dyDescent="0.25">
      <c r="A122" t="str">
        <f>"    Mazda Motor Corp"</f>
        <v xml:space="preserve">    Mazda Motor Corp</v>
      </c>
      <c r="B122" t="str">
        <f>"7261 JP Equity"</f>
        <v>7261 JP Equity</v>
      </c>
      <c r="E122" t="str">
        <f>"Static"</f>
        <v>Static</v>
      </c>
      <c r="F122" t="str">
        <f t="shared" ca="1" si="28"/>
        <v/>
      </c>
      <c r="G122" t="str">
        <f t="shared" ca="1" si="28"/>
        <v/>
      </c>
      <c r="H122" t="str">
        <f t="shared" ca="1" si="28"/>
        <v/>
      </c>
      <c r="I122" t="str">
        <f t="shared" ca="1" si="28"/>
        <v/>
      </c>
      <c r="J122" t="str">
        <f t="shared" ca="1" si="28"/>
        <v/>
      </c>
      <c r="K122" t="str">
        <f t="shared" ca="1" si="28"/>
        <v/>
      </c>
      <c r="L122" t="str">
        <f t="shared" ca="1" si="28"/>
        <v/>
      </c>
      <c r="M122" t="str">
        <f t="shared" ca="1" si="28"/>
        <v/>
      </c>
      <c r="N122" t="str">
        <f t="shared" ca="1" si="28"/>
        <v/>
      </c>
      <c r="O122" t="str">
        <f t="shared" ca="1" si="28"/>
        <v/>
      </c>
      <c r="P122" t="str">
        <f t="shared" ca="1" si="29"/>
        <v/>
      </c>
      <c r="Q122" t="str">
        <f t="shared" ca="1" si="29"/>
        <v/>
      </c>
      <c r="R122" t="str">
        <f t="shared" ca="1" si="29"/>
        <v/>
      </c>
      <c r="S122">
        <f t="shared" ca="1" si="29"/>
        <v>322200</v>
      </c>
      <c r="T122" t="str">
        <f t="shared" ca="1" si="29"/>
        <v/>
      </c>
      <c r="U122" t="str">
        <f t="shared" ca="1" si="29"/>
        <v/>
      </c>
      <c r="V122" t="str">
        <f t="shared" ca="1" si="29"/>
        <v/>
      </c>
      <c r="W122">
        <f t="shared" ca="1" si="29"/>
        <v>378000</v>
      </c>
      <c r="X122">
        <f t="shared" ca="1" si="29"/>
        <v>306000</v>
      </c>
      <c r="Y122">
        <f t="shared" ca="1" si="29"/>
        <v>319000</v>
      </c>
      <c r="Z122">
        <f t="shared" ca="1" si="30"/>
        <v>378000</v>
      </c>
      <c r="AA122">
        <f t="shared" ca="1" si="30"/>
        <v>322000</v>
      </c>
      <c r="AB122">
        <f t="shared" ca="1" si="30"/>
        <v>330000</v>
      </c>
      <c r="AC122">
        <f t="shared" ca="1" si="30"/>
        <v>301000</v>
      </c>
      <c r="AD122">
        <f t="shared" ca="1" si="30"/>
        <v>395000</v>
      </c>
      <c r="AE122">
        <f t="shared" ca="1" si="30"/>
        <v>280000</v>
      </c>
      <c r="AF122">
        <f t="shared" ca="1" si="30"/>
        <v>313000</v>
      </c>
      <c r="AG122">
        <f t="shared" ca="1" si="30"/>
        <v>300000</v>
      </c>
      <c r="AH122">
        <f t="shared" ca="1" si="30"/>
        <v>356000</v>
      </c>
      <c r="AI122">
        <f t="shared" ca="1" si="30"/>
        <v>287000</v>
      </c>
      <c r="AJ122">
        <f t="shared" ca="1" si="31"/>
        <v>323000</v>
      </c>
      <c r="AK122">
        <f t="shared" ca="1" si="31"/>
        <v>281000</v>
      </c>
      <c r="AL122">
        <f t="shared" ca="1" si="31"/>
        <v>317000</v>
      </c>
      <c r="AM122">
        <f t="shared" ca="1" si="31"/>
        <v>297000</v>
      </c>
      <c r="AN122">
        <f t="shared" ca="1" si="31"/>
        <v>342000</v>
      </c>
      <c r="AO122">
        <f t="shared" ca="1" si="31"/>
        <v>317000</v>
      </c>
      <c r="AP122">
        <f t="shared" ca="1" si="31"/>
        <v>289608</v>
      </c>
      <c r="AQ122">
        <f t="shared" ca="1" si="31"/>
        <v>242537</v>
      </c>
      <c r="AR122">
        <f t="shared" ca="1" si="31"/>
        <v>250042</v>
      </c>
      <c r="AS122">
        <f t="shared" ca="1" si="31"/>
        <v>181141</v>
      </c>
      <c r="AT122">
        <f t="shared" ca="1" si="32"/>
        <v>225271</v>
      </c>
      <c r="AU122">
        <f t="shared" ca="1" si="32"/>
        <v>242854</v>
      </c>
      <c r="AV122">
        <f t="shared" ca="1" si="32"/>
        <v>330442</v>
      </c>
      <c r="AW122">
        <f t="shared" ca="1" si="32"/>
        <v>317753</v>
      </c>
      <c r="AX122">
        <f t="shared" ca="1" si="32"/>
        <v>363831</v>
      </c>
      <c r="AY122">
        <f t="shared" ca="1" si="32"/>
        <v>300638</v>
      </c>
      <c r="AZ122">
        <f t="shared" ca="1" si="32"/>
        <v>294876</v>
      </c>
      <c r="BA122">
        <f t="shared" ca="1" si="32"/>
        <v>280216</v>
      </c>
      <c r="BB122">
        <f t="shared" ca="1" si="32"/>
        <v>348088</v>
      </c>
      <c r="BC122">
        <f t="shared" ca="1" si="32"/>
        <v>268514</v>
      </c>
      <c r="BD122">
        <f t="shared" ca="1" si="33"/>
        <v>288466</v>
      </c>
      <c r="BE122">
        <f t="shared" ca="1" si="33"/>
        <v>271605</v>
      </c>
      <c r="BF122">
        <f t="shared" ca="1" si="33"/>
        <v>311923</v>
      </c>
      <c r="BG122" t="str">
        <f t="shared" ca="1" si="33"/>
        <v/>
      </c>
      <c r="BH122" t="str">
        <f t="shared" ca="1" si="33"/>
        <v/>
      </c>
      <c r="BI122" t="str">
        <f t="shared" ca="1" si="33"/>
        <v/>
      </c>
      <c r="BJ122" t="str">
        <f t="shared" ca="1" si="33"/>
        <v/>
      </c>
      <c r="BK122" t="str">
        <f t="shared" ca="1" si="33"/>
        <v/>
      </c>
      <c r="BL122" t="str">
        <f t="shared" ca="1" si="33"/>
        <v/>
      </c>
      <c r="BM122" t="str">
        <f t="shared" ca="1" si="33"/>
        <v/>
      </c>
      <c r="BN122" t="str">
        <f>""</f>
        <v/>
      </c>
      <c r="BO122" t="str">
        <f>""</f>
        <v/>
      </c>
      <c r="BP122" t="str">
        <f>""</f>
        <v/>
      </c>
      <c r="BQ122" t="str">
        <f>""</f>
        <v/>
      </c>
      <c r="BR122" t="str">
        <f>""</f>
        <v/>
      </c>
      <c r="BS122" t="str">
        <f>""</f>
        <v/>
      </c>
      <c r="BT122" t="str">
        <f>""</f>
        <v/>
      </c>
      <c r="BU122" t="str">
        <f>""</f>
        <v/>
      </c>
      <c r="BV122" t="str">
        <f>""</f>
        <v/>
      </c>
      <c r="BW122" t="str">
        <f>""</f>
        <v/>
      </c>
      <c r="BX122" t="str">
        <f>""</f>
        <v/>
      </c>
      <c r="BY122" t="str">
        <f>""</f>
        <v/>
      </c>
      <c r="BZ122" t="str">
        <f>""</f>
        <v/>
      </c>
      <c r="CA122">
        <f>322200</f>
        <v>322200</v>
      </c>
      <c r="CB122" t="str">
        <f>""</f>
        <v/>
      </c>
      <c r="CC122" t="str">
        <f>""</f>
        <v/>
      </c>
      <c r="CD122" t="str">
        <f>""</f>
        <v/>
      </c>
      <c r="CE122">
        <f>378000</f>
        <v>378000</v>
      </c>
      <c r="CF122">
        <f>306000</f>
        <v>306000</v>
      </c>
      <c r="CG122">
        <f>319000</f>
        <v>319000</v>
      </c>
      <c r="CH122">
        <f>378000</f>
        <v>378000</v>
      </c>
      <c r="CI122">
        <f>322000</f>
        <v>322000</v>
      </c>
      <c r="CJ122">
        <f>330000</f>
        <v>330000</v>
      </c>
      <c r="CK122">
        <f>301000</f>
        <v>301000</v>
      </c>
      <c r="CL122">
        <f>395000</f>
        <v>395000</v>
      </c>
      <c r="CM122">
        <f>280000</f>
        <v>280000</v>
      </c>
      <c r="CN122">
        <f>313000</f>
        <v>313000</v>
      </c>
      <c r="CO122">
        <f>300000</f>
        <v>300000</v>
      </c>
      <c r="CP122">
        <f>356000</f>
        <v>356000</v>
      </c>
      <c r="CQ122">
        <f>287000</f>
        <v>287000</v>
      </c>
      <c r="CR122">
        <f>323000</f>
        <v>323000</v>
      </c>
      <c r="CS122">
        <f>281000</f>
        <v>281000</v>
      </c>
      <c r="CT122">
        <f>317000</f>
        <v>317000</v>
      </c>
      <c r="CU122">
        <f>297000</f>
        <v>297000</v>
      </c>
      <c r="CV122">
        <f>342000</f>
        <v>342000</v>
      </c>
      <c r="CW122">
        <f>317000</f>
        <v>317000</v>
      </c>
      <c r="CX122">
        <f>289608</f>
        <v>289608</v>
      </c>
      <c r="CY122">
        <f>242537</f>
        <v>242537</v>
      </c>
      <c r="CZ122">
        <f>250042</f>
        <v>250042</v>
      </c>
      <c r="DA122">
        <f>181141</f>
        <v>181141</v>
      </c>
      <c r="DB122">
        <f>225271</f>
        <v>225271</v>
      </c>
      <c r="DC122">
        <f>242854</f>
        <v>242854</v>
      </c>
      <c r="DD122">
        <f>330442</f>
        <v>330442</v>
      </c>
      <c r="DE122">
        <f>317753</f>
        <v>317753</v>
      </c>
      <c r="DF122">
        <f>363831</f>
        <v>363831</v>
      </c>
      <c r="DG122">
        <f>300638</f>
        <v>300638</v>
      </c>
      <c r="DH122">
        <f>294876</f>
        <v>294876</v>
      </c>
      <c r="DI122">
        <f>280216</f>
        <v>280216</v>
      </c>
      <c r="DJ122">
        <f>348088</f>
        <v>348088</v>
      </c>
      <c r="DK122">
        <f>268514</f>
        <v>268514</v>
      </c>
      <c r="DL122">
        <f>288466</f>
        <v>288466</v>
      </c>
      <c r="DM122">
        <f>271605</f>
        <v>271605</v>
      </c>
      <c r="DN122">
        <f>311923</f>
        <v>311923</v>
      </c>
      <c r="DO122" t="str">
        <f>""</f>
        <v/>
      </c>
      <c r="DP122" t="str">
        <f>""</f>
        <v/>
      </c>
      <c r="DQ122" t="str">
        <f>""</f>
        <v/>
      </c>
      <c r="DR122" t="str">
        <f>""</f>
        <v/>
      </c>
      <c r="DS122" t="str">
        <f>""</f>
        <v/>
      </c>
      <c r="DT122" t="str">
        <f>""</f>
        <v/>
      </c>
      <c r="DU122" t="str">
        <f>""</f>
        <v/>
      </c>
    </row>
    <row r="123" spans="1:125" x14ac:dyDescent="0.25">
      <c r="A123" t="str">
        <f>"    Guangzhou Automobile Group Co Ltd"</f>
        <v xml:space="preserve">    Guangzhou Automobile Group Co Ltd</v>
      </c>
      <c r="B123" t="str">
        <f>"2238 HK Equity"</f>
        <v>2238 HK Equity</v>
      </c>
      <c r="C123" t="str">
        <f>"BI047"</f>
        <v>BI047</v>
      </c>
      <c r="D123" t="str">
        <f>"BICS_SEGMENT_DATA"</f>
        <v>BICS_SEGMENT_DATA</v>
      </c>
      <c r="E123" t="str">
        <f>"Dynamic"</f>
        <v>Dynamic</v>
      </c>
      <c r="F123" t="str">
        <f ca="1">IF(AND(ISNUMBER($F$247),$B$156=1),$F$247,HLOOKUP(INDIRECT(ADDRESS(2,COLUMN())),OFFSET($BN$2,0,0,ROW()-1,60),ROW()-1,FALSE))</f>
        <v/>
      </c>
      <c r="G123" t="str">
        <f ca="1">IF(AND(ISNUMBER($G$247),$B$156=1),$G$247,HLOOKUP(INDIRECT(ADDRESS(2,COLUMN())),OFFSET($BN$2,0,0,ROW()-1,60),ROW()-1,FALSE))</f>
        <v/>
      </c>
      <c r="H123" t="str">
        <f ca="1">IF(AND(ISNUMBER($H$247),$B$156=1),$H$247,HLOOKUP(INDIRECT(ADDRESS(2,COLUMN())),OFFSET($BN$2,0,0,ROW()-1,60),ROW()-1,FALSE))</f>
        <v/>
      </c>
      <c r="I123" t="str">
        <f ca="1">IF(AND(ISNUMBER($I$247),$B$156=1),$I$247,HLOOKUP(INDIRECT(ADDRESS(2,COLUMN())),OFFSET($BN$2,0,0,ROW()-1,60),ROW()-1,FALSE))</f>
        <v/>
      </c>
      <c r="J123" t="str">
        <f ca="1">IF(AND(ISNUMBER($J$247),$B$156=1),$J$247,HLOOKUP(INDIRECT(ADDRESS(2,COLUMN())),OFFSET($BN$2,0,0,ROW()-1,60),ROW()-1,FALSE))</f>
        <v/>
      </c>
      <c r="K123" t="str">
        <f ca="1">IF(AND(ISNUMBER($K$247),$B$156=1),$K$247,HLOOKUP(INDIRECT(ADDRESS(2,COLUMN())),OFFSET($BN$2,0,0,ROW()-1,60),ROW()-1,FALSE))</f>
        <v/>
      </c>
      <c r="L123" t="str">
        <f ca="1">IF(AND(ISNUMBER($L$247),$B$156=1),$L$247,HLOOKUP(INDIRECT(ADDRESS(2,COLUMN())),OFFSET($BN$2,0,0,ROW()-1,60),ROW()-1,FALSE))</f>
        <v/>
      </c>
      <c r="M123" t="str">
        <f ca="1">IF(AND(ISNUMBER($M$247),$B$156=1),$M$247,HLOOKUP(INDIRECT(ADDRESS(2,COLUMN())),OFFSET($BN$2,0,0,ROW()-1,60),ROW()-1,FALSE))</f>
        <v/>
      </c>
      <c r="N123" t="str">
        <f ca="1">IF(AND(ISNUMBER($N$247),$B$156=1),$N$247,HLOOKUP(INDIRECT(ADDRESS(2,COLUMN())),OFFSET($BN$2,0,0,ROW()-1,60),ROW()-1,FALSE))</f>
        <v/>
      </c>
      <c r="O123" t="str">
        <f ca="1">IF(AND(ISNUMBER($O$247),$B$156=1),$O$247,HLOOKUP(INDIRECT(ADDRESS(2,COLUMN())),OFFSET($BN$2,0,0,ROW()-1,60),ROW()-1,FALSE))</f>
        <v/>
      </c>
      <c r="P123" t="str">
        <f ca="1">IF(AND(ISNUMBER($P$247),$B$156=1),$P$247,HLOOKUP(INDIRECT(ADDRESS(2,COLUMN())),OFFSET($BN$2,0,0,ROW()-1,60),ROW()-1,FALSE))</f>
        <v/>
      </c>
      <c r="Q123" t="str">
        <f ca="1">IF(AND(ISNUMBER($Q$247),$B$156=1),$Q$247,HLOOKUP(INDIRECT(ADDRESS(2,COLUMN())),OFFSET($BN$2,0,0,ROW()-1,60),ROW()-1,FALSE))</f>
        <v/>
      </c>
      <c r="R123" t="str">
        <f ca="1">IF(AND(ISNUMBER($R$247),$B$156=1),$R$247,HLOOKUP(INDIRECT(ADDRESS(2,COLUMN())),OFFSET($BN$2,0,0,ROW()-1,60),ROW()-1,FALSE))</f>
        <v/>
      </c>
      <c r="S123" t="str">
        <f ca="1">IF(AND(ISNUMBER($S$247),$B$156=1),$S$247,HLOOKUP(INDIRECT(ADDRESS(2,COLUMN())),OFFSET($BN$2,0,0,ROW()-1,60),ROW()-1,FALSE))</f>
        <v/>
      </c>
      <c r="T123" t="str">
        <f ca="1">IF(AND(ISNUMBER($T$247),$B$156=1),$T$247,HLOOKUP(INDIRECT(ADDRESS(2,COLUMN())),OFFSET($BN$2,0,0,ROW()-1,60),ROW()-1,FALSE))</f>
        <v/>
      </c>
      <c r="U123" t="str">
        <f ca="1">IF(AND(ISNUMBER($U$247),$B$156=1),$U$247,HLOOKUP(INDIRECT(ADDRESS(2,COLUMN())),OFFSET($BN$2,0,0,ROW()-1,60),ROW()-1,FALSE))</f>
        <v/>
      </c>
      <c r="V123" t="str">
        <f ca="1">IF(AND(ISNUMBER($V$247),$B$156=1),$V$247,HLOOKUP(INDIRECT(ADDRESS(2,COLUMN())),OFFSET($BN$2,0,0,ROW()-1,60),ROW()-1,FALSE))</f>
        <v/>
      </c>
      <c r="W123" t="str">
        <f ca="1">IF(AND(ISNUMBER($W$247),$B$156=1),$W$247,HLOOKUP(INDIRECT(ADDRESS(2,COLUMN())),OFFSET($BN$2,0,0,ROW()-1,60),ROW()-1,FALSE))</f>
        <v/>
      </c>
      <c r="X123" t="str">
        <f ca="1">IF(AND(ISNUMBER($X$247),$B$156=1),$X$247,HLOOKUP(INDIRECT(ADDRESS(2,COLUMN())),OFFSET($BN$2,0,0,ROW()-1,60),ROW()-1,FALSE))</f>
        <v/>
      </c>
      <c r="Y123" t="str">
        <f ca="1">IF(AND(ISNUMBER($Y$247),$B$156=1),$Y$247,HLOOKUP(INDIRECT(ADDRESS(2,COLUMN())),OFFSET($BN$2,0,0,ROW()-1,60),ROW()-1,FALSE))</f>
        <v/>
      </c>
      <c r="Z123" t="str">
        <f ca="1">IF(AND(ISNUMBER($Z$247),$B$156=1),$Z$247,HLOOKUP(INDIRECT(ADDRESS(2,COLUMN())),OFFSET($BN$2,0,0,ROW()-1,60),ROW()-1,FALSE))</f>
        <v/>
      </c>
      <c r="AA123" t="str">
        <f ca="1">IF(AND(ISNUMBER($AA$247),$B$156=1),$AA$247,HLOOKUP(INDIRECT(ADDRESS(2,COLUMN())),OFFSET($BN$2,0,0,ROW()-1,60),ROW()-1,FALSE))</f>
        <v/>
      </c>
      <c r="AB123" t="str">
        <f ca="1">IF(AND(ISNUMBER($AB$247),$B$156=1),$AB$247,HLOOKUP(INDIRECT(ADDRESS(2,COLUMN())),OFFSET($BN$2,0,0,ROW()-1,60),ROW()-1,FALSE))</f>
        <v/>
      </c>
      <c r="AC123" t="str">
        <f ca="1">IF(AND(ISNUMBER($AC$247),$B$156=1),$AC$247,HLOOKUP(INDIRECT(ADDRESS(2,COLUMN())),OFFSET($BN$2,0,0,ROW()-1,60),ROW()-1,FALSE))</f>
        <v/>
      </c>
      <c r="AD123" t="str">
        <f ca="1">IF(AND(ISNUMBER($AD$247),$B$156=1),$AD$247,HLOOKUP(INDIRECT(ADDRESS(2,COLUMN())),OFFSET($BN$2,0,0,ROW()-1,60),ROW()-1,FALSE))</f>
        <v/>
      </c>
      <c r="AE123" t="str">
        <f ca="1">IF(AND(ISNUMBER($AE$247),$B$156=1),$AE$247,HLOOKUP(INDIRECT(ADDRESS(2,COLUMN())),OFFSET($BN$2,0,0,ROW()-1,60),ROW()-1,FALSE))</f>
        <v/>
      </c>
      <c r="AF123" t="str">
        <f ca="1">IF(AND(ISNUMBER($AF$247),$B$156=1),$AF$247,HLOOKUP(INDIRECT(ADDRESS(2,COLUMN())),OFFSET($BN$2,0,0,ROW()-1,60),ROW()-1,FALSE))</f>
        <v/>
      </c>
      <c r="AG123" t="str">
        <f ca="1">IF(AND(ISNUMBER($AG$247),$B$156=1),$AG$247,HLOOKUP(INDIRECT(ADDRESS(2,COLUMN())),OFFSET($BN$2,0,0,ROW()-1,60),ROW()-1,FALSE))</f>
        <v/>
      </c>
      <c r="AH123" t="str">
        <f ca="1">IF(AND(ISNUMBER($AH$247),$B$156=1),$AH$247,HLOOKUP(INDIRECT(ADDRESS(2,COLUMN())),OFFSET($BN$2,0,0,ROW()-1,60),ROW()-1,FALSE))</f>
        <v/>
      </c>
      <c r="AI123" t="str">
        <f ca="1">IF(AND(ISNUMBER($AI$247),$B$156=1),$AI$247,HLOOKUP(INDIRECT(ADDRESS(2,COLUMN())),OFFSET($BN$2,0,0,ROW()-1,60),ROW()-1,FALSE))</f>
        <v/>
      </c>
      <c r="AJ123" t="str">
        <f ca="1">IF(AND(ISNUMBER($AJ$247),$B$156=1),$AJ$247,HLOOKUP(INDIRECT(ADDRESS(2,COLUMN())),OFFSET($BN$2,0,0,ROW()-1,60),ROW()-1,FALSE))</f>
        <v/>
      </c>
      <c r="AK123" t="str">
        <f ca="1">IF(AND(ISNUMBER($AK$247),$B$156=1),$AK$247,HLOOKUP(INDIRECT(ADDRESS(2,COLUMN())),OFFSET($BN$2,0,0,ROW()-1,60),ROW()-1,FALSE))</f>
        <v/>
      </c>
      <c r="AL123" t="str">
        <f ca="1">IF(AND(ISNUMBER($AL$247),$B$156=1),$AL$247,HLOOKUP(INDIRECT(ADDRESS(2,COLUMN())),OFFSET($BN$2,0,0,ROW()-1,60),ROW()-1,FALSE))</f>
        <v/>
      </c>
      <c r="AM123" t="str">
        <f ca="1">IF(AND(ISNUMBER($AM$247),$B$156=1),$AM$247,HLOOKUP(INDIRECT(ADDRESS(2,COLUMN())),OFFSET($BN$2,0,0,ROW()-1,60),ROW()-1,FALSE))</f>
        <v/>
      </c>
      <c r="AN123" t="str">
        <f ca="1">IF(AND(ISNUMBER($AN$247),$B$156=1),$AN$247,HLOOKUP(INDIRECT(ADDRESS(2,COLUMN())),OFFSET($BN$2,0,0,ROW()-1,60),ROW()-1,FALSE))</f>
        <v/>
      </c>
      <c r="AO123" t="str">
        <f ca="1">IF(AND(ISNUMBER($AO$247),$B$156=1),$AO$247,HLOOKUP(INDIRECT(ADDRESS(2,COLUMN())),OFFSET($BN$2,0,0,ROW()-1,60),ROW()-1,FALSE))</f>
        <v/>
      </c>
      <c r="AP123" t="str">
        <f ca="1">IF(AND(ISNUMBER($AP$247),$B$156=1),$AP$247,HLOOKUP(INDIRECT(ADDRESS(2,COLUMN())),OFFSET($BN$2,0,0,ROW()-1,60),ROW()-1,FALSE))</f>
        <v/>
      </c>
      <c r="AQ123" t="str">
        <f ca="1">IF(AND(ISNUMBER($AQ$247),$B$156=1),$AQ$247,HLOOKUP(INDIRECT(ADDRESS(2,COLUMN())),OFFSET($BN$2,0,0,ROW()-1,60),ROW()-1,FALSE))</f>
        <v/>
      </c>
      <c r="AR123" t="str">
        <f ca="1">IF(AND(ISNUMBER($AR$247),$B$156=1),$AR$247,HLOOKUP(INDIRECT(ADDRESS(2,COLUMN())),OFFSET($BN$2,0,0,ROW()-1,60),ROW()-1,FALSE))</f>
        <v/>
      </c>
      <c r="AS123" t="str">
        <f ca="1">IF(AND(ISNUMBER($AS$247),$B$156=1),$AS$247,HLOOKUP(INDIRECT(ADDRESS(2,COLUMN())),OFFSET($BN$2,0,0,ROW()-1,60),ROW()-1,FALSE))</f>
        <v/>
      </c>
      <c r="AT123" t="str">
        <f ca="1">IF(AND(ISNUMBER($AT$247),$B$156=1),$AT$247,HLOOKUP(INDIRECT(ADDRESS(2,COLUMN())),OFFSET($BN$2,0,0,ROW()-1,60),ROW()-1,FALSE))</f>
        <v/>
      </c>
      <c r="AU123" t="str">
        <f ca="1">IF(AND(ISNUMBER($AU$247),$B$156=1),$AU$247,HLOOKUP(INDIRECT(ADDRESS(2,COLUMN())),OFFSET($BN$2,0,0,ROW()-1,60),ROW()-1,FALSE))</f>
        <v/>
      </c>
      <c r="AV123" t="str">
        <f ca="1">IF(AND(ISNUMBER($AV$247),$B$156=1),$AV$247,HLOOKUP(INDIRECT(ADDRESS(2,COLUMN())),OFFSET($BN$2,0,0,ROW()-1,60),ROW()-1,FALSE))</f>
        <v/>
      </c>
      <c r="AW123" t="str">
        <f ca="1">IF(AND(ISNUMBER($AW$247),$B$156=1),$AW$247,HLOOKUP(INDIRECT(ADDRESS(2,COLUMN())),OFFSET($BN$2,0,0,ROW()-1,60),ROW()-1,FALSE))</f>
        <v/>
      </c>
      <c r="AX123" t="str">
        <f ca="1">IF(AND(ISNUMBER($AX$247),$B$156=1),$AX$247,HLOOKUP(INDIRECT(ADDRESS(2,COLUMN())),OFFSET($BN$2,0,0,ROW()-1,60),ROW()-1,FALSE))</f>
        <v/>
      </c>
      <c r="AY123" t="str">
        <f ca="1">IF(AND(ISNUMBER($AY$247),$B$156=1),$AY$247,HLOOKUP(INDIRECT(ADDRESS(2,COLUMN())),OFFSET($BN$2,0,0,ROW()-1,60),ROW()-1,FALSE))</f>
        <v/>
      </c>
      <c r="AZ123" t="str">
        <f ca="1">IF(AND(ISNUMBER($AZ$247),$B$156=1),$AZ$247,HLOOKUP(INDIRECT(ADDRESS(2,COLUMN())),OFFSET($BN$2,0,0,ROW()-1,60),ROW()-1,FALSE))</f>
        <v/>
      </c>
      <c r="BA123" t="str">
        <f ca="1">IF(AND(ISNUMBER($BA$247),$B$156=1),$BA$247,HLOOKUP(INDIRECT(ADDRESS(2,COLUMN())),OFFSET($BN$2,0,0,ROW()-1,60),ROW()-1,FALSE))</f>
        <v/>
      </c>
      <c r="BB123" t="str">
        <f ca="1">IF(AND(ISNUMBER($BB$247),$B$156=1),$BB$247,HLOOKUP(INDIRECT(ADDRESS(2,COLUMN())),OFFSET($BN$2,0,0,ROW()-1,60),ROW()-1,FALSE))</f>
        <v/>
      </c>
      <c r="BC123" t="str">
        <f ca="1">IF(AND(ISNUMBER($BC$247),$B$156=1),$BC$247,HLOOKUP(INDIRECT(ADDRESS(2,COLUMN())),OFFSET($BN$2,0,0,ROW()-1,60),ROW()-1,FALSE))</f>
        <v/>
      </c>
      <c r="BD123" t="str">
        <f ca="1">IF(AND(ISNUMBER($BD$247),$B$156=1),$BD$247,HLOOKUP(INDIRECT(ADDRESS(2,COLUMN())),OFFSET($BN$2,0,0,ROW()-1,60),ROW()-1,FALSE))</f>
        <v/>
      </c>
      <c r="BE123" t="str">
        <f ca="1">IF(AND(ISNUMBER($BE$247),$B$156=1),$BE$247,HLOOKUP(INDIRECT(ADDRESS(2,COLUMN())),OFFSET($BN$2,0,0,ROW()-1,60),ROW()-1,FALSE))</f>
        <v/>
      </c>
      <c r="BF123" t="str">
        <f ca="1">IF(AND(ISNUMBER($BF$247),$B$156=1),$BF$247,HLOOKUP(INDIRECT(ADDRESS(2,COLUMN())),OFFSET($BN$2,0,0,ROW()-1,60),ROW()-1,FALSE))</f>
        <v/>
      </c>
      <c r="BG123" t="str">
        <f ca="1">IF(AND(ISNUMBER($BG$247),$B$156=1),$BG$247,HLOOKUP(INDIRECT(ADDRESS(2,COLUMN())),OFFSET($BN$2,0,0,ROW()-1,60),ROW()-1,FALSE))</f>
        <v/>
      </c>
      <c r="BH123" t="str">
        <f ca="1">IF(AND(ISNUMBER($BH$247),$B$156=1),$BH$247,HLOOKUP(INDIRECT(ADDRESS(2,COLUMN())),OFFSET($BN$2,0,0,ROW()-1,60),ROW()-1,FALSE))</f>
        <v/>
      </c>
      <c r="BI123" t="str">
        <f ca="1">IF(AND(ISNUMBER($BI$247),$B$156=1),$BI$247,HLOOKUP(INDIRECT(ADDRESS(2,COLUMN())),OFFSET($BN$2,0,0,ROW()-1,60),ROW()-1,FALSE))</f>
        <v/>
      </c>
      <c r="BJ123" t="str">
        <f ca="1">IF(AND(ISNUMBER($BJ$247),$B$156=1),$BJ$247,HLOOKUP(INDIRECT(ADDRESS(2,COLUMN())),OFFSET($BN$2,0,0,ROW()-1,60),ROW()-1,FALSE))</f>
        <v/>
      </c>
      <c r="BK123" t="str">
        <f ca="1">IF(AND(ISNUMBER($BK$247),$B$156=1),$BK$247,HLOOKUP(INDIRECT(ADDRESS(2,COLUMN())),OFFSET($BN$2,0,0,ROW()-1,60),ROW()-1,FALSE))</f>
        <v/>
      </c>
      <c r="BL123" t="str">
        <f ca="1">IF(AND(ISNUMBER($BL$247),$B$156=1),$BL$247,HLOOKUP(INDIRECT(ADDRESS(2,COLUMN())),OFFSET($BN$2,0,0,ROW()-1,60),ROW()-1,FALSE))</f>
        <v/>
      </c>
      <c r="BM123" t="str">
        <f ca="1">IF(AND(ISNUMBER($BM$247),$B$156=1),$BM$247,HLOOKUP(INDIRECT(ADDRESS(2,COLUMN())),OFFSET($BN$2,0,0,ROW()-1,60),ROW()-1,FALSE))</f>
        <v/>
      </c>
      <c r="BN123" t="str">
        <f>""</f>
        <v/>
      </c>
      <c r="BO123" t="str">
        <f>""</f>
        <v/>
      </c>
      <c r="BP123" t="str">
        <f>""</f>
        <v/>
      </c>
      <c r="BQ123" t="str">
        <f>""</f>
        <v/>
      </c>
      <c r="BR123" t="str">
        <f>""</f>
        <v/>
      </c>
      <c r="BS123" t="str">
        <f>""</f>
        <v/>
      </c>
      <c r="BT123" t="str">
        <f>""</f>
        <v/>
      </c>
      <c r="BU123" t="str">
        <f>""</f>
        <v/>
      </c>
      <c r="BV123" t="str">
        <f>""</f>
        <v/>
      </c>
      <c r="BW123" t="str">
        <f>""</f>
        <v/>
      </c>
      <c r="BX123" t="str">
        <f>""</f>
        <v/>
      </c>
      <c r="BY123" t="str">
        <f>""</f>
        <v/>
      </c>
      <c r="BZ123" t="str">
        <f>""</f>
        <v/>
      </c>
      <c r="CA123" t="str">
        <f>""</f>
        <v/>
      </c>
      <c r="CB123" t="str">
        <f>""</f>
        <v/>
      </c>
      <c r="CC123" t="str">
        <f>""</f>
        <v/>
      </c>
      <c r="CD123" t="str">
        <f>""</f>
        <v/>
      </c>
      <c r="CE123" t="str">
        <f>""</f>
        <v/>
      </c>
      <c r="CF123" t="str">
        <f>""</f>
        <v/>
      </c>
      <c r="CG123" t="str">
        <f>""</f>
        <v/>
      </c>
      <c r="CH123" t="str">
        <f>""</f>
        <v/>
      </c>
      <c r="CI123" t="str">
        <f>""</f>
        <v/>
      </c>
      <c r="CJ123" t="str">
        <f>""</f>
        <v/>
      </c>
      <c r="CK123" t="str">
        <f>""</f>
        <v/>
      </c>
      <c r="CL123" t="str">
        <f>""</f>
        <v/>
      </c>
      <c r="CM123" t="str">
        <f>""</f>
        <v/>
      </c>
      <c r="CN123" t="str">
        <f>""</f>
        <v/>
      </c>
      <c r="CO123" t="str">
        <f>""</f>
        <v/>
      </c>
      <c r="CP123" t="str">
        <f>""</f>
        <v/>
      </c>
      <c r="CQ123" t="str">
        <f>""</f>
        <v/>
      </c>
      <c r="CR123" t="str">
        <f>""</f>
        <v/>
      </c>
      <c r="CS123" t="str">
        <f>""</f>
        <v/>
      </c>
      <c r="CT123" t="str">
        <f>""</f>
        <v/>
      </c>
      <c r="CU123" t="str">
        <f>""</f>
        <v/>
      </c>
      <c r="CV123" t="str">
        <f>""</f>
        <v/>
      </c>
      <c r="CW123" t="str">
        <f>""</f>
        <v/>
      </c>
      <c r="CX123" t="str">
        <f>""</f>
        <v/>
      </c>
      <c r="CY123" t="str">
        <f>""</f>
        <v/>
      </c>
      <c r="CZ123" t="str">
        <f>""</f>
        <v/>
      </c>
      <c r="DA123" t="str">
        <f>""</f>
        <v/>
      </c>
      <c r="DB123" t="str">
        <f>""</f>
        <v/>
      </c>
      <c r="DC123" t="str">
        <f>""</f>
        <v/>
      </c>
      <c r="DD123" t="str">
        <f>""</f>
        <v/>
      </c>
      <c r="DE123" t="str">
        <f>""</f>
        <v/>
      </c>
      <c r="DF123" t="str">
        <f>""</f>
        <v/>
      </c>
      <c r="DG123" t="str">
        <f>""</f>
        <v/>
      </c>
      <c r="DH123" t="str">
        <f>""</f>
        <v/>
      </c>
      <c r="DI123" t="str">
        <f>""</f>
        <v/>
      </c>
      <c r="DJ123" t="str">
        <f>""</f>
        <v/>
      </c>
      <c r="DK123" t="str">
        <f>""</f>
        <v/>
      </c>
      <c r="DL123" t="str">
        <f>""</f>
        <v/>
      </c>
      <c r="DM123" t="str">
        <f>""</f>
        <v/>
      </c>
      <c r="DN123" t="str">
        <f>""</f>
        <v/>
      </c>
      <c r="DO123" t="str">
        <f>""</f>
        <v/>
      </c>
      <c r="DP123" t="str">
        <f>""</f>
        <v/>
      </c>
      <c r="DQ123" t="str">
        <f>""</f>
        <v/>
      </c>
      <c r="DR123" t="str">
        <f>""</f>
        <v/>
      </c>
      <c r="DS123" t="str">
        <f>""</f>
        <v/>
      </c>
      <c r="DT123" t="str">
        <f>""</f>
        <v/>
      </c>
      <c r="DU123" t="str">
        <f>""</f>
        <v/>
      </c>
    </row>
    <row r="124" spans="1:125" x14ac:dyDescent="0.25">
      <c r="A124" t="str">
        <f>"    Beiqi Foton Motor Co Ltd"</f>
        <v xml:space="preserve">    Beiqi Foton Motor Co Ltd</v>
      </c>
      <c r="B124" t="str">
        <f>"600166 CH Equity"</f>
        <v>600166 CH Equity</v>
      </c>
      <c r="C124" t="str">
        <f>"FS265"</f>
        <v>FS265</v>
      </c>
      <c r="D124" t="str">
        <f>"AUTO_VEHICLES_SOLD_WW"</f>
        <v>AUTO_VEHICLES_SOLD_WW</v>
      </c>
      <c r="E124" t="str">
        <f>"Dynamic"</f>
        <v>Dynamic</v>
      </c>
      <c r="F124" t="str">
        <f ca="1">IF(AND(ISNUMBER($F$248),$B$156=1),$F$248,HLOOKUP(INDIRECT(ADDRESS(2,COLUMN())),OFFSET($BN$2,0,0,ROW()-1,60),ROW()-1,FALSE))</f>
        <v/>
      </c>
      <c r="G124" t="str">
        <f ca="1">IF(AND(ISNUMBER($G$248),$B$156=1),$G$248,HLOOKUP(INDIRECT(ADDRESS(2,COLUMN())),OFFSET($BN$2,0,0,ROW()-1,60),ROW()-1,FALSE))</f>
        <v/>
      </c>
      <c r="H124">
        <f ca="1">IF(AND(ISNUMBER($H$248),$B$156=1),$H$248,HLOOKUP(INDIRECT(ADDRESS(2,COLUMN())),OFFSET($BN$2,0,0,ROW()-1,60),ROW()-1,FALSE))</f>
        <v>196929</v>
      </c>
      <c r="I124" t="str">
        <f ca="1">IF(AND(ISNUMBER($I$248),$B$156=1),$I$248,HLOOKUP(INDIRECT(ADDRESS(2,COLUMN())),OFFSET($BN$2,0,0,ROW()-1,60),ROW()-1,FALSE))</f>
        <v/>
      </c>
      <c r="J124">
        <f ca="1">IF(AND(ISNUMBER($J$248),$B$156=1),$J$248,HLOOKUP(INDIRECT(ADDRESS(2,COLUMN())),OFFSET($BN$2,0,0,ROW()-1,60),ROW()-1,FALSE))</f>
        <v>124197</v>
      </c>
      <c r="K124">
        <f ca="1">IF(AND(ISNUMBER($K$248),$B$156=1),$K$248,HLOOKUP(INDIRECT(ADDRESS(2,COLUMN())),OFFSET($BN$2,0,0,ROW()-1,60),ROW()-1,FALSE))</f>
        <v>164685</v>
      </c>
      <c r="L124">
        <f ca="1">IF(AND(ISNUMBER($L$248),$B$156=1),$L$248,HLOOKUP(INDIRECT(ADDRESS(2,COLUMN())),OFFSET($BN$2,0,0,ROW()-1,60),ROW()-1,FALSE))</f>
        <v>284530</v>
      </c>
      <c r="M124" t="str">
        <f ca="1">IF(AND(ISNUMBER($M$248),$B$156=1),$M$248,HLOOKUP(INDIRECT(ADDRESS(2,COLUMN())),OFFSET($BN$2,0,0,ROW()-1,60),ROW()-1,FALSE))</f>
        <v/>
      </c>
      <c r="N124">
        <f ca="1">IF(AND(ISNUMBER($N$248),$B$156=1),$N$248,HLOOKUP(INDIRECT(ADDRESS(2,COLUMN())),OFFSET($BN$2,0,0,ROW()-1,60),ROW()-1,FALSE))</f>
        <v>151601</v>
      </c>
      <c r="O124">
        <f ca="1">IF(AND(ISNUMBER($O$248),$B$156=1),$O$248,HLOOKUP(INDIRECT(ADDRESS(2,COLUMN())),OFFSET($BN$2,0,0,ROW()-1,60),ROW()-1,FALSE))</f>
        <v>153875</v>
      </c>
      <c r="P124">
        <f ca="1">IF(AND(ISNUMBER($P$248),$B$156=1),$P$248,HLOOKUP(INDIRECT(ADDRESS(2,COLUMN())),OFFSET($BN$2,0,0,ROW()-1,60),ROW()-1,FALSE))</f>
        <v>126833</v>
      </c>
      <c r="Q124" t="str">
        <f ca="1">IF(AND(ISNUMBER($Q$248),$B$156=1),$Q$248,HLOOKUP(INDIRECT(ADDRESS(2,COLUMN())),OFFSET($BN$2,0,0,ROW()-1,60),ROW()-1,FALSE))</f>
        <v/>
      </c>
      <c r="R124">
        <f ca="1">IF(AND(ISNUMBER($R$248),$B$156=1),$R$248,HLOOKUP(INDIRECT(ADDRESS(2,COLUMN())),OFFSET($BN$2,0,0,ROW()-1,60),ROW()-1,FALSE))</f>
        <v>115457</v>
      </c>
      <c r="S124">
        <f ca="1">IF(AND(ISNUMBER($S$248),$B$156=1),$S$248,HLOOKUP(INDIRECT(ADDRESS(2,COLUMN())),OFFSET($BN$2,0,0,ROW()-1,60),ROW()-1,FALSE))</f>
        <v>120104</v>
      </c>
      <c r="T124">
        <f ca="1">IF(AND(ISNUMBER($T$248),$B$156=1),$T$248,HLOOKUP(INDIRECT(ADDRESS(2,COLUMN())),OFFSET($BN$2,0,0,ROW()-1,60),ROW()-1,FALSE))</f>
        <v>103997</v>
      </c>
      <c r="U124">
        <f ca="1">IF(AND(ISNUMBER($U$248),$B$156=1),$U$248,HLOOKUP(INDIRECT(ADDRESS(2,COLUMN())),OFFSET($BN$2,0,0,ROW()-1,60),ROW()-1,FALSE))</f>
        <v>128132</v>
      </c>
      <c r="V124">
        <f ca="1">IF(AND(ISNUMBER($V$248),$B$156=1),$V$248,HLOOKUP(INDIRECT(ADDRESS(2,COLUMN())),OFFSET($BN$2,0,0,ROW()-1,60),ROW()-1,FALSE))</f>
        <v>135348</v>
      </c>
      <c r="W124">
        <f ca="1">IF(AND(ISNUMBER($W$248),$B$156=1),$W$248,HLOOKUP(INDIRECT(ADDRESS(2,COLUMN())),OFFSET($BN$2,0,0,ROW()-1,60),ROW()-1,FALSE))</f>
        <v>126225</v>
      </c>
      <c r="X124" t="str">
        <f ca="1">IF(AND(ISNUMBER($X$248),$B$156=1),$X$248,HLOOKUP(INDIRECT(ADDRESS(2,COLUMN())),OFFSET($BN$2,0,0,ROW()-1,60),ROW()-1,FALSE))</f>
        <v/>
      </c>
      <c r="Y124">
        <f ca="1">IF(AND(ISNUMBER($Y$248),$B$156=1),$Y$248,HLOOKUP(INDIRECT(ADDRESS(2,COLUMN())),OFFSET($BN$2,0,0,ROW()-1,60),ROW()-1,FALSE))</f>
        <v>153769</v>
      </c>
      <c r="Z124">
        <f ca="1">IF(AND(ISNUMBER($Z$248),$B$156=1),$Z$248,HLOOKUP(INDIRECT(ADDRESS(2,COLUMN())),OFFSET($BN$2,0,0,ROW()-1,60),ROW()-1,FALSE))</f>
        <v>172348</v>
      </c>
      <c r="AA124">
        <f ca="1">IF(AND(ISNUMBER($AA$248),$B$156=1),$AA$248,HLOOKUP(INDIRECT(ADDRESS(2,COLUMN())),OFFSET($BN$2,0,0,ROW()-1,60),ROW()-1,FALSE))</f>
        <v>172325</v>
      </c>
      <c r="AB124">
        <f ca="1">IF(AND(ISNUMBER($AB$248),$B$156=1),$AB$248,HLOOKUP(INDIRECT(ADDRESS(2,COLUMN())),OFFSET($BN$2,0,0,ROW()-1,60),ROW()-1,FALSE))</f>
        <v>144963</v>
      </c>
      <c r="AC124">
        <f ca="1">IF(AND(ISNUMBER($AC$248),$B$156=1),$AC$248,HLOOKUP(INDIRECT(ADDRESS(2,COLUMN())),OFFSET($BN$2,0,0,ROW()-1,60),ROW()-1,FALSE))</f>
        <v>174339</v>
      </c>
      <c r="AD124">
        <f ca="1">IF(AND(ISNUMBER($AD$248),$B$156=1),$AD$248,HLOOKUP(INDIRECT(ADDRESS(2,COLUMN())),OFFSET($BN$2,0,0,ROW()-1,60),ROW()-1,FALSE))</f>
        <v>173087</v>
      </c>
      <c r="AE124">
        <f ca="1">IF(AND(ISNUMBER($AE$248),$B$156=1),$AE$248,HLOOKUP(INDIRECT(ADDRESS(2,COLUMN())),OFFSET($BN$2,0,0,ROW()-1,60),ROW()-1,FALSE))</f>
        <v>154770</v>
      </c>
      <c r="AF124">
        <f ca="1">IF(AND(ISNUMBER($AF$248),$B$156=1),$AF$248,HLOOKUP(INDIRECT(ADDRESS(2,COLUMN())),OFFSET($BN$2,0,0,ROW()-1,60),ROW()-1,FALSE))</f>
        <v>133588</v>
      </c>
      <c r="AG124">
        <f ca="1">IF(AND(ISNUMBER($AG$248),$B$156=1),$AG$248,HLOOKUP(INDIRECT(ADDRESS(2,COLUMN())),OFFSET($BN$2,0,0,ROW()-1,60),ROW()-1,FALSE))</f>
        <v>155576</v>
      </c>
      <c r="AH124">
        <f ca="1">IF(AND(ISNUMBER($AH$248),$B$156=1),$AH$248,HLOOKUP(INDIRECT(ADDRESS(2,COLUMN())),OFFSET($BN$2,0,0,ROW()-1,60),ROW()-1,FALSE))</f>
        <v>176404</v>
      </c>
      <c r="AI124">
        <f ca="1">IF(AND(ISNUMBER($AI$248),$B$156=1),$AI$248,HLOOKUP(INDIRECT(ADDRESS(2,COLUMN())),OFFSET($BN$2,0,0,ROW()-1,60),ROW()-1,FALSE))</f>
        <v>143003</v>
      </c>
      <c r="AJ124">
        <f ca="1">IF(AND(ISNUMBER($AJ$248),$B$156=1),$AJ$248,HLOOKUP(INDIRECT(ADDRESS(2,COLUMN())),OFFSET($BN$2,0,0,ROW()-1,60),ROW()-1,FALSE))</f>
        <v>139419</v>
      </c>
      <c r="AK124">
        <f ca="1">IF(AND(ISNUMBER($AK$248),$B$156=1),$AK$248,HLOOKUP(INDIRECT(ADDRESS(2,COLUMN())),OFFSET($BN$2,0,0,ROW()-1,60),ROW()-1,FALSE))</f>
        <v>179402</v>
      </c>
      <c r="AL124">
        <f ca="1">IF(AND(ISNUMBER($AL$248),$B$156=1),$AL$248,HLOOKUP(INDIRECT(ADDRESS(2,COLUMN())),OFFSET($BN$2,0,0,ROW()-1,60),ROW()-1,FALSE))</f>
        <v>178573</v>
      </c>
      <c r="AM124">
        <f ca="1">IF(AND(ISNUMBER($AM$248),$B$156=1),$AM$248,HLOOKUP(INDIRECT(ADDRESS(2,COLUMN())),OFFSET($BN$2,0,0,ROW()-1,60),ROW()-1,FALSE))</f>
        <v>162144</v>
      </c>
      <c r="AN124">
        <f ca="1">IF(AND(ISNUMBER($AN$248),$B$156=1),$AN$248,HLOOKUP(INDIRECT(ADDRESS(2,COLUMN())),OFFSET($BN$2,0,0,ROW()-1,60),ROW()-1,FALSE))</f>
        <v>149639</v>
      </c>
      <c r="AO124">
        <f ca="1">IF(AND(ISNUMBER($AO$248),$B$156=1),$AO$248,HLOOKUP(INDIRECT(ADDRESS(2,COLUMN())),OFFSET($BN$2,0,0,ROW()-1,60),ROW()-1,FALSE))</f>
        <v>192943</v>
      </c>
      <c r="AP124">
        <f ca="1">IF(AND(ISNUMBER($AP$248),$B$156=1),$AP$248,HLOOKUP(INDIRECT(ADDRESS(2,COLUMN())),OFFSET($BN$2,0,0,ROW()-1,60),ROW()-1,FALSE))</f>
        <v>178169</v>
      </c>
      <c r="AQ124">
        <f ca="1">IF(AND(ISNUMBER($AQ$248),$B$156=1),$AQ$248,HLOOKUP(INDIRECT(ADDRESS(2,COLUMN())),OFFSET($BN$2,0,0,ROW()-1,60),ROW()-1,FALSE))</f>
        <v>155957</v>
      </c>
      <c r="AR124">
        <f ca="1">IF(AND(ISNUMBER($AR$248),$B$156=1),$AR$248,HLOOKUP(INDIRECT(ADDRESS(2,COLUMN())),OFFSET($BN$2,0,0,ROW()-1,60),ROW()-1,FALSE))</f>
        <v>159369</v>
      </c>
      <c r="AS124">
        <f ca="1">IF(AND(ISNUMBER($AS$248),$B$156=1),$AS$248,HLOOKUP(INDIRECT(ADDRESS(2,COLUMN())),OFFSET($BN$2,0,0,ROW()-1,60),ROW()-1,FALSE))</f>
        <v>162045</v>
      </c>
      <c r="AT124">
        <f ca="1">IF(AND(ISNUMBER($AT$248),$B$156=1),$AT$248,HLOOKUP(INDIRECT(ADDRESS(2,COLUMN())),OFFSET($BN$2,0,0,ROW()-1,60),ROW()-1,FALSE))</f>
        <v>124650</v>
      </c>
      <c r="AU124">
        <f ca="1">IF(AND(ISNUMBER($AU$248),$B$156=1),$AU$248,HLOOKUP(INDIRECT(ADDRESS(2,COLUMN())),OFFSET($BN$2,0,0,ROW()-1,60),ROW()-1,FALSE))</f>
        <v>67253</v>
      </c>
      <c r="AV124">
        <f ca="1">IF(AND(ISNUMBER($AV$248),$B$156=1),$AV$248,HLOOKUP(INDIRECT(ADDRESS(2,COLUMN())),OFFSET($BN$2,0,0,ROW()-1,60),ROW()-1,FALSE))</f>
        <v>91874</v>
      </c>
      <c r="AW124">
        <f ca="1">IF(AND(ISNUMBER($AW$248),$B$156=1),$AW$248,HLOOKUP(INDIRECT(ADDRESS(2,COLUMN())),OFFSET($BN$2,0,0,ROW()-1,60),ROW()-1,FALSE))</f>
        <v>127022</v>
      </c>
      <c r="AX124">
        <f ca="1">IF(AND(ISNUMBER($AX$248),$B$156=1),$AX$248,HLOOKUP(INDIRECT(ADDRESS(2,COLUMN())),OFFSET($BN$2,0,0,ROW()-1,60),ROW()-1,FALSE))</f>
        <v>123414</v>
      </c>
      <c r="AY124" t="str">
        <f ca="1">IF(AND(ISNUMBER($AY$248),$B$156=1),$AY$248,HLOOKUP(INDIRECT(ADDRESS(2,COLUMN())),OFFSET($BN$2,0,0,ROW()-1,60),ROW()-1,FALSE))</f>
        <v/>
      </c>
      <c r="AZ124" t="str">
        <f ca="1">IF(AND(ISNUMBER($AZ$248),$B$156=1),$AZ$248,HLOOKUP(INDIRECT(ADDRESS(2,COLUMN())),OFFSET($BN$2,0,0,ROW()-1,60),ROW()-1,FALSE))</f>
        <v/>
      </c>
      <c r="BA124" t="str">
        <f ca="1">IF(AND(ISNUMBER($BA$248),$B$156=1),$BA$248,HLOOKUP(INDIRECT(ADDRESS(2,COLUMN())),OFFSET($BN$2,0,0,ROW()-1,60),ROW()-1,FALSE))</f>
        <v/>
      </c>
      <c r="BB124" t="str">
        <f ca="1">IF(AND(ISNUMBER($BB$248),$B$156=1),$BB$248,HLOOKUP(INDIRECT(ADDRESS(2,COLUMN())),OFFSET($BN$2,0,0,ROW()-1,60),ROW()-1,FALSE))</f>
        <v/>
      </c>
      <c r="BC124" t="str">
        <f ca="1">IF(AND(ISNUMBER($BC$248),$B$156=1),$BC$248,HLOOKUP(INDIRECT(ADDRESS(2,COLUMN())),OFFSET($BN$2,0,0,ROW()-1,60),ROW()-1,FALSE))</f>
        <v/>
      </c>
      <c r="BD124" t="str">
        <f ca="1">IF(AND(ISNUMBER($BD$248),$B$156=1),$BD$248,HLOOKUP(INDIRECT(ADDRESS(2,COLUMN())),OFFSET($BN$2,0,0,ROW()-1,60),ROW()-1,FALSE))</f>
        <v/>
      </c>
      <c r="BE124">
        <f ca="1">IF(AND(ISNUMBER($BE$248),$B$156=1),$BE$248,HLOOKUP(INDIRECT(ADDRESS(2,COLUMN())),OFFSET($BN$2,0,0,ROW()-1,60),ROW()-1,FALSE))</f>
        <v>89974</v>
      </c>
      <c r="BF124" t="str">
        <f ca="1">IF(AND(ISNUMBER($BF$248),$B$156=1),$BF$248,HLOOKUP(INDIRECT(ADDRESS(2,COLUMN())),OFFSET($BN$2,0,0,ROW()-1,60),ROW()-1,FALSE))</f>
        <v/>
      </c>
      <c r="BG124" t="str">
        <f ca="1">IF(AND(ISNUMBER($BG$248),$B$156=1),$BG$248,HLOOKUP(INDIRECT(ADDRESS(2,COLUMN())),OFFSET($BN$2,0,0,ROW()-1,60),ROW()-1,FALSE))</f>
        <v/>
      </c>
      <c r="BH124" t="str">
        <f ca="1">IF(AND(ISNUMBER($BH$248),$B$156=1),$BH$248,HLOOKUP(INDIRECT(ADDRESS(2,COLUMN())),OFFSET($BN$2,0,0,ROW()-1,60),ROW()-1,FALSE))</f>
        <v/>
      </c>
      <c r="BI124">
        <f ca="1">IF(AND(ISNUMBER($BI$248),$B$156=1),$BI$248,HLOOKUP(INDIRECT(ADDRESS(2,COLUMN())),OFFSET($BN$2,0,0,ROW()-1,60),ROW()-1,FALSE))</f>
        <v>83390</v>
      </c>
      <c r="BJ124">
        <f ca="1">IF(AND(ISNUMBER($BJ$248),$B$156=1),$BJ$248,HLOOKUP(INDIRECT(ADDRESS(2,COLUMN())),OFFSET($BN$2,0,0,ROW()-1,60),ROW()-1,FALSE))</f>
        <v>84509</v>
      </c>
      <c r="BK124" t="str">
        <f ca="1">IF(AND(ISNUMBER($BK$248),$B$156=1),$BK$248,HLOOKUP(INDIRECT(ADDRESS(2,COLUMN())),OFFSET($BN$2,0,0,ROW()-1,60),ROW()-1,FALSE))</f>
        <v/>
      </c>
      <c r="BL124" t="str">
        <f ca="1">IF(AND(ISNUMBER($BL$248),$B$156=1),$BL$248,HLOOKUP(INDIRECT(ADDRESS(2,COLUMN())),OFFSET($BN$2,0,0,ROW()-1,60),ROW()-1,FALSE))</f>
        <v/>
      </c>
      <c r="BM124" t="str">
        <f ca="1">IF(AND(ISNUMBER($BM$248),$B$156=1),$BM$248,HLOOKUP(INDIRECT(ADDRESS(2,COLUMN())),OFFSET($BN$2,0,0,ROW()-1,60),ROW()-1,FALSE))</f>
        <v/>
      </c>
      <c r="BN124" t="str">
        <f>""</f>
        <v/>
      </c>
      <c r="BO124" t="str">
        <f>""</f>
        <v/>
      </c>
      <c r="BP124">
        <f>196929</f>
        <v>196929</v>
      </c>
      <c r="BQ124" t="str">
        <f>""</f>
        <v/>
      </c>
      <c r="BR124">
        <f>124197</f>
        <v>124197</v>
      </c>
      <c r="BS124">
        <f>164685</f>
        <v>164685</v>
      </c>
      <c r="BT124">
        <f>284530</f>
        <v>284530</v>
      </c>
      <c r="BU124" t="str">
        <f>""</f>
        <v/>
      </c>
      <c r="BV124">
        <f>151601</f>
        <v>151601</v>
      </c>
      <c r="BW124">
        <f>153875</f>
        <v>153875</v>
      </c>
      <c r="BX124">
        <f>126833</f>
        <v>126833</v>
      </c>
      <c r="BY124" t="str">
        <f>""</f>
        <v/>
      </c>
      <c r="BZ124">
        <f>115457</f>
        <v>115457</v>
      </c>
      <c r="CA124">
        <f>120104</f>
        <v>120104</v>
      </c>
      <c r="CB124">
        <f>103997</f>
        <v>103997</v>
      </c>
      <c r="CC124">
        <f>128132</f>
        <v>128132</v>
      </c>
      <c r="CD124">
        <f>135348</f>
        <v>135348</v>
      </c>
      <c r="CE124">
        <f>126225</f>
        <v>126225</v>
      </c>
      <c r="CF124" t="str">
        <f>""</f>
        <v/>
      </c>
      <c r="CG124">
        <f>153769</f>
        <v>153769</v>
      </c>
      <c r="CH124">
        <f>172348</f>
        <v>172348</v>
      </c>
      <c r="CI124">
        <f>172325</f>
        <v>172325</v>
      </c>
      <c r="CJ124">
        <f>144963</f>
        <v>144963</v>
      </c>
      <c r="CK124">
        <f>174339</f>
        <v>174339</v>
      </c>
      <c r="CL124">
        <f>173087</f>
        <v>173087</v>
      </c>
      <c r="CM124">
        <f>154770</f>
        <v>154770</v>
      </c>
      <c r="CN124">
        <f>133588</f>
        <v>133588</v>
      </c>
      <c r="CO124">
        <f>155576</f>
        <v>155576</v>
      </c>
      <c r="CP124">
        <f>176404</f>
        <v>176404</v>
      </c>
      <c r="CQ124">
        <f>143003</f>
        <v>143003</v>
      </c>
      <c r="CR124">
        <f>139419</f>
        <v>139419</v>
      </c>
      <c r="CS124">
        <f>179402</f>
        <v>179402</v>
      </c>
      <c r="CT124">
        <f>178573</f>
        <v>178573</v>
      </c>
      <c r="CU124">
        <f>162144</f>
        <v>162144</v>
      </c>
      <c r="CV124">
        <f>149639</f>
        <v>149639</v>
      </c>
      <c r="CW124">
        <f>192943</f>
        <v>192943</v>
      </c>
      <c r="CX124">
        <f>178169</f>
        <v>178169</v>
      </c>
      <c r="CY124">
        <f>155957</f>
        <v>155957</v>
      </c>
      <c r="CZ124">
        <f>159369</f>
        <v>159369</v>
      </c>
      <c r="DA124">
        <f>162045</f>
        <v>162045</v>
      </c>
      <c r="DB124">
        <f>124650</f>
        <v>124650</v>
      </c>
      <c r="DC124">
        <f>67253</f>
        <v>67253</v>
      </c>
      <c r="DD124">
        <f>91874</f>
        <v>91874</v>
      </c>
      <c r="DE124">
        <f>127022</f>
        <v>127022</v>
      </c>
      <c r="DF124">
        <f>123414</f>
        <v>123414</v>
      </c>
      <c r="DG124" t="str">
        <f>""</f>
        <v/>
      </c>
      <c r="DH124" t="str">
        <f>""</f>
        <v/>
      </c>
      <c r="DI124" t="str">
        <f>""</f>
        <v/>
      </c>
      <c r="DJ124" t="str">
        <f>""</f>
        <v/>
      </c>
      <c r="DK124" t="str">
        <f>""</f>
        <v/>
      </c>
      <c r="DL124" t="str">
        <f>""</f>
        <v/>
      </c>
      <c r="DM124">
        <f>89974</f>
        <v>89974</v>
      </c>
      <c r="DN124" t="str">
        <f>""</f>
        <v/>
      </c>
      <c r="DO124" t="str">
        <f>""</f>
        <v/>
      </c>
      <c r="DP124" t="str">
        <f>""</f>
        <v/>
      </c>
      <c r="DQ124">
        <f>83390</f>
        <v>83390</v>
      </c>
      <c r="DR124">
        <f>84509</f>
        <v>84509</v>
      </c>
      <c r="DS124" t="str">
        <f>""</f>
        <v/>
      </c>
      <c r="DT124" t="str">
        <f>""</f>
        <v/>
      </c>
      <c r="DU124" t="str">
        <f>""</f>
        <v/>
      </c>
    </row>
    <row r="125" spans="1:125" x14ac:dyDescent="0.25">
      <c r="A125" t="str">
        <f>"    Fuji Heavy Industries Ltd"</f>
        <v xml:space="preserve">    Fuji Heavy Industries Ltd</v>
      </c>
      <c r="B125" t="str">
        <f>"7270 JP Equity"</f>
        <v>7270 JP Equity</v>
      </c>
      <c r="E125" t="str">
        <f>"Static"</f>
        <v>Static</v>
      </c>
      <c r="F125" t="str">
        <f t="shared" ref="F125:AK125" ca="1" si="34">HLOOKUP(INDIRECT(ADDRESS(2,COLUMN())),OFFSET($BN$2,0,0,ROW()-1,60),ROW()-1,FALSE)</f>
        <v/>
      </c>
      <c r="G125" t="str">
        <f t="shared" ca="1" si="34"/>
        <v/>
      </c>
      <c r="H125" t="str">
        <f t="shared" ca="1" si="34"/>
        <v/>
      </c>
      <c r="I125" t="str">
        <f t="shared" ca="1" si="34"/>
        <v/>
      </c>
      <c r="J125" t="str">
        <f t="shared" ca="1" si="34"/>
        <v/>
      </c>
      <c r="K125" t="str">
        <f t="shared" ca="1" si="34"/>
        <v/>
      </c>
      <c r="L125" t="str">
        <f t="shared" ca="1" si="34"/>
        <v/>
      </c>
      <c r="M125" t="str">
        <f t="shared" ca="1" si="34"/>
        <v/>
      </c>
      <c r="N125" t="str">
        <f t="shared" ca="1" si="34"/>
        <v/>
      </c>
      <c r="O125" t="str">
        <f t="shared" ca="1" si="34"/>
        <v/>
      </c>
      <c r="P125" t="str">
        <f t="shared" ca="1" si="34"/>
        <v/>
      </c>
      <c r="Q125" t="str">
        <f t="shared" ca="1" si="34"/>
        <v/>
      </c>
      <c r="R125" t="str">
        <f t="shared" ca="1" si="34"/>
        <v/>
      </c>
      <c r="S125">
        <f t="shared" ca="1" si="34"/>
        <v>240000</v>
      </c>
      <c r="T125">
        <f t="shared" ca="1" si="34"/>
        <v>247000</v>
      </c>
      <c r="U125">
        <f t="shared" ca="1" si="34"/>
        <v>225000</v>
      </c>
      <c r="V125">
        <f t="shared" ca="1" si="34"/>
        <v>246700</v>
      </c>
      <c r="W125">
        <f t="shared" ca="1" si="34"/>
        <v>249500</v>
      </c>
      <c r="X125">
        <f t="shared" ca="1" si="34"/>
        <v>237900</v>
      </c>
      <c r="Y125">
        <f t="shared" ca="1" si="34"/>
        <v>193700</v>
      </c>
      <c r="Z125">
        <f t="shared" ca="1" si="34"/>
        <v>232000</v>
      </c>
      <c r="AA125">
        <f t="shared" ca="1" si="34"/>
        <v>200800</v>
      </c>
      <c r="AB125">
        <f t="shared" ca="1" si="34"/>
        <v>202000</v>
      </c>
      <c r="AC125">
        <f t="shared" ca="1" si="34"/>
        <v>191000</v>
      </c>
      <c r="AD125">
        <f t="shared" ca="1" si="34"/>
        <v>207000</v>
      </c>
      <c r="AE125">
        <f t="shared" ca="1" si="34"/>
        <v>179000</v>
      </c>
      <c r="AF125">
        <f t="shared" ca="1" si="34"/>
        <v>182000</v>
      </c>
      <c r="AG125">
        <f t="shared" ca="1" si="34"/>
        <v>166000</v>
      </c>
      <c r="AH125">
        <f t="shared" ca="1" si="34"/>
        <v>208000</v>
      </c>
      <c r="AI125">
        <f t="shared" ca="1" si="34"/>
        <v>166000</v>
      </c>
      <c r="AJ125">
        <f t="shared" ca="1" si="34"/>
        <v>148000</v>
      </c>
      <c r="AK125">
        <f t="shared" ca="1" si="34"/>
        <v>118000</v>
      </c>
      <c r="AL125">
        <f t="shared" ref="AL125:BM125" ca="1" si="35">HLOOKUP(INDIRECT(ADDRESS(2,COLUMN())),OFFSET($BN$2,0,0,ROW()-1,60),ROW()-1,FALSE)</f>
        <v>199000</v>
      </c>
      <c r="AM125">
        <f t="shared" ca="1" si="35"/>
        <v>127000</v>
      </c>
      <c r="AN125">
        <f t="shared" ca="1" si="35"/>
        <v>181000</v>
      </c>
      <c r="AO125">
        <f t="shared" ca="1" si="35"/>
        <v>150000</v>
      </c>
      <c r="AP125">
        <f t="shared" ca="1" si="35"/>
        <v>165000</v>
      </c>
      <c r="AQ125">
        <f t="shared" ca="1" si="35"/>
        <v>155000</v>
      </c>
      <c r="AR125">
        <f t="shared" ca="1" si="35"/>
        <v>143000</v>
      </c>
      <c r="AS125">
        <f t="shared" ca="1" si="35"/>
        <v>100000</v>
      </c>
      <c r="AT125">
        <f t="shared" ca="1" si="35"/>
        <v>132000</v>
      </c>
      <c r="AU125">
        <f t="shared" ca="1" si="35"/>
        <v>141000</v>
      </c>
      <c r="AV125">
        <f t="shared" ca="1" si="35"/>
        <v>154000</v>
      </c>
      <c r="AW125">
        <f t="shared" ca="1" si="35"/>
        <v>128000</v>
      </c>
      <c r="AX125">
        <f t="shared" ca="1" si="35"/>
        <v>180000</v>
      </c>
      <c r="AY125">
        <f t="shared" ca="1" si="35"/>
        <v>146000</v>
      </c>
      <c r="AZ125">
        <f t="shared" ca="1" si="35"/>
        <v>151000</v>
      </c>
      <c r="BA125">
        <f t="shared" ca="1" si="35"/>
        <v>120000</v>
      </c>
      <c r="BB125">
        <f t="shared" ca="1" si="35"/>
        <v>172000</v>
      </c>
      <c r="BC125">
        <f t="shared" ca="1" si="35"/>
        <v>137000</v>
      </c>
      <c r="BD125">
        <f t="shared" ca="1" si="35"/>
        <v>145000</v>
      </c>
      <c r="BE125">
        <f t="shared" ca="1" si="35"/>
        <v>124000</v>
      </c>
      <c r="BF125">
        <f t="shared" ca="1" si="35"/>
        <v>165000</v>
      </c>
      <c r="BG125" t="str">
        <f t="shared" ca="1" si="35"/>
        <v/>
      </c>
      <c r="BH125" t="str">
        <f t="shared" ca="1" si="35"/>
        <v/>
      </c>
      <c r="BI125" t="str">
        <f t="shared" ca="1" si="35"/>
        <v/>
      </c>
      <c r="BJ125" t="str">
        <f t="shared" ca="1" si="35"/>
        <v/>
      </c>
      <c r="BK125" t="str">
        <f t="shared" ca="1" si="35"/>
        <v/>
      </c>
      <c r="BL125" t="str">
        <f t="shared" ca="1" si="35"/>
        <v/>
      </c>
      <c r="BM125" t="str">
        <f t="shared" ca="1" si="35"/>
        <v/>
      </c>
      <c r="BN125" t="str">
        <f>""</f>
        <v/>
      </c>
      <c r="BO125" t="str">
        <f>""</f>
        <v/>
      </c>
      <c r="BP125" t="str">
        <f>""</f>
        <v/>
      </c>
      <c r="BQ125" t="str">
        <f>""</f>
        <v/>
      </c>
      <c r="BR125" t="str">
        <f>""</f>
        <v/>
      </c>
      <c r="BS125" t="str">
        <f>""</f>
        <v/>
      </c>
      <c r="BT125" t="str">
        <f>""</f>
        <v/>
      </c>
      <c r="BU125" t="str">
        <f>""</f>
        <v/>
      </c>
      <c r="BV125" t="str">
        <f>""</f>
        <v/>
      </c>
      <c r="BW125" t="str">
        <f>""</f>
        <v/>
      </c>
      <c r="BX125" t="str">
        <f>""</f>
        <v/>
      </c>
      <c r="BY125" t="str">
        <f>""</f>
        <v/>
      </c>
      <c r="BZ125" t="str">
        <f>""</f>
        <v/>
      </c>
      <c r="CA125">
        <f>240000</f>
        <v>240000</v>
      </c>
      <c r="CB125">
        <f>247000</f>
        <v>247000</v>
      </c>
      <c r="CC125">
        <f>225000</f>
        <v>225000</v>
      </c>
      <c r="CD125">
        <f>246700</f>
        <v>246700</v>
      </c>
      <c r="CE125">
        <f>249500</f>
        <v>249500</v>
      </c>
      <c r="CF125">
        <f>237900</f>
        <v>237900</v>
      </c>
      <c r="CG125">
        <f>193700</f>
        <v>193700</v>
      </c>
      <c r="CH125">
        <f>232000</f>
        <v>232000</v>
      </c>
      <c r="CI125">
        <f>200800</f>
        <v>200800</v>
      </c>
      <c r="CJ125">
        <f>202000</f>
        <v>202000</v>
      </c>
      <c r="CK125">
        <f>191000</f>
        <v>191000</v>
      </c>
      <c r="CL125">
        <f>207000</f>
        <v>207000</v>
      </c>
      <c r="CM125">
        <f>179000</f>
        <v>179000</v>
      </c>
      <c r="CN125">
        <f>182000</f>
        <v>182000</v>
      </c>
      <c r="CO125">
        <f>166000</f>
        <v>166000</v>
      </c>
      <c r="CP125">
        <f>208000</f>
        <v>208000</v>
      </c>
      <c r="CQ125">
        <f>166000</f>
        <v>166000</v>
      </c>
      <c r="CR125">
        <f>148000</f>
        <v>148000</v>
      </c>
      <c r="CS125">
        <f>118000</f>
        <v>118000</v>
      </c>
      <c r="CT125">
        <f>199000</f>
        <v>199000</v>
      </c>
      <c r="CU125">
        <f>127000</f>
        <v>127000</v>
      </c>
      <c r="CV125">
        <f>181000</f>
        <v>181000</v>
      </c>
      <c r="CW125">
        <f>150000</f>
        <v>150000</v>
      </c>
      <c r="CX125">
        <f>165000</f>
        <v>165000</v>
      </c>
      <c r="CY125">
        <f>155000</f>
        <v>155000</v>
      </c>
      <c r="CZ125">
        <f>143000</f>
        <v>143000</v>
      </c>
      <c r="DA125">
        <f>100000</f>
        <v>100000</v>
      </c>
      <c r="DB125">
        <f>132000</f>
        <v>132000</v>
      </c>
      <c r="DC125">
        <f>141000</f>
        <v>141000</v>
      </c>
      <c r="DD125">
        <f>154000</f>
        <v>154000</v>
      </c>
      <c r="DE125">
        <f>128000</f>
        <v>128000</v>
      </c>
      <c r="DF125">
        <f>180000</f>
        <v>180000</v>
      </c>
      <c r="DG125">
        <f>146000</f>
        <v>146000</v>
      </c>
      <c r="DH125">
        <f>151000</f>
        <v>151000</v>
      </c>
      <c r="DI125">
        <f>120000</f>
        <v>120000</v>
      </c>
      <c r="DJ125">
        <f>172000</f>
        <v>172000</v>
      </c>
      <c r="DK125">
        <f>137000</f>
        <v>137000</v>
      </c>
      <c r="DL125">
        <f>145000</f>
        <v>145000</v>
      </c>
      <c r="DM125">
        <f>124000</f>
        <v>124000</v>
      </c>
      <c r="DN125">
        <f>165000</f>
        <v>165000</v>
      </c>
      <c r="DO125" t="str">
        <f>""</f>
        <v/>
      </c>
      <c r="DP125" t="str">
        <f>""</f>
        <v/>
      </c>
      <c r="DQ125" t="str">
        <f>""</f>
        <v/>
      </c>
      <c r="DR125" t="str">
        <f>""</f>
        <v/>
      </c>
      <c r="DS125" t="str">
        <f>""</f>
        <v/>
      </c>
      <c r="DT125" t="str">
        <f>""</f>
        <v/>
      </c>
      <c r="DU125" t="str">
        <f>""</f>
        <v/>
      </c>
    </row>
    <row r="126" spans="1:125" x14ac:dyDescent="0.25">
      <c r="A126" t="str">
        <f>"    Anhui Jianghuai Automobile Co Ltd"</f>
        <v xml:space="preserve">    Anhui Jianghuai Automobile Co Ltd</v>
      </c>
      <c r="B126" t="str">
        <f>"600418 CH Equity"</f>
        <v>600418 CH Equity</v>
      </c>
      <c r="C126" t="str">
        <f>"FS265"</f>
        <v>FS265</v>
      </c>
      <c r="D126" t="str">
        <f>"AUTO_VEHICLES_SOLD_WW"</f>
        <v>AUTO_VEHICLES_SOLD_WW</v>
      </c>
      <c r="E126" t="str">
        <f>"Dynamic"</f>
        <v>Dynamic</v>
      </c>
      <c r="F126" t="str">
        <f ca="1">IF(AND(ISNUMBER($F$249),$B$156=1),$F$249,HLOOKUP(INDIRECT(ADDRESS(2,COLUMN())),OFFSET($BN$2,0,0,ROW()-1,60),ROW()-1,FALSE))</f>
        <v/>
      </c>
      <c r="G126" t="str">
        <f ca="1">IF(AND(ISNUMBER($G$249),$B$156=1),$G$249,HLOOKUP(INDIRECT(ADDRESS(2,COLUMN())),OFFSET($BN$2,0,0,ROW()-1,60),ROW()-1,FALSE))</f>
        <v/>
      </c>
      <c r="H126" t="str">
        <f ca="1">IF(AND(ISNUMBER($H$249),$B$156=1),$H$249,HLOOKUP(INDIRECT(ADDRESS(2,COLUMN())),OFFSET($BN$2,0,0,ROW()-1,60),ROW()-1,FALSE))</f>
        <v/>
      </c>
      <c r="I126" t="str">
        <f ca="1">IF(AND(ISNUMBER($I$249),$B$156=1),$I$249,HLOOKUP(INDIRECT(ADDRESS(2,COLUMN())),OFFSET($BN$2,0,0,ROW()-1,60),ROW()-1,FALSE))</f>
        <v/>
      </c>
      <c r="J126" t="str">
        <f ca="1">IF(AND(ISNUMBER($J$249),$B$156=1),$J$249,HLOOKUP(INDIRECT(ADDRESS(2,COLUMN())),OFFSET($BN$2,0,0,ROW()-1,60),ROW()-1,FALSE))</f>
        <v/>
      </c>
      <c r="K126" t="str">
        <f ca="1">IF(AND(ISNUMBER($K$249),$B$156=1),$K$249,HLOOKUP(INDIRECT(ADDRESS(2,COLUMN())),OFFSET($BN$2,0,0,ROW()-1,60),ROW()-1,FALSE))</f>
        <v/>
      </c>
      <c r="L126" t="str">
        <f ca="1">IF(AND(ISNUMBER($L$249),$B$156=1),$L$249,HLOOKUP(INDIRECT(ADDRESS(2,COLUMN())),OFFSET($BN$2,0,0,ROW()-1,60),ROW()-1,FALSE))</f>
        <v/>
      </c>
      <c r="M126" t="str">
        <f ca="1">IF(AND(ISNUMBER($M$249),$B$156=1),$M$249,HLOOKUP(INDIRECT(ADDRESS(2,COLUMN())),OFFSET($BN$2,0,0,ROW()-1,60),ROW()-1,FALSE))</f>
        <v/>
      </c>
      <c r="N126" t="str">
        <f ca="1">IF(AND(ISNUMBER($N$249),$B$156=1),$N$249,HLOOKUP(INDIRECT(ADDRESS(2,COLUMN())),OFFSET($BN$2,0,0,ROW()-1,60),ROW()-1,FALSE))</f>
        <v/>
      </c>
      <c r="O126" t="str">
        <f ca="1">IF(AND(ISNUMBER($O$249),$B$156=1),$O$249,HLOOKUP(INDIRECT(ADDRESS(2,COLUMN())),OFFSET($BN$2,0,0,ROW()-1,60),ROW()-1,FALSE))</f>
        <v/>
      </c>
      <c r="P126" t="str">
        <f ca="1">IF(AND(ISNUMBER($P$249),$B$156=1),$P$249,HLOOKUP(INDIRECT(ADDRESS(2,COLUMN())),OFFSET($BN$2,0,0,ROW()-1,60),ROW()-1,FALSE))</f>
        <v/>
      </c>
      <c r="Q126" t="str">
        <f ca="1">IF(AND(ISNUMBER($Q$249),$B$156=1),$Q$249,HLOOKUP(INDIRECT(ADDRESS(2,COLUMN())),OFFSET($BN$2,0,0,ROW()-1,60),ROW()-1,FALSE))</f>
        <v/>
      </c>
      <c r="R126" t="str">
        <f ca="1">IF(AND(ISNUMBER($R$249),$B$156=1),$R$249,HLOOKUP(INDIRECT(ADDRESS(2,COLUMN())),OFFSET($BN$2,0,0,ROW()-1,60),ROW()-1,FALSE))</f>
        <v/>
      </c>
      <c r="S126">
        <f ca="1">IF(AND(ISNUMBER($S$249),$B$156=1),$S$249,HLOOKUP(INDIRECT(ADDRESS(2,COLUMN())),OFFSET($BN$2,0,0,ROW()-1,60),ROW()-1,FALSE))</f>
        <v>163274</v>
      </c>
      <c r="T126">
        <f ca="1">IF(AND(ISNUMBER($T$249),$B$156=1),$T$249,HLOOKUP(INDIRECT(ADDRESS(2,COLUMN())),OFFSET($BN$2,0,0,ROW()-1,60),ROW()-1,FALSE))</f>
        <v>132378</v>
      </c>
      <c r="U126">
        <f ca="1">IF(AND(ISNUMBER($U$249),$B$156=1),$U$249,HLOOKUP(INDIRECT(ADDRESS(2,COLUMN())),OFFSET($BN$2,0,0,ROW()-1,60),ROW()-1,FALSE))</f>
        <v>145421</v>
      </c>
      <c r="V126">
        <f ca="1">IF(AND(ISNUMBER($V$249),$B$156=1),$V$249,HLOOKUP(INDIRECT(ADDRESS(2,COLUMN())),OFFSET($BN$2,0,0,ROW()-1,60),ROW()-1,FALSE))</f>
        <v>146869</v>
      </c>
      <c r="W126" t="str">
        <f ca="1">IF(AND(ISNUMBER($W$249),$B$156=1),$W$249,HLOOKUP(INDIRECT(ADDRESS(2,COLUMN())),OFFSET($BN$2,0,0,ROW()-1,60),ROW()-1,FALSE))</f>
        <v/>
      </c>
      <c r="X126" t="str">
        <f ca="1">IF(AND(ISNUMBER($X$249),$B$156=1),$X$249,HLOOKUP(INDIRECT(ADDRESS(2,COLUMN())),OFFSET($BN$2,0,0,ROW()-1,60),ROW()-1,FALSE))</f>
        <v/>
      </c>
      <c r="Y126">
        <f ca="1">IF(AND(ISNUMBER($Y$249),$B$156=1),$Y$249,HLOOKUP(INDIRECT(ADDRESS(2,COLUMN())),OFFSET($BN$2,0,0,ROW()-1,60),ROW()-1,FALSE))</f>
        <v>113715</v>
      </c>
      <c r="Z126">
        <f ca="1">IF(AND(ISNUMBER($Z$249),$B$156=1),$Z$249,HLOOKUP(INDIRECT(ADDRESS(2,COLUMN())),OFFSET($BN$2,0,0,ROW()-1,60),ROW()-1,FALSE))</f>
        <v>138956</v>
      </c>
      <c r="AA126" t="str">
        <f ca="1">IF(AND(ISNUMBER($AA$249),$B$156=1),$AA$249,HLOOKUP(INDIRECT(ADDRESS(2,COLUMN())),OFFSET($BN$2,0,0,ROW()-1,60),ROW()-1,FALSE))</f>
        <v/>
      </c>
      <c r="AB126" t="str">
        <f ca="1">IF(AND(ISNUMBER($AB$249),$B$156=1),$AB$249,HLOOKUP(INDIRECT(ADDRESS(2,COLUMN())),OFFSET($BN$2,0,0,ROW()-1,60),ROW()-1,FALSE))</f>
        <v/>
      </c>
      <c r="AC126">
        <f ca="1">IF(AND(ISNUMBER($AC$249),$B$156=1),$AC$249,HLOOKUP(INDIRECT(ADDRESS(2,COLUMN())),OFFSET($BN$2,0,0,ROW()-1,60),ROW()-1,FALSE))</f>
        <v>124366</v>
      </c>
      <c r="AD126">
        <f ca="1">IF(AND(ISNUMBER($AD$249),$B$156=1),$AD$249,HLOOKUP(INDIRECT(ADDRESS(2,COLUMN())),OFFSET($BN$2,0,0,ROW()-1,60),ROW()-1,FALSE))</f>
        <v>149134</v>
      </c>
      <c r="AE126">
        <f ca="1">IF(AND(ISNUMBER($AE$249),$B$156=1),$AE$249,HLOOKUP(INDIRECT(ADDRESS(2,COLUMN())),OFFSET($BN$2,0,0,ROW()-1,60),ROW()-1,FALSE))</f>
        <v>118932</v>
      </c>
      <c r="AF126">
        <f ca="1">IF(AND(ISNUMBER($AF$249),$B$156=1),$AF$249,HLOOKUP(INDIRECT(ADDRESS(2,COLUMN())),OFFSET($BN$2,0,0,ROW()-1,60),ROW()-1,FALSE))</f>
        <v>103881</v>
      </c>
      <c r="AG126">
        <f ca="1">IF(AND(ISNUMBER($AG$249),$B$156=1),$AG$249,HLOOKUP(INDIRECT(ADDRESS(2,COLUMN())),OFFSET($BN$2,0,0,ROW()-1,60),ROW()-1,FALSE))</f>
        <v>111324</v>
      </c>
      <c r="AH126">
        <f ca="1">IF(AND(ISNUMBER($AH$249),$B$156=1),$AH$249,HLOOKUP(INDIRECT(ADDRESS(2,COLUMN())),OFFSET($BN$2,0,0,ROW()-1,60),ROW()-1,FALSE))</f>
        <v>127714</v>
      </c>
      <c r="AI126">
        <f ca="1">IF(AND(ISNUMBER($AI$249),$B$156=1),$AI$249,HLOOKUP(INDIRECT(ADDRESS(2,COLUMN())),OFFSET($BN$2,0,0,ROW()-1,60),ROW()-1,FALSE))</f>
        <v>94129</v>
      </c>
      <c r="AJ126">
        <f ca="1">IF(AND(ISNUMBER($AJ$249),$B$156=1),$AJ$249,HLOOKUP(INDIRECT(ADDRESS(2,COLUMN())),OFFSET($BN$2,0,0,ROW()-1,60),ROW()-1,FALSE))</f>
        <v>104270</v>
      </c>
      <c r="AK126">
        <f ca="1">IF(AND(ISNUMBER($AK$249),$B$156=1),$AK$249,HLOOKUP(INDIRECT(ADDRESS(2,COLUMN())),OFFSET($BN$2,0,0,ROW()-1,60),ROW()-1,FALSE))</f>
        <v>119658</v>
      </c>
      <c r="AL126">
        <f ca="1">IF(AND(ISNUMBER($AL$249),$B$156=1),$AL$249,HLOOKUP(INDIRECT(ADDRESS(2,COLUMN())),OFFSET($BN$2,0,0,ROW()-1,60),ROW()-1,FALSE))</f>
        <v>148443</v>
      </c>
      <c r="AM126">
        <f ca="1">IF(AND(ISNUMBER($AM$249),$B$156=1),$AM$249,HLOOKUP(INDIRECT(ADDRESS(2,COLUMN())),OFFSET($BN$2,0,0,ROW()-1,60),ROW()-1,FALSE))</f>
        <v>103727</v>
      </c>
      <c r="AN126">
        <f ca="1">IF(AND(ISNUMBER($AN$249),$B$156=1),$AN$249,HLOOKUP(INDIRECT(ADDRESS(2,COLUMN())),OFFSET($BN$2,0,0,ROW()-1,60),ROW()-1,FALSE))</f>
        <v>95250</v>
      </c>
      <c r="AO126">
        <f ca="1">IF(AND(ISNUMBER($AO$249),$B$156=1),$AO$249,HLOOKUP(INDIRECT(ADDRESS(2,COLUMN())),OFFSET($BN$2,0,0,ROW()-1,60),ROW()-1,FALSE))</f>
        <v>116749</v>
      </c>
      <c r="AP126">
        <f ca="1">IF(AND(ISNUMBER($AP$249),$B$156=1),$AP$249,HLOOKUP(INDIRECT(ADDRESS(2,COLUMN())),OFFSET($BN$2,0,0,ROW()-1,60),ROW()-1,FALSE))</f>
        <v>126821</v>
      </c>
      <c r="AQ126">
        <f ca="1">IF(AND(ISNUMBER($AQ$249),$B$156=1),$AQ$249,HLOOKUP(INDIRECT(ADDRESS(2,COLUMN())),OFFSET($BN$2,0,0,ROW()-1,60),ROW()-1,FALSE))</f>
        <v>67715</v>
      </c>
      <c r="AR126">
        <f ca="1">IF(AND(ISNUMBER($AR$249),$B$156=1),$AR$249,HLOOKUP(INDIRECT(ADDRESS(2,COLUMN())),OFFSET($BN$2,0,0,ROW()-1,60),ROW()-1,FALSE))</f>
        <v>97062</v>
      </c>
      <c r="AS126">
        <f ca="1">IF(AND(ISNUMBER($AS$249),$B$156=1),$AS$249,HLOOKUP(INDIRECT(ADDRESS(2,COLUMN())),OFFSET($BN$2,0,0,ROW()-1,60),ROW()-1,FALSE))</f>
        <v>83787</v>
      </c>
      <c r="AT126">
        <f ca="1">IF(AND(ISNUMBER($AT$249),$B$156=1),$AT$249,HLOOKUP(INDIRECT(ADDRESS(2,COLUMN())),OFFSET($BN$2,0,0,ROW()-1,60),ROW()-1,FALSE))</f>
        <v>62063</v>
      </c>
      <c r="AU126" t="str">
        <f ca="1">IF(AND(ISNUMBER($AU$249),$B$156=1),$AU$249,HLOOKUP(INDIRECT(ADDRESS(2,COLUMN())),OFFSET($BN$2,0,0,ROW()-1,60),ROW()-1,FALSE))</f>
        <v/>
      </c>
      <c r="AV126" t="str">
        <f ca="1">IF(AND(ISNUMBER($AV$249),$B$156=1),$AV$249,HLOOKUP(INDIRECT(ADDRESS(2,COLUMN())),OFFSET($BN$2,0,0,ROW()-1,60),ROW()-1,FALSE))</f>
        <v/>
      </c>
      <c r="AW126" t="str">
        <f ca="1">IF(AND(ISNUMBER($AW$249),$B$156=1),$AW$249,HLOOKUP(INDIRECT(ADDRESS(2,COLUMN())),OFFSET($BN$2,0,0,ROW()-1,60),ROW()-1,FALSE))</f>
        <v/>
      </c>
      <c r="AX126" t="str">
        <f ca="1">IF(AND(ISNUMBER($AX$249),$B$156=1),$AX$249,HLOOKUP(INDIRECT(ADDRESS(2,COLUMN())),OFFSET($BN$2,0,0,ROW()-1,60),ROW()-1,FALSE))</f>
        <v/>
      </c>
      <c r="AY126" t="str">
        <f ca="1">IF(AND(ISNUMBER($AY$249),$B$156=1),$AY$249,HLOOKUP(INDIRECT(ADDRESS(2,COLUMN())),OFFSET($BN$2,0,0,ROW()-1,60),ROW()-1,FALSE))</f>
        <v/>
      </c>
      <c r="AZ126" t="str">
        <f ca="1">IF(AND(ISNUMBER($AZ$249),$B$156=1),$AZ$249,HLOOKUP(INDIRECT(ADDRESS(2,COLUMN())),OFFSET($BN$2,0,0,ROW()-1,60),ROW()-1,FALSE))</f>
        <v/>
      </c>
      <c r="BA126" t="str">
        <f ca="1">IF(AND(ISNUMBER($BA$249),$B$156=1),$BA$249,HLOOKUP(INDIRECT(ADDRESS(2,COLUMN())),OFFSET($BN$2,0,0,ROW()-1,60),ROW()-1,FALSE))</f>
        <v/>
      </c>
      <c r="BB126" t="str">
        <f ca="1">IF(AND(ISNUMBER($BB$249),$B$156=1),$BB$249,HLOOKUP(INDIRECT(ADDRESS(2,COLUMN())),OFFSET($BN$2,0,0,ROW()-1,60),ROW()-1,FALSE))</f>
        <v/>
      </c>
      <c r="BC126">
        <f ca="1">IF(AND(ISNUMBER($BC$249),$B$156=1),$BC$249,HLOOKUP(INDIRECT(ADDRESS(2,COLUMN())),OFFSET($BN$2,0,0,ROW()-1,60),ROW()-1,FALSE))</f>
        <v>5002</v>
      </c>
      <c r="BD126">
        <f ca="1">IF(AND(ISNUMBER($BD$249),$B$156=1),$BD$249,HLOOKUP(INDIRECT(ADDRESS(2,COLUMN())),OFFSET($BN$2,0,0,ROW()-1,60),ROW()-1,FALSE))</f>
        <v>14875</v>
      </c>
      <c r="BE126">
        <f ca="1">IF(AND(ISNUMBER($BE$249),$B$156=1),$BE$249,HLOOKUP(INDIRECT(ADDRESS(2,COLUMN())),OFFSET($BN$2,0,0,ROW()-1,60),ROW()-1,FALSE))</f>
        <v>8524</v>
      </c>
      <c r="BF126">
        <f ca="1">IF(AND(ISNUMBER($BF$249),$B$156=1),$BF$249,HLOOKUP(INDIRECT(ADDRESS(2,COLUMN())),OFFSET($BN$2,0,0,ROW()-1,60),ROW()-1,FALSE))</f>
        <v>9027</v>
      </c>
      <c r="BG126" t="str">
        <f ca="1">IF(AND(ISNUMBER($BG$249),$B$156=1),$BG$249,HLOOKUP(INDIRECT(ADDRESS(2,COLUMN())),OFFSET($BN$2,0,0,ROW()-1,60),ROW()-1,FALSE))</f>
        <v/>
      </c>
      <c r="BH126" t="str">
        <f ca="1">IF(AND(ISNUMBER($BH$249),$B$156=1),$BH$249,HLOOKUP(INDIRECT(ADDRESS(2,COLUMN())),OFFSET($BN$2,0,0,ROW()-1,60),ROW()-1,FALSE))</f>
        <v/>
      </c>
      <c r="BI126" t="str">
        <f ca="1">IF(AND(ISNUMBER($BI$249),$B$156=1),$BI$249,HLOOKUP(INDIRECT(ADDRESS(2,COLUMN())),OFFSET($BN$2,0,0,ROW()-1,60),ROW()-1,FALSE))</f>
        <v/>
      </c>
      <c r="BJ126" t="str">
        <f ca="1">IF(AND(ISNUMBER($BJ$249),$B$156=1),$BJ$249,HLOOKUP(INDIRECT(ADDRESS(2,COLUMN())),OFFSET($BN$2,0,0,ROW()-1,60),ROW()-1,FALSE))</f>
        <v/>
      </c>
      <c r="BK126" t="str">
        <f ca="1">IF(AND(ISNUMBER($BK$249),$B$156=1),$BK$249,HLOOKUP(INDIRECT(ADDRESS(2,COLUMN())),OFFSET($BN$2,0,0,ROW()-1,60),ROW()-1,FALSE))</f>
        <v/>
      </c>
      <c r="BL126" t="str">
        <f ca="1">IF(AND(ISNUMBER($BL$249),$B$156=1),$BL$249,HLOOKUP(INDIRECT(ADDRESS(2,COLUMN())),OFFSET($BN$2,0,0,ROW()-1,60),ROW()-1,FALSE))</f>
        <v/>
      </c>
      <c r="BM126" t="str">
        <f ca="1">IF(AND(ISNUMBER($BM$249),$B$156=1),$BM$249,HLOOKUP(INDIRECT(ADDRESS(2,COLUMN())),OFFSET($BN$2,0,0,ROW()-1,60),ROW()-1,FALSE))</f>
        <v/>
      </c>
      <c r="BN126" t="str">
        <f>""</f>
        <v/>
      </c>
      <c r="BO126" t="str">
        <f>""</f>
        <v/>
      </c>
      <c r="BP126" t="str">
        <f>""</f>
        <v/>
      </c>
      <c r="BQ126" t="str">
        <f>""</f>
        <v/>
      </c>
      <c r="BR126" t="str">
        <f>""</f>
        <v/>
      </c>
      <c r="BS126" t="str">
        <f>""</f>
        <v/>
      </c>
      <c r="BT126" t="str">
        <f>""</f>
        <v/>
      </c>
      <c r="BU126" t="str">
        <f>""</f>
        <v/>
      </c>
      <c r="BV126" t="str">
        <f>""</f>
        <v/>
      </c>
      <c r="BW126" t="str">
        <f>""</f>
        <v/>
      </c>
      <c r="BX126" t="str">
        <f>""</f>
        <v/>
      </c>
      <c r="BY126" t="str">
        <f>""</f>
        <v/>
      </c>
      <c r="BZ126" t="str">
        <f>""</f>
        <v/>
      </c>
      <c r="CA126">
        <f>163274</f>
        <v>163274</v>
      </c>
      <c r="CB126">
        <f>132378</f>
        <v>132378</v>
      </c>
      <c r="CC126">
        <f>145421</f>
        <v>145421</v>
      </c>
      <c r="CD126">
        <f>146869</f>
        <v>146869</v>
      </c>
      <c r="CE126" t="str">
        <f>""</f>
        <v/>
      </c>
      <c r="CF126" t="str">
        <f>""</f>
        <v/>
      </c>
      <c r="CG126">
        <f>113715</f>
        <v>113715</v>
      </c>
      <c r="CH126">
        <f>138956</f>
        <v>138956</v>
      </c>
      <c r="CI126" t="str">
        <f>""</f>
        <v/>
      </c>
      <c r="CJ126" t="str">
        <f>""</f>
        <v/>
      </c>
      <c r="CK126">
        <f>124366</f>
        <v>124366</v>
      </c>
      <c r="CL126">
        <f>149134</f>
        <v>149134</v>
      </c>
      <c r="CM126">
        <f>118932</f>
        <v>118932</v>
      </c>
      <c r="CN126">
        <f>103881</f>
        <v>103881</v>
      </c>
      <c r="CO126">
        <f>111324</f>
        <v>111324</v>
      </c>
      <c r="CP126">
        <f>127714</f>
        <v>127714</v>
      </c>
      <c r="CQ126">
        <f>94129</f>
        <v>94129</v>
      </c>
      <c r="CR126">
        <f>104270</f>
        <v>104270</v>
      </c>
      <c r="CS126">
        <f>119658</f>
        <v>119658</v>
      </c>
      <c r="CT126">
        <f>148443</f>
        <v>148443</v>
      </c>
      <c r="CU126">
        <f>103727</f>
        <v>103727</v>
      </c>
      <c r="CV126">
        <f>95250</f>
        <v>95250</v>
      </c>
      <c r="CW126">
        <f>116749</f>
        <v>116749</v>
      </c>
      <c r="CX126">
        <f>126821</f>
        <v>126821</v>
      </c>
      <c r="CY126">
        <f>67715</f>
        <v>67715</v>
      </c>
      <c r="CZ126">
        <f>97062</f>
        <v>97062</v>
      </c>
      <c r="DA126">
        <f>83787</f>
        <v>83787</v>
      </c>
      <c r="DB126">
        <f>62063</f>
        <v>62063</v>
      </c>
      <c r="DC126" t="str">
        <f>""</f>
        <v/>
      </c>
      <c r="DD126" t="str">
        <f>""</f>
        <v/>
      </c>
      <c r="DE126" t="str">
        <f>""</f>
        <v/>
      </c>
      <c r="DF126" t="str">
        <f>""</f>
        <v/>
      </c>
      <c r="DG126" t="str">
        <f>""</f>
        <v/>
      </c>
      <c r="DH126" t="str">
        <f>""</f>
        <v/>
      </c>
      <c r="DI126" t="str">
        <f>""</f>
        <v/>
      </c>
      <c r="DJ126" t="str">
        <f>""</f>
        <v/>
      </c>
      <c r="DK126">
        <f>5002</f>
        <v>5002</v>
      </c>
      <c r="DL126">
        <f>14875</f>
        <v>14875</v>
      </c>
      <c r="DM126">
        <f>8524</f>
        <v>8524</v>
      </c>
      <c r="DN126">
        <f>9027</f>
        <v>9027</v>
      </c>
      <c r="DO126" t="str">
        <f>""</f>
        <v/>
      </c>
      <c r="DP126" t="str">
        <f>""</f>
        <v/>
      </c>
      <c r="DQ126" t="str">
        <f>""</f>
        <v/>
      </c>
      <c r="DR126" t="str">
        <f>""</f>
        <v/>
      </c>
      <c r="DS126" t="str">
        <f>""</f>
        <v/>
      </c>
      <c r="DT126" t="str">
        <f>""</f>
        <v/>
      </c>
      <c r="DU126" t="str">
        <f>""</f>
        <v/>
      </c>
    </row>
    <row r="127" spans="1:125" x14ac:dyDescent="0.25">
      <c r="A127" t="str">
        <f>"    Geely Automobile Holdings Ltd"</f>
        <v xml:space="preserve">    Geely Automobile Holdings Ltd</v>
      </c>
      <c r="B127" t="str">
        <f>"175 HK Equity"</f>
        <v>175 HK Equity</v>
      </c>
      <c r="C127" t="str">
        <f>"FS265"</f>
        <v>FS265</v>
      </c>
      <c r="D127" t="str">
        <f>"AUTO_VEHICLES_SOLD_WW"</f>
        <v>AUTO_VEHICLES_SOLD_WW</v>
      </c>
      <c r="E127" t="str">
        <f>"Dynamic"</f>
        <v>Dynamic</v>
      </c>
      <c r="F127" t="str">
        <f ca="1">IF(AND(ISNUMBER($F$250),$B$156=1),$F$250,HLOOKUP(INDIRECT(ADDRESS(2,COLUMN())),OFFSET($BN$2,0,0,ROW()-1,60),ROW()-1,FALSE))</f>
        <v/>
      </c>
      <c r="G127" t="str">
        <f ca="1">IF(AND(ISNUMBER($G$250),$B$156=1),$G$250,HLOOKUP(INDIRECT(ADDRESS(2,COLUMN())),OFFSET($BN$2,0,0,ROW()-1,60),ROW()-1,FALSE))</f>
        <v/>
      </c>
      <c r="H127" t="str">
        <f ca="1">IF(AND(ISNUMBER($H$250),$B$156=1),$H$250,HLOOKUP(INDIRECT(ADDRESS(2,COLUMN())),OFFSET($BN$2,0,0,ROW()-1,60),ROW()-1,FALSE))</f>
        <v/>
      </c>
      <c r="I127" t="str">
        <f ca="1">IF(AND(ISNUMBER($I$250),$B$156=1),$I$250,HLOOKUP(INDIRECT(ADDRESS(2,COLUMN())),OFFSET($BN$2,0,0,ROW()-1,60),ROW()-1,FALSE))</f>
        <v/>
      </c>
      <c r="J127" t="str">
        <f ca="1">IF(AND(ISNUMBER($J$250),$B$156=1),$J$250,HLOOKUP(INDIRECT(ADDRESS(2,COLUMN())),OFFSET($BN$2,0,0,ROW()-1,60),ROW()-1,FALSE))</f>
        <v/>
      </c>
      <c r="K127" t="str">
        <f ca="1">IF(AND(ISNUMBER($K$250),$B$156=1),$K$250,HLOOKUP(INDIRECT(ADDRESS(2,COLUMN())),OFFSET($BN$2,0,0,ROW()-1,60),ROW()-1,FALSE))</f>
        <v/>
      </c>
      <c r="L127" t="str">
        <f ca="1">IF(AND(ISNUMBER($L$250),$B$156=1),$L$250,HLOOKUP(INDIRECT(ADDRESS(2,COLUMN())),OFFSET($BN$2,0,0,ROW()-1,60),ROW()-1,FALSE))</f>
        <v/>
      </c>
      <c r="M127" t="str">
        <f ca="1">IF(AND(ISNUMBER($M$250),$B$156=1),$M$250,HLOOKUP(INDIRECT(ADDRESS(2,COLUMN())),OFFSET($BN$2,0,0,ROW()-1,60),ROW()-1,FALSE))</f>
        <v/>
      </c>
      <c r="N127" t="str">
        <f ca="1">IF(AND(ISNUMBER($N$250),$B$156=1),$N$250,HLOOKUP(INDIRECT(ADDRESS(2,COLUMN())),OFFSET($BN$2,0,0,ROW()-1,60),ROW()-1,FALSE))</f>
        <v/>
      </c>
      <c r="O127" t="str">
        <f ca="1">IF(AND(ISNUMBER($O$250),$B$156=1),$O$250,HLOOKUP(INDIRECT(ADDRESS(2,COLUMN())),OFFSET($BN$2,0,0,ROW()-1,60),ROW()-1,FALSE))</f>
        <v/>
      </c>
      <c r="P127" t="str">
        <f ca="1">IF(AND(ISNUMBER($P$250),$B$156=1),$P$250,HLOOKUP(INDIRECT(ADDRESS(2,COLUMN())),OFFSET($BN$2,0,0,ROW()-1,60),ROW()-1,FALSE))</f>
        <v/>
      </c>
      <c r="Q127" t="str">
        <f ca="1">IF(AND(ISNUMBER($Q$250),$B$156=1),$Q$250,HLOOKUP(INDIRECT(ADDRESS(2,COLUMN())),OFFSET($BN$2,0,0,ROW()-1,60),ROW()-1,FALSE))</f>
        <v/>
      </c>
      <c r="R127" t="str">
        <f ca="1">IF(AND(ISNUMBER($R$250),$B$156=1),$R$250,HLOOKUP(INDIRECT(ADDRESS(2,COLUMN())),OFFSET($BN$2,0,0,ROW()-1,60),ROW()-1,FALSE))</f>
        <v/>
      </c>
      <c r="S127" t="str">
        <f ca="1">IF(AND(ISNUMBER($S$250),$B$156=1),$S$250,HLOOKUP(INDIRECT(ADDRESS(2,COLUMN())),OFFSET($BN$2,0,0,ROW()-1,60),ROW()-1,FALSE))</f>
        <v/>
      </c>
      <c r="T127" t="str">
        <f ca="1">IF(AND(ISNUMBER($T$250),$B$156=1),$T$250,HLOOKUP(INDIRECT(ADDRESS(2,COLUMN())),OFFSET($BN$2,0,0,ROW()-1,60),ROW()-1,FALSE))</f>
        <v/>
      </c>
      <c r="U127" t="str">
        <f ca="1">IF(AND(ISNUMBER($U$250),$B$156=1),$U$250,HLOOKUP(INDIRECT(ADDRESS(2,COLUMN())),OFFSET($BN$2,0,0,ROW()-1,60),ROW()-1,FALSE))</f>
        <v/>
      </c>
      <c r="V127" t="str">
        <f ca="1">IF(AND(ISNUMBER($V$250),$B$156=1),$V$250,HLOOKUP(INDIRECT(ADDRESS(2,COLUMN())),OFFSET($BN$2,0,0,ROW()-1,60),ROW()-1,FALSE))</f>
        <v/>
      </c>
      <c r="W127" t="str">
        <f ca="1">IF(AND(ISNUMBER($W$250),$B$156=1),$W$250,HLOOKUP(INDIRECT(ADDRESS(2,COLUMN())),OFFSET($BN$2,0,0,ROW()-1,60),ROW()-1,FALSE))</f>
        <v/>
      </c>
      <c r="X127" t="str">
        <f ca="1">IF(AND(ISNUMBER($X$250),$B$156=1),$X$250,HLOOKUP(INDIRECT(ADDRESS(2,COLUMN())),OFFSET($BN$2,0,0,ROW()-1,60),ROW()-1,FALSE))</f>
        <v/>
      </c>
      <c r="Y127" t="str">
        <f ca="1">IF(AND(ISNUMBER($Y$250),$B$156=1),$Y$250,HLOOKUP(INDIRECT(ADDRESS(2,COLUMN())),OFFSET($BN$2,0,0,ROW()-1,60),ROW()-1,FALSE))</f>
        <v/>
      </c>
      <c r="Z127" t="str">
        <f ca="1">IF(AND(ISNUMBER($Z$250),$B$156=1),$Z$250,HLOOKUP(INDIRECT(ADDRESS(2,COLUMN())),OFFSET($BN$2,0,0,ROW()-1,60),ROW()-1,FALSE))</f>
        <v/>
      </c>
      <c r="AA127" t="str">
        <f ca="1">IF(AND(ISNUMBER($AA$250),$B$156=1),$AA$250,HLOOKUP(INDIRECT(ADDRESS(2,COLUMN())),OFFSET($BN$2,0,0,ROW()-1,60),ROW()-1,FALSE))</f>
        <v/>
      </c>
      <c r="AB127" t="str">
        <f ca="1">IF(AND(ISNUMBER($AB$250),$B$156=1),$AB$250,HLOOKUP(INDIRECT(ADDRESS(2,COLUMN())),OFFSET($BN$2,0,0,ROW()-1,60),ROW()-1,FALSE))</f>
        <v/>
      </c>
      <c r="AC127" t="str">
        <f ca="1">IF(AND(ISNUMBER($AC$250),$B$156=1),$AC$250,HLOOKUP(INDIRECT(ADDRESS(2,COLUMN())),OFFSET($BN$2,0,0,ROW()-1,60),ROW()-1,FALSE))</f>
        <v/>
      </c>
      <c r="AD127" t="str">
        <f ca="1">IF(AND(ISNUMBER($AD$250),$B$156=1),$AD$250,HLOOKUP(INDIRECT(ADDRESS(2,COLUMN())),OFFSET($BN$2,0,0,ROW()-1,60),ROW()-1,FALSE))</f>
        <v/>
      </c>
      <c r="AE127" t="str">
        <f ca="1">IF(AND(ISNUMBER($AE$250),$B$156=1),$AE$250,HLOOKUP(INDIRECT(ADDRESS(2,COLUMN())),OFFSET($BN$2,0,0,ROW()-1,60),ROW()-1,FALSE))</f>
        <v/>
      </c>
      <c r="AF127" t="str">
        <f ca="1">IF(AND(ISNUMBER($AF$250),$B$156=1),$AF$250,HLOOKUP(INDIRECT(ADDRESS(2,COLUMN())),OFFSET($BN$2,0,0,ROW()-1,60),ROW()-1,FALSE))</f>
        <v/>
      </c>
      <c r="AG127" t="str">
        <f ca="1">IF(AND(ISNUMBER($AG$250),$B$156=1),$AG$250,HLOOKUP(INDIRECT(ADDRESS(2,COLUMN())),OFFSET($BN$2,0,0,ROW()-1,60),ROW()-1,FALSE))</f>
        <v/>
      </c>
      <c r="AH127" t="str">
        <f ca="1">IF(AND(ISNUMBER($AH$250),$B$156=1),$AH$250,HLOOKUP(INDIRECT(ADDRESS(2,COLUMN())),OFFSET($BN$2,0,0,ROW()-1,60),ROW()-1,FALSE))</f>
        <v/>
      </c>
      <c r="AI127" t="str">
        <f ca="1">IF(AND(ISNUMBER($AI$250),$B$156=1),$AI$250,HLOOKUP(INDIRECT(ADDRESS(2,COLUMN())),OFFSET($BN$2,0,0,ROW()-1,60),ROW()-1,FALSE))</f>
        <v/>
      </c>
      <c r="AJ127" t="str">
        <f ca="1">IF(AND(ISNUMBER($AJ$250),$B$156=1),$AJ$250,HLOOKUP(INDIRECT(ADDRESS(2,COLUMN())),OFFSET($BN$2,0,0,ROW()-1,60),ROW()-1,FALSE))</f>
        <v/>
      </c>
      <c r="AK127" t="str">
        <f ca="1">IF(AND(ISNUMBER($AK$250),$B$156=1),$AK$250,HLOOKUP(INDIRECT(ADDRESS(2,COLUMN())),OFFSET($BN$2,0,0,ROW()-1,60),ROW()-1,FALSE))</f>
        <v/>
      </c>
      <c r="AL127" t="str">
        <f ca="1">IF(AND(ISNUMBER($AL$250),$B$156=1),$AL$250,HLOOKUP(INDIRECT(ADDRESS(2,COLUMN())),OFFSET($BN$2,0,0,ROW()-1,60),ROW()-1,FALSE))</f>
        <v/>
      </c>
      <c r="AM127" t="str">
        <f ca="1">IF(AND(ISNUMBER($AM$250),$B$156=1),$AM$250,HLOOKUP(INDIRECT(ADDRESS(2,COLUMN())),OFFSET($BN$2,0,0,ROW()-1,60),ROW()-1,FALSE))</f>
        <v/>
      </c>
      <c r="AN127" t="str">
        <f ca="1">IF(AND(ISNUMBER($AN$250),$B$156=1),$AN$250,HLOOKUP(INDIRECT(ADDRESS(2,COLUMN())),OFFSET($BN$2,0,0,ROW()-1,60),ROW()-1,FALSE))</f>
        <v/>
      </c>
      <c r="AO127" t="str">
        <f ca="1">IF(AND(ISNUMBER($AO$250),$B$156=1),$AO$250,HLOOKUP(INDIRECT(ADDRESS(2,COLUMN())),OFFSET($BN$2,0,0,ROW()-1,60),ROW()-1,FALSE))</f>
        <v/>
      </c>
      <c r="AP127" t="str">
        <f ca="1">IF(AND(ISNUMBER($AP$250),$B$156=1),$AP$250,HLOOKUP(INDIRECT(ADDRESS(2,COLUMN())),OFFSET($BN$2,0,0,ROW()-1,60),ROW()-1,FALSE))</f>
        <v/>
      </c>
      <c r="AQ127" t="str">
        <f ca="1">IF(AND(ISNUMBER($AQ$250),$B$156=1),$AQ$250,HLOOKUP(INDIRECT(ADDRESS(2,COLUMN())),OFFSET($BN$2,0,0,ROW()-1,60),ROW()-1,FALSE))</f>
        <v/>
      </c>
      <c r="AR127" t="str">
        <f ca="1">IF(AND(ISNUMBER($AR$250),$B$156=1),$AR$250,HLOOKUP(INDIRECT(ADDRESS(2,COLUMN())),OFFSET($BN$2,0,0,ROW()-1,60),ROW()-1,FALSE))</f>
        <v/>
      </c>
      <c r="AS127" t="str">
        <f ca="1">IF(AND(ISNUMBER($AS$250),$B$156=1),$AS$250,HLOOKUP(INDIRECT(ADDRESS(2,COLUMN())),OFFSET($BN$2,0,0,ROW()-1,60),ROW()-1,FALSE))</f>
        <v/>
      </c>
      <c r="AT127" t="str">
        <f ca="1">IF(AND(ISNUMBER($AT$250),$B$156=1),$AT$250,HLOOKUP(INDIRECT(ADDRESS(2,COLUMN())),OFFSET($BN$2,0,0,ROW()-1,60),ROW()-1,FALSE))</f>
        <v/>
      </c>
      <c r="AU127" t="str">
        <f ca="1">IF(AND(ISNUMBER($AU$250),$B$156=1),$AU$250,HLOOKUP(INDIRECT(ADDRESS(2,COLUMN())),OFFSET($BN$2,0,0,ROW()-1,60),ROW()-1,FALSE))</f>
        <v/>
      </c>
      <c r="AV127" t="str">
        <f ca="1">IF(AND(ISNUMBER($AV$250),$B$156=1),$AV$250,HLOOKUP(INDIRECT(ADDRESS(2,COLUMN())),OFFSET($BN$2,0,0,ROW()-1,60),ROW()-1,FALSE))</f>
        <v/>
      </c>
      <c r="AW127" t="str">
        <f ca="1">IF(AND(ISNUMBER($AW$250),$B$156=1),$AW$250,HLOOKUP(INDIRECT(ADDRESS(2,COLUMN())),OFFSET($BN$2,0,0,ROW()-1,60),ROW()-1,FALSE))</f>
        <v/>
      </c>
      <c r="AX127" t="str">
        <f ca="1">IF(AND(ISNUMBER($AX$250),$B$156=1),$AX$250,HLOOKUP(INDIRECT(ADDRESS(2,COLUMN())),OFFSET($BN$2,0,0,ROW()-1,60),ROW()-1,FALSE))</f>
        <v/>
      </c>
      <c r="AY127" t="str">
        <f ca="1">IF(AND(ISNUMBER($AY$250),$B$156=1),$AY$250,HLOOKUP(INDIRECT(ADDRESS(2,COLUMN())),OFFSET($BN$2,0,0,ROW()-1,60),ROW()-1,FALSE))</f>
        <v/>
      </c>
      <c r="AZ127" t="str">
        <f ca="1">IF(AND(ISNUMBER($AZ$250),$B$156=1),$AZ$250,HLOOKUP(INDIRECT(ADDRESS(2,COLUMN())),OFFSET($BN$2,0,0,ROW()-1,60),ROW()-1,FALSE))</f>
        <v/>
      </c>
      <c r="BA127" t="str">
        <f ca="1">IF(AND(ISNUMBER($BA$250),$B$156=1),$BA$250,HLOOKUP(INDIRECT(ADDRESS(2,COLUMN())),OFFSET($BN$2,0,0,ROW()-1,60),ROW()-1,FALSE))</f>
        <v/>
      </c>
      <c r="BB127" t="str">
        <f ca="1">IF(AND(ISNUMBER($BB$250),$B$156=1),$BB$250,HLOOKUP(INDIRECT(ADDRESS(2,COLUMN())),OFFSET($BN$2,0,0,ROW()-1,60),ROW()-1,FALSE))</f>
        <v/>
      </c>
      <c r="BC127" t="str">
        <f ca="1">IF(AND(ISNUMBER($BC$250),$B$156=1),$BC$250,HLOOKUP(INDIRECT(ADDRESS(2,COLUMN())),OFFSET($BN$2,0,0,ROW()-1,60),ROW()-1,FALSE))</f>
        <v/>
      </c>
      <c r="BD127" t="str">
        <f ca="1">IF(AND(ISNUMBER($BD$250),$B$156=1),$BD$250,HLOOKUP(INDIRECT(ADDRESS(2,COLUMN())),OFFSET($BN$2,0,0,ROW()-1,60),ROW()-1,FALSE))</f>
        <v/>
      </c>
      <c r="BE127" t="str">
        <f ca="1">IF(AND(ISNUMBER($BE$250),$B$156=1),$BE$250,HLOOKUP(INDIRECT(ADDRESS(2,COLUMN())),OFFSET($BN$2,0,0,ROW()-1,60),ROW()-1,FALSE))</f>
        <v/>
      </c>
      <c r="BF127" t="str">
        <f ca="1">IF(AND(ISNUMBER($BF$250),$B$156=1),$BF$250,HLOOKUP(INDIRECT(ADDRESS(2,COLUMN())),OFFSET($BN$2,0,0,ROW()-1,60),ROW()-1,FALSE))</f>
        <v/>
      </c>
      <c r="BG127" t="str">
        <f ca="1">IF(AND(ISNUMBER($BG$250),$B$156=1),$BG$250,HLOOKUP(INDIRECT(ADDRESS(2,COLUMN())),OFFSET($BN$2,0,0,ROW()-1,60),ROW()-1,FALSE))</f>
        <v/>
      </c>
      <c r="BH127" t="str">
        <f ca="1">IF(AND(ISNUMBER($BH$250),$B$156=1),$BH$250,HLOOKUP(INDIRECT(ADDRESS(2,COLUMN())),OFFSET($BN$2,0,0,ROW()-1,60),ROW()-1,FALSE))</f>
        <v/>
      </c>
      <c r="BI127" t="str">
        <f ca="1">IF(AND(ISNUMBER($BI$250),$B$156=1),$BI$250,HLOOKUP(INDIRECT(ADDRESS(2,COLUMN())),OFFSET($BN$2,0,0,ROW()-1,60),ROW()-1,FALSE))</f>
        <v/>
      </c>
      <c r="BJ127" t="str">
        <f ca="1">IF(AND(ISNUMBER($BJ$250),$B$156=1),$BJ$250,HLOOKUP(INDIRECT(ADDRESS(2,COLUMN())),OFFSET($BN$2,0,0,ROW()-1,60),ROW()-1,FALSE))</f>
        <v/>
      </c>
      <c r="BK127" t="str">
        <f ca="1">IF(AND(ISNUMBER($BK$250),$B$156=1),$BK$250,HLOOKUP(INDIRECT(ADDRESS(2,COLUMN())),OFFSET($BN$2,0,0,ROW()-1,60),ROW()-1,FALSE))</f>
        <v/>
      </c>
      <c r="BL127" t="str">
        <f ca="1">IF(AND(ISNUMBER($BL$250),$B$156=1),$BL$250,HLOOKUP(INDIRECT(ADDRESS(2,COLUMN())),OFFSET($BN$2,0,0,ROW()-1,60),ROW()-1,FALSE))</f>
        <v/>
      </c>
      <c r="BM127" t="str">
        <f ca="1">IF(AND(ISNUMBER($BM$250),$B$156=1),$BM$250,HLOOKUP(INDIRECT(ADDRESS(2,COLUMN())),OFFSET($BN$2,0,0,ROW()-1,60),ROW()-1,FALSE))</f>
        <v/>
      </c>
      <c r="BN127" t="str">
        <f>""</f>
        <v/>
      </c>
      <c r="BO127" t="str">
        <f>""</f>
        <v/>
      </c>
      <c r="BP127" t="str">
        <f>""</f>
        <v/>
      </c>
      <c r="BQ127" t="str">
        <f>""</f>
        <v/>
      </c>
      <c r="BR127" t="str">
        <f>""</f>
        <v/>
      </c>
      <c r="BS127" t="str">
        <f>""</f>
        <v/>
      </c>
      <c r="BT127" t="str">
        <f>""</f>
        <v/>
      </c>
      <c r="BU127" t="str">
        <f>""</f>
        <v/>
      </c>
      <c r="BV127" t="str">
        <f>""</f>
        <v/>
      </c>
      <c r="BW127" t="str">
        <f>""</f>
        <v/>
      </c>
      <c r="BX127" t="str">
        <f>""</f>
        <v/>
      </c>
      <c r="BY127" t="str">
        <f>""</f>
        <v/>
      </c>
      <c r="BZ127" t="str">
        <f>""</f>
        <v/>
      </c>
      <c r="CA127" t="str">
        <f>""</f>
        <v/>
      </c>
      <c r="CB127" t="str">
        <f>""</f>
        <v/>
      </c>
      <c r="CC127" t="str">
        <f>""</f>
        <v/>
      </c>
      <c r="CD127" t="str">
        <f>""</f>
        <v/>
      </c>
      <c r="CE127" t="str">
        <f>""</f>
        <v/>
      </c>
      <c r="CF127" t="str">
        <f>""</f>
        <v/>
      </c>
      <c r="CG127" t="str">
        <f>""</f>
        <v/>
      </c>
      <c r="CH127" t="str">
        <f>""</f>
        <v/>
      </c>
      <c r="CI127" t="str">
        <f>""</f>
        <v/>
      </c>
      <c r="CJ127" t="str">
        <f>""</f>
        <v/>
      </c>
      <c r="CK127" t="str">
        <f>""</f>
        <v/>
      </c>
      <c r="CL127" t="str">
        <f>""</f>
        <v/>
      </c>
      <c r="CM127" t="str">
        <f>""</f>
        <v/>
      </c>
      <c r="CN127" t="str">
        <f>""</f>
        <v/>
      </c>
      <c r="CO127" t="str">
        <f>""</f>
        <v/>
      </c>
      <c r="CP127" t="str">
        <f>""</f>
        <v/>
      </c>
      <c r="CQ127" t="str">
        <f>""</f>
        <v/>
      </c>
      <c r="CR127" t="str">
        <f>""</f>
        <v/>
      </c>
      <c r="CS127" t="str">
        <f>""</f>
        <v/>
      </c>
      <c r="CT127" t="str">
        <f>""</f>
        <v/>
      </c>
      <c r="CU127" t="str">
        <f>""</f>
        <v/>
      </c>
      <c r="CV127" t="str">
        <f>""</f>
        <v/>
      </c>
      <c r="CW127" t="str">
        <f>""</f>
        <v/>
      </c>
      <c r="CX127" t="str">
        <f>""</f>
        <v/>
      </c>
      <c r="CY127" t="str">
        <f>""</f>
        <v/>
      </c>
      <c r="CZ127" t="str">
        <f>""</f>
        <v/>
      </c>
      <c r="DA127" t="str">
        <f>""</f>
        <v/>
      </c>
      <c r="DB127" t="str">
        <f>""</f>
        <v/>
      </c>
      <c r="DC127" t="str">
        <f>""</f>
        <v/>
      </c>
      <c r="DD127" t="str">
        <f>""</f>
        <v/>
      </c>
      <c r="DE127" t="str">
        <f>""</f>
        <v/>
      </c>
      <c r="DF127" t="str">
        <f>""</f>
        <v/>
      </c>
      <c r="DG127" t="str">
        <f>""</f>
        <v/>
      </c>
      <c r="DH127" t="str">
        <f>""</f>
        <v/>
      </c>
      <c r="DI127" t="str">
        <f>""</f>
        <v/>
      </c>
      <c r="DJ127" t="str">
        <f>""</f>
        <v/>
      </c>
      <c r="DK127" t="str">
        <f>""</f>
        <v/>
      </c>
      <c r="DL127" t="str">
        <f>""</f>
        <v/>
      </c>
      <c r="DM127" t="str">
        <f>""</f>
        <v/>
      </c>
      <c r="DN127" t="str">
        <f>""</f>
        <v/>
      </c>
      <c r="DO127" t="str">
        <f>""</f>
        <v/>
      </c>
      <c r="DP127" t="str">
        <f>""</f>
        <v/>
      </c>
      <c r="DQ127" t="str">
        <f>""</f>
        <v/>
      </c>
      <c r="DR127" t="str">
        <f>""</f>
        <v/>
      </c>
      <c r="DS127" t="str">
        <f>""</f>
        <v/>
      </c>
      <c r="DT127" t="str">
        <f>""</f>
        <v/>
      </c>
      <c r="DU127" t="str">
        <f>""</f>
        <v/>
      </c>
    </row>
    <row r="128" spans="1:125" x14ac:dyDescent="0.25">
      <c r="A128" t="str">
        <f>"    Isuzu Motors Ltd"</f>
        <v xml:space="preserve">    Isuzu Motors Ltd</v>
      </c>
      <c r="B128" t="str">
        <f>"7202 JP Equity"</f>
        <v>7202 JP Equity</v>
      </c>
      <c r="E128" t="str">
        <f>"Static"</f>
        <v>Static</v>
      </c>
      <c r="F128" t="str">
        <f t="shared" ref="F128:AK128" ca="1" si="36">HLOOKUP(INDIRECT(ADDRESS(2,COLUMN())),OFFSET($BN$2,0,0,ROW()-1,60),ROW()-1,FALSE)</f>
        <v/>
      </c>
      <c r="G128" t="str">
        <f t="shared" ca="1" si="36"/>
        <v/>
      </c>
      <c r="H128" t="str">
        <f t="shared" ca="1" si="36"/>
        <v/>
      </c>
      <c r="I128" t="str">
        <f t="shared" ca="1" si="36"/>
        <v/>
      </c>
      <c r="J128" t="str">
        <f t="shared" ca="1" si="36"/>
        <v/>
      </c>
      <c r="K128" t="str">
        <f t="shared" ca="1" si="36"/>
        <v/>
      </c>
      <c r="L128" t="str">
        <f t="shared" ca="1" si="36"/>
        <v/>
      </c>
      <c r="M128" t="str">
        <f t="shared" ca="1" si="36"/>
        <v/>
      </c>
      <c r="N128" t="str">
        <f t="shared" ca="1" si="36"/>
        <v/>
      </c>
      <c r="O128" t="str">
        <f t="shared" ca="1" si="36"/>
        <v/>
      </c>
      <c r="P128" t="str">
        <f t="shared" ca="1" si="36"/>
        <v/>
      </c>
      <c r="Q128" t="str">
        <f t="shared" ca="1" si="36"/>
        <v/>
      </c>
      <c r="R128" t="str">
        <f t="shared" ca="1" si="36"/>
        <v/>
      </c>
      <c r="S128">
        <f t="shared" ca="1" si="36"/>
        <v>116167</v>
      </c>
      <c r="T128">
        <f t="shared" ca="1" si="36"/>
        <v>128630</v>
      </c>
      <c r="U128">
        <f t="shared" ca="1" si="36"/>
        <v>125866</v>
      </c>
      <c r="V128">
        <f t="shared" ca="1" si="36"/>
        <v>140667</v>
      </c>
      <c r="W128">
        <f t="shared" ca="1" si="36"/>
        <v>128354</v>
      </c>
      <c r="X128">
        <f t="shared" ca="1" si="36"/>
        <v>129240</v>
      </c>
      <c r="Y128">
        <f t="shared" ca="1" si="36"/>
        <v>113030</v>
      </c>
      <c r="Z128">
        <f t="shared" ca="1" si="36"/>
        <v>127070</v>
      </c>
      <c r="AA128">
        <f t="shared" ca="1" si="36"/>
        <v>114667</v>
      </c>
      <c r="AB128">
        <f t="shared" ca="1" si="36"/>
        <v>132654</v>
      </c>
      <c r="AC128">
        <f t="shared" ca="1" si="36"/>
        <v>121495</v>
      </c>
      <c r="AD128">
        <f t="shared" ca="1" si="36"/>
        <v>144014</v>
      </c>
      <c r="AE128">
        <f t="shared" ca="1" si="36"/>
        <v>141585</v>
      </c>
      <c r="AF128">
        <f t="shared" ca="1" si="36"/>
        <v>126156</v>
      </c>
      <c r="AG128">
        <f t="shared" ca="1" si="36"/>
        <v>122088</v>
      </c>
      <c r="AH128">
        <f t="shared" ca="1" si="36"/>
        <v>119990</v>
      </c>
      <c r="AI128">
        <f t="shared" ca="1" si="36"/>
        <v>77850</v>
      </c>
      <c r="AJ128">
        <f t="shared" ca="1" si="36"/>
        <v>105842</v>
      </c>
      <c r="AK128">
        <f t="shared" ca="1" si="36"/>
        <v>76995</v>
      </c>
      <c r="AL128">
        <f t="shared" ref="AL128:BM128" ca="1" si="37">HLOOKUP(INDIRECT(ADDRESS(2,COLUMN())),OFFSET($BN$2,0,0,ROW()-1,60),ROW()-1,FALSE)</f>
        <v>97814</v>
      </c>
      <c r="AM128">
        <f t="shared" ca="1" si="37"/>
        <v>105501</v>
      </c>
      <c r="AN128">
        <f t="shared" ca="1" si="37"/>
        <v>99733</v>
      </c>
      <c r="AO128">
        <f t="shared" ca="1" si="37"/>
        <v>104278</v>
      </c>
      <c r="AP128">
        <f t="shared" ca="1" si="37"/>
        <v>94846</v>
      </c>
      <c r="AQ128">
        <f t="shared" ca="1" si="37"/>
        <v>83934</v>
      </c>
      <c r="AR128">
        <f t="shared" ca="1" si="37"/>
        <v>65737</v>
      </c>
      <c r="AS128">
        <f t="shared" ca="1" si="37"/>
        <v>43928</v>
      </c>
      <c r="AT128">
        <f t="shared" ca="1" si="37"/>
        <v>54096</v>
      </c>
      <c r="AU128">
        <f t="shared" ca="1" si="37"/>
        <v>103904</v>
      </c>
      <c r="AV128">
        <f t="shared" ca="1" si="37"/>
        <v>125419</v>
      </c>
      <c r="AW128">
        <f t="shared" ca="1" si="37"/>
        <v>117248</v>
      </c>
      <c r="AX128">
        <f t="shared" ca="1" si="37"/>
        <v>177855</v>
      </c>
      <c r="AY128">
        <f t="shared" ca="1" si="37"/>
        <v>109619</v>
      </c>
      <c r="AZ128">
        <f t="shared" ca="1" si="37"/>
        <v>117421</v>
      </c>
      <c r="BA128">
        <f t="shared" ca="1" si="37"/>
        <v>104063</v>
      </c>
      <c r="BB128">
        <f t="shared" ca="1" si="37"/>
        <v>129091</v>
      </c>
      <c r="BC128">
        <f t="shared" ca="1" si="37"/>
        <v>117197</v>
      </c>
      <c r="BD128">
        <f t="shared" ca="1" si="37"/>
        <v>111401</v>
      </c>
      <c r="BE128">
        <f t="shared" ca="1" si="37"/>
        <v>110612</v>
      </c>
      <c r="BF128">
        <f t="shared" ca="1" si="37"/>
        <v>119220</v>
      </c>
      <c r="BG128" t="str">
        <f t="shared" ca="1" si="37"/>
        <v/>
      </c>
      <c r="BH128" t="str">
        <f t="shared" ca="1" si="37"/>
        <v/>
      </c>
      <c r="BI128" t="str">
        <f t="shared" ca="1" si="37"/>
        <v/>
      </c>
      <c r="BJ128" t="str">
        <f t="shared" ca="1" si="37"/>
        <v/>
      </c>
      <c r="BK128" t="str">
        <f t="shared" ca="1" si="37"/>
        <v/>
      </c>
      <c r="BL128" t="str">
        <f t="shared" ca="1" si="37"/>
        <v/>
      </c>
      <c r="BM128" t="str">
        <f t="shared" ca="1" si="37"/>
        <v/>
      </c>
      <c r="BN128" t="str">
        <f>""</f>
        <v/>
      </c>
      <c r="BO128" t="str">
        <f>""</f>
        <v/>
      </c>
      <c r="BP128" t="str">
        <f>""</f>
        <v/>
      </c>
      <c r="BQ128" t="str">
        <f>""</f>
        <v/>
      </c>
      <c r="BR128" t="str">
        <f>""</f>
        <v/>
      </c>
      <c r="BS128" t="str">
        <f>""</f>
        <v/>
      </c>
      <c r="BT128" t="str">
        <f>""</f>
        <v/>
      </c>
      <c r="BU128" t="str">
        <f>""</f>
        <v/>
      </c>
      <c r="BV128" t="str">
        <f>""</f>
        <v/>
      </c>
      <c r="BW128" t="str">
        <f>""</f>
        <v/>
      </c>
      <c r="BX128" t="str">
        <f>""</f>
        <v/>
      </c>
      <c r="BY128" t="str">
        <f>""</f>
        <v/>
      </c>
      <c r="BZ128" t="str">
        <f>""</f>
        <v/>
      </c>
      <c r="CA128">
        <f>116167</f>
        <v>116167</v>
      </c>
      <c r="CB128">
        <f>128630</f>
        <v>128630</v>
      </c>
      <c r="CC128">
        <f>125866</f>
        <v>125866</v>
      </c>
      <c r="CD128">
        <f>140667</f>
        <v>140667</v>
      </c>
      <c r="CE128">
        <f>128354</f>
        <v>128354</v>
      </c>
      <c r="CF128">
        <f>129240</f>
        <v>129240</v>
      </c>
      <c r="CG128">
        <f>113030</f>
        <v>113030</v>
      </c>
      <c r="CH128">
        <f>127070</f>
        <v>127070</v>
      </c>
      <c r="CI128">
        <f>114667</f>
        <v>114667</v>
      </c>
      <c r="CJ128">
        <f>132654</f>
        <v>132654</v>
      </c>
      <c r="CK128">
        <f>121495</f>
        <v>121495</v>
      </c>
      <c r="CL128">
        <f>144014</f>
        <v>144014</v>
      </c>
      <c r="CM128">
        <f>141585</f>
        <v>141585</v>
      </c>
      <c r="CN128">
        <f>126156</f>
        <v>126156</v>
      </c>
      <c r="CO128">
        <f>122088</f>
        <v>122088</v>
      </c>
      <c r="CP128">
        <f>119990</f>
        <v>119990</v>
      </c>
      <c r="CQ128">
        <f>77850</f>
        <v>77850</v>
      </c>
      <c r="CR128">
        <f>105842</f>
        <v>105842</v>
      </c>
      <c r="CS128">
        <f>76995</f>
        <v>76995</v>
      </c>
      <c r="CT128">
        <f>97814</f>
        <v>97814</v>
      </c>
      <c r="CU128">
        <f>105501</f>
        <v>105501</v>
      </c>
      <c r="CV128">
        <f>99733</f>
        <v>99733</v>
      </c>
      <c r="CW128">
        <f>104278</f>
        <v>104278</v>
      </c>
      <c r="CX128">
        <f>94846</f>
        <v>94846</v>
      </c>
      <c r="CY128">
        <f>83934</f>
        <v>83934</v>
      </c>
      <c r="CZ128">
        <f>65737</f>
        <v>65737</v>
      </c>
      <c r="DA128">
        <f>43928</f>
        <v>43928</v>
      </c>
      <c r="DB128">
        <f>54096</f>
        <v>54096</v>
      </c>
      <c r="DC128">
        <f>103904</f>
        <v>103904</v>
      </c>
      <c r="DD128">
        <f>125419</f>
        <v>125419</v>
      </c>
      <c r="DE128">
        <f>117248</f>
        <v>117248</v>
      </c>
      <c r="DF128">
        <f>177855</f>
        <v>177855</v>
      </c>
      <c r="DG128">
        <f>109619</f>
        <v>109619</v>
      </c>
      <c r="DH128">
        <f>117421</f>
        <v>117421</v>
      </c>
      <c r="DI128">
        <f>104063</f>
        <v>104063</v>
      </c>
      <c r="DJ128">
        <f>129091</f>
        <v>129091</v>
      </c>
      <c r="DK128">
        <f>117197</f>
        <v>117197</v>
      </c>
      <c r="DL128">
        <f>111401</f>
        <v>111401</v>
      </c>
      <c r="DM128">
        <f>110612</f>
        <v>110612</v>
      </c>
      <c r="DN128">
        <f>119220</f>
        <v>119220</v>
      </c>
      <c r="DO128" t="str">
        <f>""</f>
        <v/>
      </c>
      <c r="DP128" t="str">
        <f>""</f>
        <v/>
      </c>
      <c r="DQ128" t="str">
        <f>""</f>
        <v/>
      </c>
      <c r="DR128" t="str">
        <f>""</f>
        <v/>
      </c>
      <c r="DS128" t="str">
        <f>""</f>
        <v/>
      </c>
      <c r="DT128" t="str">
        <f>""</f>
        <v/>
      </c>
      <c r="DU128" t="str">
        <f>""</f>
        <v/>
      </c>
    </row>
    <row r="129" spans="1:125" x14ac:dyDescent="0.25">
      <c r="A129" t="str">
        <f>"    Great Wall Motor Co Ltd"</f>
        <v xml:space="preserve">    Great Wall Motor Co Ltd</v>
      </c>
      <c r="B129" t="str">
        <f>"2333 HK Equity"</f>
        <v>2333 HK Equity</v>
      </c>
      <c r="C129" t="str">
        <f t="shared" ref="C129:C138" si="38">"FS265"</f>
        <v>FS265</v>
      </c>
      <c r="D129" t="str">
        <f t="shared" ref="D129:D138" si="39">"AUTO_VEHICLES_SOLD_WW"</f>
        <v>AUTO_VEHICLES_SOLD_WW</v>
      </c>
      <c r="E129" t="str">
        <f t="shared" ref="E129:E138" si="40">"Dynamic"</f>
        <v>Dynamic</v>
      </c>
      <c r="F129" t="str">
        <f ca="1">IF(AND(ISNUMBER($F$251),$B$156=1),$F$251,HLOOKUP(INDIRECT(ADDRESS(2,COLUMN())),OFFSET($BN$2,0,0,ROW()-1,60),ROW()-1,FALSE))</f>
        <v/>
      </c>
      <c r="G129" t="str">
        <f ca="1">IF(AND(ISNUMBER($G$251),$B$156=1),$G$251,HLOOKUP(INDIRECT(ADDRESS(2,COLUMN())),OFFSET($BN$2,0,0,ROW()-1,60),ROW()-1,FALSE))</f>
        <v/>
      </c>
      <c r="H129" t="str">
        <f ca="1">IF(AND(ISNUMBER($H$251),$B$156=1),$H$251,HLOOKUP(INDIRECT(ADDRESS(2,COLUMN())),OFFSET($BN$2,0,0,ROW()-1,60),ROW()-1,FALSE))</f>
        <v/>
      </c>
      <c r="I129" t="str">
        <f ca="1">IF(AND(ISNUMBER($I$251),$B$156=1),$I$251,HLOOKUP(INDIRECT(ADDRESS(2,COLUMN())),OFFSET($BN$2,0,0,ROW()-1,60),ROW()-1,FALSE))</f>
        <v/>
      </c>
      <c r="J129" t="str">
        <f ca="1">IF(AND(ISNUMBER($J$251),$B$156=1),$J$251,HLOOKUP(INDIRECT(ADDRESS(2,COLUMN())),OFFSET($BN$2,0,0,ROW()-1,60),ROW()-1,FALSE))</f>
        <v/>
      </c>
      <c r="K129" t="str">
        <f ca="1">IF(AND(ISNUMBER($K$251),$B$156=1),$K$251,HLOOKUP(INDIRECT(ADDRESS(2,COLUMN())),OFFSET($BN$2,0,0,ROW()-1,60),ROW()-1,FALSE))</f>
        <v/>
      </c>
      <c r="L129" t="str">
        <f ca="1">IF(AND(ISNUMBER($L$251),$B$156=1),$L$251,HLOOKUP(INDIRECT(ADDRESS(2,COLUMN())),OFFSET($BN$2,0,0,ROW()-1,60),ROW()-1,FALSE))</f>
        <v/>
      </c>
      <c r="M129" t="str">
        <f ca="1">IF(AND(ISNUMBER($M$251),$B$156=1),$M$251,HLOOKUP(INDIRECT(ADDRESS(2,COLUMN())),OFFSET($BN$2,0,0,ROW()-1,60),ROW()-1,FALSE))</f>
        <v/>
      </c>
      <c r="N129" t="str">
        <f ca="1">IF(AND(ISNUMBER($N$251),$B$156=1),$N$251,HLOOKUP(INDIRECT(ADDRESS(2,COLUMN())),OFFSET($BN$2,0,0,ROW()-1,60),ROW()-1,FALSE))</f>
        <v/>
      </c>
      <c r="O129" t="str">
        <f ca="1">IF(AND(ISNUMBER($O$251),$B$156=1),$O$251,HLOOKUP(INDIRECT(ADDRESS(2,COLUMN())),OFFSET($BN$2,0,0,ROW()-1,60),ROW()-1,FALSE))</f>
        <v/>
      </c>
      <c r="P129" t="str">
        <f ca="1">IF(AND(ISNUMBER($P$251),$B$156=1),$P$251,HLOOKUP(INDIRECT(ADDRESS(2,COLUMN())),OFFSET($BN$2,0,0,ROW()-1,60),ROW()-1,FALSE))</f>
        <v/>
      </c>
      <c r="Q129" t="str">
        <f ca="1">IF(AND(ISNUMBER($Q$251),$B$156=1),$Q$251,HLOOKUP(INDIRECT(ADDRESS(2,COLUMN())),OFFSET($BN$2,0,0,ROW()-1,60),ROW()-1,FALSE))</f>
        <v/>
      </c>
      <c r="R129" t="str">
        <f ca="1">IF(AND(ISNUMBER($R$251),$B$156=1),$R$251,HLOOKUP(INDIRECT(ADDRESS(2,COLUMN())),OFFSET($BN$2,0,0,ROW()-1,60),ROW()-1,FALSE))</f>
        <v/>
      </c>
      <c r="S129">
        <f ca="1">IF(AND(ISNUMBER($S$251),$B$156=1),$S$251,HLOOKUP(INDIRECT(ADDRESS(2,COLUMN())),OFFSET($BN$2,0,0,ROW()-1,60),ROW()-1,FALSE))</f>
        <v>266038</v>
      </c>
      <c r="T129">
        <f ca="1">IF(AND(ISNUMBER($T$251),$B$156=1),$T$251,HLOOKUP(INDIRECT(ADDRESS(2,COLUMN())),OFFSET($BN$2,0,0,ROW()-1,60),ROW()-1,FALSE))</f>
        <v>171316</v>
      </c>
      <c r="U129">
        <f ca="1">IF(AND(ISNUMBER($U$251),$B$156=1),$U$251,HLOOKUP(INDIRECT(ADDRESS(2,COLUMN())),OFFSET($BN$2,0,0,ROW()-1,60),ROW()-1,FALSE))</f>
        <v>194486</v>
      </c>
      <c r="V129">
        <f ca="1">IF(AND(ISNUMBER($V$251),$B$156=1),$V$251,HLOOKUP(INDIRECT(ADDRESS(2,COLUMN())),OFFSET($BN$2,0,0,ROW()-1,60),ROW()-1,FALSE))</f>
        <v>220853</v>
      </c>
      <c r="W129">
        <f ca="1">IF(AND(ISNUMBER($W$251),$B$156=1),$W$251,HLOOKUP(INDIRECT(ADDRESS(2,COLUMN())),OFFSET($BN$2,0,0,ROW()-1,60),ROW()-1,FALSE))</f>
        <v>222262</v>
      </c>
      <c r="X129">
        <f ca="1">IF(AND(ISNUMBER($X$251),$B$156=1),$X$251,HLOOKUP(INDIRECT(ADDRESS(2,COLUMN())),OFFSET($BN$2,0,0,ROW()-1,60),ROW()-1,FALSE))</f>
        <v>161106</v>
      </c>
      <c r="Y129">
        <f ca="1">IF(AND(ISNUMBER($Y$251),$B$156=1),$Y$251,HLOOKUP(INDIRECT(ADDRESS(2,COLUMN())),OFFSET($BN$2,0,0,ROW()-1,60),ROW()-1,FALSE))</f>
        <v>159643</v>
      </c>
      <c r="Z129">
        <f ca="1">IF(AND(ISNUMBER($Z$251),$B$156=1),$Z$251,HLOOKUP(INDIRECT(ADDRESS(2,COLUMN())),OFFSET($BN$2,0,0,ROW()-1,60),ROW()-1,FALSE))</f>
        <v>187761</v>
      </c>
      <c r="AA129">
        <f ca="1">IF(AND(ISNUMBER($AA$251),$B$156=1),$AA$251,HLOOKUP(INDIRECT(ADDRESS(2,COLUMN())),OFFSET($BN$2,0,0,ROW()-1,60),ROW()-1,FALSE))</f>
        <v>199055</v>
      </c>
      <c r="AB129" t="str">
        <f ca="1">IF(AND(ISNUMBER($AB$251),$B$156=1),$AB$251,HLOOKUP(INDIRECT(ADDRESS(2,COLUMN())),OFFSET($BN$2,0,0,ROW()-1,60),ROW()-1,FALSE))</f>
        <v/>
      </c>
      <c r="AC129" t="str">
        <f ca="1">IF(AND(ISNUMBER($AC$251),$B$156=1),$AC$251,HLOOKUP(INDIRECT(ADDRESS(2,COLUMN())),OFFSET($BN$2,0,0,ROW()-1,60),ROW()-1,FALSE))</f>
        <v/>
      </c>
      <c r="AD129" t="str">
        <f ca="1">IF(AND(ISNUMBER($AD$251),$B$156=1),$AD$251,HLOOKUP(INDIRECT(ADDRESS(2,COLUMN())),OFFSET($BN$2,0,0,ROW()-1,60),ROW()-1,FALSE))</f>
        <v/>
      </c>
      <c r="AE129" t="str">
        <f ca="1">IF(AND(ISNUMBER($AE$251),$B$156=1),$AE$251,HLOOKUP(INDIRECT(ADDRESS(2,COLUMN())),OFFSET($BN$2,0,0,ROW()-1,60),ROW()-1,FALSE))</f>
        <v/>
      </c>
      <c r="AF129" t="str">
        <f ca="1">IF(AND(ISNUMBER($AF$251),$B$156=1),$AF$251,HLOOKUP(INDIRECT(ADDRESS(2,COLUMN())),OFFSET($BN$2,0,0,ROW()-1,60),ROW()-1,FALSE))</f>
        <v/>
      </c>
      <c r="AG129" t="str">
        <f ca="1">IF(AND(ISNUMBER($AG$251),$B$156=1),$AG$251,HLOOKUP(INDIRECT(ADDRESS(2,COLUMN())),OFFSET($BN$2,0,0,ROW()-1,60),ROW()-1,FALSE))</f>
        <v/>
      </c>
      <c r="AH129" t="str">
        <f ca="1">IF(AND(ISNUMBER($AH$251),$B$156=1),$AH$251,HLOOKUP(INDIRECT(ADDRESS(2,COLUMN())),OFFSET($BN$2,0,0,ROW()-1,60),ROW()-1,FALSE))</f>
        <v/>
      </c>
      <c r="AI129" t="str">
        <f ca="1">IF(AND(ISNUMBER($AI$251),$B$156=1),$AI$251,HLOOKUP(INDIRECT(ADDRESS(2,COLUMN())),OFFSET($BN$2,0,0,ROW()-1,60),ROW()-1,FALSE))</f>
        <v/>
      </c>
      <c r="AJ129" t="str">
        <f ca="1">IF(AND(ISNUMBER($AJ$251),$B$156=1),$AJ$251,HLOOKUP(INDIRECT(ADDRESS(2,COLUMN())),OFFSET($BN$2,0,0,ROW()-1,60),ROW()-1,FALSE))</f>
        <v/>
      </c>
      <c r="AK129" t="str">
        <f ca="1">IF(AND(ISNUMBER($AK$251),$B$156=1),$AK$251,HLOOKUP(INDIRECT(ADDRESS(2,COLUMN())),OFFSET($BN$2,0,0,ROW()-1,60),ROW()-1,FALSE))</f>
        <v/>
      </c>
      <c r="AL129" t="str">
        <f ca="1">IF(AND(ISNUMBER($AL$251),$B$156=1),$AL$251,HLOOKUP(INDIRECT(ADDRESS(2,COLUMN())),OFFSET($BN$2,0,0,ROW()-1,60),ROW()-1,FALSE))</f>
        <v/>
      </c>
      <c r="AM129" t="str">
        <f ca="1">IF(AND(ISNUMBER($AM$251),$B$156=1),$AM$251,HLOOKUP(INDIRECT(ADDRESS(2,COLUMN())),OFFSET($BN$2,0,0,ROW()-1,60),ROW()-1,FALSE))</f>
        <v/>
      </c>
      <c r="AN129" t="str">
        <f ca="1">IF(AND(ISNUMBER($AN$251),$B$156=1),$AN$251,HLOOKUP(INDIRECT(ADDRESS(2,COLUMN())),OFFSET($BN$2,0,0,ROW()-1,60),ROW()-1,FALSE))</f>
        <v/>
      </c>
      <c r="AO129" t="str">
        <f ca="1">IF(AND(ISNUMBER($AO$251),$B$156=1),$AO$251,HLOOKUP(INDIRECT(ADDRESS(2,COLUMN())),OFFSET($BN$2,0,0,ROW()-1,60),ROW()-1,FALSE))</f>
        <v/>
      </c>
      <c r="AP129" t="str">
        <f ca="1">IF(AND(ISNUMBER($AP$251),$B$156=1),$AP$251,HLOOKUP(INDIRECT(ADDRESS(2,COLUMN())),OFFSET($BN$2,0,0,ROW()-1,60),ROW()-1,FALSE))</f>
        <v/>
      </c>
      <c r="AQ129" t="str">
        <f ca="1">IF(AND(ISNUMBER($AQ$251),$B$156=1),$AQ$251,HLOOKUP(INDIRECT(ADDRESS(2,COLUMN())),OFFSET($BN$2,0,0,ROW()-1,60),ROW()-1,FALSE))</f>
        <v/>
      </c>
      <c r="AR129" t="str">
        <f ca="1">IF(AND(ISNUMBER($AR$251),$B$156=1),$AR$251,HLOOKUP(INDIRECT(ADDRESS(2,COLUMN())),OFFSET($BN$2,0,0,ROW()-1,60),ROW()-1,FALSE))</f>
        <v/>
      </c>
      <c r="AS129" t="str">
        <f ca="1">IF(AND(ISNUMBER($AS$251),$B$156=1),$AS$251,HLOOKUP(INDIRECT(ADDRESS(2,COLUMN())),OFFSET($BN$2,0,0,ROW()-1,60),ROW()-1,FALSE))</f>
        <v/>
      </c>
      <c r="AT129" t="str">
        <f ca="1">IF(AND(ISNUMBER($AT$251),$B$156=1),$AT$251,HLOOKUP(INDIRECT(ADDRESS(2,COLUMN())),OFFSET($BN$2,0,0,ROW()-1,60),ROW()-1,FALSE))</f>
        <v/>
      </c>
      <c r="AU129" t="str">
        <f ca="1">IF(AND(ISNUMBER($AU$251),$B$156=1),$AU$251,HLOOKUP(INDIRECT(ADDRESS(2,COLUMN())),OFFSET($BN$2,0,0,ROW()-1,60),ROW()-1,FALSE))</f>
        <v/>
      </c>
      <c r="AV129" t="str">
        <f ca="1">IF(AND(ISNUMBER($AV$251),$B$156=1),$AV$251,HLOOKUP(INDIRECT(ADDRESS(2,COLUMN())),OFFSET($BN$2,0,0,ROW()-1,60),ROW()-1,FALSE))</f>
        <v/>
      </c>
      <c r="AW129" t="str">
        <f ca="1">IF(AND(ISNUMBER($AW$251),$B$156=1),$AW$251,HLOOKUP(INDIRECT(ADDRESS(2,COLUMN())),OFFSET($BN$2,0,0,ROW()-1,60),ROW()-1,FALSE))</f>
        <v/>
      </c>
      <c r="AX129" t="str">
        <f ca="1">IF(AND(ISNUMBER($AX$251),$B$156=1),$AX$251,HLOOKUP(INDIRECT(ADDRESS(2,COLUMN())),OFFSET($BN$2,0,0,ROW()-1,60),ROW()-1,FALSE))</f>
        <v/>
      </c>
      <c r="AY129" t="str">
        <f ca="1">IF(AND(ISNUMBER($AY$251),$B$156=1),$AY$251,HLOOKUP(INDIRECT(ADDRESS(2,COLUMN())),OFFSET($BN$2,0,0,ROW()-1,60),ROW()-1,FALSE))</f>
        <v/>
      </c>
      <c r="AZ129" t="str">
        <f ca="1">IF(AND(ISNUMBER($AZ$251),$B$156=1),$AZ$251,HLOOKUP(INDIRECT(ADDRESS(2,COLUMN())),OFFSET($BN$2,0,0,ROW()-1,60),ROW()-1,FALSE))</f>
        <v/>
      </c>
      <c r="BA129" t="str">
        <f ca="1">IF(AND(ISNUMBER($BA$251),$B$156=1),$BA$251,HLOOKUP(INDIRECT(ADDRESS(2,COLUMN())),OFFSET($BN$2,0,0,ROW()-1,60),ROW()-1,FALSE))</f>
        <v/>
      </c>
      <c r="BB129" t="str">
        <f ca="1">IF(AND(ISNUMBER($BB$251),$B$156=1),$BB$251,HLOOKUP(INDIRECT(ADDRESS(2,COLUMN())),OFFSET($BN$2,0,0,ROW()-1,60),ROW()-1,FALSE))</f>
        <v/>
      </c>
      <c r="BC129" t="str">
        <f ca="1">IF(AND(ISNUMBER($BC$251),$B$156=1),$BC$251,HLOOKUP(INDIRECT(ADDRESS(2,COLUMN())),OFFSET($BN$2,0,0,ROW()-1,60),ROW()-1,FALSE))</f>
        <v/>
      </c>
      <c r="BD129" t="str">
        <f ca="1">IF(AND(ISNUMBER($BD$251),$B$156=1),$BD$251,HLOOKUP(INDIRECT(ADDRESS(2,COLUMN())),OFFSET($BN$2,0,0,ROW()-1,60),ROW()-1,FALSE))</f>
        <v/>
      </c>
      <c r="BE129" t="str">
        <f ca="1">IF(AND(ISNUMBER($BE$251),$B$156=1),$BE$251,HLOOKUP(INDIRECT(ADDRESS(2,COLUMN())),OFFSET($BN$2,0,0,ROW()-1,60),ROW()-1,FALSE))</f>
        <v/>
      </c>
      <c r="BF129" t="str">
        <f ca="1">IF(AND(ISNUMBER($BF$251),$B$156=1),$BF$251,HLOOKUP(INDIRECT(ADDRESS(2,COLUMN())),OFFSET($BN$2,0,0,ROW()-1,60),ROW()-1,FALSE))</f>
        <v/>
      </c>
      <c r="BG129" t="str">
        <f ca="1">IF(AND(ISNUMBER($BG$251),$B$156=1),$BG$251,HLOOKUP(INDIRECT(ADDRESS(2,COLUMN())),OFFSET($BN$2,0,0,ROW()-1,60),ROW()-1,FALSE))</f>
        <v/>
      </c>
      <c r="BH129" t="str">
        <f ca="1">IF(AND(ISNUMBER($BH$251),$B$156=1),$BH$251,HLOOKUP(INDIRECT(ADDRESS(2,COLUMN())),OFFSET($BN$2,0,0,ROW()-1,60),ROW()-1,FALSE))</f>
        <v/>
      </c>
      <c r="BI129" t="str">
        <f ca="1">IF(AND(ISNUMBER($BI$251),$B$156=1),$BI$251,HLOOKUP(INDIRECT(ADDRESS(2,COLUMN())),OFFSET($BN$2,0,0,ROW()-1,60),ROW()-1,FALSE))</f>
        <v/>
      </c>
      <c r="BJ129" t="str">
        <f ca="1">IF(AND(ISNUMBER($BJ$251),$B$156=1),$BJ$251,HLOOKUP(INDIRECT(ADDRESS(2,COLUMN())),OFFSET($BN$2,0,0,ROW()-1,60),ROW()-1,FALSE))</f>
        <v/>
      </c>
      <c r="BK129" t="str">
        <f ca="1">IF(AND(ISNUMBER($BK$251),$B$156=1),$BK$251,HLOOKUP(INDIRECT(ADDRESS(2,COLUMN())),OFFSET($BN$2,0,0,ROW()-1,60),ROW()-1,FALSE))</f>
        <v/>
      </c>
      <c r="BL129" t="str">
        <f ca="1">IF(AND(ISNUMBER($BL$251),$B$156=1),$BL$251,HLOOKUP(INDIRECT(ADDRESS(2,COLUMN())),OFFSET($BN$2,0,0,ROW()-1,60),ROW()-1,FALSE))</f>
        <v/>
      </c>
      <c r="BM129" t="str">
        <f ca="1">IF(AND(ISNUMBER($BM$251),$B$156=1),$BM$251,HLOOKUP(INDIRECT(ADDRESS(2,COLUMN())),OFFSET($BN$2,0,0,ROW()-1,60),ROW()-1,FALSE))</f>
        <v/>
      </c>
      <c r="BN129" t="str">
        <f>""</f>
        <v/>
      </c>
      <c r="BO129" t="str">
        <f>""</f>
        <v/>
      </c>
      <c r="BP129" t="str">
        <f>""</f>
        <v/>
      </c>
      <c r="BQ129" t="str">
        <f>""</f>
        <v/>
      </c>
      <c r="BR129" t="str">
        <f>""</f>
        <v/>
      </c>
      <c r="BS129" t="str">
        <f>""</f>
        <v/>
      </c>
      <c r="BT129" t="str">
        <f>""</f>
        <v/>
      </c>
      <c r="BU129" t="str">
        <f>""</f>
        <v/>
      </c>
      <c r="BV129" t="str">
        <f>""</f>
        <v/>
      </c>
      <c r="BW129" t="str">
        <f>""</f>
        <v/>
      </c>
      <c r="BX129" t="str">
        <f>""</f>
        <v/>
      </c>
      <c r="BY129" t="str">
        <f>""</f>
        <v/>
      </c>
      <c r="BZ129" t="str">
        <f>""</f>
        <v/>
      </c>
      <c r="CA129">
        <f>266038</f>
        <v>266038</v>
      </c>
      <c r="CB129">
        <f>171316</f>
        <v>171316</v>
      </c>
      <c r="CC129">
        <f>194486</f>
        <v>194486</v>
      </c>
      <c r="CD129">
        <f>220853</f>
        <v>220853</v>
      </c>
      <c r="CE129">
        <f>222262</f>
        <v>222262</v>
      </c>
      <c r="CF129">
        <f>161106</f>
        <v>161106</v>
      </c>
      <c r="CG129">
        <f>159643</f>
        <v>159643</v>
      </c>
      <c r="CH129">
        <f>187761</f>
        <v>187761</v>
      </c>
      <c r="CI129">
        <f>199055</f>
        <v>199055</v>
      </c>
      <c r="CJ129" t="str">
        <f>""</f>
        <v/>
      </c>
      <c r="CK129" t="str">
        <f>""</f>
        <v/>
      </c>
      <c r="CL129" t="str">
        <f>""</f>
        <v/>
      </c>
      <c r="CM129" t="str">
        <f>""</f>
        <v/>
      </c>
      <c r="CN129" t="str">
        <f>""</f>
        <v/>
      </c>
      <c r="CO129" t="str">
        <f>""</f>
        <v/>
      </c>
      <c r="CP129" t="str">
        <f>""</f>
        <v/>
      </c>
      <c r="CQ129" t="str">
        <f>""</f>
        <v/>
      </c>
      <c r="CR129" t="str">
        <f>""</f>
        <v/>
      </c>
      <c r="CS129" t="str">
        <f>""</f>
        <v/>
      </c>
      <c r="CT129" t="str">
        <f>""</f>
        <v/>
      </c>
      <c r="CU129" t="str">
        <f>""</f>
        <v/>
      </c>
      <c r="CV129" t="str">
        <f>""</f>
        <v/>
      </c>
      <c r="CW129" t="str">
        <f>""</f>
        <v/>
      </c>
      <c r="CX129" t="str">
        <f>""</f>
        <v/>
      </c>
      <c r="CY129" t="str">
        <f>""</f>
        <v/>
      </c>
      <c r="CZ129" t="str">
        <f>""</f>
        <v/>
      </c>
      <c r="DA129" t="str">
        <f>""</f>
        <v/>
      </c>
      <c r="DB129" t="str">
        <f>""</f>
        <v/>
      </c>
      <c r="DC129" t="str">
        <f>""</f>
        <v/>
      </c>
      <c r="DD129" t="str">
        <f>""</f>
        <v/>
      </c>
      <c r="DE129" t="str">
        <f>""</f>
        <v/>
      </c>
      <c r="DF129" t="str">
        <f>""</f>
        <v/>
      </c>
      <c r="DG129" t="str">
        <f>""</f>
        <v/>
      </c>
      <c r="DH129" t="str">
        <f>""</f>
        <v/>
      </c>
      <c r="DI129" t="str">
        <f>""</f>
        <v/>
      </c>
      <c r="DJ129" t="str">
        <f>""</f>
        <v/>
      </c>
      <c r="DK129" t="str">
        <f>""</f>
        <v/>
      </c>
      <c r="DL129" t="str">
        <f>""</f>
        <v/>
      </c>
      <c r="DM129" t="str">
        <f>""</f>
        <v/>
      </c>
      <c r="DN129" t="str">
        <f>""</f>
        <v/>
      </c>
      <c r="DO129" t="str">
        <f>""</f>
        <v/>
      </c>
      <c r="DP129" t="str">
        <f>""</f>
        <v/>
      </c>
      <c r="DQ129" t="str">
        <f>""</f>
        <v/>
      </c>
      <c r="DR129" t="str">
        <f>""</f>
        <v/>
      </c>
      <c r="DS129" t="str">
        <f>""</f>
        <v/>
      </c>
      <c r="DT129" t="str">
        <f>""</f>
        <v/>
      </c>
      <c r="DU129" t="str">
        <f>""</f>
        <v/>
      </c>
    </row>
    <row r="130" spans="1:125" x14ac:dyDescent="0.25">
      <c r="A130" t="str">
        <f>"    Tianjin Faw Xiali Automobile Co Ltd"</f>
        <v xml:space="preserve">    Tianjin Faw Xiali Automobile Co Ltd</v>
      </c>
      <c r="B130" t="str">
        <f>"000927 CH Equity"</f>
        <v>000927 CH Equity</v>
      </c>
      <c r="C130" t="str">
        <f t="shared" si="38"/>
        <v>FS265</v>
      </c>
      <c r="D130" t="str">
        <f t="shared" si="39"/>
        <v>AUTO_VEHICLES_SOLD_WW</v>
      </c>
      <c r="E130" t="str">
        <f t="shared" si="40"/>
        <v>Dynamic</v>
      </c>
      <c r="F130" t="str">
        <f ca="1">IF(AND(ISNUMBER($F$252),$B$156=1),$F$252,HLOOKUP(INDIRECT(ADDRESS(2,COLUMN())),OFFSET($BN$2,0,0,ROW()-1,60),ROW()-1,FALSE))</f>
        <v/>
      </c>
      <c r="G130" t="str">
        <f ca="1">IF(AND(ISNUMBER($G$252),$B$156=1),$G$252,HLOOKUP(INDIRECT(ADDRESS(2,COLUMN())),OFFSET($BN$2,0,0,ROW()-1,60),ROW()-1,FALSE))</f>
        <v/>
      </c>
      <c r="H130">
        <f ca="1">IF(AND(ISNUMBER($H$252),$B$156=1),$H$252,HLOOKUP(INDIRECT(ADDRESS(2,COLUMN())),OFFSET($BN$2,0,0,ROW()-1,60),ROW()-1,FALSE))</f>
        <v>3322</v>
      </c>
      <c r="I130" t="str">
        <f ca="1">IF(AND(ISNUMBER($I$252),$B$156=1),$I$252,HLOOKUP(INDIRECT(ADDRESS(2,COLUMN())),OFFSET($BN$2,0,0,ROW()-1,60),ROW()-1,FALSE))</f>
        <v/>
      </c>
      <c r="J130" t="str">
        <f ca="1">IF(AND(ISNUMBER($J$252),$B$156=1),$J$252,HLOOKUP(INDIRECT(ADDRESS(2,COLUMN())),OFFSET($BN$2,0,0,ROW()-1,60),ROW()-1,FALSE))</f>
        <v/>
      </c>
      <c r="K130">
        <f ca="1">IF(AND(ISNUMBER($K$252),$B$156=1),$K$252,HLOOKUP(INDIRECT(ADDRESS(2,COLUMN())),OFFSET($BN$2,0,0,ROW()-1,60),ROW()-1,FALSE))</f>
        <v>8463</v>
      </c>
      <c r="L130">
        <f ca="1">IF(AND(ISNUMBER($L$252),$B$156=1),$L$252,HLOOKUP(INDIRECT(ADDRESS(2,COLUMN())),OFFSET($BN$2,0,0,ROW()-1,60),ROW()-1,FALSE))</f>
        <v>7073</v>
      </c>
      <c r="M130" t="str">
        <f ca="1">IF(AND(ISNUMBER($M$252),$B$156=1),$M$252,HLOOKUP(INDIRECT(ADDRESS(2,COLUMN())),OFFSET($BN$2,0,0,ROW()-1,60),ROW()-1,FALSE))</f>
        <v/>
      </c>
      <c r="N130" t="str">
        <f ca="1">IF(AND(ISNUMBER($N$252),$B$156=1),$N$252,HLOOKUP(INDIRECT(ADDRESS(2,COLUMN())),OFFSET($BN$2,0,0,ROW()-1,60),ROW()-1,FALSE))</f>
        <v/>
      </c>
      <c r="O130" t="str">
        <f ca="1">IF(AND(ISNUMBER($O$252),$B$156=1),$O$252,HLOOKUP(INDIRECT(ADDRESS(2,COLUMN())),OFFSET($BN$2,0,0,ROW()-1,60),ROW()-1,FALSE))</f>
        <v/>
      </c>
      <c r="P130">
        <f ca="1">IF(AND(ISNUMBER($P$252),$B$156=1),$P$252,HLOOKUP(INDIRECT(ADDRESS(2,COLUMN())),OFFSET($BN$2,0,0,ROW()-1,60),ROW()-1,FALSE))</f>
        <v>7952</v>
      </c>
      <c r="Q130" t="str">
        <f ca="1">IF(AND(ISNUMBER($Q$252),$B$156=1),$Q$252,HLOOKUP(INDIRECT(ADDRESS(2,COLUMN())),OFFSET($BN$2,0,0,ROW()-1,60),ROW()-1,FALSE))</f>
        <v/>
      </c>
      <c r="R130" t="str">
        <f ca="1">IF(AND(ISNUMBER($R$252),$B$156=1),$R$252,HLOOKUP(INDIRECT(ADDRESS(2,COLUMN())),OFFSET($BN$2,0,0,ROW()-1,60),ROW()-1,FALSE))</f>
        <v/>
      </c>
      <c r="S130" t="str">
        <f ca="1">IF(AND(ISNUMBER($S$252),$B$156=1),$S$252,HLOOKUP(INDIRECT(ADDRESS(2,COLUMN())),OFFSET($BN$2,0,0,ROW()-1,60),ROW()-1,FALSE))</f>
        <v/>
      </c>
      <c r="T130" t="str">
        <f ca="1">IF(AND(ISNUMBER($T$252),$B$156=1),$T$252,HLOOKUP(INDIRECT(ADDRESS(2,COLUMN())),OFFSET($BN$2,0,0,ROW()-1,60),ROW()-1,FALSE))</f>
        <v/>
      </c>
      <c r="U130" t="str">
        <f ca="1">IF(AND(ISNUMBER($U$252),$B$156=1),$U$252,HLOOKUP(INDIRECT(ADDRESS(2,COLUMN())),OFFSET($BN$2,0,0,ROW()-1,60),ROW()-1,FALSE))</f>
        <v/>
      </c>
      <c r="V130" t="str">
        <f ca="1">IF(AND(ISNUMBER($V$252),$B$156=1),$V$252,HLOOKUP(INDIRECT(ADDRESS(2,COLUMN())),OFFSET($BN$2,0,0,ROW()-1,60),ROW()-1,FALSE))</f>
        <v/>
      </c>
      <c r="W130" t="str">
        <f ca="1">IF(AND(ISNUMBER($W$252),$B$156=1),$W$252,HLOOKUP(INDIRECT(ADDRESS(2,COLUMN())),OFFSET($BN$2,0,0,ROW()-1,60),ROW()-1,FALSE))</f>
        <v/>
      </c>
      <c r="X130" t="str">
        <f ca="1">IF(AND(ISNUMBER($X$252),$B$156=1),$X$252,HLOOKUP(INDIRECT(ADDRESS(2,COLUMN())),OFFSET($BN$2,0,0,ROW()-1,60),ROW()-1,FALSE))</f>
        <v/>
      </c>
      <c r="Y130" t="str">
        <f ca="1">IF(AND(ISNUMBER($Y$252),$B$156=1),$Y$252,HLOOKUP(INDIRECT(ADDRESS(2,COLUMN())),OFFSET($BN$2,0,0,ROW()-1,60),ROW()-1,FALSE))</f>
        <v/>
      </c>
      <c r="Z130" t="str">
        <f ca="1">IF(AND(ISNUMBER($Z$252),$B$156=1),$Z$252,HLOOKUP(INDIRECT(ADDRESS(2,COLUMN())),OFFSET($BN$2,0,0,ROW()-1,60),ROW()-1,FALSE))</f>
        <v/>
      </c>
      <c r="AA130" t="str">
        <f ca="1">IF(AND(ISNUMBER($AA$252),$B$156=1),$AA$252,HLOOKUP(INDIRECT(ADDRESS(2,COLUMN())),OFFSET($BN$2,0,0,ROW()-1,60),ROW()-1,FALSE))</f>
        <v/>
      </c>
      <c r="AB130" t="str">
        <f ca="1">IF(AND(ISNUMBER($AB$252),$B$156=1),$AB$252,HLOOKUP(INDIRECT(ADDRESS(2,COLUMN())),OFFSET($BN$2,0,0,ROW()-1,60),ROW()-1,FALSE))</f>
        <v/>
      </c>
      <c r="AC130" t="str">
        <f ca="1">IF(AND(ISNUMBER($AC$252),$B$156=1),$AC$252,HLOOKUP(INDIRECT(ADDRESS(2,COLUMN())),OFFSET($BN$2,0,0,ROW()-1,60),ROW()-1,FALSE))</f>
        <v/>
      </c>
      <c r="AD130" t="str">
        <f ca="1">IF(AND(ISNUMBER($AD$252),$B$156=1),$AD$252,HLOOKUP(INDIRECT(ADDRESS(2,COLUMN())),OFFSET($BN$2,0,0,ROW()-1,60),ROW()-1,FALSE))</f>
        <v/>
      </c>
      <c r="AE130" t="str">
        <f ca="1">IF(AND(ISNUMBER($AE$252),$B$156=1),$AE$252,HLOOKUP(INDIRECT(ADDRESS(2,COLUMN())),OFFSET($BN$2,0,0,ROW()-1,60),ROW()-1,FALSE))</f>
        <v/>
      </c>
      <c r="AF130" t="str">
        <f ca="1">IF(AND(ISNUMBER($AF$252),$B$156=1),$AF$252,HLOOKUP(INDIRECT(ADDRESS(2,COLUMN())),OFFSET($BN$2,0,0,ROW()-1,60),ROW()-1,FALSE))</f>
        <v/>
      </c>
      <c r="AG130" t="str">
        <f ca="1">IF(AND(ISNUMBER($AG$252),$B$156=1),$AG$252,HLOOKUP(INDIRECT(ADDRESS(2,COLUMN())),OFFSET($BN$2,0,0,ROW()-1,60),ROW()-1,FALSE))</f>
        <v/>
      </c>
      <c r="AH130" t="str">
        <f ca="1">IF(AND(ISNUMBER($AH$252),$B$156=1),$AH$252,HLOOKUP(INDIRECT(ADDRESS(2,COLUMN())),OFFSET($BN$2,0,0,ROW()-1,60),ROW()-1,FALSE))</f>
        <v/>
      </c>
      <c r="AI130" t="str">
        <f ca="1">IF(AND(ISNUMBER($AI$252),$B$156=1),$AI$252,HLOOKUP(INDIRECT(ADDRESS(2,COLUMN())),OFFSET($BN$2,0,0,ROW()-1,60),ROW()-1,FALSE))</f>
        <v/>
      </c>
      <c r="AJ130" t="str">
        <f ca="1">IF(AND(ISNUMBER($AJ$252),$B$156=1),$AJ$252,HLOOKUP(INDIRECT(ADDRESS(2,COLUMN())),OFFSET($BN$2,0,0,ROW()-1,60),ROW()-1,FALSE))</f>
        <v/>
      </c>
      <c r="AK130" t="str">
        <f ca="1">IF(AND(ISNUMBER($AK$252),$B$156=1),$AK$252,HLOOKUP(INDIRECT(ADDRESS(2,COLUMN())),OFFSET($BN$2,0,0,ROW()-1,60),ROW()-1,FALSE))</f>
        <v/>
      </c>
      <c r="AL130" t="str">
        <f ca="1">IF(AND(ISNUMBER($AL$252),$B$156=1),$AL$252,HLOOKUP(INDIRECT(ADDRESS(2,COLUMN())),OFFSET($BN$2,0,0,ROW()-1,60),ROW()-1,FALSE))</f>
        <v/>
      </c>
      <c r="AM130" t="str">
        <f ca="1">IF(AND(ISNUMBER($AM$252),$B$156=1),$AM$252,HLOOKUP(INDIRECT(ADDRESS(2,COLUMN())),OFFSET($BN$2,0,0,ROW()-1,60),ROW()-1,FALSE))</f>
        <v/>
      </c>
      <c r="AN130" t="str">
        <f ca="1">IF(AND(ISNUMBER($AN$252),$B$156=1),$AN$252,HLOOKUP(INDIRECT(ADDRESS(2,COLUMN())),OFFSET($BN$2,0,0,ROW()-1,60),ROW()-1,FALSE))</f>
        <v/>
      </c>
      <c r="AO130" t="str">
        <f ca="1">IF(AND(ISNUMBER($AO$252),$B$156=1),$AO$252,HLOOKUP(INDIRECT(ADDRESS(2,COLUMN())),OFFSET($BN$2,0,0,ROW()-1,60),ROW()-1,FALSE))</f>
        <v/>
      </c>
      <c r="AP130" t="str">
        <f ca="1">IF(AND(ISNUMBER($AP$252),$B$156=1),$AP$252,HLOOKUP(INDIRECT(ADDRESS(2,COLUMN())),OFFSET($BN$2,0,0,ROW()-1,60),ROW()-1,FALSE))</f>
        <v/>
      </c>
      <c r="AQ130" t="str">
        <f ca="1">IF(AND(ISNUMBER($AQ$252),$B$156=1),$AQ$252,HLOOKUP(INDIRECT(ADDRESS(2,COLUMN())),OFFSET($BN$2,0,0,ROW()-1,60),ROW()-1,FALSE))</f>
        <v/>
      </c>
      <c r="AR130" t="str">
        <f ca="1">IF(AND(ISNUMBER($AR$252),$B$156=1),$AR$252,HLOOKUP(INDIRECT(ADDRESS(2,COLUMN())),OFFSET($BN$2,0,0,ROW()-1,60),ROW()-1,FALSE))</f>
        <v/>
      </c>
      <c r="AS130" t="str">
        <f ca="1">IF(AND(ISNUMBER($AS$252),$B$156=1),$AS$252,HLOOKUP(INDIRECT(ADDRESS(2,COLUMN())),OFFSET($BN$2,0,0,ROW()-1,60),ROW()-1,FALSE))</f>
        <v/>
      </c>
      <c r="AT130" t="str">
        <f ca="1">IF(AND(ISNUMBER($AT$252),$B$156=1),$AT$252,HLOOKUP(INDIRECT(ADDRESS(2,COLUMN())),OFFSET($BN$2,0,0,ROW()-1,60),ROW()-1,FALSE))</f>
        <v/>
      </c>
      <c r="AU130" t="str">
        <f ca="1">IF(AND(ISNUMBER($AU$252),$B$156=1),$AU$252,HLOOKUP(INDIRECT(ADDRESS(2,COLUMN())),OFFSET($BN$2,0,0,ROW()-1,60),ROW()-1,FALSE))</f>
        <v/>
      </c>
      <c r="AV130" t="str">
        <f ca="1">IF(AND(ISNUMBER($AV$252),$B$156=1),$AV$252,HLOOKUP(INDIRECT(ADDRESS(2,COLUMN())),OFFSET($BN$2,0,0,ROW()-1,60),ROW()-1,FALSE))</f>
        <v/>
      </c>
      <c r="AW130" t="str">
        <f ca="1">IF(AND(ISNUMBER($AW$252),$B$156=1),$AW$252,HLOOKUP(INDIRECT(ADDRESS(2,COLUMN())),OFFSET($BN$2,0,0,ROW()-1,60),ROW()-1,FALSE))</f>
        <v/>
      </c>
      <c r="AX130" t="str">
        <f ca="1">IF(AND(ISNUMBER($AX$252),$B$156=1),$AX$252,HLOOKUP(INDIRECT(ADDRESS(2,COLUMN())),OFFSET($BN$2,0,0,ROW()-1,60),ROW()-1,FALSE))</f>
        <v/>
      </c>
      <c r="AY130" t="str">
        <f ca="1">IF(AND(ISNUMBER($AY$252),$B$156=1),$AY$252,HLOOKUP(INDIRECT(ADDRESS(2,COLUMN())),OFFSET($BN$2,0,0,ROW()-1,60),ROW()-1,FALSE))</f>
        <v/>
      </c>
      <c r="AZ130" t="str">
        <f ca="1">IF(AND(ISNUMBER($AZ$252),$B$156=1),$AZ$252,HLOOKUP(INDIRECT(ADDRESS(2,COLUMN())),OFFSET($BN$2,0,0,ROW()-1,60),ROW()-1,FALSE))</f>
        <v/>
      </c>
      <c r="BA130" t="str">
        <f ca="1">IF(AND(ISNUMBER($BA$252),$B$156=1),$BA$252,HLOOKUP(INDIRECT(ADDRESS(2,COLUMN())),OFFSET($BN$2,0,0,ROW()-1,60),ROW()-1,FALSE))</f>
        <v/>
      </c>
      <c r="BB130" t="str">
        <f ca="1">IF(AND(ISNUMBER($BB$252),$B$156=1),$BB$252,HLOOKUP(INDIRECT(ADDRESS(2,COLUMN())),OFFSET($BN$2,0,0,ROW()-1,60),ROW()-1,FALSE))</f>
        <v/>
      </c>
      <c r="BC130" t="str">
        <f ca="1">IF(AND(ISNUMBER($BC$252),$B$156=1),$BC$252,HLOOKUP(INDIRECT(ADDRESS(2,COLUMN())),OFFSET($BN$2,0,0,ROW()-1,60),ROW()-1,FALSE))</f>
        <v/>
      </c>
      <c r="BD130">
        <f ca="1">IF(AND(ISNUMBER($BD$252),$B$156=1),$BD$252,HLOOKUP(INDIRECT(ADDRESS(2,COLUMN())),OFFSET($BN$2,0,0,ROW()-1,60),ROW()-1,FALSE))</f>
        <v>146727</v>
      </c>
      <c r="BE130" t="str">
        <f ca="1">IF(AND(ISNUMBER($BE$252),$B$156=1),$BE$252,HLOOKUP(INDIRECT(ADDRESS(2,COLUMN())),OFFSET($BN$2,0,0,ROW()-1,60),ROW()-1,FALSE))</f>
        <v/>
      </c>
      <c r="BF130" t="str">
        <f ca="1">IF(AND(ISNUMBER($BF$252),$B$156=1),$BF$252,HLOOKUP(INDIRECT(ADDRESS(2,COLUMN())),OFFSET($BN$2,0,0,ROW()-1,60),ROW()-1,FALSE))</f>
        <v/>
      </c>
      <c r="BG130" t="str">
        <f ca="1">IF(AND(ISNUMBER($BG$252),$B$156=1),$BG$252,HLOOKUP(INDIRECT(ADDRESS(2,COLUMN())),OFFSET($BN$2,0,0,ROW()-1,60),ROW()-1,FALSE))</f>
        <v/>
      </c>
      <c r="BH130" t="str">
        <f ca="1">IF(AND(ISNUMBER($BH$252),$B$156=1),$BH$252,HLOOKUP(INDIRECT(ADDRESS(2,COLUMN())),OFFSET($BN$2,0,0,ROW()-1,60),ROW()-1,FALSE))</f>
        <v/>
      </c>
      <c r="BI130" t="str">
        <f ca="1">IF(AND(ISNUMBER($BI$252),$B$156=1),$BI$252,HLOOKUP(INDIRECT(ADDRESS(2,COLUMN())),OFFSET($BN$2,0,0,ROW()-1,60),ROW()-1,FALSE))</f>
        <v/>
      </c>
      <c r="BJ130" t="str">
        <f ca="1">IF(AND(ISNUMBER($BJ$252),$B$156=1),$BJ$252,HLOOKUP(INDIRECT(ADDRESS(2,COLUMN())),OFFSET($BN$2,0,0,ROW()-1,60),ROW()-1,FALSE))</f>
        <v/>
      </c>
      <c r="BK130" t="str">
        <f ca="1">IF(AND(ISNUMBER($BK$252),$B$156=1),$BK$252,HLOOKUP(INDIRECT(ADDRESS(2,COLUMN())),OFFSET($BN$2,0,0,ROW()-1,60),ROW()-1,FALSE))</f>
        <v/>
      </c>
      <c r="BL130" t="str">
        <f ca="1">IF(AND(ISNUMBER($BL$252),$B$156=1),$BL$252,HLOOKUP(INDIRECT(ADDRESS(2,COLUMN())),OFFSET($BN$2,0,0,ROW()-1,60),ROW()-1,FALSE))</f>
        <v/>
      </c>
      <c r="BM130" t="str">
        <f ca="1">IF(AND(ISNUMBER($BM$252),$B$156=1),$BM$252,HLOOKUP(INDIRECT(ADDRESS(2,COLUMN())),OFFSET($BN$2,0,0,ROW()-1,60),ROW()-1,FALSE))</f>
        <v/>
      </c>
      <c r="BN130" t="str">
        <f>""</f>
        <v/>
      </c>
      <c r="BO130" t="str">
        <f>""</f>
        <v/>
      </c>
      <c r="BP130">
        <f>3322</f>
        <v>3322</v>
      </c>
      <c r="BQ130" t="str">
        <f>""</f>
        <v/>
      </c>
      <c r="BR130" t="str">
        <f>""</f>
        <v/>
      </c>
      <c r="BS130">
        <f>8463</f>
        <v>8463</v>
      </c>
      <c r="BT130">
        <f>7073</f>
        <v>7073</v>
      </c>
      <c r="BU130" t="str">
        <f>""</f>
        <v/>
      </c>
      <c r="BV130" t="str">
        <f>""</f>
        <v/>
      </c>
      <c r="BW130" t="str">
        <f>""</f>
        <v/>
      </c>
      <c r="BX130">
        <f>7952</f>
        <v>7952</v>
      </c>
      <c r="BY130" t="str">
        <f>""</f>
        <v/>
      </c>
      <c r="BZ130" t="str">
        <f>""</f>
        <v/>
      </c>
      <c r="CA130" t="str">
        <f>""</f>
        <v/>
      </c>
      <c r="CB130" t="str">
        <f>""</f>
        <v/>
      </c>
      <c r="CC130" t="str">
        <f>""</f>
        <v/>
      </c>
      <c r="CD130" t="str">
        <f>""</f>
        <v/>
      </c>
      <c r="CE130" t="str">
        <f>""</f>
        <v/>
      </c>
      <c r="CF130" t="str">
        <f>""</f>
        <v/>
      </c>
      <c r="CG130" t="str">
        <f>""</f>
        <v/>
      </c>
      <c r="CH130" t="str">
        <f>""</f>
        <v/>
      </c>
      <c r="CI130" t="str">
        <f>""</f>
        <v/>
      </c>
      <c r="CJ130" t="str">
        <f>""</f>
        <v/>
      </c>
      <c r="CK130" t="str">
        <f>""</f>
        <v/>
      </c>
      <c r="CL130" t="str">
        <f>""</f>
        <v/>
      </c>
      <c r="CM130" t="str">
        <f>""</f>
        <v/>
      </c>
      <c r="CN130" t="str">
        <f>""</f>
        <v/>
      </c>
      <c r="CO130" t="str">
        <f>""</f>
        <v/>
      </c>
      <c r="CP130" t="str">
        <f>""</f>
        <v/>
      </c>
      <c r="CQ130" t="str">
        <f>""</f>
        <v/>
      </c>
      <c r="CR130" t="str">
        <f>""</f>
        <v/>
      </c>
      <c r="CS130" t="str">
        <f>""</f>
        <v/>
      </c>
      <c r="CT130" t="str">
        <f>""</f>
        <v/>
      </c>
      <c r="CU130" t="str">
        <f>""</f>
        <v/>
      </c>
      <c r="CV130" t="str">
        <f>""</f>
        <v/>
      </c>
      <c r="CW130" t="str">
        <f>""</f>
        <v/>
      </c>
      <c r="CX130" t="str">
        <f>""</f>
        <v/>
      </c>
      <c r="CY130" t="str">
        <f>""</f>
        <v/>
      </c>
      <c r="CZ130" t="str">
        <f>""</f>
        <v/>
      </c>
      <c r="DA130" t="str">
        <f>""</f>
        <v/>
      </c>
      <c r="DB130" t="str">
        <f>""</f>
        <v/>
      </c>
      <c r="DC130" t="str">
        <f>""</f>
        <v/>
      </c>
      <c r="DD130" t="str">
        <f>""</f>
        <v/>
      </c>
      <c r="DE130" t="str">
        <f>""</f>
        <v/>
      </c>
      <c r="DF130" t="str">
        <f>""</f>
        <v/>
      </c>
      <c r="DG130" t="str">
        <f>""</f>
        <v/>
      </c>
      <c r="DH130" t="str">
        <f>""</f>
        <v/>
      </c>
      <c r="DI130" t="str">
        <f>""</f>
        <v/>
      </c>
      <c r="DJ130" t="str">
        <f>""</f>
        <v/>
      </c>
      <c r="DK130" t="str">
        <f>""</f>
        <v/>
      </c>
      <c r="DL130">
        <f>146727</f>
        <v>146727</v>
      </c>
      <c r="DM130" t="str">
        <f>""</f>
        <v/>
      </c>
      <c r="DN130" t="str">
        <f>""</f>
        <v/>
      </c>
      <c r="DO130" t="str">
        <f>""</f>
        <v/>
      </c>
      <c r="DP130" t="str">
        <f>""</f>
        <v/>
      </c>
      <c r="DQ130" t="str">
        <f>""</f>
        <v/>
      </c>
      <c r="DR130" t="str">
        <f>""</f>
        <v/>
      </c>
      <c r="DS130" t="str">
        <f>""</f>
        <v/>
      </c>
      <c r="DT130" t="str">
        <f>""</f>
        <v/>
      </c>
      <c r="DU130" t="str">
        <f>""</f>
        <v/>
      </c>
    </row>
    <row r="131" spans="1:125" x14ac:dyDescent="0.25">
      <c r="A131" t="str">
        <f>"    Jiangling Motors Corp Ltd"</f>
        <v xml:space="preserve">    Jiangling Motors Corp Ltd</v>
      </c>
      <c r="B131" t="str">
        <f>"200550 CH Equity"</f>
        <v>200550 CH Equity</v>
      </c>
      <c r="C131" t="str">
        <f t="shared" si="38"/>
        <v>FS265</v>
      </c>
      <c r="D131" t="str">
        <f t="shared" si="39"/>
        <v>AUTO_VEHICLES_SOLD_WW</v>
      </c>
      <c r="E131" t="str">
        <f t="shared" si="40"/>
        <v>Dynamic</v>
      </c>
      <c r="F131" t="str">
        <f ca="1">IF(AND(ISNUMBER($F$253),$B$156=1),$F$253,HLOOKUP(INDIRECT(ADDRESS(2,COLUMN())),OFFSET($BN$2,0,0,ROW()-1,60),ROW()-1,FALSE))</f>
        <v/>
      </c>
      <c r="G131" t="str">
        <f ca="1">IF(AND(ISNUMBER($G$253),$B$156=1),$G$253,HLOOKUP(INDIRECT(ADDRESS(2,COLUMN())),OFFSET($BN$2,0,0,ROW()-1,60),ROW()-1,FALSE))</f>
        <v/>
      </c>
      <c r="H131">
        <f ca="1">IF(AND(ISNUMBER($H$253),$B$156=1),$H$253,HLOOKUP(INDIRECT(ADDRESS(2,COLUMN())),OFFSET($BN$2,0,0,ROW()-1,60),ROW()-1,FALSE))</f>
        <v>56667</v>
      </c>
      <c r="I131">
        <f ca="1">IF(AND(ISNUMBER($I$253),$B$156=1),$I$253,HLOOKUP(INDIRECT(ADDRESS(2,COLUMN())),OFFSET($BN$2,0,0,ROW()-1,60),ROW()-1,FALSE))</f>
        <v>80913</v>
      </c>
      <c r="J131">
        <f ca="1">IF(AND(ISNUMBER($J$253),$B$156=1),$J$253,HLOOKUP(INDIRECT(ADDRESS(2,COLUMN())),OFFSET($BN$2,0,0,ROW()-1,60),ROW()-1,FALSE))</f>
        <v>66441</v>
      </c>
      <c r="K131">
        <f ca="1">IF(AND(ISNUMBER($K$253),$B$156=1),$K$253,HLOOKUP(INDIRECT(ADDRESS(2,COLUMN())),OFFSET($BN$2,0,0,ROW()-1,60),ROW()-1,FALSE))</f>
        <v>88620</v>
      </c>
      <c r="L131">
        <f ca="1">IF(AND(ISNUMBER($L$253),$B$156=1),$L$253,HLOOKUP(INDIRECT(ADDRESS(2,COLUMN())),OFFSET($BN$2,0,0,ROW()-1,60),ROW()-1,FALSE))</f>
        <v>67652</v>
      </c>
      <c r="M131">
        <f ca="1">IF(AND(ISNUMBER($M$253),$B$156=1),$M$253,HLOOKUP(INDIRECT(ADDRESS(2,COLUMN())),OFFSET($BN$2,0,0,ROW()-1,60),ROW()-1,FALSE))</f>
        <v>74203</v>
      </c>
      <c r="N131">
        <f ca="1">IF(AND(ISNUMBER($N$253),$B$156=1),$N$253,HLOOKUP(INDIRECT(ADDRESS(2,COLUMN())),OFFSET($BN$2,0,0,ROW()-1,60),ROW()-1,FALSE))</f>
        <v>79553</v>
      </c>
      <c r="O131">
        <f ca="1">IF(AND(ISNUMBER($O$253),$B$156=1),$O$253,HLOOKUP(INDIRECT(ADDRESS(2,COLUMN())),OFFSET($BN$2,0,0,ROW()-1,60),ROW()-1,FALSE))</f>
        <v>96498</v>
      </c>
      <c r="P131">
        <f ca="1">IF(AND(ISNUMBER($P$253),$B$156=1),$P$253,HLOOKUP(INDIRECT(ADDRESS(2,COLUMN())),OFFSET($BN$2,0,0,ROW()-1,60),ROW()-1,FALSE))</f>
        <v>63513</v>
      </c>
      <c r="Q131">
        <f ca="1">IF(AND(ISNUMBER($Q$253),$B$156=1),$Q$253,HLOOKUP(INDIRECT(ADDRESS(2,COLUMN())),OFFSET($BN$2,0,0,ROW()-1,60),ROW()-1,FALSE))</f>
        <v>60735</v>
      </c>
      <c r="R131">
        <f ca="1">IF(AND(ISNUMBER($R$253),$B$156=1),$R$253,HLOOKUP(INDIRECT(ADDRESS(2,COLUMN())),OFFSET($BN$2,0,0,ROW()-1,60),ROW()-1,FALSE))</f>
        <v>60273</v>
      </c>
      <c r="S131">
        <f ca="1">IF(AND(ISNUMBER($S$253),$B$156=1),$S$253,HLOOKUP(INDIRECT(ADDRESS(2,COLUMN())),OFFSET($BN$2,0,0,ROW()-1,60),ROW()-1,FALSE))</f>
        <v>72422</v>
      </c>
      <c r="T131">
        <f ca="1">IF(AND(ISNUMBER($T$253),$B$156=1),$T$253,HLOOKUP(INDIRECT(ADDRESS(2,COLUMN())),OFFSET($BN$2,0,0,ROW()-1,60),ROW()-1,FALSE))</f>
        <v>55303</v>
      </c>
      <c r="U131">
        <f ca="1">IF(AND(ISNUMBER($U$253),$B$156=1),$U$253,HLOOKUP(INDIRECT(ADDRESS(2,COLUMN())),OFFSET($BN$2,0,0,ROW()-1,60),ROW()-1,FALSE))</f>
        <v>62669</v>
      </c>
      <c r="V131">
        <f ca="1">IF(AND(ISNUMBER($V$253),$B$156=1),$V$253,HLOOKUP(INDIRECT(ADDRESS(2,COLUMN())),OFFSET($BN$2,0,0,ROW()-1,60),ROW()-1,FALSE))</f>
        <v>70582</v>
      </c>
      <c r="W131">
        <f ca="1">IF(AND(ISNUMBER($W$253),$B$156=1),$W$253,HLOOKUP(INDIRECT(ADDRESS(2,COLUMN())),OFFSET($BN$2,0,0,ROW()-1,60),ROW()-1,FALSE))</f>
        <v>81004</v>
      </c>
      <c r="X131">
        <f ca="1">IF(AND(ISNUMBER($X$253),$B$156=1),$X$253,HLOOKUP(INDIRECT(ADDRESS(2,COLUMN())),OFFSET($BN$2,0,0,ROW()-1,60),ROW()-1,FALSE))</f>
        <v>61916</v>
      </c>
      <c r="Y131">
        <f ca="1">IF(AND(ISNUMBER($Y$253),$B$156=1),$Y$253,HLOOKUP(INDIRECT(ADDRESS(2,COLUMN())),OFFSET($BN$2,0,0,ROW()-1,60),ROW()-1,FALSE))</f>
        <v>65813</v>
      </c>
      <c r="Z131">
        <f ca="1">IF(AND(ISNUMBER($Z$253),$B$156=1),$Z$253,HLOOKUP(INDIRECT(ADDRESS(2,COLUMN())),OFFSET($BN$2,0,0,ROW()-1,60),ROW()-1,FALSE))</f>
        <v>67125</v>
      </c>
      <c r="AA131">
        <f ca="1">IF(AND(ISNUMBER($AA$253),$B$156=1),$AA$253,HLOOKUP(INDIRECT(ADDRESS(2,COLUMN())),OFFSET($BN$2,0,0,ROW()-1,60),ROW()-1,FALSE))</f>
        <v>64810</v>
      </c>
      <c r="AB131">
        <f ca="1">IF(AND(ISNUMBER($AB$253),$B$156=1),$AB$253,HLOOKUP(INDIRECT(ADDRESS(2,COLUMN())),OFFSET($BN$2,0,0,ROW()-1,60),ROW()-1,FALSE))</f>
        <v>54966</v>
      </c>
      <c r="AC131">
        <f ca="1">IF(AND(ISNUMBER($AC$253),$B$156=1),$AC$253,HLOOKUP(INDIRECT(ADDRESS(2,COLUMN())),OFFSET($BN$2,0,0,ROW()-1,60),ROW()-1,FALSE))</f>
        <v>53810</v>
      </c>
      <c r="AD131">
        <f ca="1">IF(AND(ISNUMBER($AD$253),$B$156=1),$AD$253,HLOOKUP(INDIRECT(ADDRESS(2,COLUMN())),OFFSET($BN$2,0,0,ROW()-1,60),ROW()-1,FALSE))</f>
        <v>56420</v>
      </c>
      <c r="AE131">
        <f ca="1">IF(AND(ISNUMBER($AE$253),$B$156=1),$AE$253,HLOOKUP(INDIRECT(ADDRESS(2,COLUMN())),OFFSET($BN$2,0,0,ROW()-1,60),ROW()-1,FALSE))</f>
        <v>51873</v>
      </c>
      <c r="AF131">
        <f ca="1">IF(AND(ISNUMBER($AF$253),$B$156=1),$AF$253,HLOOKUP(INDIRECT(ADDRESS(2,COLUMN())),OFFSET($BN$2,0,0,ROW()-1,60),ROW()-1,FALSE))</f>
        <v>45521</v>
      </c>
      <c r="AG131">
        <f ca="1">IF(AND(ISNUMBER($AG$253),$B$156=1),$AG$253,HLOOKUP(INDIRECT(ADDRESS(2,COLUMN())),OFFSET($BN$2,0,0,ROW()-1,60),ROW()-1,FALSE))</f>
        <v>49922</v>
      </c>
      <c r="AH131">
        <f ca="1">IF(AND(ISNUMBER($AH$253),$B$156=1),$AH$253,HLOOKUP(INDIRECT(ADDRESS(2,COLUMN())),OFFSET($BN$2,0,0,ROW()-1,60),ROW()-1,FALSE))</f>
        <v>52692</v>
      </c>
      <c r="AI131">
        <f ca="1">IF(AND(ISNUMBER($AI$253),$B$156=1),$AI$253,HLOOKUP(INDIRECT(ADDRESS(2,COLUMN())),OFFSET($BN$2,0,0,ROW()-1,60),ROW()-1,FALSE))</f>
        <v>45236</v>
      </c>
      <c r="AJ131">
        <f ca="1">IF(AND(ISNUMBER($AJ$253),$B$156=1),$AJ$253,HLOOKUP(INDIRECT(ADDRESS(2,COLUMN())),OFFSET($BN$2,0,0,ROW()-1,60),ROW()-1,FALSE))</f>
        <v>44048</v>
      </c>
      <c r="AK131">
        <f ca="1">IF(AND(ISNUMBER($AK$253),$B$156=1),$AK$253,HLOOKUP(INDIRECT(ADDRESS(2,COLUMN())),OFFSET($BN$2,0,0,ROW()-1,60),ROW()-1,FALSE))</f>
        <v>49861</v>
      </c>
      <c r="AL131">
        <f ca="1">IF(AND(ISNUMBER($AL$253),$B$156=1),$AL$253,HLOOKUP(INDIRECT(ADDRESS(2,COLUMN())),OFFSET($BN$2,0,0,ROW()-1,60),ROW()-1,FALSE))</f>
        <v>55443</v>
      </c>
      <c r="AM131">
        <f ca="1">IF(AND(ISNUMBER($AM$253),$B$156=1),$AM$253,HLOOKUP(INDIRECT(ADDRESS(2,COLUMN())),OFFSET($BN$2,0,0,ROW()-1,60),ROW()-1,FALSE))</f>
        <v>46039</v>
      </c>
      <c r="AN131">
        <f ca="1">IF(AND(ISNUMBER($AN$253),$B$156=1),$AN$253,HLOOKUP(INDIRECT(ADDRESS(2,COLUMN())),OFFSET($BN$2,0,0,ROW()-1,60),ROW()-1,FALSE))</f>
        <v>44597</v>
      </c>
      <c r="AO131">
        <f ca="1">IF(AND(ISNUMBER($AO$253),$B$156=1),$AO$253,HLOOKUP(INDIRECT(ADDRESS(2,COLUMN())),OFFSET($BN$2,0,0,ROW()-1,60),ROW()-1,FALSE))</f>
        <v>47063</v>
      </c>
      <c r="AP131">
        <f ca="1">IF(AND(ISNUMBER($AP$253),$B$156=1),$AP$253,HLOOKUP(INDIRECT(ADDRESS(2,COLUMN())),OFFSET($BN$2,0,0,ROW()-1,60),ROW()-1,FALSE))</f>
        <v>41300</v>
      </c>
      <c r="AQ131">
        <f ca="1">IF(AND(ISNUMBER($AQ$253),$B$156=1),$AQ$253,HLOOKUP(INDIRECT(ADDRESS(2,COLUMN())),OFFSET($BN$2,0,0,ROW()-1,60),ROW()-1,FALSE))</f>
        <v>31970</v>
      </c>
      <c r="AR131">
        <f ca="1">IF(AND(ISNUMBER($AR$253),$B$156=1),$AR$253,HLOOKUP(INDIRECT(ADDRESS(2,COLUMN())),OFFSET($BN$2,0,0,ROW()-1,60),ROW()-1,FALSE))</f>
        <v>29391</v>
      </c>
      <c r="AS131">
        <f ca="1">IF(AND(ISNUMBER($AS$253),$B$156=1),$AS$253,HLOOKUP(INDIRECT(ADDRESS(2,COLUMN())),OFFSET($BN$2,0,0,ROW()-1,60),ROW()-1,FALSE))</f>
        <v>29076</v>
      </c>
      <c r="AT131">
        <f ca="1">IF(AND(ISNUMBER($AT$253),$B$156=1),$AT$253,HLOOKUP(INDIRECT(ADDRESS(2,COLUMN())),OFFSET($BN$2,0,0,ROW()-1,60),ROW()-1,FALSE))</f>
        <v>24251</v>
      </c>
      <c r="AU131">
        <f ca="1">IF(AND(ISNUMBER($AU$253),$B$156=1),$AU$253,HLOOKUP(INDIRECT(ADDRESS(2,COLUMN())),OFFSET($BN$2,0,0,ROW()-1,60),ROW()-1,FALSE))</f>
        <v>19675</v>
      </c>
      <c r="AV131">
        <f ca="1">IF(AND(ISNUMBER($AV$253),$B$156=1),$AV$253,HLOOKUP(INDIRECT(ADDRESS(2,COLUMN())),OFFSET($BN$2,0,0,ROW()-1,60),ROW()-1,FALSE))</f>
        <v>23496</v>
      </c>
      <c r="AW131">
        <f ca="1">IF(AND(ISNUMBER($AW$253),$B$156=1),$AW$253,HLOOKUP(INDIRECT(ADDRESS(2,COLUMN())),OFFSET($BN$2,0,0,ROW()-1,60),ROW()-1,FALSE))</f>
        <v>28215</v>
      </c>
      <c r="AX131">
        <f ca="1">IF(AND(ISNUMBER($AX$253),$B$156=1),$AX$253,HLOOKUP(INDIRECT(ADDRESS(2,COLUMN())),OFFSET($BN$2,0,0,ROW()-1,60),ROW()-1,FALSE))</f>
        <v>23785</v>
      </c>
      <c r="AY131">
        <f ca="1">IF(AND(ISNUMBER($AY$253),$B$156=1),$AY$253,HLOOKUP(INDIRECT(ADDRESS(2,COLUMN())),OFFSET($BN$2,0,0,ROW()-1,60),ROW()-1,FALSE))</f>
        <v>25028</v>
      </c>
      <c r="AZ131">
        <f ca="1">IF(AND(ISNUMBER($AZ$253),$B$156=1),$AZ$253,HLOOKUP(INDIRECT(ADDRESS(2,COLUMN())),OFFSET($BN$2,0,0,ROW()-1,60),ROW()-1,FALSE))</f>
        <v>24303</v>
      </c>
      <c r="BA131">
        <f ca="1">IF(AND(ISNUMBER($BA$253),$B$156=1),$BA$253,HLOOKUP(INDIRECT(ADDRESS(2,COLUMN())),OFFSET($BN$2,0,0,ROW()-1,60),ROW()-1,FALSE))</f>
        <v>25713</v>
      </c>
      <c r="BB131">
        <f ca="1">IF(AND(ISNUMBER($BB$253),$B$156=1),$BB$253,HLOOKUP(INDIRECT(ADDRESS(2,COLUMN())),OFFSET($BN$2,0,0,ROW()-1,60),ROW()-1,FALSE))</f>
        <v>20015</v>
      </c>
      <c r="BC131">
        <f ca="1">IF(AND(ISNUMBER($BC$253),$B$156=1),$BC$253,HLOOKUP(INDIRECT(ADDRESS(2,COLUMN())),OFFSET($BN$2,0,0,ROW()-1,60),ROW()-1,FALSE))</f>
        <v>31657</v>
      </c>
      <c r="BD131">
        <f ca="1">IF(AND(ISNUMBER($BD$253),$B$156=1),$BD$253,HLOOKUP(INDIRECT(ADDRESS(2,COLUMN())),OFFSET($BN$2,0,0,ROW()-1,60),ROW()-1,FALSE))</f>
        <v>20049</v>
      </c>
      <c r="BE131">
        <f ca="1">IF(AND(ISNUMBER($BE$253),$B$156=1),$BE$253,HLOOKUP(INDIRECT(ADDRESS(2,COLUMN())),OFFSET($BN$2,0,0,ROW()-1,60),ROW()-1,FALSE))</f>
        <v>22492</v>
      </c>
      <c r="BF131">
        <f ca="1">IF(AND(ISNUMBER($BF$253),$B$156=1),$BF$253,HLOOKUP(INDIRECT(ADDRESS(2,COLUMN())),OFFSET($BN$2,0,0,ROW()-1,60),ROW()-1,FALSE))</f>
        <v>20861</v>
      </c>
      <c r="BG131" t="str">
        <f ca="1">IF(AND(ISNUMBER($BG$253),$B$156=1),$BG$253,HLOOKUP(INDIRECT(ADDRESS(2,COLUMN())),OFFSET($BN$2,0,0,ROW()-1,60),ROW()-1,FALSE))</f>
        <v/>
      </c>
      <c r="BH131" t="str">
        <f ca="1">IF(AND(ISNUMBER($BH$253),$B$156=1),$BH$253,HLOOKUP(INDIRECT(ADDRESS(2,COLUMN())),OFFSET($BN$2,0,0,ROW()-1,60),ROW()-1,FALSE))</f>
        <v/>
      </c>
      <c r="BI131" t="str">
        <f ca="1">IF(AND(ISNUMBER($BI$253),$B$156=1),$BI$253,HLOOKUP(INDIRECT(ADDRESS(2,COLUMN())),OFFSET($BN$2,0,0,ROW()-1,60),ROW()-1,FALSE))</f>
        <v/>
      </c>
      <c r="BJ131" t="str">
        <f ca="1">IF(AND(ISNUMBER($BJ$253),$B$156=1),$BJ$253,HLOOKUP(INDIRECT(ADDRESS(2,COLUMN())),OFFSET($BN$2,0,0,ROW()-1,60),ROW()-1,FALSE))</f>
        <v/>
      </c>
      <c r="BK131" t="str">
        <f ca="1">IF(AND(ISNUMBER($BK$253),$B$156=1),$BK$253,HLOOKUP(INDIRECT(ADDRESS(2,COLUMN())),OFFSET($BN$2,0,0,ROW()-1,60),ROW()-1,FALSE))</f>
        <v/>
      </c>
      <c r="BL131" t="str">
        <f ca="1">IF(AND(ISNUMBER($BL$253),$B$156=1),$BL$253,HLOOKUP(INDIRECT(ADDRESS(2,COLUMN())),OFFSET($BN$2,0,0,ROW()-1,60),ROW()-1,FALSE))</f>
        <v/>
      </c>
      <c r="BM131" t="str">
        <f ca="1">IF(AND(ISNUMBER($BM$253),$B$156=1),$BM$253,HLOOKUP(INDIRECT(ADDRESS(2,COLUMN())),OFFSET($BN$2,0,0,ROW()-1,60),ROW()-1,FALSE))</f>
        <v/>
      </c>
      <c r="BN131" t="str">
        <f>""</f>
        <v/>
      </c>
      <c r="BO131" t="str">
        <f>""</f>
        <v/>
      </c>
      <c r="BP131">
        <f>56667</f>
        <v>56667</v>
      </c>
      <c r="BQ131">
        <f>80913</f>
        <v>80913</v>
      </c>
      <c r="BR131">
        <f>66441</f>
        <v>66441</v>
      </c>
      <c r="BS131">
        <f>88620</f>
        <v>88620</v>
      </c>
      <c r="BT131">
        <f>67652</f>
        <v>67652</v>
      </c>
      <c r="BU131">
        <f>74203</f>
        <v>74203</v>
      </c>
      <c r="BV131">
        <f>79553</f>
        <v>79553</v>
      </c>
      <c r="BW131">
        <f>96498</f>
        <v>96498</v>
      </c>
      <c r="BX131">
        <f>63513</f>
        <v>63513</v>
      </c>
      <c r="BY131">
        <f>60735</f>
        <v>60735</v>
      </c>
      <c r="BZ131">
        <f>60273</f>
        <v>60273</v>
      </c>
      <c r="CA131">
        <f>72422</f>
        <v>72422</v>
      </c>
      <c r="CB131">
        <f>55303</f>
        <v>55303</v>
      </c>
      <c r="CC131">
        <f>62669</f>
        <v>62669</v>
      </c>
      <c r="CD131">
        <f>70582</f>
        <v>70582</v>
      </c>
      <c r="CE131">
        <f>81004</f>
        <v>81004</v>
      </c>
      <c r="CF131">
        <f>61916</f>
        <v>61916</v>
      </c>
      <c r="CG131">
        <f>65813</f>
        <v>65813</v>
      </c>
      <c r="CH131">
        <f>67125</f>
        <v>67125</v>
      </c>
      <c r="CI131">
        <f>64810</f>
        <v>64810</v>
      </c>
      <c r="CJ131">
        <f>54966</f>
        <v>54966</v>
      </c>
      <c r="CK131">
        <f>53810</f>
        <v>53810</v>
      </c>
      <c r="CL131">
        <f>56420</f>
        <v>56420</v>
      </c>
      <c r="CM131">
        <f>51873</f>
        <v>51873</v>
      </c>
      <c r="CN131">
        <f>45521</f>
        <v>45521</v>
      </c>
      <c r="CO131">
        <f>49922</f>
        <v>49922</v>
      </c>
      <c r="CP131">
        <f>52692</f>
        <v>52692</v>
      </c>
      <c r="CQ131">
        <f>45236</f>
        <v>45236</v>
      </c>
      <c r="CR131">
        <f>44048</f>
        <v>44048</v>
      </c>
      <c r="CS131">
        <f>49861</f>
        <v>49861</v>
      </c>
      <c r="CT131">
        <f>55443</f>
        <v>55443</v>
      </c>
      <c r="CU131">
        <f>46039</f>
        <v>46039</v>
      </c>
      <c r="CV131">
        <f>44597</f>
        <v>44597</v>
      </c>
      <c r="CW131">
        <f>47063</f>
        <v>47063</v>
      </c>
      <c r="CX131">
        <f>41300</f>
        <v>41300</v>
      </c>
      <c r="CY131">
        <f>31970</f>
        <v>31970</v>
      </c>
      <c r="CZ131">
        <f>29391</f>
        <v>29391</v>
      </c>
      <c r="DA131">
        <f>29076</f>
        <v>29076</v>
      </c>
      <c r="DB131">
        <f>24251</f>
        <v>24251</v>
      </c>
      <c r="DC131">
        <f>19675</f>
        <v>19675</v>
      </c>
      <c r="DD131">
        <f>23496</f>
        <v>23496</v>
      </c>
      <c r="DE131">
        <f>28215</f>
        <v>28215</v>
      </c>
      <c r="DF131">
        <f>23785</f>
        <v>23785</v>
      </c>
      <c r="DG131">
        <f>25028</f>
        <v>25028</v>
      </c>
      <c r="DH131">
        <f>24303</f>
        <v>24303</v>
      </c>
      <c r="DI131">
        <f>25713</f>
        <v>25713</v>
      </c>
      <c r="DJ131">
        <f>20015</f>
        <v>20015</v>
      </c>
      <c r="DK131">
        <f>31657</f>
        <v>31657</v>
      </c>
      <c r="DL131">
        <f>20049</f>
        <v>20049</v>
      </c>
      <c r="DM131">
        <f>22492</f>
        <v>22492</v>
      </c>
      <c r="DN131">
        <f>20861</f>
        <v>20861</v>
      </c>
      <c r="DO131" t="str">
        <f>""</f>
        <v/>
      </c>
      <c r="DP131" t="str">
        <f>""</f>
        <v/>
      </c>
      <c r="DQ131" t="str">
        <f>""</f>
        <v/>
      </c>
      <c r="DR131" t="str">
        <f>""</f>
        <v/>
      </c>
      <c r="DS131" t="str">
        <f>""</f>
        <v/>
      </c>
      <c r="DT131" t="str">
        <f>""</f>
        <v/>
      </c>
      <c r="DU131" t="str">
        <f>""</f>
        <v/>
      </c>
    </row>
    <row r="132" spans="1:125" x14ac:dyDescent="0.25">
      <c r="A132" t="str">
        <f>"    FAW CAR Co Ltd"</f>
        <v xml:space="preserve">    FAW CAR Co Ltd</v>
      </c>
      <c r="B132" t="str">
        <f>"000800 CH Equity"</f>
        <v>000800 CH Equity</v>
      </c>
      <c r="C132" t="str">
        <f t="shared" si="38"/>
        <v>FS265</v>
      </c>
      <c r="D132" t="str">
        <f t="shared" si="39"/>
        <v>AUTO_VEHICLES_SOLD_WW</v>
      </c>
      <c r="E132" t="str">
        <f t="shared" si="40"/>
        <v>Dynamic</v>
      </c>
      <c r="F132" t="str">
        <f ca="1">IF(AND(ISNUMBER($F$254),$B$156=1),$F$254,HLOOKUP(INDIRECT(ADDRESS(2,COLUMN())),OFFSET($BN$2,0,0,ROW()-1,60),ROW()-1,FALSE))</f>
        <v/>
      </c>
      <c r="G132" t="str">
        <f ca="1">IF(AND(ISNUMBER($G$254),$B$156=1),$G$254,HLOOKUP(INDIRECT(ADDRESS(2,COLUMN())),OFFSET($BN$2,0,0,ROW()-1,60),ROW()-1,FALSE))</f>
        <v/>
      </c>
      <c r="H132" t="str">
        <f ca="1">IF(AND(ISNUMBER($H$254),$B$156=1),$H$254,HLOOKUP(INDIRECT(ADDRESS(2,COLUMN())),OFFSET($BN$2,0,0,ROW()-1,60),ROW()-1,FALSE))</f>
        <v/>
      </c>
      <c r="I132" t="str">
        <f ca="1">IF(AND(ISNUMBER($I$254),$B$156=1),$I$254,HLOOKUP(INDIRECT(ADDRESS(2,COLUMN())),OFFSET($BN$2,0,0,ROW()-1,60),ROW()-1,FALSE))</f>
        <v/>
      </c>
      <c r="J132" t="str">
        <f ca="1">IF(AND(ISNUMBER($J$254),$B$156=1),$J$254,HLOOKUP(INDIRECT(ADDRESS(2,COLUMN())),OFFSET($BN$2,0,0,ROW()-1,60),ROW()-1,FALSE))</f>
        <v/>
      </c>
      <c r="K132" t="str">
        <f ca="1">IF(AND(ISNUMBER($K$254),$B$156=1),$K$254,HLOOKUP(INDIRECT(ADDRESS(2,COLUMN())),OFFSET($BN$2,0,0,ROW()-1,60),ROW()-1,FALSE))</f>
        <v/>
      </c>
      <c r="L132" t="str">
        <f ca="1">IF(AND(ISNUMBER($L$254),$B$156=1),$L$254,HLOOKUP(INDIRECT(ADDRESS(2,COLUMN())),OFFSET($BN$2,0,0,ROW()-1,60),ROW()-1,FALSE))</f>
        <v/>
      </c>
      <c r="M132" t="str">
        <f ca="1">IF(AND(ISNUMBER($M$254),$B$156=1),$M$254,HLOOKUP(INDIRECT(ADDRESS(2,COLUMN())),OFFSET($BN$2,0,0,ROW()-1,60),ROW()-1,FALSE))</f>
        <v/>
      </c>
      <c r="N132" t="str">
        <f ca="1">IF(AND(ISNUMBER($N$254),$B$156=1),$N$254,HLOOKUP(INDIRECT(ADDRESS(2,COLUMN())),OFFSET($BN$2,0,0,ROW()-1,60),ROW()-1,FALSE))</f>
        <v/>
      </c>
      <c r="O132" t="str">
        <f ca="1">IF(AND(ISNUMBER($O$254),$B$156=1),$O$254,HLOOKUP(INDIRECT(ADDRESS(2,COLUMN())),OFFSET($BN$2,0,0,ROW()-1,60),ROW()-1,FALSE))</f>
        <v/>
      </c>
      <c r="P132" t="str">
        <f ca="1">IF(AND(ISNUMBER($P$254),$B$156=1),$P$254,HLOOKUP(INDIRECT(ADDRESS(2,COLUMN())),OFFSET($BN$2,0,0,ROW()-1,60),ROW()-1,FALSE))</f>
        <v/>
      </c>
      <c r="Q132" t="str">
        <f ca="1">IF(AND(ISNUMBER($Q$254),$B$156=1),$Q$254,HLOOKUP(INDIRECT(ADDRESS(2,COLUMN())),OFFSET($BN$2,0,0,ROW()-1,60),ROW()-1,FALSE))</f>
        <v/>
      </c>
      <c r="R132" t="str">
        <f ca="1">IF(AND(ISNUMBER($R$254),$B$156=1),$R$254,HLOOKUP(INDIRECT(ADDRESS(2,COLUMN())),OFFSET($BN$2,0,0,ROW()-1,60),ROW()-1,FALSE))</f>
        <v/>
      </c>
      <c r="S132">
        <f ca="1">IF(AND(ISNUMBER($S$254),$B$156=1),$S$254,HLOOKUP(INDIRECT(ADDRESS(2,COLUMN())),OFFSET($BN$2,0,0,ROW()-1,60),ROW()-1,FALSE))</f>
        <v>69629</v>
      </c>
      <c r="T132">
        <f ca="1">IF(AND(ISNUMBER($T$254),$B$156=1),$T$254,HLOOKUP(INDIRECT(ADDRESS(2,COLUMN())),OFFSET($BN$2,0,0,ROW()-1,60),ROW()-1,FALSE))</f>
        <v>45500</v>
      </c>
      <c r="U132">
        <f ca="1">IF(AND(ISNUMBER($U$254),$B$156=1),$U$254,HLOOKUP(INDIRECT(ADDRESS(2,COLUMN())),OFFSET($BN$2,0,0,ROW()-1,60),ROW()-1,FALSE))</f>
        <v>120800</v>
      </c>
      <c r="V132" t="str">
        <f ca="1">IF(AND(ISNUMBER($V$254),$B$156=1),$V$254,HLOOKUP(INDIRECT(ADDRESS(2,COLUMN())),OFFSET($BN$2,0,0,ROW()-1,60),ROW()-1,FALSE))</f>
        <v/>
      </c>
      <c r="W132">
        <f ca="1">IF(AND(ISNUMBER($W$254),$B$156=1),$W$254,HLOOKUP(INDIRECT(ADDRESS(2,COLUMN())),OFFSET($BN$2,0,0,ROW()-1,60),ROW()-1,FALSE))</f>
        <v>85960</v>
      </c>
      <c r="X132">
        <f ca="1">IF(AND(ISNUMBER($X$254),$B$156=1),$X$254,HLOOKUP(INDIRECT(ADDRESS(2,COLUMN())),OFFSET($BN$2,0,0,ROW()-1,60),ROW()-1,FALSE))</f>
        <v>69337</v>
      </c>
      <c r="Y132">
        <f ca="1">IF(AND(ISNUMBER($Y$254),$B$156=1),$Y$254,HLOOKUP(INDIRECT(ADDRESS(2,COLUMN())),OFFSET($BN$2,0,0,ROW()-1,60),ROW()-1,FALSE))</f>
        <v>66660</v>
      </c>
      <c r="Z132">
        <f ca="1">IF(AND(ISNUMBER($Z$254),$B$156=1),$Z$254,HLOOKUP(INDIRECT(ADDRESS(2,COLUMN())),OFFSET($BN$2,0,0,ROW()-1,60),ROW()-1,FALSE))</f>
        <v>69076</v>
      </c>
      <c r="AA132">
        <f ca="1">IF(AND(ISNUMBER($AA$254),$B$156=1),$AA$254,HLOOKUP(INDIRECT(ADDRESS(2,COLUMN())),OFFSET($BN$2,0,0,ROW()-1,60),ROW()-1,FALSE))</f>
        <v>80241</v>
      </c>
      <c r="AB132">
        <f ca="1">IF(AND(ISNUMBER($AB$254),$B$156=1),$AB$254,HLOOKUP(INDIRECT(ADDRESS(2,COLUMN())),OFFSET($BN$2,0,0,ROW()-1,60),ROW()-1,FALSE))</f>
        <v>61361</v>
      </c>
      <c r="AC132">
        <f ca="1">IF(AND(ISNUMBER($AC$254),$B$156=1),$AC$254,HLOOKUP(INDIRECT(ADDRESS(2,COLUMN())),OFFSET($BN$2,0,0,ROW()-1,60),ROW()-1,FALSE))</f>
        <v>56281</v>
      </c>
      <c r="AD132">
        <f ca="1">IF(AND(ISNUMBER($AD$254),$B$156=1),$AD$254,HLOOKUP(INDIRECT(ADDRESS(2,COLUMN())),OFFSET($BN$2,0,0,ROW()-1,60),ROW()-1,FALSE))</f>
        <v>47023</v>
      </c>
      <c r="AE132">
        <f ca="1">IF(AND(ISNUMBER($AE$254),$B$156=1),$AE$254,HLOOKUP(INDIRECT(ADDRESS(2,COLUMN())),OFFSET($BN$2,0,0,ROW()-1,60),ROW()-1,FALSE))</f>
        <v>44948</v>
      </c>
      <c r="AF132">
        <f ca="1">IF(AND(ISNUMBER($AF$254),$B$156=1),$AF$254,HLOOKUP(INDIRECT(ADDRESS(2,COLUMN())),OFFSET($BN$2,0,0,ROW()-1,60),ROW()-1,FALSE))</f>
        <v>45052</v>
      </c>
      <c r="AG132">
        <f ca="1">IF(AND(ISNUMBER($AG$254),$B$156=1),$AG$254,HLOOKUP(INDIRECT(ADDRESS(2,COLUMN())),OFFSET($BN$2,0,0,ROW()-1,60),ROW()-1,FALSE))</f>
        <v>43400</v>
      </c>
      <c r="AH132">
        <f ca="1">IF(AND(ISNUMBER($AH$254),$B$156=1),$AH$254,HLOOKUP(INDIRECT(ADDRESS(2,COLUMN())),OFFSET($BN$2,0,0,ROW()-1,60),ROW()-1,FALSE))</f>
        <v>46600</v>
      </c>
      <c r="AI132">
        <f ca="1">IF(AND(ISNUMBER($AI$254),$B$156=1),$AI$254,HLOOKUP(INDIRECT(ADDRESS(2,COLUMN())),OFFSET($BN$2,0,0,ROW()-1,60),ROW()-1,FALSE))</f>
        <v>60000</v>
      </c>
      <c r="AJ132">
        <f ca="1">IF(AND(ISNUMBER($AJ$254),$B$156=1),$AJ$254,HLOOKUP(INDIRECT(ADDRESS(2,COLUMN())),OFFSET($BN$2,0,0,ROW()-1,60),ROW()-1,FALSE))</f>
        <v>40000</v>
      </c>
      <c r="AK132">
        <f ca="1">IF(AND(ISNUMBER($AK$254),$B$156=1),$AK$254,HLOOKUP(INDIRECT(ADDRESS(2,COLUMN())),OFFSET($BN$2,0,0,ROW()-1,60),ROW()-1,FALSE))</f>
        <v>70000</v>
      </c>
      <c r="AL132">
        <f ca="1">IF(AND(ISNUMBER($AL$254),$B$156=1),$AL$254,HLOOKUP(INDIRECT(ADDRESS(2,COLUMN())),OFFSET($BN$2,0,0,ROW()-1,60),ROW()-1,FALSE))</f>
        <v>70000</v>
      </c>
      <c r="AM132">
        <f ca="1">IF(AND(ISNUMBER($AM$254),$B$156=1),$AM$254,HLOOKUP(INDIRECT(ADDRESS(2,COLUMN())),OFFSET($BN$2,0,0,ROW()-1,60),ROW()-1,FALSE))</f>
        <v>70195</v>
      </c>
      <c r="AN132">
        <f ca="1">IF(AND(ISNUMBER($AN$254),$B$156=1),$AN$254,HLOOKUP(INDIRECT(ADDRESS(2,COLUMN())),OFFSET($BN$2,0,0,ROW()-1,60),ROW()-1,FALSE))</f>
        <v>70000</v>
      </c>
      <c r="AO132">
        <f ca="1">IF(AND(ISNUMBER($AO$254),$B$156=1),$AO$254,HLOOKUP(INDIRECT(ADDRESS(2,COLUMN())),OFFSET($BN$2,0,0,ROW()-1,60),ROW()-1,FALSE))</f>
        <v>60000</v>
      </c>
      <c r="AP132">
        <f ca="1">IF(AND(ISNUMBER($AP$254),$B$156=1),$AP$254,HLOOKUP(INDIRECT(ADDRESS(2,COLUMN())),OFFSET($BN$2,0,0,ROW()-1,60),ROW()-1,FALSE))</f>
        <v>60000</v>
      </c>
      <c r="AQ132">
        <f ca="1">IF(AND(ISNUMBER($AQ$254),$B$156=1),$AQ$254,HLOOKUP(INDIRECT(ADDRESS(2,COLUMN())),OFFSET($BN$2,0,0,ROW()-1,60),ROW()-1,FALSE))</f>
        <v>120000</v>
      </c>
      <c r="AR132">
        <f ca="1">IF(AND(ISNUMBER($AR$254),$B$156=1),$AR$254,HLOOKUP(INDIRECT(ADDRESS(2,COLUMN())),OFFSET($BN$2,0,0,ROW()-1,60),ROW()-1,FALSE))</f>
        <v>50000</v>
      </c>
      <c r="AS132" t="str">
        <f ca="1">IF(AND(ISNUMBER($AS$254),$B$156=1),$AS$254,HLOOKUP(INDIRECT(ADDRESS(2,COLUMN())),OFFSET($BN$2,0,0,ROW()-1,60),ROW()-1,FALSE))</f>
        <v/>
      </c>
      <c r="AT132">
        <f ca="1">IF(AND(ISNUMBER($AT$254),$B$156=1),$AT$254,HLOOKUP(INDIRECT(ADDRESS(2,COLUMN())),OFFSET($BN$2,0,0,ROW()-1,60),ROW()-1,FALSE))</f>
        <v>30000</v>
      </c>
      <c r="AU132" t="str">
        <f ca="1">IF(AND(ISNUMBER($AU$254),$B$156=1),$AU$254,HLOOKUP(INDIRECT(ADDRESS(2,COLUMN())),OFFSET($BN$2,0,0,ROW()-1,60),ROW()-1,FALSE))</f>
        <v/>
      </c>
      <c r="AV132" t="str">
        <f ca="1">IF(AND(ISNUMBER($AV$254),$B$156=1),$AV$254,HLOOKUP(INDIRECT(ADDRESS(2,COLUMN())),OFFSET($BN$2,0,0,ROW()-1,60),ROW()-1,FALSE))</f>
        <v/>
      </c>
      <c r="AW132" t="str">
        <f ca="1">IF(AND(ISNUMBER($AW$254),$B$156=1),$AW$254,HLOOKUP(INDIRECT(ADDRESS(2,COLUMN())),OFFSET($BN$2,0,0,ROW()-1,60),ROW()-1,FALSE))</f>
        <v/>
      </c>
      <c r="AX132">
        <f ca="1">IF(AND(ISNUMBER($AX$254),$B$156=1),$AX$254,HLOOKUP(INDIRECT(ADDRESS(2,COLUMN())),OFFSET($BN$2,0,0,ROW()-1,60),ROW()-1,FALSE))</f>
        <v>28000</v>
      </c>
      <c r="AY132" t="str">
        <f ca="1">IF(AND(ISNUMBER($AY$254),$B$156=1),$AY$254,HLOOKUP(INDIRECT(ADDRESS(2,COLUMN())),OFFSET($BN$2,0,0,ROW()-1,60),ROW()-1,FALSE))</f>
        <v/>
      </c>
      <c r="AZ132" t="str">
        <f ca="1">IF(AND(ISNUMBER($AZ$254),$B$156=1),$AZ$254,HLOOKUP(INDIRECT(ADDRESS(2,COLUMN())),OFFSET($BN$2,0,0,ROW()-1,60),ROW()-1,FALSE))</f>
        <v/>
      </c>
      <c r="BA132" t="str">
        <f ca="1">IF(AND(ISNUMBER($BA$254),$B$156=1),$BA$254,HLOOKUP(INDIRECT(ADDRESS(2,COLUMN())),OFFSET($BN$2,0,0,ROW()-1,60),ROW()-1,FALSE))</f>
        <v/>
      </c>
      <c r="BB132" t="str">
        <f ca="1">IF(AND(ISNUMBER($BB$254),$B$156=1),$BB$254,HLOOKUP(INDIRECT(ADDRESS(2,COLUMN())),OFFSET($BN$2,0,0,ROW()-1,60),ROW()-1,FALSE))</f>
        <v/>
      </c>
      <c r="BC132" t="str">
        <f ca="1">IF(AND(ISNUMBER($BC$254),$B$156=1),$BC$254,HLOOKUP(INDIRECT(ADDRESS(2,COLUMN())),OFFSET($BN$2,0,0,ROW()-1,60),ROW()-1,FALSE))</f>
        <v/>
      </c>
      <c r="BD132" t="str">
        <f ca="1">IF(AND(ISNUMBER($BD$254),$B$156=1),$BD$254,HLOOKUP(INDIRECT(ADDRESS(2,COLUMN())),OFFSET($BN$2,0,0,ROW()-1,60),ROW()-1,FALSE))</f>
        <v/>
      </c>
      <c r="BE132" t="str">
        <f ca="1">IF(AND(ISNUMBER($BE$254),$B$156=1),$BE$254,HLOOKUP(INDIRECT(ADDRESS(2,COLUMN())),OFFSET($BN$2,0,0,ROW()-1,60),ROW()-1,FALSE))</f>
        <v/>
      </c>
      <c r="BF132" t="str">
        <f ca="1">IF(AND(ISNUMBER($BF$254),$B$156=1),$BF$254,HLOOKUP(INDIRECT(ADDRESS(2,COLUMN())),OFFSET($BN$2,0,0,ROW()-1,60),ROW()-1,FALSE))</f>
        <v/>
      </c>
      <c r="BG132" t="str">
        <f ca="1">IF(AND(ISNUMBER($BG$254),$B$156=1),$BG$254,HLOOKUP(INDIRECT(ADDRESS(2,COLUMN())),OFFSET($BN$2,0,0,ROW()-1,60),ROW()-1,FALSE))</f>
        <v/>
      </c>
      <c r="BH132" t="str">
        <f ca="1">IF(AND(ISNUMBER($BH$254),$B$156=1),$BH$254,HLOOKUP(INDIRECT(ADDRESS(2,COLUMN())),OFFSET($BN$2,0,0,ROW()-1,60),ROW()-1,FALSE))</f>
        <v/>
      </c>
      <c r="BI132" t="str">
        <f ca="1">IF(AND(ISNUMBER($BI$254),$B$156=1),$BI$254,HLOOKUP(INDIRECT(ADDRESS(2,COLUMN())),OFFSET($BN$2,0,0,ROW()-1,60),ROW()-1,FALSE))</f>
        <v/>
      </c>
      <c r="BJ132" t="str">
        <f ca="1">IF(AND(ISNUMBER($BJ$254),$B$156=1),$BJ$254,HLOOKUP(INDIRECT(ADDRESS(2,COLUMN())),OFFSET($BN$2,0,0,ROW()-1,60),ROW()-1,FALSE))</f>
        <v/>
      </c>
      <c r="BK132" t="str">
        <f ca="1">IF(AND(ISNUMBER($BK$254),$B$156=1),$BK$254,HLOOKUP(INDIRECT(ADDRESS(2,COLUMN())),OFFSET($BN$2,0,0,ROW()-1,60),ROW()-1,FALSE))</f>
        <v/>
      </c>
      <c r="BL132" t="str">
        <f ca="1">IF(AND(ISNUMBER($BL$254),$B$156=1),$BL$254,HLOOKUP(INDIRECT(ADDRESS(2,COLUMN())),OFFSET($BN$2,0,0,ROW()-1,60),ROW()-1,FALSE))</f>
        <v/>
      </c>
      <c r="BM132" t="str">
        <f ca="1">IF(AND(ISNUMBER($BM$254),$B$156=1),$BM$254,HLOOKUP(INDIRECT(ADDRESS(2,COLUMN())),OFFSET($BN$2,0,0,ROW()-1,60),ROW()-1,FALSE))</f>
        <v/>
      </c>
      <c r="BN132" t="str">
        <f>""</f>
        <v/>
      </c>
      <c r="BO132" t="str">
        <f>""</f>
        <v/>
      </c>
      <c r="BP132" t="str">
        <f>""</f>
        <v/>
      </c>
      <c r="BQ132" t="str">
        <f>""</f>
        <v/>
      </c>
      <c r="BR132" t="str">
        <f>""</f>
        <v/>
      </c>
      <c r="BS132" t="str">
        <f>""</f>
        <v/>
      </c>
      <c r="BT132" t="str">
        <f>""</f>
        <v/>
      </c>
      <c r="BU132" t="str">
        <f>""</f>
        <v/>
      </c>
      <c r="BV132" t="str">
        <f>""</f>
        <v/>
      </c>
      <c r="BW132" t="str">
        <f>""</f>
        <v/>
      </c>
      <c r="BX132" t="str">
        <f>""</f>
        <v/>
      </c>
      <c r="BY132" t="str">
        <f>""</f>
        <v/>
      </c>
      <c r="BZ132" t="str">
        <f>""</f>
        <v/>
      </c>
      <c r="CA132">
        <f>69629</f>
        <v>69629</v>
      </c>
      <c r="CB132">
        <f>45500</f>
        <v>45500</v>
      </c>
      <c r="CC132">
        <f>120800</f>
        <v>120800</v>
      </c>
      <c r="CD132" t="str">
        <f>""</f>
        <v/>
      </c>
      <c r="CE132">
        <f>85960</f>
        <v>85960</v>
      </c>
      <c r="CF132">
        <f>69337</f>
        <v>69337</v>
      </c>
      <c r="CG132">
        <f>66660</f>
        <v>66660</v>
      </c>
      <c r="CH132">
        <f>69076</f>
        <v>69076</v>
      </c>
      <c r="CI132">
        <f>80241</f>
        <v>80241</v>
      </c>
      <c r="CJ132">
        <f>61361</f>
        <v>61361</v>
      </c>
      <c r="CK132">
        <f>56281</f>
        <v>56281</v>
      </c>
      <c r="CL132">
        <f>47023</f>
        <v>47023</v>
      </c>
      <c r="CM132">
        <f>44948</f>
        <v>44948</v>
      </c>
      <c r="CN132">
        <f>45052</f>
        <v>45052</v>
      </c>
      <c r="CO132">
        <f>43400</f>
        <v>43400</v>
      </c>
      <c r="CP132">
        <f>46600</f>
        <v>46600</v>
      </c>
      <c r="CQ132">
        <f>60000</f>
        <v>60000</v>
      </c>
      <c r="CR132">
        <f>40000</f>
        <v>40000</v>
      </c>
      <c r="CS132">
        <f>70000</f>
        <v>70000</v>
      </c>
      <c r="CT132">
        <f>70000</f>
        <v>70000</v>
      </c>
      <c r="CU132">
        <f>70195</f>
        <v>70195</v>
      </c>
      <c r="CV132">
        <f>70000</f>
        <v>70000</v>
      </c>
      <c r="CW132">
        <f>60000</f>
        <v>60000</v>
      </c>
      <c r="CX132">
        <f>60000</f>
        <v>60000</v>
      </c>
      <c r="CY132">
        <f>120000</f>
        <v>120000</v>
      </c>
      <c r="CZ132">
        <f>50000</f>
        <v>50000</v>
      </c>
      <c r="DA132" t="str">
        <f>""</f>
        <v/>
      </c>
      <c r="DB132">
        <f>30000</f>
        <v>30000</v>
      </c>
      <c r="DC132" t="str">
        <f>""</f>
        <v/>
      </c>
      <c r="DD132" t="str">
        <f>""</f>
        <v/>
      </c>
      <c r="DE132" t="str">
        <f>""</f>
        <v/>
      </c>
      <c r="DF132">
        <f>28000</f>
        <v>28000</v>
      </c>
      <c r="DG132" t="str">
        <f>""</f>
        <v/>
      </c>
      <c r="DH132" t="str">
        <f>""</f>
        <v/>
      </c>
      <c r="DI132" t="str">
        <f>""</f>
        <v/>
      </c>
      <c r="DJ132" t="str">
        <f>""</f>
        <v/>
      </c>
      <c r="DK132" t="str">
        <f>""</f>
        <v/>
      </c>
      <c r="DL132" t="str">
        <f>""</f>
        <v/>
      </c>
      <c r="DM132" t="str">
        <f>""</f>
        <v/>
      </c>
      <c r="DN132" t="str">
        <f>""</f>
        <v/>
      </c>
      <c r="DO132" t="str">
        <f>""</f>
        <v/>
      </c>
      <c r="DP132" t="str">
        <f>""</f>
        <v/>
      </c>
      <c r="DQ132" t="str">
        <f>""</f>
        <v/>
      </c>
      <c r="DR132" t="str">
        <f>""</f>
        <v/>
      </c>
      <c r="DS132" t="str">
        <f>""</f>
        <v/>
      </c>
      <c r="DT132" t="str">
        <f>""</f>
        <v/>
      </c>
      <c r="DU132" t="str">
        <f>""</f>
        <v/>
      </c>
    </row>
    <row r="133" spans="1:125" x14ac:dyDescent="0.25">
      <c r="A133" t="str">
        <f>"    Brilliance China Automotive Holdings Ltd"</f>
        <v xml:space="preserve">    Brilliance China Automotive Holdings Ltd</v>
      </c>
      <c r="B133" t="str">
        <f>"1114 HK Equity"</f>
        <v>1114 HK Equity</v>
      </c>
      <c r="C133" t="str">
        <f t="shared" si="38"/>
        <v>FS265</v>
      </c>
      <c r="D133" t="str">
        <f t="shared" si="39"/>
        <v>AUTO_VEHICLES_SOLD_WW</v>
      </c>
      <c r="E133" t="str">
        <f t="shared" si="40"/>
        <v>Dynamic</v>
      </c>
      <c r="F133" t="str">
        <f ca="1">IF(AND(ISNUMBER($F$255),$B$156=1),$F$255,HLOOKUP(INDIRECT(ADDRESS(2,COLUMN())),OFFSET($BN$2,0,0,ROW()-1,60),ROW()-1,FALSE))</f>
        <v/>
      </c>
      <c r="G133" t="str">
        <f ca="1">IF(AND(ISNUMBER($G$255),$B$156=1),$G$255,HLOOKUP(INDIRECT(ADDRESS(2,COLUMN())),OFFSET($BN$2,0,0,ROW()-1,60),ROW()-1,FALSE))</f>
        <v/>
      </c>
      <c r="H133" t="str">
        <f ca="1">IF(AND(ISNUMBER($H$255),$B$156=1),$H$255,HLOOKUP(INDIRECT(ADDRESS(2,COLUMN())),OFFSET($BN$2,0,0,ROW()-1,60),ROW()-1,FALSE))</f>
        <v/>
      </c>
      <c r="I133" t="str">
        <f ca="1">IF(AND(ISNUMBER($I$255),$B$156=1),$I$255,HLOOKUP(INDIRECT(ADDRESS(2,COLUMN())),OFFSET($BN$2,0,0,ROW()-1,60),ROW()-1,FALSE))</f>
        <v/>
      </c>
      <c r="J133" t="str">
        <f ca="1">IF(AND(ISNUMBER($J$255),$B$156=1),$J$255,HLOOKUP(INDIRECT(ADDRESS(2,COLUMN())),OFFSET($BN$2,0,0,ROW()-1,60),ROW()-1,FALSE))</f>
        <v/>
      </c>
      <c r="K133" t="str">
        <f ca="1">IF(AND(ISNUMBER($K$255),$B$156=1),$K$255,HLOOKUP(INDIRECT(ADDRESS(2,COLUMN())),OFFSET($BN$2,0,0,ROW()-1,60),ROW()-1,FALSE))</f>
        <v/>
      </c>
      <c r="L133" t="str">
        <f ca="1">IF(AND(ISNUMBER($L$255),$B$156=1),$L$255,HLOOKUP(INDIRECT(ADDRESS(2,COLUMN())),OFFSET($BN$2,0,0,ROW()-1,60),ROW()-1,FALSE))</f>
        <v/>
      </c>
      <c r="M133" t="str">
        <f ca="1">IF(AND(ISNUMBER($M$255),$B$156=1),$M$255,HLOOKUP(INDIRECT(ADDRESS(2,COLUMN())),OFFSET($BN$2,0,0,ROW()-1,60),ROW()-1,FALSE))</f>
        <v/>
      </c>
      <c r="N133" t="str">
        <f ca="1">IF(AND(ISNUMBER($N$255),$B$156=1),$N$255,HLOOKUP(INDIRECT(ADDRESS(2,COLUMN())),OFFSET($BN$2,0,0,ROW()-1,60),ROW()-1,FALSE))</f>
        <v/>
      </c>
      <c r="O133" t="str">
        <f ca="1">IF(AND(ISNUMBER($O$255),$B$156=1),$O$255,HLOOKUP(INDIRECT(ADDRESS(2,COLUMN())),OFFSET($BN$2,0,0,ROW()-1,60),ROW()-1,FALSE))</f>
        <v/>
      </c>
      <c r="P133" t="str">
        <f ca="1">IF(AND(ISNUMBER($P$255),$B$156=1),$P$255,HLOOKUP(INDIRECT(ADDRESS(2,COLUMN())),OFFSET($BN$2,0,0,ROW()-1,60),ROW()-1,FALSE))</f>
        <v/>
      </c>
      <c r="Q133" t="str">
        <f ca="1">IF(AND(ISNUMBER($Q$255),$B$156=1),$Q$255,HLOOKUP(INDIRECT(ADDRESS(2,COLUMN())),OFFSET($BN$2,0,0,ROW()-1,60),ROW()-1,FALSE))</f>
        <v/>
      </c>
      <c r="R133" t="str">
        <f ca="1">IF(AND(ISNUMBER($R$255),$B$156=1),$R$255,HLOOKUP(INDIRECT(ADDRESS(2,COLUMN())),OFFSET($BN$2,0,0,ROW()-1,60),ROW()-1,FALSE))</f>
        <v/>
      </c>
      <c r="S133" t="str">
        <f ca="1">IF(AND(ISNUMBER($S$255),$B$156=1),$S$255,HLOOKUP(INDIRECT(ADDRESS(2,COLUMN())),OFFSET($BN$2,0,0,ROW()-1,60),ROW()-1,FALSE))</f>
        <v/>
      </c>
      <c r="T133" t="str">
        <f ca="1">IF(AND(ISNUMBER($T$255),$B$156=1),$T$255,HLOOKUP(INDIRECT(ADDRESS(2,COLUMN())),OFFSET($BN$2,0,0,ROW()-1,60),ROW()-1,FALSE))</f>
        <v/>
      </c>
      <c r="U133" t="str">
        <f ca="1">IF(AND(ISNUMBER($U$255),$B$156=1),$U$255,HLOOKUP(INDIRECT(ADDRESS(2,COLUMN())),OFFSET($BN$2,0,0,ROW()-1,60),ROW()-1,FALSE))</f>
        <v/>
      </c>
      <c r="V133" t="str">
        <f ca="1">IF(AND(ISNUMBER($V$255),$B$156=1),$V$255,HLOOKUP(INDIRECT(ADDRESS(2,COLUMN())),OFFSET($BN$2,0,0,ROW()-1,60),ROW()-1,FALSE))</f>
        <v/>
      </c>
      <c r="W133" t="str">
        <f ca="1">IF(AND(ISNUMBER($W$255),$B$156=1),$W$255,HLOOKUP(INDIRECT(ADDRESS(2,COLUMN())),OFFSET($BN$2,0,0,ROW()-1,60),ROW()-1,FALSE))</f>
        <v/>
      </c>
      <c r="X133" t="str">
        <f ca="1">IF(AND(ISNUMBER($X$255),$B$156=1),$X$255,HLOOKUP(INDIRECT(ADDRESS(2,COLUMN())),OFFSET($BN$2,0,0,ROW()-1,60),ROW()-1,FALSE))</f>
        <v/>
      </c>
      <c r="Y133" t="str">
        <f ca="1">IF(AND(ISNUMBER($Y$255),$B$156=1),$Y$255,HLOOKUP(INDIRECT(ADDRESS(2,COLUMN())),OFFSET($BN$2,0,0,ROW()-1,60),ROW()-1,FALSE))</f>
        <v/>
      </c>
      <c r="Z133" t="str">
        <f ca="1">IF(AND(ISNUMBER($Z$255),$B$156=1),$Z$255,HLOOKUP(INDIRECT(ADDRESS(2,COLUMN())),OFFSET($BN$2,0,0,ROW()-1,60),ROW()-1,FALSE))</f>
        <v/>
      </c>
      <c r="AA133" t="str">
        <f ca="1">IF(AND(ISNUMBER($AA$255),$B$156=1),$AA$255,HLOOKUP(INDIRECT(ADDRESS(2,COLUMN())),OFFSET($BN$2,0,0,ROW()-1,60),ROW()-1,FALSE))</f>
        <v/>
      </c>
      <c r="AB133" t="str">
        <f ca="1">IF(AND(ISNUMBER($AB$255),$B$156=1),$AB$255,HLOOKUP(INDIRECT(ADDRESS(2,COLUMN())),OFFSET($BN$2,0,0,ROW()-1,60),ROW()-1,FALSE))</f>
        <v/>
      </c>
      <c r="AC133" t="str">
        <f ca="1">IF(AND(ISNUMBER($AC$255),$B$156=1),$AC$255,HLOOKUP(INDIRECT(ADDRESS(2,COLUMN())),OFFSET($BN$2,0,0,ROW()-1,60),ROW()-1,FALSE))</f>
        <v/>
      </c>
      <c r="AD133" t="str">
        <f ca="1">IF(AND(ISNUMBER($AD$255),$B$156=1),$AD$255,HLOOKUP(INDIRECT(ADDRESS(2,COLUMN())),OFFSET($BN$2,0,0,ROW()-1,60),ROW()-1,FALSE))</f>
        <v/>
      </c>
      <c r="AE133" t="str">
        <f ca="1">IF(AND(ISNUMBER($AE$255),$B$156=1),$AE$255,HLOOKUP(INDIRECT(ADDRESS(2,COLUMN())),OFFSET($BN$2,0,0,ROW()-1,60),ROW()-1,FALSE))</f>
        <v/>
      </c>
      <c r="AF133" t="str">
        <f ca="1">IF(AND(ISNUMBER($AF$255),$B$156=1),$AF$255,HLOOKUP(INDIRECT(ADDRESS(2,COLUMN())),OFFSET($BN$2,0,0,ROW()-1,60),ROW()-1,FALSE))</f>
        <v/>
      </c>
      <c r="AG133" t="str">
        <f ca="1">IF(AND(ISNUMBER($AG$255),$B$156=1),$AG$255,HLOOKUP(INDIRECT(ADDRESS(2,COLUMN())),OFFSET($BN$2,0,0,ROW()-1,60),ROW()-1,FALSE))</f>
        <v/>
      </c>
      <c r="AH133" t="str">
        <f ca="1">IF(AND(ISNUMBER($AH$255),$B$156=1),$AH$255,HLOOKUP(INDIRECT(ADDRESS(2,COLUMN())),OFFSET($BN$2,0,0,ROW()-1,60),ROW()-1,FALSE))</f>
        <v/>
      </c>
      <c r="AI133" t="str">
        <f ca="1">IF(AND(ISNUMBER($AI$255),$B$156=1),$AI$255,HLOOKUP(INDIRECT(ADDRESS(2,COLUMN())),OFFSET($BN$2,0,0,ROW()-1,60),ROW()-1,FALSE))</f>
        <v/>
      </c>
      <c r="AJ133" t="str">
        <f ca="1">IF(AND(ISNUMBER($AJ$255),$B$156=1),$AJ$255,HLOOKUP(INDIRECT(ADDRESS(2,COLUMN())),OFFSET($BN$2,0,0,ROW()-1,60),ROW()-1,FALSE))</f>
        <v/>
      </c>
      <c r="AK133" t="str">
        <f ca="1">IF(AND(ISNUMBER($AK$255),$B$156=1),$AK$255,HLOOKUP(INDIRECT(ADDRESS(2,COLUMN())),OFFSET($BN$2,0,0,ROW()-1,60),ROW()-1,FALSE))</f>
        <v/>
      </c>
      <c r="AL133" t="str">
        <f ca="1">IF(AND(ISNUMBER($AL$255),$B$156=1),$AL$255,HLOOKUP(INDIRECT(ADDRESS(2,COLUMN())),OFFSET($BN$2,0,0,ROW()-1,60),ROW()-1,FALSE))</f>
        <v/>
      </c>
      <c r="AM133" t="str">
        <f ca="1">IF(AND(ISNUMBER($AM$255),$B$156=1),$AM$255,HLOOKUP(INDIRECT(ADDRESS(2,COLUMN())),OFFSET($BN$2,0,0,ROW()-1,60),ROW()-1,FALSE))</f>
        <v/>
      </c>
      <c r="AN133" t="str">
        <f ca="1">IF(AND(ISNUMBER($AN$255),$B$156=1),$AN$255,HLOOKUP(INDIRECT(ADDRESS(2,COLUMN())),OFFSET($BN$2,0,0,ROW()-1,60),ROW()-1,FALSE))</f>
        <v/>
      </c>
      <c r="AO133" t="str">
        <f ca="1">IF(AND(ISNUMBER($AO$255),$B$156=1),$AO$255,HLOOKUP(INDIRECT(ADDRESS(2,COLUMN())),OFFSET($BN$2,0,0,ROW()-1,60),ROW()-1,FALSE))</f>
        <v/>
      </c>
      <c r="AP133" t="str">
        <f ca="1">IF(AND(ISNUMBER($AP$255),$B$156=1),$AP$255,HLOOKUP(INDIRECT(ADDRESS(2,COLUMN())),OFFSET($BN$2,0,0,ROW()-1,60),ROW()-1,FALSE))</f>
        <v/>
      </c>
      <c r="AQ133" t="str">
        <f ca="1">IF(AND(ISNUMBER($AQ$255),$B$156=1),$AQ$255,HLOOKUP(INDIRECT(ADDRESS(2,COLUMN())),OFFSET($BN$2,0,0,ROW()-1,60),ROW()-1,FALSE))</f>
        <v/>
      </c>
      <c r="AR133" t="str">
        <f ca="1">IF(AND(ISNUMBER($AR$255),$B$156=1),$AR$255,HLOOKUP(INDIRECT(ADDRESS(2,COLUMN())),OFFSET($BN$2,0,0,ROW()-1,60),ROW()-1,FALSE))</f>
        <v/>
      </c>
      <c r="AS133" t="str">
        <f ca="1">IF(AND(ISNUMBER($AS$255),$B$156=1),$AS$255,HLOOKUP(INDIRECT(ADDRESS(2,COLUMN())),OFFSET($BN$2,0,0,ROW()-1,60),ROW()-1,FALSE))</f>
        <v/>
      </c>
      <c r="AT133" t="str">
        <f ca="1">IF(AND(ISNUMBER($AT$255),$B$156=1),$AT$255,HLOOKUP(INDIRECT(ADDRESS(2,COLUMN())),OFFSET($BN$2,0,0,ROW()-1,60),ROW()-1,FALSE))</f>
        <v/>
      </c>
      <c r="AU133" t="str">
        <f ca="1">IF(AND(ISNUMBER($AU$255),$B$156=1),$AU$255,HLOOKUP(INDIRECT(ADDRESS(2,COLUMN())),OFFSET($BN$2,0,0,ROW()-1,60),ROW()-1,FALSE))</f>
        <v/>
      </c>
      <c r="AV133" t="str">
        <f ca="1">IF(AND(ISNUMBER($AV$255),$B$156=1),$AV$255,HLOOKUP(INDIRECT(ADDRESS(2,COLUMN())),OFFSET($BN$2,0,0,ROW()-1,60),ROW()-1,FALSE))</f>
        <v/>
      </c>
      <c r="AW133" t="str">
        <f ca="1">IF(AND(ISNUMBER($AW$255),$B$156=1),$AW$255,HLOOKUP(INDIRECT(ADDRESS(2,COLUMN())),OFFSET($BN$2,0,0,ROW()-1,60),ROW()-1,FALSE))</f>
        <v/>
      </c>
      <c r="AX133" t="str">
        <f ca="1">IF(AND(ISNUMBER($AX$255),$B$156=1),$AX$255,HLOOKUP(INDIRECT(ADDRESS(2,COLUMN())),OFFSET($BN$2,0,0,ROW()-1,60),ROW()-1,FALSE))</f>
        <v/>
      </c>
      <c r="AY133" t="str">
        <f ca="1">IF(AND(ISNUMBER($AY$255),$B$156=1),$AY$255,HLOOKUP(INDIRECT(ADDRESS(2,COLUMN())),OFFSET($BN$2,0,0,ROW()-1,60),ROW()-1,FALSE))</f>
        <v/>
      </c>
      <c r="AZ133" t="str">
        <f ca="1">IF(AND(ISNUMBER($AZ$255),$B$156=1),$AZ$255,HLOOKUP(INDIRECT(ADDRESS(2,COLUMN())),OFFSET($BN$2,0,0,ROW()-1,60),ROW()-1,FALSE))</f>
        <v/>
      </c>
      <c r="BA133" t="str">
        <f ca="1">IF(AND(ISNUMBER($BA$255),$B$156=1),$BA$255,HLOOKUP(INDIRECT(ADDRESS(2,COLUMN())),OFFSET($BN$2,0,0,ROW()-1,60),ROW()-1,FALSE))</f>
        <v/>
      </c>
      <c r="BB133" t="str">
        <f ca="1">IF(AND(ISNUMBER($BB$255),$B$156=1),$BB$255,HLOOKUP(INDIRECT(ADDRESS(2,COLUMN())),OFFSET($BN$2,0,0,ROW()-1,60),ROW()-1,FALSE))</f>
        <v/>
      </c>
      <c r="BC133" t="str">
        <f ca="1">IF(AND(ISNUMBER($BC$255),$B$156=1),$BC$255,HLOOKUP(INDIRECT(ADDRESS(2,COLUMN())),OFFSET($BN$2,0,0,ROW()-1,60),ROW()-1,FALSE))</f>
        <v/>
      </c>
      <c r="BD133" t="str">
        <f ca="1">IF(AND(ISNUMBER($BD$255),$B$156=1),$BD$255,HLOOKUP(INDIRECT(ADDRESS(2,COLUMN())),OFFSET($BN$2,0,0,ROW()-1,60),ROW()-1,FALSE))</f>
        <v/>
      </c>
      <c r="BE133" t="str">
        <f ca="1">IF(AND(ISNUMBER($BE$255),$B$156=1),$BE$255,HLOOKUP(INDIRECT(ADDRESS(2,COLUMN())),OFFSET($BN$2,0,0,ROW()-1,60),ROW()-1,FALSE))</f>
        <v/>
      </c>
      <c r="BF133" t="str">
        <f ca="1">IF(AND(ISNUMBER($BF$255),$B$156=1),$BF$255,HLOOKUP(INDIRECT(ADDRESS(2,COLUMN())),OFFSET($BN$2,0,0,ROW()-1,60),ROW()-1,FALSE))</f>
        <v/>
      </c>
      <c r="BG133" t="str">
        <f ca="1">IF(AND(ISNUMBER($BG$255),$B$156=1),$BG$255,HLOOKUP(INDIRECT(ADDRESS(2,COLUMN())),OFFSET($BN$2,0,0,ROW()-1,60),ROW()-1,FALSE))</f>
        <v/>
      </c>
      <c r="BH133" t="str">
        <f ca="1">IF(AND(ISNUMBER($BH$255),$B$156=1),$BH$255,HLOOKUP(INDIRECT(ADDRESS(2,COLUMN())),OFFSET($BN$2,0,0,ROW()-1,60),ROW()-1,FALSE))</f>
        <v/>
      </c>
      <c r="BI133" t="str">
        <f ca="1">IF(AND(ISNUMBER($BI$255),$B$156=1),$BI$255,HLOOKUP(INDIRECT(ADDRESS(2,COLUMN())),OFFSET($BN$2,0,0,ROW()-1,60),ROW()-1,FALSE))</f>
        <v/>
      </c>
      <c r="BJ133" t="str">
        <f ca="1">IF(AND(ISNUMBER($BJ$255),$B$156=1),$BJ$255,HLOOKUP(INDIRECT(ADDRESS(2,COLUMN())),OFFSET($BN$2,0,0,ROW()-1,60),ROW()-1,FALSE))</f>
        <v/>
      </c>
      <c r="BK133" t="str">
        <f ca="1">IF(AND(ISNUMBER($BK$255),$B$156=1),$BK$255,HLOOKUP(INDIRECT(ADDRESS(2,COLUMN())),OFFSET($BN$2,0,0,ROW()-1,60),ROW()-1,FALSE))</f>
        <v/>
      </c>
      <c r="BL133" t="str">
        <f ca="1">IF(AND(ISNUMBER($BL$255),$B$156=1),$BL$255,HLOOKUP(INDIRECT(ADDRESS(2,COLUMN())),OFFSET($BN$2,0,0,ROW()-1,60),ROW()-1,FALSE))</f>
        <v/>
      </c>
      <c r="BM133" t="str">
        <f ca="1">IF(AND(ISNUMBER($BM$255),$B$156=1),$BM$255,HLOOKUP(INDIRECT(ADDRESS(2,COLUMN())),OFFSET($BN$2,0,0,ROW()-1,60),ROW()-1,FALSE))</f>
        <v/>
      </c>
      <c r="BN133" t="str">
        <f>""</f>
        <v/>
      </c>
      <c r="BO133" t="str">
        <f>""</f>
        <v/>
      </c>
      <c r="BP133" t="str">
        <f>""</f>
        <v/>
      </c>
      <c r="BQ133" t="str">
        <f>""</f>
        <v/>
      </c>
      <c r="BR133" t="str">
        <f>""</f>
        <v/>
      </c>
      <c r="BS133" t="str">
        <f>""</f>
        <v/>
      </c>
      <c r="BT133" t="str">
        <f>""</f>
        <v/>
      </c>
      <c r="BU133" t="str">
        <f>""</f>
        <v/>
      </c>
      <c r="BV133" t="str">
        <f>""</f>
        <v/>
      </c>
      <c r="BW133" t="str">
        <f>""</f>
        <v/>
      </c>
      <c r="BX133" t="str">
        <f>""</f>
        <v/>
      </c>
      <c r="BY133" t="str">
        <f>""</f>
        <v/>
      </c>
      <c r="BZ133" t="str">
        <f>""</f>
        <v/>
      </c>
      <c r="CA133" t="str">
        <f>""</f>
        <v/>
      </c>
      <c r="CB133" t="str">
        <f>""</f>
        <v/>
      </c>
      <c r="CC133" t="str">
        <f>""</f>
        <v/>
      </c>
      <c r="CD133" t="str">
        <f>""</f>
        <v/>
      </c>
      <c r="CE133" t="str">
        <f>""</f>
        <v/>
      </c>
      <c r="CF133" t="str">
        <f>""</f>
        <v/>
      </c>
      <c r="CG133" t="str">
        <f>""</f>
        <v/>
      </c>
      <c r="CH133" t="str">
        <f>""</f>
        <v/>
      </c>
      <c r="CI133" t="str">
        <f>""</f>
        <v/>
      </c>
      <c r="CJ133" t="str">
        <f>""</f>
        <v/>
      </c>
      <c r="CK133" t="str">
        <f>""</f>
        <v/>
      </c>
      <c r="CL133" t="str">
        <f>""</f>
        <v/>
      </c>
      <c r="CM133" t="str">
        <f>""</f>
        <v/>
      </c>
      <c r="CN133" t="str">
        <f>""</f>
        <v/>
      </c>
      <c r="CO133" t="str">
        <f>""</f>
        <v/>
      </c>
      <c r="CP133" t="str">
        <f>""</f>
        <v/>
      </c>
      <c r="CQ133" t="str">
        <f>""</f>
        <v/>
      </c>
      <c r="CR133" t="str">
        <f>""</f>
        <v/>
      </c>
      <c r="CS133" t="str">
        <f>""</f>
        <v/>
      </c>
      <c r="CT133" t="str">
        <f>""</f>
        <v/>
      </c>
      <c r="CU133" t="str">
        <f>""</f>
        <v/>
      </c>
      <c r="CV133" t="str">
        <f>""</f>
        <v/>
      </c>
      <c r="CW133" t="str">
        <f>""</f>
        <v/>
      </c>
      <c r="CX133" t="str">
        <f>""</f>
        <v/>
      </c>
      <c r="CY133" t="str">
        <f>""</f>
        <v/>
      </c>
      <c r="CZ133" t="str">
        <f>""</f>
        <v/>
      </c>
      <c r="DA133" t="str">
        <f>""</f>
        <v/>
      </c>
      <c r="DB133" t="str">
        <f>""</f>
        <v/>
      </c>
      <c r="DC133" t="str">
        <f>""</f>
        <v/>
      </c>
      <c r="DD133" t="str">
        <f>""</f>
        <v/>
      </c>
      <c r="DE133" t="str">
        <f>""</f>
        <v/>
      </c>
      <c r="DF133" t="str">
        <f>""</f>
        <v/>
      </c>
      <c r="DG133" t="str">
        <f>""</f>
        <v/>
      </c>
      <c r="DH133" t="str">
        <f>""</f>
        <v/>
      </c>
      <c r="DI133" t="str">
        <f>""</f>
        <v/>
      </c>
      <c r="DJ133" t="str">
        <f>""</f>
        <v/>
      </c>
      <c r="DK133" t="str">
        <f>""</f>
        <v/>
      </c>
      <c r="DL133" t="str">
        <f>""</f>
        <v/>
      </c>
      <c r="DM133" t="str">
        <f>""</f>
        <v/>
      </c>
      <c r="DN133" t="str">
        <f>""</f>
        <v/>
      </c>
      <c r="DO133" t="str">
        <f>""</f>
        <v/>
      </c>
      <c r="DP133" t="str">
        <f>""</f>
        <v/>
      </c>
      <c r="DQ133" t="str">
        <f>""</f>
        <v/>
      </c>
      <c r="DR133" t="str">
        <f>""</f>
        <v/>
      </c>
      <c r="DS133" t="str">
        <f>""</f>
        <v/>
      </c>
      <c r="DT133" t="str">
        <f>""</f>
        <v/>
      </c>
      <c r="DU133" t="str">
        <f>""</f>
        <v/>
      </c>
    </row>
    <row r="134" spans="1:125" x14ac:dyDescent="0.25">
      <c r="A134" t="str">
        <f>"    Old Porsche"</f>
        <v xml:space="preserve">    Old Porsche</v>
      </c>
      <c r="B134" t="str">
        <f>"PAH3 GR Equity"</f>
        <v>PAH3 GR Equity</v>
      </c>
      <c r="C134" t="str">
        <f t="shared" si="38"/>
        <v>FS265</v>
      </c>
      <c r="D134" t="str">
        <f t="shared" si="39"/>
        <v>AUTO_VEHICLES_SOLD_WW</v>
      </c>
      <c r="E134" t="str">
        <f t="shared" si="40"/>
        <v>Dynamic</v>
      </c>
      <c r="F134" t="str">
        <f ca="1">IF(AND(ISNUMBER($F$256),$B$156=1),$F$256,HLOOKUP(INDIRECT(ADDRESS(2,COLUMN())),OFFSET($BN$2,0,0,ROW()-1,60),ROW()-1,FALSE))</f>
        <v/>
      </c>
      <c r="G134" t="str">
        <f ca="1">IF(AND(ISNUMBER($G$256),$B$156=1),$G$256,HLOOKUP(INDIRECT(ADDRESS(2,COLUMN())),OFFSET($BN$2,0,0,ROW()-1,60),ROW()-1,FALSE))</f>
        <v/>
      </c>
      <c r="H134" t="str">
        <f ca="1">IF(AND(ISNUMBER($H$256),$B$156=1),$H$256,HLOOKUP(INDIRECT(ADDRESS(2,COLUMN())),OFFSET($BN$2,0,0,ROW()-1,60),ROW()-1,FALSE))</f>
        <v/>
      </c>
      <c r="I134" t="str">
        <f ca="1">IF(AND(ISNUMBER($I$256),$B$156=1),$I$256,HLOOKUP(INDIRECT(ADDRESS(2,COLUMN())),OFFSET($BN$2,0,0,ROW()-1,60),ROW()-1,FALSE))</f>
        <v/>
      </c>
      <c r="J134" t="str">
        <f ca="1">IF(AND(ISNUMBER($J$256),$B$156=1),$J$256,HLOOKUP(INDIRECT(ADDRESS(2,COLUMN())),OFFSET($BN$2,0,0,ROW()-1,60),ROW()-1,FALSE))</f>
        <v/>
      </c>
      <c r="K134" t="str">
        <f ca="1">IF(AND(ISNUMBER($K$256),$B$156=1),$K$256,HLOOKUP(INDIRECT(ADDRESS(2,COLUMN())),OFFSET($BN$2,0,0,ROW()-1,60),ROW()-1,FALSE))</f>
        <v/>
      </c>
      <c r="L134" t="str">
        <f ca="1">IF(AND(ISNUMBER($L$256),$B$156=1),$L$256,HLOOKUP(INDIRECT(ADDRESS(2,COLUMN())),OFFSET($BN$2,0,0,ROW()-1,60),ROW()-1,FALSE))</f>
        <v/>
      </c>
      <c r="M134" t="str">
        <f ca="1">IF(AND(ISNUMBER($M$256),$B$156=1),$M$256,HLOOKUP(INDIRECT(ADDRESS(2,COLUMN())),OFFSET($BN$2,0,0,ROW()-1,60),ROW()-1,FALSE))</f>
        <v/>
      </c>
      <c r="N134" t="str">
        <f ca="1">IF(AND(ISNUMBER($N$256),$B$156=1),$N$256,HLOOKUP(INDIRECT(ADDRESS(2,COLUMN())),OFFSET($BN$2,0,0,ROW()-1,60),ROW()-1,FALSE))</f>
        <v/>
      </c>
      <c r="O134" t="str">
        <f ca="1">IF(AND(ISNUMBER($O$256),$B$156=1),$O$256,HLOOKUP(INDIRECT(ADDRESS(2,COLUMN())),OFFSET($BN$2,0,0,ROW()-1,60),ROW()-1,FALSE))</f>
        <v/>
      </c>
      <c r="P134" t="str">
        <f ca="1">IF(AND(ISNUMBER($P$256),$B$156=1),$P$256,HLOOKUP(INDIRECT(ADDRESS(2,COLUMN())),OFFSET($BN$2,0,0,ROW()-1,60),ROW()-1,FALSE))</f>
        <v/>
      </c>
      <c r="Q134" t="str">
        <f ca="1">IF(AND(ISNUMBER($Q$256),$B$156=1),$Q$256,HLOOKUP(INDIRECT(ADDRESS(2,COLUMN())),OFFSET($BN$2,0,0,ROW()-1,60),ROW()-1,FALSE))</f>
        <v/>
      </c>
      <c r="R134" t="str">
        <f ca="1">IF(AND(ISNUMBER($R$256),$B$156=1),$R$256,HLOOKUP(INDIRECT(ADDRESS(2,COLUMN())),OFFSET($BN$2,0,0,ROW()-1,60),ROW()-1,FALSE))</f>
        <v/>
      </c>
      <c r="S134" t="str">
        <f ca="1">IF(AND(ISNUMBER($S$256),$B$156=1),$S$256,HLOOKUP(INDIRECT(ADDRESS(2,COLUMN())),OFFSET($BN$2,0,0,ROW()-1,60),ROW()-1,FALSE))</f>
        <v/>
      </c>
      <c r="T134" t="str">
        <f ca="1">IF(AND(ISNUMBER($T$256),$B$156=1),$T$256,HLOOKUP(INDIRECT(ADDRESS(2,COLUMN())),OFFSET($BN$2,0,0,ROW()-1,60),ROW()-1,FALSE))</f>
        <v/>
      </c>
      <c r="U134" t="str">
        <f ca="1">IF(AND(ISNUMBER($U$256),$B$156=1),$U$256,HLOOKUP(INDIRECT(ADDRESS(2,COLUMN())),OFFSET($BN$2,0,0,ROW()-1,60),ROW()-1,FALSE))</f>
        <v/>
      </c>
      <c r="V134" t="str">
        <f ca="1">IF(AND(ISNUMBER($V$256),$B$156=1),$V$256,HLOOKUP(INDIRECT(ADDRESS(2,COLUMN())),OFFSET($BN$2,0,0,ROW()-1,60),ROW()-1,FALSE))</f>
        <v/>
      </c>
      <c r="W134" t="str">
        <f ca="1">IF(AND(ISNUMBER($W$256),$B$156=1),$W$256,HLOOKUP(INDIRECT(ADDRESS(2,COLUMN())),OFFSET($BN$2,0,0,ROW()-1,60),ROW()-1,FALSE))</f>
        <v/>
      </c>
      <c r="X134" t="str">
        <f ca="1">IF(AND(ISNUMBER($X$256),$B$156=1),$X$256,HLOOKUP(INDIRECT(ADDRESS(2,COLUMN())),OFFSET($BN$2,0,0,ROW()-1,60),ROW()-1,FALSE))</f>
        <v/>
      </c>
      <c r="Y134" t="str">
        <f ca="1">IF(AND(ISNUMBER($Y$256),$B$156=1),$Y$256,HLOOKUP(INDIRECT(ADDRESS(2,COLUMN())),OFFSET($BN$2,0,0,ROW()-1,60),ROW()-1,FALSE))</f>
        <v/>
      </c>
      <c r="Z134" t="str">
        <f ca="1">IF(AND(ISNUMBER($Z$256),$B$156=1),$Z$256,HLOOKUP(INDIRECT(ADDRESS(2,COLUMN())),OFFSET($BN$2,0,0,ROW()-1,60),ROW()-1,FALSE))</f>
        <v/>
      </c>
      <c r="AA134" t="str">
        <f ca="1">IF(AND(ISNUMBER($AA$256),$B$156=1),$AA$256,HLOOKUP(INDIRECT(ADDRESS(2,COLUMN())),OFFSET($BN$2,0,0,ROW()-1,60),ROW()-1,FALSE))</f>
        <v/>
      </c>
      <c r="AB134" t="str">
        <f ca="1">IF(AND(ISNUMBER($AB$256),$B$156=1),$AB$256,HLOOKUP(INDIRECT(ADDRESS(2,COLUMN())),OFFSET($BN$2,0,0,ROW()-1,60),ROW()-1,FALSE))</f>
        <v/>
      </c>
      <c r="AC134" t="str">
        <f ca="1">IF(AND(ISNUMBER($AC$256),$B$156=1),$AC$256,HLOOKUP(INDIRECT(ADDRESS(2,COLUMN())),OFFSET($BN$2,0,0,ROW()-1,60),ROW()-1,FALSE))</f>
        <v/>
      </c>
      <c r="AD134" t="str">
        <f ca="1">IF(AND(ISNUMBER($AD$256),$B$156=1),$AD$256,HLOOKUP(INDIRECT(ADDRESS(2,COLUMN())),OFFSET($BN$2,0,0,ROW()-1,60),ROW()-1,FALSE))</f>
        <v/>
      </c>
      <c r="AE134" t="str">
        <f ca="1">IF(AND(ISNUMBER($AE$256),$B$156=1),$AE$256,HLOOKUP(INDIRECT(ADDRESS(2,COLUMN())),OFFSET($BN$2,0,0,ROW()-1,60),ROW()-1,FALSE))</f>
        <v/>
      </c>
      <c r="AF134" t="str">
        <f ca="1">IF(AND(ISNUMBER($AF$256),$B$156=1),$AF$256,HLOOKUP(INDIRECT(ADDRESS(2,COLUMN())),OFFSET($BN$2,0,0,ROW()-1,60),ROW()-1,FALSE))</f>
        <v/>
      </c>
      <c r="AG134" t="str">
        <f ca="1">IF(AND(ISNUMBER($AG$256),$B$156=1),$AG$256,HLOOKUP(INDIRECT(ADDRESS(2,COLUMN())),OFFSET($BN$2,0,0,ROW()-1,60),ROW()-1,FALSE))</f>
        <v/>
      </c>
      <c r="AH134" t="str">
        <f ca="1">IF(AND(ISNUMBER($AH$256),$B$156=1),$AH$256,HLOOKUP(INDIRECT(ADDRESS(2,COLUMN())),OFFSET($BN$2,0,0,ROW()-1,60),ROW()-1,FALSE))</f>
        <v/>
      </c>
      <c r="AI134" t="str">
        <f ca="1">IF(AND(ISNUMBER($AI$256),$B$156=1),$AI$256,HLOOKUP(INDIRECT(ADDRESS(2,COLUMN())),OFFSET($BN$2,0,0,ROW()-1,60),ROW()-1,FALSE))</f>
        <v/>
      </c>
      <c r="AJ134" t="str">
        <f ca="1">IF(AND(ISNUMBER($AJ$256),$B$156=1),$AJ$256,HLOOKUP(INDIRECT(ADDRESS(2,COLUMN())),OFFSET($BN$2,0,0,ROW()-1,60),ROW()-1,FALSE))</f>
        <v/>
      </c>
      <c r="AK134" t="str">
        <f ca="1">IF(AND(ISNUMBER($AK$256),$B$156=1),$AK$256,HLOOKUP(INDIRECT(ADDRESS(2,COLUMN())),OFFSET($BN$2,0,0,ROW()-1,60),ROW()-1,FALSE))</f>
        <v/>
      </c>
      <c r="AL134" t="str">
        <f ca="1">IF(AND(ISNUMBER($AL$256),$B$156=1),$AL$256,HLOOKUP(INDIRECT(ADDRESS(2,COLUMN())),OFFSET($BN$2,0,0,ROW()-1,60),ROW()-1,FALSE))</f>
        <v/>
      </c>
      <c r="AM134" t="str">
        <f ca="1">IF(AND(ISNUMBER($AM$256),$B$156=1),$AM$256,HLOOKUP(INDIRECT(ADDRESS(2,COLUMN())),OFFSET($BN$2,0,0,ROW()-1,60),ROW()-1,FALSE))</f>
        <v/>
      </c>
      <c r="AN134" t="str">
        <f ca="1">IF(AND(ISNUMBER($AN$256),$B$156=1),$AN$256,HLOOKUP(INDIRECT(ADDRESS(2,COLUMN())),OFFSET($BN$2,0,0,ROW()-1,60),ROW()-1,FALSE))</f>
        <v/>
      </c>
      <c r="AO134" t="str">
        <f ca="1">IF(AND(ISNUMBER($AO$256),$B$156=1),$AO$256,HLOOKUP(INDIRECT(ADDRESS(2,COLUMN())),OFFSET($BN$2,0,0,ROW()-1,60),ROW()-1,FALSE))</f>
        <v/>
      </c>
      <c r="AP134" t="str">
        <f ca="1">IF(AND(ISNUMBER($AP$256),$B$156=1),$AP$256,HLOOKUP(INDIRECT(ADDRESS(2,COLUMN())),OFFSET($BN$2,0,0,ROW()-1,60),ROW()-1,FALSE))</f>
        <v/>
      </c>
      <c r="AQ134" t="str">
        <f ca="1">IF(AND(ISNUMBER($AQ$256),$B$156=1),$AQ$256,HLOOKUP(INDIRECT(ADDRESS(2,COLUMN())),OFFSET($BN$2,0,0,ROW()-1,60),ROW()-1,FALSE))</f>
        <v/>
      </c>
      <c r="AR134" t="str">
        <f ca="1">IF(AND(ISNUMBER($AR$256),$B$156=1),$AR$256,HLOOKUP(INDIRECT(ADDRESS(2,COLUMN())),OFFSET($BN$2,0,0,ROW()-1,60),ROW()-1,FALSE))</f>
        <v/>
      </c>
      <c r="AS134" t="str">
        <f ca="1">IF(AND(ISNUMBER($AS$256),$B$156=1),$AS$256,HLOOKUP(INDIRECT(ADDRESS(2,COLUMN())),OFFSET($BN$2,0,0,ROW()-1,60),ROW()-1,FALSE))</f>
        <v/>
      </c>
      <c r="AT134" t="str">
        <f ca="1">IF(AND(ISNUMBER($AT$256),$B$156=1),$AT$256,HLOOKUP(INDIRECT(ADDRESS(2,COLUMN())),OFFSET($BN$2,0,0,ROW()-1,60),ROW()-1,FALSE))</f>
        <v/>
      </c>
      <c r="AU134" t="str">
        <f ca="1">IF(AND(ISNUMBER($AU$256),$B$156=1),$AU$256,HLOOKUP(INDIRECT(ADDRESS(2,COLUMN())),OFFSET($BN$2,0,0,ROW()-1,60),ROW()-1,FALSE))</f>
        <v/>
      </c>
      <c r="AV134" t="str">
        <f ca="1">IF(AND(ISNUMBER($AV$256),$B$156=1),$AV$256,HLOOKUP(INDIRECT(ADDRESS(2,COLUMN())),OFFSET($BN$2,0,0,ROW()-1,60),ROW()-1,FALSE))</f>
        <v/>
      </c>
      <c r="AW134" t="str">
        <f ca="1">IF(AND(ISNUMBER($AW$256),$B$156=1),$AW$256,HLOOKUP(INDIRECT(ADDRESS(2,COLUMN())),OFFSET($BN$2,0,0,ROW()-1,60),ROW()-1,FALSE))</f>
        <v/>
      </c>
      <c r="AX134" t="str">
        <f ca="1">IF(AND(ISNUMBER($AX$256),$B$156=1),$AX$256,HLOOKUP(INDIRECT(ADDRESS(2,COLUMN())),OFFSET($BN$2,0,0,ROW()-1,60),ROW()-1,FALSE))</f>
        <v/>
      </c>
      <c r="AY134" t="str">
        <f ca="1">IF(AND(ISNUMBER($AY$256),$B$156=1),$AY$256,HLOOKUP(INDIRECT(ADDRESS(2,COLUMN())),OFFSET($BN$2,0,0,ROW()-1,60),ROW()-1,FALSE))</f>
        <v/>
      </c>
      <c r="AZ134" t="str">
        <f ca="1">IF(AND(ISNUMBER($AZ$256),$B$156=1),$AZ$256,HLOOKUP(INDIRECT(ADDRESS(2,COLUMN())),OFFSET($BN$2,0,0,ROW()-1,60),ROW()-1,FALSE))</f>
        <v/>
      </c>
      <c r="BA134" t="str">
        <f ca="1">IF(AND(ISNUMBER($BA$256),$B$156=1),$BA$256,HLOOKUP(INDIRECT(ADDRESS(2,COLUMN())),OFFSET($BN$2,0,0,ROW()-1,60),ROW()-1,FALSE))</f>
        <v/>
      </c>
      <c r="BB134" t="str">
        <f ca="1">IF(AND(ISNUMBER($BB$256),$B$156=1),$BB$256,HLOOKUP(INDIRECT(ADDRESS(2,COLUMN())),OFFSET($BN$2,0,0,ROW()-1,60),ROW()-1,FALSE))</f>
        <v/>
      </c>
      <c r="BC134" t="str">
        <f ca="1">IF(AND(ISNUMBER($BC$256),$B$156=1),$BC$256,HLOOKUP(INDIRECT(ADDRESS(2,COLUMN())),OFFSET($BN$2,0,0,ROW()-1,60),ROW()-1,FALSE))</f>
        <v/>
      </c>
      <c r="BD134" t="str">
        <f ca="1">IF(AND(ISNUMBER($BD$256),$B$156=1),$BD$256,HLOOKUP(INDIRECT(ADDRESS(2,COLUMN())),OFFSET($BN$2,0,0,ROW()-1,60),ROW()-1,FALSE))</f>
        <v/>
      </c>
      <c r="BE134" t="str">
        <f ca="1">IF(AND(ISNUMBER($BE$256),$B$156=1),$BE$256,HLOOKUP(INDIRECT(ADDRESS(2,COLUMN())),OFFSET($BN$2,0,0,ROW()-1,60),ROW()-1,FALSE))</f>
        <v/>
      </c>
      <c r="BF134" t="str">
        <f ca="1">IF(AND(ISNUMBER($BF$256),$B$156=1),$BF$256,HLOOKUP(INDIRECT(ADDRESS(2,COLUMN())),OFFSET($BN$2,0,0,ROW()-1,60),ROW()-1,FALSE))</f>
        <v/>
      </c>
      <c r="BG134" t="str">
        <f ca="1">IF(AND(ISNUMBER($BG$256),$B$156=1),$BG$256,HLOOKUP(INDIRECT(ADDRESS(2,COLUMN())),OFFSET($BN$2,0,0,ROW()-1,60),ROW()-1,FALSE))</f>
        <v/>
      </c>
      <c r="BH134" t="str">
        <f ca="1">IF(AND(ISNUMBER($BH$256),$B$156=1),$BH$256,HLOOKUP(INDIRECT(ADDRESS(2,COLUMN())),OFFSET($BN$2,0,0,ROW()-1,60),ROW()-1,FALSE))</f>
        <v/>
      </c>
      <c r="BI134" t="str">
        <f ca="1">IF(AND(ISNUMBER($BI$256),$B$156=1),$BI$256,HLOOKUP(INDIRECT(ADDRESS(2,COLUMN())),OFFSET($BN$2,0,0,ROW()-1,60),ROW()-1,FALSE))</f>
        <v/>
      </c>
      <c r="BJ134" t="str">
        <f ca="1">IF(AND(ISNUMBER($BJ$256),$B$156=1),$BJ$256,HLOOKUP(INDIRECT(ADDRESS(2,COLUMN())),OFFSET($BN$2,0,0,ROW()-1,60),ROW()-1,FALSE))</f>
        <v/>
      </c>
      <c r="BK134" t="str">
        <f ca="1">IF(AND(ISNUMBER($BK$256),$B$156=1),$BK$256,HLOOKUP(INDIRECT(ADDRESS(2,COLUMN())),OFFSET($BN$2,0,0,ROW()-1,60),ROW()-1,FALSE))</f>
        <v/>
      </c>
      <c r="BL134" t="str">
        <f ca="1">IF(AND(ISNUMBER($BL$256),$B$156=1),$BL$256,HLOOKUP(INDIRECT(ADDRESS(2,COLUMN())),OFFSET($BN$2,0,0,ROW()-1,60),ROW()-1,FALSE))</f>
        <v/>
      </c>
      <c r="BM134" t="str">
        <f ca="1">IF(AND(ISNUMBER($BM$256),$B$156=1),$BM$256,HLOOKUP(INDIRECT(ADDRESS(2,COLUMN())),OFFSET($BN$2,0,0,ROW()-1,60),ROW()-1,FALSE))</f>
        <v/>
      </c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  <c r="BT134" t="str">
        <f>""</f>
        <v/>
      </c>
      <c r="BU134" t="str">
        <f>""</f>
        <v/>
      </c>
      <c r="BV134" t="str">
        <f>""</f>
        <v/>
      </c>
      <c r="BW134" t="str">
        <f>""</f>
        <v/>
      </c>
      <c r="BX134" t="str">
        <f>""</f>
        <v/>
      </c>
      <c r="BY134" t="str">
        <f>""</f>
        <v/>
      </c>
      <c r="BZ134" t="str">
        <f>""</f>
        <v/>
      </c>
      <c r="CA134" t="str">
        <f>""</f>
        <v/>
      </c>
      <c r="CB134" t="str">
        <f>""</f>
        <v/>
      </c>
      <c r="CC134" t="str">
        <f>""</f>
        <v/>
      </c>
      <c r="CD134" t="str">
        <f>""</f>
        <v/>
      </c>
      <c r="CE134" t="str">
        <f>""</f>
        <v/>
      </c>
      <c r="CF134" t="str">
        <f>""</f>
        <v/>
      </c>
      <c r="CG134" t="str">
        <f>""</f>
        <v/>
      </c>
      <c r="CH134" t="str">
        <f>""</f>
        <v/>
      </c>
      <c r="CI134" t="str">
        <f>""</f>
        <v/>
      </c>
      <c r="CJ134" t="str">
        <f>""</f>
        <v/>
      </c>
      <c r="CK134" t="str">
        <f>""</f>
        <v/>
      </c>
      <c r="CL134" t="str">
        <f>""</f>
        <v/>
      </c>
      <c r="CM134" t="str">
        <f>""</f>
        <v/>
      </c>
      <c r="CN134" t="str">
        <f>""</f>
        <v/>
      </c>
      <c r="CO134" t="str">
        <f>""</f>
        <v/>
      </c>
      <c r="CP134" t="str">
        <f>""</f>
        <v/>
      </c>
      <c r="CQ134" t="str">
        <f>""</f>
        <v/>
      </c>
      <c r="CR134" t="str">
        <f>""</f>
        <v/>
      </c>
      <c r="CS134" t="str">
        <f>""</f>
        <v/>
      </c>
      <c r="CT134" t="str">
        <f>""</f>
        <v/>
      </c>
      <c r="CU134" t="str">
        <f>""</f>
        <v/>
      </c>
      <c r="CV134" t="str">
        <f>""</f>
        <v/>
      </c>
      <c r="CW134" t="str">
        <f>""</f>
        <v/>
      </c>
      <c r="CX134" t="str">
        <f>""</f>
        <v/>
      </c>
      <c r="CY134" t="str">
        <f>""</f>
        <v/>
      </c>
      <c r="CZ134" t="str">
        <f>""</f>
        <v/>
      </c>
      <c r="DA134" t="str">
        <f>""</f>
        <v/>
      </c>
      <c r="DB134" t="str">
        <f>""</f>
        <v/>
      </c>
      <c r="DC134" t="str">
        <f>""</f>
        <v/>
      </c>
      <c r="DD134" t="str">
        <f>""</f>
        <v/>
      </c>
      <c r="DE134" t="str">
        <f>""</f>
        <v/>
      </c>
      <c r="DF134" t="str">
        <f>""</f>
        <v/>
      </c>
      <c r="DG134" t="str">
        <f>""</f>
        <v/>
      </c>
      <c r="DH134" t="str">
        <f>""</f>
        <v/>
      </c>
      <c r="DI134" t="str">
        <f>""</f>
        <v/>
      </c>
      <c r="DJ134" t="str">
        <f>""</f>
        <v/>
      </c>
      <c r="DK134" t="str">
        <f>""</f>
        <v/>
      </c>
      <c r="DL134" t="str">
        <f>""</f>
        <v/>
      </c>
      <c r="DM134" t="str">
        <f>""</f>
        <v/>
      </c>
      <c r="DN134" t="str">
        <f>""</f>
        <v/>
      </c>
      <c r="DO134" t="str">
        <f>""</f>
        <v/>
      </c>
      <c r="DP134" t="str">
        <f>""</f>
        <v/>
      </c>
      <c r="DQ134" t="str">
        <f>""</f>
        <v/>
      </c>
      <c r="DR134" t="str">
        <f>""</f>
        <v/>
      </c>
      <c r="DS134" t="str">
        <f>""</f>
        <v/>
      </c>
      <c r="DT134" t="str">
        <f>""</f>
        <v/>
      </c>
      <c r="DU134" t="str">
        <f>""</f>
        <v/>
      </c>
    </row>
    <row r="135" spans="1:125" x14ac:dyDescent="0.25">
      <c r="A135" t="str">
        <f>"    Ssangyong Motor"</f>
        <v xml:space="preserve">    Ssangyong Motor</v>
      </c>
      <c r="B135" t="str">
        <f>"003620 KS Equity"</f>
        <v>003620 KS Equity</v>
      </c>
      <c r="C135" t="str">
        <f t="shared" si="38"/>
        <v>FS265</v>
      </c>
      <c r="D135" t="str">
        <f t="shared" si="39"/>
        <v>AUTO_VEHICLES_SOLD_WW</v>
      </c>
      <c r="E135" t="str">
        <f t="shared" si="40"/>
        <v>Dynamic</v>
      </c>
      <c r="F135" t="str">
        <f ca="1">IF(AND(ISNUMBER($F$257),$B$156=1),$F$257,HLOOKUP(INDIRECT(ADDRESS(2,COLUMN())),OFFSET($BN$2,0,0,ROW()-1,60),ROW()-1,FALSE))</f>
        <v/>
      </c>
      <c r="G135" t="str">
        <f ca="1">IF(AND(ISNUMBER($G$257),$B$156=1),$G$257,HLOOKUP(INDIRECT(ADDRESS(2,COLUMN())),OFFSET($BN$2,0,0,ROW()-1,60),ROW()-1,FALSE))</f>
        <v/>
      </c>
      <c r="H135" t="str">
        <f ca="1">IF(AND(ISNUMBER($H$257),$B$156=1),$H$257,HLOOKUP(INDIRECT(ADDRESS(2,COLUMN())),OFFSET($BN$2,0,0,ROW()-1,60),ROW()-1,FALSE))</f>
        <v/>
      </c>
      <c r="I135" t="str">
        <f ca="1">IF(AND(ISNUMBER($I$257),$B$156=1),$I$257,HLOOKUP(INDIRECT(ADDRESS(2,COLUMN())),OFFSET($BN$2,0,0,ROW()-1,60),ROW()-1,FALSE))</f>
        <v/>
      </c>
      <c r="J135">
        <f ca="1">IF(AND(ISNUMBER($J$257),$B$156=1),$J$257,HLOOKUP(INDIRECT(ADDRESS(2,COLUMN())),OFFSET($BN$2,0,0,ROW()-1,60),ROW()-1,FALSE))</f>
        <v>30664</v>
      </c>
      <c r="K135">
        <f ca="1">IF(AND(ISNUMBER($K$257),$B$156=1),$K$257,HLOOKUP(INDIRECT(ADDRESS(2,COLUMN())),OFFSET($BN$2,0,0,ROW()-1,60),ROW()-1,FALSE))</f>
        <v>37034</v>
      </c>
      <c r="L135">
        <f ca="1">IF(AND(ISNUMBER($L$257),$B$156=1),$L$257,HLOOKUP(INDIRECT(ADDRESS(2,COLUMN())),OFFSET($BN$2,0,0,ROW()-1,60),ROW()-1,FALSE))</f>
        <v>36306</v>
      </c>
      <c r="M135">
        <f ca="1">IF(AND(ISNUMBER($M$257),$B$156=1),$M$257,HLOOKUP(INDIRECT(ADDRESS(2,COLUMN())),OFFSET($BN$2,0,0,ROW()-1,60),ROW()-1,FALSE))</f>
        <v>36117</v>
      </c>
      <c r="N135">
        <f ca="1">IF(AND(ISNUMBER($N$257),$B$156=1),$N$257,HLOOKUP(INDIRECT(ADDRESS(2,COLUMN())),OFFSET($BN$2,0,0,ROW()-1,60),ROW()-1,FALSE))</f>
        <v>34228</v>
      </c>
      <c r="O135">
        <f ca="1">IF(AND(ISNUMBER($O$257),$B$156=1),$O$257,HLOOKUP(INDIRECT(ADDRESS(2,COLUMN())),OFFSET($BN$2,0,0,ROW()-1,60),ROW()-1,FALSE))</f>
        <v>44161</v>
      </c>
      <c r="P135">
        <f ca="1">IF(AND(ISNUMBER($P$257),$B$156=1),$P$257,HLOOKUP(INDIRECT(ADDRESS(2,COLUMN())),OFFSET($BN$2,0,0,ROW()-1,60),ROW()-1,FALSE))</f>
        <v>37106</v>
      </c>
      <c r="Q135">
        <f ca="1">IF(AND(ISNUMBER($Q$257),$B$156=1),$Q$257,HLOOKUP(INDIRECT(ADDRESS(2,COLUMN())),OFFSET($BN$2,0,0,ROW()-1,60),ROW()-1,FALSE))</f>
        <v>40911</v>
      </c>
      <c r="R135">
        <f ca="1">IF(AND(ISNUMBER($R$257),$B$156=1),$R$257,HLOOKUP(INDIRECT(ADDRESS(2,COLUMN())),OFFSET($BN$2,0,0,ROW()-1,60),ROW()-1,FALSE))</f>
        <v>33666</v>
      </c>
      <c r="S135">
        <f ca="1">IF(AND(ISNUMBER($S$257),$B$156=1),$S$257,HLOOKUP(INDIRECT(ADDRESS(2,COLUMN())),OFFSET($BN$2,0,0,ROW()-1,60),ROW()-1,FALSE))</f>
        <v>40890</v>
      </c>
      <c r="T135">
        <f ca="1">IF(AND(ISNUMBER($T$257),$B$156=1),$T$257,HLOOKUP(INDIRECT(ADDRESS(2,COLUMN())),OFFSET($BN$2,0,0,ROW()-1,60),ROW()-1,FALSE))</f>
        <v>34073</v>
      </c>
      <c r="U135">
        <f ca="1">IF(AND(ISNUMBER($U$257),$B$156=1),$U$257,HLOOKUP(INDIRECT(ADDRESS(2,COLUMN())),OFFSET($BN$2,0,0,ROW()-1,60),ROW()-1,FALSE))</f>
        <v>36813</v>
      </c>
      <c r="V135" t="str">
        <f ca="1">IF(AND(ISNUMBER($V$257),$B$156=1),$V$257,HLOOKUP(INDIRECT(ADDRESS(2,COLUMN())),OFFSET($BN$2,0,0,ROW()-1,60),ROW()-1,FALSE))</f>
        <v/>
      </c>
      <c r="W135">
        <f ca="1">IF(AND(ISNUMBER($W$257),$B$156=1),$W$257,HLOOKUP(INDIRECT(ADDRESS(2,COLUMN())),OFFSET($BN$2,0,0,ROW()-1,60),ROW()-1,FALSE))</f>
        <v>35418</v>
      </c>
      <c r="X135">
        <f ca="1">IF(AND(ISNUMBER($X$257),$B$156=1),$X$257,HLOOKUP(INDIRECT(ADDRESS(2,COLUMN())),OFFSET($BN$2,0,0,ROW()-1,60),ROW()-1,FALSE))</f>
        <v>31688</v>
      </c>
      <c r="Y135">
        <f ca="1">IF(AND(ISNUMBER($Y$257),$B$156=1),$Y$257,HLOOKUP(INDIRECT(ADDRESS(2,COLUMN())),OFFSET($BN$2,0,0,ROW()-1,60),ROW()-1,FALSE))</f>
        <v>37486</v>
      </c>
      <c r="Z135" t="str">
        <f ca="1">IF(AND(ISNUMBER($Z$257),$B$156=1),$Z$257,HLOOKUP(INDIRECT(ADDRESS(2,COLUMN())),OFFSET($BN$2,0,0,ROW()-1,60),ROW()-1,FALSE))</f>
        <v/>
      </c>
      <c r="AA135">
        <f ca="1">IF(AND(ISNUMBER($AA$257),$B$156=1),$AA$257,HLOOKUP(INDIRECT(ADDRESS(2,COLUMN())),OFFSET($BN$2,0,0,ROW()-1,60),ROW()-1,FALSE))</f>
        <v>39474</v>
      </c>
      <c r="AB135">
        <f ca="1">IF(AND(ISNUMBER($AB$257),$B$156=1),$AB$257,HLOOKUP(INDIRECT(ADDRESS(2,COLUMN())),OFFSET($BN$2,0,0,ROW()-1,60),ROW()-1,FALSE))</f>
        <v>34330</v>
      </c>
      <c r="AC135">
        <f ca="1">IF(AND(ISNUMBER($AC$257),$B$156=1),$AC$257,HLOOKUP(INDIRECT(ADDRESS(2,COLUMN())),OFFSET($BN$2,0,0,ROW()-1,60),ROW()-1,FALSE))</f>
        <v>37265</v>
      </c>
      <c r="AD135" t="str">
        <f ca="1">IF(AND(ISNUMBER($AD$257),$B$156=1),$AD$257,HLOOKUP(INDIRECT(ADDRESS(2,COLUMN())),OFFSET($BN$2,0,0,ROW()-1,60),ROW()-1,FALSE))</f>
        <v/>
      </c>
      <c r="AE135">
        <f ca="1">IF(AND(ISNUMBER($AE$257),$B$156=1),$AE$257,HLOOKUP(INDIRECT(ADDRESS(2,COLUMN())),OFFSET($BN$2,0,0,ROW()-1,60),ROW()-1,FALSE))</f>
        <v>33561</v>
      </c>
      <c r="AF135">
        <f ca="1">IF(AND(ISNUMBER($AF$257),$B$156=1),$AF$257,HLOOKUP(INDIRECT(ADDRESS(2,COLUMN())),OFFSET($BN$2,0,0,ROW()-1,60),ROW()-1,FALSE))</f>
        <v>29039</v>
      </c>
      <c r="AG135">
        <f ca="1">IF(AND(ISNUMBER($AG$257),$B$156=1),$AG$257,HLOOKUP(INDIRECT(ADDRESS(2,COLUMN())),OFFSET($BN$2,0,0,ROW()-1,60),ROW()-1,FALSE))</f>
        <v>30212</v>
      </c>
      <c r="AH135">
        <f ca="1">IF(AND(ISNUMBER($AH$257),$B$156=1),$AH$257,HLOOKUP(INDIRECT(ADDRESS(2,COLUMN())),OFFSET($BN$2,0,0,ROW()-1,60),ROW()-1,FALSE))</f>
        <v>26393</v>
      </c>
      <c r="AI135" t="str">
        <f ca="1">IF(AND(ISNUMBER($AI$257),$B$156=1),$AI$257,HLOOKUP(INDIRECT(ADDRESS(2,COLUMN())),OFFSET($BN$2,0,0,ROW()-1,60),ROW()-1,FALSE))</f>
        <v/>
      </c>
      <c r="AJ135">
        <f ca="1">IF(AND(ISNUMBER($AJ$257),$B$156=1),$AJ$257,HLOOKUP(INDIRECT(ADDRESS(2,COLUMN())),OFFSET($BN$2,0,0,ROW()-1,60),ROW()-1,FALSE))</f>
        <v>30307</v>
      </c>
      <c r="AK135">
        <f ca="1">IF(AND(ISNUMBER($AK$257),$B$156=1),$AK$257,HLOOKUP(INDIRECT(ADDRESS(2,COLUMN())),OFFSET($BN$2,0,0,ROW()-1,60),ROW()-1,FALSE))</f>
        <v>30772</v>
      </c>
      <c r="AL135">
        <f ca="1">IF(AND(ISNUMBER($AL$257),$B$156=1),$AL$257,HLOOKUP(INDIRECT(ADDRESS(2,COLUMN())),OFFSET($BN$2,0,0,ROW()-1,60),ROW()-1,FALSE))</f>
        <v>24441</v>
      </c>
      <c r="AM135" t="str">
        <f ca="1">IF(AND(ISNUMBER($AM$257),$B$156=1),$AM$257,HLOOKUP(INDIRECT(ADDRESS(2,COLUMN())),OFFSET($BN$2,0,0,ROW()-1,60),ROW()-1,FALSE))</f>
        <v/>
      </c>
      <c r="AN135" t="str">
        <f ca="1">IF(AND(ISNUMBER($AN$257),$B$156=1),$AN$257,HLOOKUP(INDIRECT(ADDRESS(2,COLUMN())),OFFSET($BN$2,0,0,ROW()-1,60),ROW()-1,FALSE))</f>
        <v/>
      </c>
      <c r="AO135" t="str">
        <f ca="1">IF(AND(ISNUMBER($AO$257),$B$156=1),$AO$257,HLOOKUP(INDIRECT(ADDRESS(2,COLUMN())),OFFSET($BN$2,0,0,ROW()-1,60),ROW()-1,FALSE))</f>
        <v/>
      </c>
      <c r="AP135">
        <f ca="1">IF(AND(ISNUMBER($AP$257),$B$156=1),$AP$257,HLOOKUP(INDIRECT(ADDRESS(2,COLUMN())),OFFSET($BN$2,0,0,ROW()-1,60),ROW()-1,FALSE))</f>
        <v>14623</v>
      </c>
      <c r="AQ135" t="str">
        <f ca="1">IF(AND(ISNUMBER($AQ$257),$B$156=1),$AQ$257,HLOOKUP(INDIRECT(ADDRESS(2,COLUMN())),OFFSET($BN$2,0,0,ROW()-1,60),ROW()-1,FALSE))</f>
        <v/>
      </c>
      <c r="AR135">
        <f ca="1">IF(AND(ISNUMBER($AR$257),$B$156=1),$AR$257,HLOOKUP(INDIRECT(ADDRESS(2,COLUMN())),OFFSET($BN$2,0,0,ROW()-1,60),ROW()-1,FALSE))</f>
        <v>7571</v>
      </c>
      <c r="AS135">
        <f ca="1">IF(AND(ISNUMBER($AS$257),$B$156=1),$AS$257,HLOOKUP(INDIRECT(ADDRESS(2,COLUMN())),OFFSET($BN$2,0,0,ROW()-1,60),ROW()-1,FALSE))</f>
        <v>6549</v>
      </c>
      <c r="AT135">
        <f ca="1">IF(AND(ISNUMBER($AT$257),$B$156=1),$AT$257,HLOOKUP(INDIRECT(ADDRESS(2,COLUMN())),OFFSET($BN$2,0,0,ROW()-1,60),ROW()-1,FALSE))</f>
        <v>6471</v>
      </c>
      <c r="AU135">
        <f ca="1">IF(AND(ISNUMBER($AU$257),$B$156=1),$AU$257,HLOOKUP(INDIRECT(ADDRESS(2,COLUMN())),OFFSET($BN$2,0,0,ROW()-1,60),ROW()-1,FALSE))</f>
        <v>15612</v>
      </c>
      <c r="AV135">
        <f ca="1">IF(AND(ISNUMBER($AV$257),$B$156=1),$AV$257,HLOOKUP(INDIRECT(ADDRESS(2,COLUMN())),OFFSET($BN$2,0,0,ROW()-1,60),ROW()-1,FALSE))</f>
        <v>22601</v>
      </c>
      <c r="AW135">
        <f ca="1">IF(AND(ISNUMBER($AW$257),$B$156=1),$AW$257,HLOOKUP(INDIRECT(ADDRESS(2,COLUMN())),OFFSET($BN$2,0,0,ROW()-1,60),ROW()-1,FALSE))</f>
        <v>19162</v>
      </c>
      <c r="AX135">
        <f ca="1">IF(AND(ISNUMBER($AX$257),$B$156=1),$AX$257,HLOOKUP(INDIRECT(ADDRESS(2,COLUMN())),OFFSET($BN$2,0,0,ROW()-1,60),ROW()-1,FALSE))</f>
        <v>25030</v>
      </c>
      <c r="AY135">
        <f ca="1">IF(AND(ISNUMBER($AY$257),$B$156=1),$AY$257,HLOOKUP(INDIRECT(ADDRESS(2,COLUMN())),OFFSET($BN$2,0,0,ROW()-1,60),ROW()-1,FALSE))</f>
        <v>28983</v>
      </c>
      <c r="AZ135">
        <f ca="1">IF(AND(ISNUMBER($AZ$257),$B$156=1),$AZ$257,HLOOKUP(INDIRECT(ADDRESS(2,COLUMN())),OFFSET($BN$2,0,0,ROW()-1,60),ROW()-1,FALSE))</f>
        <v>30577</v>
      </c>
      <c r="BA135">
        <f ca="1">IF(AND(ISNUMBER($BA$257),$B$156=1),$BA$257,HLOOKUP(INDIRECT(ADDRESS(2,COLUMN())),OFFSET($BN$2,0,0,ROW()-1,60),ROW()-1,FALSE))</f>
        <v>31731</v>
      </c>
      <c r="BB135">
        <f ca="1">IF(AND(ISNUMBER($BB$257),$B$156=1),$BB$257,HLOOKUP(INDIRECT(ADDRESS(2,COLUMN())),OFFSET($BN$2,0,0,ROW()-1,60),ROW()-1,FALSE))</f>
        <v>33326</v>
      </c>
      <c r="BC135">
        <f ca="1">IF(AND(ISNUMBER($BC$257),$B$156=1),$BC$257,HLOOKUP(INDIRECT(ADDRESS(2,COLUMN())),OFFSET($BN$2,0,0,ROW()-1,60),ROW()-1,FALSE))</f>
        <v>33616</v>
      </c>
      <c r="BD135">
        <f ca="1">IF(AND(ISNUMBER($BD$257),$B$156=1),$BD$257,HLOOKUP(INDIRECT(ADDRESS(2,COLUMN())),OFFSET($BN$2,0,0,ROW()-1,60),ROW()-1,FALSE))</f>
        <v>21969</v>
      </c>
      <c r="BE135">
        <f ca="1">IF(AND(ISNUMBER($BE$257),$B$156=1),$BE$257,HLOOKUP(INDIRECT(ADDRESS(2,COLUMN())),OFFSET($BN$2,0,0,ROW()-1,60),ROW()-1,FALSE))</f>
        <v>30228</v>
      </c>
      <c r="BF135">
        <f ca="1">IF(AND(ISNUMBER($BF$257),$B$156=1),$BF$257,HLOOKUP(INDIRECT(ADDRESS(2,COLUMN())),OFFSET($BN$2,0,0,ROW()-1,60),ROW()-1,FALSE))</f>
        <v>30169</v>
      </c>
      <c r="BG135">
        <f ca="1">IF(AND(ISNUMBER($BG$257),$B$156=1),$BG$257,HLOOKUP(INDIRECT(ADDRESS(2,COLUMN())),OFFSET($BN$2,0,0,ROW()-1,60),ROW()-1,FALSE))</f>
        <v>41575</v>
      </c>
      <c r="BH135">
        <f ca="1">IF(AND(ISNUMBER($BH$257),$B$156=1),$BH$257,HLOOKUP(INDIRECT(ADDRESS(2,COLUMN())),OFFSET($BN$2,0,0,ROW()-1,60),ROW()-1,FALSE))</f>
        <v>38135</v>
      </c>
      <c r="BI135">
        <f ca="1">IF(AND(ISNUMBER($BI$257),$B$156=1),$BI$257,HLOOKUP(INDIRECT(ADDRESS(2,COLUMN())),OFFSET($BN$2,0,0,ROW()-1,60),ROW()-1,FALSE))</f>
        <v>29008</v>
      </c>
      <c r="BJ135">
        <f ca="1">IF(AND(ISNUMBER($BJ$257),$B$156=1),$BJ$257,HLOOKUP(INDIRECT(ADDRESS(2,COLUMN())),OFFSET($BN$2,0,0,ROW()-1,60),ROW()-1,FALSE))</f>
        <v>30346</v>
      </c>
      <c r="BK135">
        <f ca="1">IF(AND(ISNUMBER($BK$257),$B$156=1),$BK$257,HLOOKUP(INDIRECT(ADDRESS(2,COLUMN())),OFFSET($BN$2,0,0,ROW()-1,60),ROW()-1,FALSE))</f>
        <v>34414</v>
      </c>
      <c r="BL135">
        <f ca="1">IF(AND(ISNUMBER($BL$257),$B$156=1),$BL$257,HLOOKUP(INDIRECT(ADDRESS(2,COLUMN())),OFFSET($BN$2,0,0,ROW()-1,60),ROW()-1,FALSE))</f>
        <v>29833</v>
      </c>
      <c r="BM135">
        <f ca="1">IF(AND(ISNUMBER($BM$257),$B$156=1),$BM$257,HLOOKUP(INDIRECT(ADDRESS(2,COLUMN())),OFFSET($BN$2,0,0,ROW()-1,60),ROW()-1,FALSE))</f>
        <v>35204</v>
      </c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>
        <f>30664</f>
        <v>30664</v>
      </c>
      <c r="BS135">
        <f>37034</f>
        <v>37034</v>
      </c>
      <c r="BT135">
        <f>36306</f>
        <v>36306</v>
      </c>
      <c r="BU135">
        <f>36117</f>
        <v>36117</v>
      </c>
      <c r="BV135">
        <f>34228</f>
        <v>34228</v>
      </c>
      <c r="BW135">
        <f>44161</f>
        <v>44161</v>
      </c>
      <c r="BX135">
        <f>37106</f>
        <v>37106</v>
      </c>
      <c r="BY135">
        <f>40911</f>
        <v>40911</v>
      </c>
      <c r="BZ135">
        <f>33666</f>
        <v>33666</v>
      </c>
      <c r="CA135">
        <f>40890</f>
        <v>40890</v>
      </c>
      <c r="CB135">
        <f>34073</f>
        <v>34073</v>
      </c>
      <c r="CC135">
        <f>36813</f>
        <v>36813</v>
      </c>
      <c r="CD135" t="str">
        <f>""</f>
        <v/>
      </c>
      <c r="CE135">
        <f>35418</f>
        <v>35418</v>
      </c>
      <c r="CF135">
        <f>31688</f>
        <v>31688</v>
      </c>
      <c r="CG135">
        <f>37486</f>
        <v>37486</v>
      </c>
      <c r="CH135" t="str">
        <f>""</f>
        <v/>
      </c>
      <c r="CI135">
        <f>39474</f>
        <v>39474</v>
      </c>
      <c r="CJ135">
        <f>34330</f>
        <v>34330</v>
      </c>
      <c r="CK135">
        <f>37265</f>
        <v>37265</v>
      </c>
      <c r="CL135" t="str">
        <f>""</f>
        <v/>
      </c>
      <c r="CM135">
        <f>33561</f>
        <v>33561</v>
      </c>
      <c r="CN135">
        <f>29039</f>
        <v>29039</v>
      </c>
      <c r="CO135">
        <f>30212</f>
        <v>30212</v>
      </c>
      <c r="CP135">
        <f>26393</f>
        <v>26393</v>
      </c>
      <c r="CQ135" t="str">
        <f>""</f>
        <v/>
      </c>
      <c r="CR135">
        <f>30307</f>
        <v>30307</v>
      </c>
      <c r="CS135">
        <f>30772</f>
        <v>30772</v>
      </c>
      <c r="CT135">
        <f>24441</f>
        <v>24441</v>
      </c>
      <c r="CU135" t="str">
        <f>""</f>
        <v/>
      </c>
      <c r="CV135" t="str">
        <f>""</f>
        <v/>
      </c>
      <c r="CW135" t="str">
        <f>""</f>
        <v/>
      </c>
      <c r="CX135">
        <f>14623</f>
        <v>14623</v>
      </c>
      <c r="CY135" t="str">
        <f>""</f>
        <v/>
      </c>
      <c r="CZ135">
        <f>7571</f>
        <v>7571</v>
      </c>
      <c r="DA135">
        <f>6549</f>
        <v>6549</v>
      </c>
      <c r="DB135">
        <f>6471</f>
        <v>6471</v>
      </c>
      <c r="DC135">
        <f>15612</f>
        <v>15612</v>
      </c>
      <c r="DD135">
        <f>22601</f>
        <v>22601</v>
      </c>
      <c r="DE135">
        <f>19162</f>
        <v>19162</v>
      </c>
      <c r="DF135">
        <f>25030</f>
        <v>25030</v>
      </c>
      <c r="DG135">
        <f>28983</f>
        <v>28983</v>
      </c>
      <c r="DH135">
        <f>30577</f>
        <v>30577</v>
      </c>
      <c r="DI135">
        <f>31731</f>
        <v>31731</v>
      </c>
      <c r="DJ135">
        <f>33326</f>
        <v>33326</v>
      </c>
      <c r="DK135">
        <f>33616</f>
        <v>33616</v>
      </c>
      <c r="DL135">
        <f>21969</f>
        <v>21969</v>
      </c>
      <c r="DM135">
        <f>30228</f>
        <v>30228</v>
      </c>
      <c r="DN135">
        <f>30169</f>
        <v>30169</v>
      </c>
      <c r="DO135">
        <f>41575</f>
        <v>41575</v>
      </c>
      <c r="DP135">
        <f>38135</f>
        <v>38135</v>
      </c>
      <c r="DQ135">
        <f>29008</f>
        <v>29008</v>
      </c>
      <c r="DR135">
        <f>30346</f>
        <v>30346</v>
      </c>
      <c r="DS135">
        <f>34414</f>
        <v>34414</v>
      </c>
      <c r="DT135">
        <f>29833</f>
        <v>29833</v>
      </c>
      <c r="DU135">
        <f>35204</f>
        <v>35204</v>
      </c>
    </row>
    <row r="136" spans="1:125" x14ac:dyDescent="0.25">
      <c r="A136" t="str">
        <f>"    Yulon Motor Co Ltd"</f>
        <v xml:space="preserve">    Yulon Motor Co Ltd</v>
      </c>
      <c r="B136" t="str">
        <f>"2201 TT Equity"</f>
        <v>2201 TT Equity</v>
      </c>
      <c r="C136" t="str">
        <f t="shared" si="38"/>
        <v>FS265</v>
      </c>
      <c r="D136" t="str">
        <f t="shared" si="39"/>
        <v>AUTO_VEHICLES_SOLD_WW</v>
      </c>
      <c r="E136" t="str">
        <f t="shared" si="40"/>
        <v>Dynamic</v>
      </c>
      <c r="F136" t="str">
        <f ca="1">IF(AND(ISNUMBER($F$258),$B$156=1),$F$258,HLOOKUP(INDIRECT(ADDRESS(2,COLUMN())),OFFSET($BN$2,0,0,ROW()-1,60),ROW()-1,FALSE))</f>
        <v/>
      </c>
      <c r="G136" t="str">
        <f ca="1">IF(AND(ISNUMBER($G$258),$B$156=1),$G$258,HLOOKUP(INDIRECT(ADDRESS(2,COLUMN())),OFFSET($BN$2,0,0,ROW()-1,60),ROW()-1,FALSE))</f>
        <v/>
      </c>
      <c r="H136" t="str">
        <f ca="1">IF(AND(ISNUMBER($H$258),$B$156=1),$H$258,HLOOKUP(INDIRECT(ADDRESS(2,COLUMN())),OFFSET($BN$2,0,0,ROW()-1,60),ROW()-1,FALSE))</f>
        <v/>
      </c>
      <c r="I136" t="str">
        <f ca="1">IF(AND(ISNUMBER($I$258),$B$156=1),$I$258,HLOOKUP(INDIRECT(ADDRESS(2,COLUMN())),OFFSET($BN$2,0,0,ROW()-1,60),ROW()-1,FALSE))</f>
        <v/>
      </c>
      <c r="J136" t="str">
        <f ca="1">IF(AND(ISNUMBER($J$258),$B$156=1),$J$258,HLOOKUP(INDIRECT(ADDRESS(2,COLUMN())),OFFSET($BN$2,0,0,ROW()-1,60),ROW()-1,FALSE))</f>
        <v/>
      </c>
      <c r="K136" t="str">
        <f ca="1">IF(AND(ISNUMBER($K$258),$B$156=1),$K$258,HLOOKUP(INDIRECT(ADDRESS(2,COLUMN())),OFFSET($BN$2,0,0,ROW()-1,60),ROW()-1,FALSE))</f>
        <v/>
      </c>
      <c r="L136" t="str">
        <f ca="1">IF(AND(ISNUMBER($L$258),$B$156=1),$L$258,HLOOKUP(INDIRECT(ADDRESS(2,COLUMN())),OFFSET($BN$2,0,0,ROW()-1,60),ROW()-1,FALSE))</f>
        <v/>
      </c>
      <c r="M136" t="str">
        <f ca="1">IF(AND(ISNUMBER($M$258),$B$156=1),$M$258,HLOOKUP(INDIRECT(ADDRESS(2,COLUMN())),OFFSET($BN$2,0,0,ROW()-1,60),ROW()-1,FALSE))</f>
        <v/>
      </c>
      <c r="N136" t="str">
        <f ca="1">IF(AND(ISNUMBER($N$258),$B$156=1),$N$258,HLOOKUP(INDIRECT(ADDRESS(2,COLUMN())),OFFSET($BN$2,0,0,ROW()-1,60),ROW()-1,FALSE))</f>
        <v/>
      </c>
      <c r="O136" t="str">
        <f ca="1">IF(AND(ISNUMBER($O$258),$B$156=1),$O$258,HLOOKUP(INDIRECT(ADDRESS(2,COLUMN())),OFFSET($BN$2,0,0,ROW()-1,60),ROW()-1,FALSE))</f>
        <v/>
      </c>
      <c r="P136" t="str">
        <f ca="1">IF(AND(ISNUMBER($P$258),$B$156=1),$P$258,HLOOKUP(INDIRECT(ADDRESS(2,COLUMN())),OFFSET($BN$2,0,0,ROW()-1,60),ROW()-1,FALSE))</f>
        <v/>
      </c>
      <c r="Q136" t="str">
        <f ca="1">IF(AND(ISNUMBER($Q$258),$B$156=1),$Q$258,HLOOKUP(INDIRECT(ADDRESS(2,COLUMN())),OFFSET($BN$2,0,0,ROW()-1,60),ROW()-1,FALSE))</f>
        <v/>
      </c>
      <c r="R136" t="str">
        <f ca="1">IF(AND(ISNUMBER($R$258),$B$156=1),$R$258,HLOOKUP(INDIRECT(ADDRESS(2,COLUMN())),OFFSET($BN$2,0,0,ROW()-1,60),ROW()-1,FALSE))</f>
        <v/>
      </c>
      <c r="S136" t="str">
        <f ca="1">IF(AND(ISNUMBER($S$258),$B$156=1),$S$258,HLOOKUP(INDIRECT(ADDRESS(2,COLUMN())),OFFSET($BN$2,0,0,ROW()-1,60),ROW()-1,FALSE))</f>
        <v/>
      </c>
      <c r="T136" t="str">
        <f ca="1">IF(AND(ISNUMBER($T$258),$B$156=1),$T$258,HLOOKUP(INDIRECT(ADDRESS(2,COLUMN())),OFFSET($BN$2,0,0,ROW()-1,60),ROW()-1,FALSE))</f>
        <v/>
      </c>
      <c r="U136" t="str">
        <f ca="1">IF(AND(ISNUMBER($U$258),$B$156=1),$U$258,HLOOKUP(INDIRECT(ADDRESS(2,COLUMN())),OFFSET($BN$2,0,0,ROW()-1,60),ROW()-1,FALSE))</f>
        <v/>
      </c>
      <c r="V136" t="str">
        <f ca="1">IF(AND(ISNUMBER($V$258),$B$156=1),$V$258,HLOOKUP(INDIRECT(ADDRESS(2,COLUMN())),OFFSET($BN$2,0,0,ROW()-1,60),ROW()-1,FALSE))</f>
        <v/>
      </c>
      <c r="W136" t="str">
        <f ca="1">IF(AND(ISNUMBER($W$258),$B$156=1),$W$258,HLOOKUP(INDIRECT(ADDRESS(2,COLUMN())),OFFSET($BN$2,0,0,ROW()-1,60),ROW()-1,FALSE))</f>
        <v/>
      </c>
      <c r="X136" t="str">
        <f ca="1">IF(AND(ISNUMBER($X$258),$B$156=1),$X$258,HLOOKUP(INDIRECT(ADDRESS(2,COLUMN())),OFFSET($BN$2,0,0,ROW()-1,60),ROW()-1,FALSE))</f>
        <v/>
      </c>
      <c r="Y136" t="str">
        <f ca="1">IF(AND(ISNUMBER($Y$258),$B$156=1),$Y$258,HLOOKUP(INDIRECT(ADDRESS(2,COLUMN())),OFFSET($BN$2,0,0,ROW()-1,60),ROW()-1,FALSE))</f>
        <v/>
      </c>
      <c r="Z136" t="str">
        <f ca="1">IF(AND(ISNUMBER($Z$258),$B$156=1),$Z$258,HLOOKUP(INDIRECT(ADDRESS(2,COLUMN())),OFFSET($BN$2,0,0,ROW()-1,60),ROW()-1,FALSE))</f>
        <v/>
      </c>
      <c r="AA136" t="str">
        <f ca="1">IF(AND(ISNUMBER($AA$258),$B$156=1),$AA$258,HLOOKUP(INDIRECT(ADDRESS(2,COLUMN())),OFFSET($BN$2,0,0,ROW()-1,60),ROW()-1,FALSE))</f>
        <v/>
      </c>
      <c r="AB136" t="str">
        <f ca="1">IF(AND(ISNUMBER($AB$258),$B$156=1),$AB$258,HLOOKUP(INDIRECT(ADDRESS(2,COLUMN())),OFFSET($BN$2,0,0,ROW()-1,60),ROW()-1,FALSE))</f>
        <v/>
      </c>
      <c r="AC136" t="str">
        <f ca="1">IF(AND(ISNUMBER($AC$258),$B$156=1),$AC$258,HLOOKUP(INDIRECT(ADDRESS(2,COLUMN())),OFFSET($BN$2,0,0,ROW()-1,60),ROW()-1,FALSE))</f>
        <v/>
      </c>
      <c r="AD136" t="str">
        <f ca="1">IF(AND(ISNUMBER($AD$258),$B$156=1),$AD$258,HLOOKUP(INDIRECT(ADDRESS(2,COLUMN())),OFFSET($BN$2,0,0,ROW()-1,60),ROW()-1,FALSE))</f>
        <v/>
      </c>
      <c r="AE136" t="str">
        <f ca="1">IF(AND(ISNUMBER($AE$258),$B$156=1),$AE$258,HLOOKUP(INDIRECT(ADDRESS(2,COLUMN())),OFFSET($BN$2,0,0,ROW()-1,60),ROW()-1,FALSE))</f>
        <v/>
      </c>
      <c r="AF136" t="str">
        <f ca="1">IF(AND(ISNUMBER($AF$258),$B$156=1),$AF$258,HLOOKUP(INDIRECT(ADDRESS(2,COLUMN())),OFFSET($BN$2,0,0,ROW()-1,60),ROW()-1,FALSE))</f>
        <v/>
      </c>
      <c r="AG136" t="str">
        <f ca="1">IF(AND(ISNUMBER($AG$258),$B$156=1),$AG$258,HLOOKUP(INDIRECT(ADDRESS(2,COLUMN())),OFFSET($BN$2,0,0,ROW()-1,60),ROW()-1,FALSE))</f>
        <v/>
      </c>
      <c r="AH136" t="str">
        <f ca="1">IF(AND(ISNUMBER($AH$258),$B$156=1),$AH$258,HLOOKUP(INDIRECT(ADDRESS(2,COLUMN())),OFFSET($BN$2,0,0,ROW()-1,60),ROW()-1,FALSE))</f>
        <v/>
      </c>
      <c r="AI136" t="str">
        <f ca="1">IF(AND(ISNUMBER($AI$258),$B$156=1),$AI$258,HLOOKUP(INDIRECT(ADDRESS(2,COLUMN())),OFFSET($BN$2,0,0,ROW()-1,60),ROW()-1,FALSE))</f>
        <v/>
      </c>
      <c r="AJ136" t="str">
        <f ca="1">IF(AND(ISNUMBER($AJ$258),$B$156=1),$AJ$258,HLOOKUP(INDIRECT(ADDRESS(2,COLUMN())),OFFSET($BN$2,0,0,ROW()-1,60),ROW()-1,FALSE))</f>
        <v/>
      </c>
      <c r="AK136" t="str">
        <f ca="1">IF(AND(ISNUMBER($AK$258),$B$156=1),$AK$258,HLOOKUP(INDIRECT(ADDRESS(2,COLUMN())),OFFSET($BN$2,0,0,ROW()-1,60),ROW()-1,FALSE))</f>
        <v/>
      </c>
      <c r="AL136" t="str">
        <f ca="1">IF(AND(ISNUMBER($AL$258),$B$156=1),$AL$258,HLOOKUP(INDIRECT(ADDRESS(2,COLUMN())),OFFSET($BN$2,0,0,ROW()-1,60),ROW()-1,FALSE))</f>
        <v/>
      </c>
      <c r="AM136" t="str">
        <f ca="1">IF(AND(ISNUMBER($AM$258),$B$156=1),$AM$258,HLOOKUP(INDIRECT(ADDRESS(2,COLUMN())),OFFSET($BN$2,0,0,ROW()-1,60),ROW()-1,FALSE))</f>
        <v/>
      </c>
      <c r="AN136" t="str">
        <f ca="1">IF(AND(ISNUMBER($AN$258),$B$156=1),$AN$258,HLOOKUP(INDIRECT(ADDRESS(2,COLUMN())),OFFSET($BN$2,0,0,ROW()-1,60),ROW()-1,FALSE))</f>
        <v/>
      </c>
      <c r="AO136" t="str">
        <f ca="1">IF(AND(ISNUMBER($AO$258),$B$156=1),$AO$258,HLOOKUP(INDIRECT(ADDRESS(2,COLUMN())),OFFSET($BN$2,0,0,ROW()-1,60),ROW()-1,FALSE))</f>
        <v/>
      </c>
      <c r="AP136" t="str">
        <f ca="1">IF(AND(ISNUMBER($AP$258),$B$156=1),$AP$258,HLOOKUP(INDIRECT(ADDRESS(2,COLUMN())),OFFSET($BN$2,0,0,ROW()-1,60),ROW()-1,FALSE))</f>
        <v/>
      </c>
      <c r="AQ136" t="str">
        <f ca="1">IF(AND(ISNUMBER($AQ$258),$B$156=1),$AQ$258,HLOOKUP(INDIRECT(ADDRESS(2,COLUMN())),OFFSET($BN$2,0,0,ROW()-1,60),ROW()-1,FALSE))</f>
        <v/>
      </c>
      <c r="AR136" t="str">
        <f ca="1">IF(AND(ISNUMBER($AR$258),$B$156=1),$AR$258,HLOOKUP(INDIRECT(ADDRESS(2,COLUMN())),OFFSET($BN$2,0,0,ROW()-1,60),ROW()-1,FALSE))</f>
        <v/>
      </c>
      <c r="AS136" t="str">
        <f ca="1">IF(AND(ISNUMBER($AS$258),$B$156=1),$AS$258,HLOOKUP(INDIRECT(ADDRESS(2,COLUMN())),OFFSET($BN$2,0,0,ROW()-1,60),ROW()-1,FALSE))</f>
        <v/>
      </c>
      <c r="AT136" t="str">
        <f ca="1">IF(AND(ISNUMBER($AT$258),$B$156=1),$AT$258,HLOOKUP(INDIRECT(ADDRESS(2,COLUMN())),OFFSET($BN$2,0,0,ROW()-1,60),ROW()-1,FALSE))</f>
        <v/>
      </c>
      <c r="AU136" t="str">
        <f ca="1">IF(AND(ISNUMBER($AU$258),$B$156=1),$AU$258,HLOOKUP(INDIRECT(ADDRESS(2,COLUMN())),OFFSET($BN$2,0,0,ROW()-1,60),ROW()-1,FALSE))</f>
        <v/>
      </c>
      <c r="AV136" t="str">
        <f ca="1">IF(AND(ISNUMBER($AV$258),$B$156=1),$AV$258,HLOOKUP(INDIRECT(ADDRESS(2,COLUMN())),OFFSET($BN$2,0,0,ROW()-1,60),ROW()-1,FALSE))</f>
        <v/>
      </c>
      <c r="AW136" t="str">
        <f ca="1">IF(AND(ISNUMBER($AW$258),$B$156=1),$AW$258,HLOOKUP(INDIRECT(ADDRESS(2,COLUMN())),OFFSET($BN$2,0,0,ROW()-1,60),ROW()-1,FALSE))</f>
        <v/>
      </c>
      <c r="AX136" t="str">
        <f ca="1">IF(AND(ISNUMBER($AX$258),$B$156=1),$AX$258,HLOOKUP(INDIRECT(ADDRESS(2,COLUMN())),OFFSET($BN$2,0,0,ROW()-1,60),ROW()-1,FALSE))</f>
        <v/>
      </c>
      <c r="AY136" t="str">
        <f ca="1">IF(AND(ISNUMBER($AY$258),$B$156=1),$AY$258,HLOOKUP(INDIRECT(ADDRESS(2,COLUMN())),OFFSET($BN$2,0,0,ROW()-1,60),ROW()-1,FALSE))</f>
        <v/>
      </c>
      <c r="AZ136" t="str">
        <f ca="1">IF(AND(ISNUMBER($AZ$258),$B$156=1),$AZ$258,HLOOKUP(INDIRECT(ADDRESS(2,COLUMN())),OFFSET($BN$2,0,0,ROW()-1,60),ROW()-1,FALSE))</f>
        <v/>
      </c>
      <c r="BA136" t="str">
        <f ca="1">IF(AND(ISNUMBER($BA$258),$B$156=1),$BA$258,HLOOKUP(INDIRECT(ADDRESS(2,COLUMN())),OFFSET($BN$2,0,0,ROW()-1,60),ROW()-1,FALSE))</f>
        <v/>
      </c>
      <c r="BB136" t="str">
        <f ca="1">IF(AND(ISNUMBER($BB$258),$B$156=1),$BB$258,HLOOKUP(INDIRECT(ADDRESS(2,COLUMN())),OFFSET($BN$2,0,0,ROW()-1,60),ROW()-1,FALSE))</f>
        <v/>
      </c>
      <c r="BC136" t="str">
        <f ca="1">IF(AND(ISNUMBER($BC$258),$B$156=1),$BC$258,HLOOKUP(INDIRECT(ADDRESS(2,COLUMN())),OFFSET($BN$2,0,0,ROW()-1,60),ROW()-1,FALSE))</f>
        <v/>
      </c>
      <c r="BD136" t="str">
        <f ca="1">IF(AND(ISNUMBER($BD$258),$B$156=1),$BD$258,HLOOKUP(INDIRECT(ADDRESS(2,COLUMN())),OFFSET($BN$2,0,0,ROW()-1,60),ROW()-1,FALSE))</f>
        <v/>
      </c>
      <c r="BE136" t="str">
        <f ca="1">IF(AND(ISNUMBER($BE$258),$B$156=1),$BE$258,HLOOKUP(INDIRECT(ADDRESS(2,COLUMN())),OFFSET($BN$2,0,0,ROW()-1,60),ROW()-1,FALSE))</f>
        <v/>
      </c>
      <c r="BF136" t="str">
        <f ca="1">IF(AND(ISNUMBER($BF$258),$B$156=1),$BF$258,HLOOKUP(INDIRECT(ADDRESS(2,COLUMN())),OFFSET($BN$2,0,0,ROW()-1,60),ROW()-1,FALSE))</f>
        <v/>
      </c>
      <c r="BG136" t="str">
        <f ca="1">IF(AND(ISNUMBER($BG$258),$B$156=1),$BG$258,HLOOKUP(INDIRECT(ADDRESS(2,COLUMN())),OFFSET($BN$2,0,0,ROW()-1,60),ROW()-1,FALSE))</f>
        <v/>
      </c>
      <c r="BH136" t="str">
        <f ca="1">IF(AND(ISNUMBER($BH$258),$B$156=1),$BH$258,HLOOKUP(INDIRECT(ADDRESS(2,COLUMN())),OFFSET($BN$2,0,0,ROW()-1,60),ROW()-1,FALSE))</f>
        <v/>
      </c>
      <c r="BI136" t="str">
        <f ca="1">IF(AND(ISNUMBER($BI$258),$B$156=1),$BI$258,HLOOKUP(INDIRECT(ADDRESS(2,COLUMN())),OFFSET($BN$2,0,0,ROW()-1,60),ROW()-1,FALSE))</f>
        <v/>
      </c>
      <c r="BJ136" t="str">
        <f ca="1">IF(AND(ISNUMBER($BJ$258),$B$156=1),$BJ$258,HLOOKUP(INDIRECT(ADDRESS(2,COLUMN())),OFFSET($BN$2,0,0,ROW()-1,60),ROW()-1,FALSE))</f>
        <v/>
      </c>
      <c r="BK136" t="str">
        <f ca="1">IF(AND(ISNUMBER($BK$258),$B$156=1),$BK$258,HLOOKUP(INDIRECT(ADDRESS(2,COLUMN())),OFFSET($BN$2,0,0,ROW()-1,60),ROW()-1,FALSE))</f>
        <v/>
      </c>
      <c r="BL136" t="str">
        <f ca="1">IF(AND(ISNUMBER($BL$258),$B$156=1),$BL$258,HLOOKUP(INDIRECT(ADDRESS(2,COLUMN())),OFFSET($BN$2,0,0,ROW()-1,60),ROW()-1,FALSE))</f>
        <v/>
      </c>
      <c r="BM136" t="str">
        <f ca="1">IF(AND(ISNUMBER($BM$258),$B$156=1),$BM$258,HLOOKUP(INDIRECT(ADDRESS(2,COLUMN())),OFFSET($BN$2,0,0,ROW()-1,60),ROW()-1,FALSE))</f>
        <v/>
      </c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  <c r="BT136" t="str">
        <f>""</f>
        <v/>
      </c>
      <c r="BU136" t="str">
        <f>""</f>
        <v/>
      </c>
      <c r="BV136" t="str">
        <f>""</f>
        <v/>
      </c>
      <c r="BW136" t="str">
        <f>""</f>
        <v/>
      </c>
      <c r="BX136" t="str">
        <f>""</f>
        <v/>
      </c>
      <c r="BY136" t="str">
        <f>""</f>
        <v/>
      </c>
      <c r="BZ136" t="str">
        <f>""</f>
        <v/>
      </c>
      <c r="CA136" t="str">
        <f>""</f>
        <v/>
      </c>
      <c r="CB136" t="str">
        <f>""</f>
        <v/>
      </c>
      <c r="CC136" t="str">
        <f>""</f>
        <v/>
      </c>
      <c r="CD136" t="str">
        <f>""</f>
        <v/>
      </c>
      <c r="CE136" t="str">
        <f>""</f>
        <v/>
      </c>
      <c r="CF136" t="str">
        <f>""</f>
        <v/>
      </c>
      <c r="CG136" t="str">
        <f>""</f>
        <v/>
      </c>
      <c r="CH136" t="str">
        <f>""</f>
        <v/>
      </c>
      <c r="CI136" t="str">
        <f>""</f>
        <v/>
      </c>
      <c r="CJ136" t="str">
        <f>""</f>
        <v/>
      </c>
      <c r="CK136" t="str">
        <f>""</f>
        <v/>
      </c>
      <c r="CL136" t="str">
        <f>""</f>
        <v/>
      </c>
      <c r="CM136" t="str">
        <f>""</f>
        <v/>
      </c>
      <c r="CN136" t="str">
        <f>""</f>
        <v/>
      </c>
      <c r="CO136" t="str">
        <f>""</f>
        <v/>
      </c>
      <c r="CP136" t="str">
        <f>""</f>
        <v/>
      </c>
      <c r="CQ136" t="str">
        <f>""</f>
        <v/>
      </c>
      <c r="CR136" t="str">
        <f>""</f>
        <v/>
      </c>
      <c r="CS136" t="str">
        <f>""</f>
        <v/>
      </c>
      <c r="CT136" t="str">
        <f>""</f>
        <v/>
      </c>
      <c r="CU136" t="str">
        <f>""</f>
        <v/>
      </c>
      <c r="CV136" t="str">
        <f>""</f>
        <v/>
      </c>
      <c r="CW136" t="str">
        <f>""</f>
        <v/>
      </c>
      <c r="CX136" t="str">
        <f>""</f>
        <v/>
      </c>
      <c r="CY136" t="str">
        <f>""</f>
        <v/>
      </c>
      <c r="CZ136" t="str">
        <f>""</f>
        <v/>
      </c>
      <c r="DA136" t="str">
        <f>""</f>
        <v/>
      </c>
      <c r="DB136" t="str">
        <f>""</f>
        <v/>
      </c>
      <c r="DC136" t="str">
        <f>""</f>
        <v/>
      </c>
      <c r="DD136" t="str">
        <f>""</f>
        <v/>
      </c>
      <c r="DE136" t="str">
        <f>""</f>
        <v/>
      </c>
      <c r="DF136" t="str">
        <f>""</f>
        <v/>
      </c>
      <c r="DG136" t="str">
        <f>""</f>
        <v/>
      </c>
      <c r="DH136" t="str">
        <f>""</f>
        <v/>
      </c>
      <c r="DI136" t="str">
        <f>""</f>
        <v/>
      </c>
      <c r="DJ136" t="str">
        <f>""</f>
        <v/>
      </c>
      <c r="DK136" t="str">
        <f>""</f>
        <v/>
      </c>
      <c r="DL136" t="str">
        <f>""</f>
        <v/>
      </c>
      <c r="DM136" t="str">
        <f>""</f>
        <v/>
      </c>
      <c r="DN136" t="str">
        <f>""</f>
        <v/>
      </c>
      <c r="DO136" t="str">
        <f>""</f>
        <v/>
      </c>
      <c r="DP136" t="str">
        <f>""</f>
        <v/>
      </c>
      <c r="DQ136" t="str">
        <f>""</f>
        <v/>
      </c>
      <c r="DR136" t="str">
        <f>""</f>
        <v/>
      </c>
      <c r="DS136" t="str">
        <f>""</f>
        <v/>
      </c>
      <c r="DT136" t="str">
        <f>""</f>
        <v/>
      </c>
      <c r="DU136" t="str">
        <f>""</f>
        <v/>
      </c>
    </row>
    <row r="137" spans="1:125" x14ac:dyDescent="0.25">
      <c r="A137" t="str">
        <f>"    Sanyang Industry Co Ltd"</f>
        <v xml:space="preserve">    Sanyang Industry Co Ltd</v>
      </c>
      <c r="B137" t="str">
        <f>"2206 TT Equity"</f>
        <v>2206 TT Equity</v>
      </c>
      <c r="C137" t="str">
        <f t="shared" si="38"/>
        <v>FS265</v>
      </c>
      <c r="D137" t="str">
        <f t="shared" si="39"/>
        <v>AUTO_VEHICLES_SOLD_WW</v>
      </c>
      <c r="E137" t="str">
        <f t="shared" si="40"/>
        <v>Dynamic</v>
      </c>
      <c r="F137" t="str">
        <f ca="1">IF(AND(ISNUMBER($F$259),$B$156=1),$F$259,HLOOKUP(INDIRECT(ADDRESS(2,COLUMN())),OFFSET($BN$2,0,0,ROW()-1,60),ROW()-1,FALSE))</f>
        <v/>
      </c>
      <c r="G137" t="str">
        <f ca="1">IF(AND(ISNUMBER($G$259),$B$156=1),$G$259,HLOOKUP(INDIRECT(ADDRESS(2,COLUMN())),OFFSET($BN$2,0,0,ROW()-1,60),ROW()-1,FALSE))</f>
        <v/>
      </c>
      <c r="H137" t="str">
        <f ca="1">IF(AND(ISNUMBER($H$259),$B$156=1),$H$259,HLOOKUP(INDIRECT(ADDRESS(2,COLUMN())),OFFSET($BN$2,0,0,ROW()-1,60),ROW()-1,FALSE))</f>
        <v/>
      </c>
      <c r="I137" t="str">
        <f ca="1">IF(AND(ISNUMBER($I$259),$B$156=1),$I$259,HLOOKUP(INDIRECT(ADDRESS(2,COLUMN())),OFFSET($BN$2,0,0,ROW()-1,60),ROW()-1,FALSE))</f>
        <v/>
      </c>
      <c r="J137" t="str">
        <f ca="1">IF(AND(ISNUMBER($J$259),$B$156=1),$J$259,HLOOKUP(INDIRECT(ADDRESS(2,COLUMN())),OFFSET($BN$2,0,0,ROW()-1,60),ROW()-1,FALSE))</f>
        <v/>
      </c>
      <c r="K137" t="str">
        <f ca="1">IF(AND(ISNUMBER($K$259),$B$156=1),$K$259,HLOOKUP(INDIRECT(ADDRESS(2,COLUMN())),OFFSET($BN$2,0,0,ROW()-1,60),ROW()-1,FALSE))</f>
        <v/>
      </c>
      <c r="L137" t="str">
        <f ca="1">IF(AND(ISNUMBER($L$259),$B$156=1),$L$259,HLOOKUP(INDIRECT(ADDRESS(2,COLUMN())),OFFSET($BN$2,0,0,ROW()-1,60),ROW()-1,FALSE))</f>
        <v/>
      </c>
      <c r="M137" t="str">
        <f ca="1">IF(AND(ISNUMBER($M$259),$B$156=1),$M$259,HLOOKUP(INDIRECT(ADDRESS(2,COLUMN())),OFFSET($BN$2,0,0,ROW()-1,60),ROW()-1,FALSE))</f>
        <v/>
      </c>
      <c r="N137" t="str">
        <f ca="1">IF(AND(ISNUMBER($N$259),$B$156=1),$N$259,HLOOKUP(INDIRECT(ADDRESS(2,COLUMN())),OFFSET($BN$2,0,0,ROW()-1,60),ROW()-1,FALSE))</f>
        <v/>
      </c>
      <c r="O137" t="str">
        <f ca="1">IF(AND(ISNUMBER($O$259),$B$156=1),$O$259,HLOOKUP(INDIRECT(ADDRESS(2,COLUMN())),OFFSET($BN$2,0,0,ROW()-1,60),ROW()-1,FALSE))</f>
        <v/>
      </c>
      <c r="P137" t="str">
        <f ca="1">IF(AND(ISNUMBER($P$259),$B$156=1),$P$259,HLOOKUP(INDIRECT(ADDRESS(2,COLUMN())),OFFSET($BN$2,0,0,ROW()-1,60),ROW()-1,FALSE))</f>
        <v/>
      </c>
      <c r="Q137" t="str">
        <f ca="1">IF(AND(ISNUMBER($Q$259),$B$156=1),$Q$259,HLOOKUP(INDIRECT(ADDRESS(2,COLUMN())),OFFSET($BN$2,0,0,ROW()-1,60),ROW()-1,FALSE))</f>
        <v/>
      </c>
      <c r="R137" t="str">
        <f ca="1">IF(AND(ISNUMBER($R$259),$B$156=1),$R$259,HLOOKUP(INDIRECT(ADDRESS(2,COLUMN())),OFFSET($BN$2,0,0,ROW()-1,60),ROW()-1,FALSE))</f>
        <v/>
      </c>
      <c r="S137" t="str">
        <f ca="1">IF(AND(ISNUMBER($S$259),$B$156=1),$S$259,HLOOKUP(INDIRECT(ADDRESS(2,COLUMN())),OFFSET($BN$2,0,0,ROW()-1,60),ROW()-1,FALSE))</f>
        <v/>
      </c>
      <c r="T137" t="str">
        <f ca="1">IF(AND(ISNUMBER($T$259),$B$156=1),$T$259,HLOOKUP(INDIRECT(ADDRESS(2,COLUMN())),OFFSET($BN$2,0,0,ROW()-1,60),ROW()-1,FALSE))</f>
        <v/>
      </c>
      <c r="U137" t="str">
        <f ca="1">IF(AND(ISNUMBER($U$259),$B$156=1),$U$259,HLOOKUP(INDIRECT(ADDRESS(2,COLUMN())),OFFSET($BN$2,0,0,ROW()-1,60),ROW()-1,FALSE))</f>
        <v/>
      </c>
      <c r="V137" t="str">
        <f ca="1">IF(AND(ISNUMBER($V$259),$B$156=1),$V$259,HLOOKUP(INDIRECT(ADDRESS(2,COLUMN())),OFFSET($BN$2,0,0,ROW()-1,60),ROW()-1,FALSE))</f>
        <v/>
      </c>
      <c r="W137" t="str">
        <f ca="1">IF(AND(ISNUMBER($W$259),$B$156=1),$W$259,HLOOKUP(INDIRECT(ADDRESS(2,COLUMN())),OFFSET($BN$2,0,0,ROW()-1,60),ROW()-1,FALSE))</f>
        <v/>
      </c>
      <c r="X137" t="str">
        <f ca="1">IF(AND(ISNUMBER($X$259),$B$156=1),$X$259,HLOOKUP(INDIRECT(ADDRESS(2,COLUMN())),OFFSET($BN$2,0,0,ROW()-1,60),ROW()-1,FALSE))</f>
        <v/>
      </c>
      <c r="Y137" t="str">
        <f ca="1">IF(AND(ISNUMBER($Y$259),$B$156=1),$Y$259,HLOOKUP(INDIRECT(ADDRESS(2,COLUMN())),OFFSET($BN$2,0,0,ROW()-1,60),ROW()-1,FALSE))</f>
        <v/>
      </c>
      <c r="Z137" t="str">
        <f ca="1">IF(AND(ISNUMBER($Z$259),$B$156=1),$Z$259,HLOOKUP(INDIRECT(ADDRESS(2,COLUMN())),OFFSET($BN$2,0,0,ROW()-1,60),ROW()-1,FALSE))</f>
        <v/>
      </c>
      <c r="AA137" t="str">
        <f ca="1">IF(AND(ISNUMBER($AA$259),$B$156=1),$AA$259,HLOOKUP(INDIRECT(ADDRESS(2,COLUMN())),OFFSET($BN$2,0,0,ROW()-1,60),ROW()-1,FALSE))</f>
        <v/>
      </c>
      <c r="AB137" t="str">
        <f ca="1">IF(AND(ISNUMBER($AB$259),$B$156=1),$AB$259,HLOOKUP(INDIRECT(ADDRESS(2,COLUMN())),OFFSET($BN$2,0,0,ROW()-1,60),ROW()-1,FALSE))</f>
        <v/>
      </c>
      <c r="AC137" t="str">
        <f ca="1">IF(AND(ISNUMBER($AC$259),$B$156=1),$AC$259,HLOOKUP(INDIRECT(ADDRESS(2,COLUMN())),OFFSET($BN$2,0,0,ROW()-1,60),ROW()-1,FALSE))</f>
        <v/>
      </c>
      <c r="AD137" t="str">
        <f ca="1">IF(AND(ISNUMBER($AD$259),$B$156=1),$AD$259,HLOOKUP(INDIRECT(ADDRESS(2,COLUMN())),OFFSET($BN$2,0,0,ROW()-1,60),ROW()-1,FALSE))</f>
        <v/>
      </c>
      <c r="AE137" t="str">
        <f ca="1">IF(AND(ISNUMBER($AE$259),$B$156=1),$AE$259,HLOOKUP(INDIRECT(ADDRESS(2,COLUMN())),OFFSET($BN$2,0,0,ROW()-1,60),ROW()-1,FALSE))</f>
        <v/>
      </c>
      <c r="AF137" t="str">
        <f ca="1">IF(AND(ISNUMBER($AF$259),$B$156=1),$AF$259,HLOOKUP(INDIRECT(ADDRESS(2,COLUMN())),OFFSET($BN$2,0,0,ROW()-1,60),ROW()-1,FALSE))</f>
        <v/>
      </c>
      <c r="AG137" t="str">
        <f ca="1">IF(AND(ISNUMBER($AG$259),$B$156=1),$AG$259,HLOOKUP(INDIRECT(ADDRESS(2,COLUMN())),OFFSET($BN$2,0,0,ROW()-1,60),ROW()-1,FALSE))</f>
        <v/>
      </c>
      <c r="AH137" t="str">
        <f ca="1">IF(AND(ISNUMBER($AH$259),$B$156=1),$AH$259,HLOOKUP(INDIRECT(ADDRESS(2,COLUMN())),OFFSET($BN$2,0,0,ROW()-1,60),ROW()-1,FALSE))</f>
        <v/>
      </c>
      <c r="AI137" t="str">
        <f ca="1">IF(AND(ISNUMBER($AI$259),$B$156=1),$AI$259,HLOOKUP(INDIRECT(ADDRESS(2,COLUMN())),OFFSET($BN$2,0,0,ROW()-1,60),ROW()-1,FALSE))</f>
        <v/>
      </c>
      <c r="AJ137" t="str">
        <f ca="1">IF(AND(ISNUMBER($AJ$259),$B$156=1),$AJ$259,HLOOKUP(INDIRECT(ADDRESS(2,COLUMN())),OFFSET($BN$2,0,0,ROW()-1,60),ROW()-1,FALSE))</f>
        <v/>
      </c>
      <c r="AK137" t="str">
        <f ca="1">IF(AND(ISNUMBER($AK$259),$B$156=1),$AK$259,HLOOKUP(INDIRECT(ADDRESS(2,COLUMN())),OFFSET($BN$2,0,0,ROW()-1,60),ROW()-1,FALSE))</f>
        <v/>
      </c>
      <c r="AL137" t="str">
        <f ca="1">IF(AND(ISNUMBER($AL$259),$B$156=1),$AL$259,HLOOKUP(INDIRECT(ADDRESS(2,COLUMN())),OFFSET($BN$2,0,0,ROW()-1,60),ROW()-1,FALSE))</f>
        <v/>
      </c>
      <c r="AM137" t="str">
        <f ca="1">IF(AND(ISNUMBER($AM$259),$B$156=1),$AM$259,HLOOKUP(INDIRECT(ADDRESS(2,COLUMN())),OFFSET($BN$2,0,0,ROW()-1,60),ROW()-1,FALSE))</f>
        <v/>
      </c>
      <c r="AN137" t="str">
        <f ca="1">IF(AND(ISNUMBER($AN$259),$B$156=1),$AN$259,HLOOKUP(INDIRECT(ADDRESS(2,COLUMN())),OFFSET($BN$2,0,0,ROW()-1,60),ROW()-1,FALSE))</f>
        <v/>
      </c>
      <c r="AO137" t="str">
        <f ca="1">IF(AND(ISNUMBER($AO$259),$B$156=1),$AO$259,HLOOKUP(INDIRECT(ADDRESS(2,COLUMN())),OFFSET($BN$2,0,0,ROW()-1,60),ROW()-1,FALSE))</f>
        <v/>
      </c>
      <c r="AP137" t="str">
        <f ca="1">IF(AND(ISNUMBER($AP$259),$B$156=1),$AP$259,HLOOKUP(INDIRECT(ADDRESS(2,COLUMN())),OFFSET($BN$2,0,0,ROW()-1,60),ROW()-1,FALSE))</f>
        <v/>
      </c>
      <c r="AQ137" t="str">
        <f ca="1">IF(AND(ISNUMBER($AQ$259),$B$156=1),$AQ$259,HLOOKUP(INDIRECT(ADDRESS(2,COLUMN())),OFFSET($BN$2,0,0,ROW()-1,60),ROW()-1,FALSE))</f>
        <v/>
      </c>
      <c r="AR137" t="str">
        <f ca="1">IF(AND(ISNUMBER($AR$259),$B$156=1),$AR$259,HLOOKUP(INDIRECT(ADDRESS(2,COLUMN())),OFFSET($BN$2,0,0,ROW()-1,60),ROW()-1,FALSE))</f>
        <v/>
      </c>
      <c r="AS137" t="str">
        <f ca="1">IF(AND(ISNUMBER($AS$259),$B$156=1),$AS$259,HLOOKUP(INDIRECT(ADDRESS(2,COLUMN())),OFFSET($BN$2,0,0,ROW()-1,60),ROW()-1,FALSE))</f>
        <v/>
      </c>
      <c r="AT137" t="str">
        <f ca="1">IF(AND(ISNUMBER($AT$259),$B$156=1),$AT$259,HLOOKUP(INDIRECT(ADDRESS(2,COLUMN())),OFFSET($BN$2,0,0,ROW()-1,60),ROW()-1,FALSE))</f>
        <v/>
      </c>
      <c r="AU137" t="str">
        <f ca="1">IF(AND(ISNUMBER($AU$259),$B$156=1),$AU$259,HLOOKUP(INDIRECT(ADDRESS(2,COLUMN())),OFFSET($BN$2,0,0,ROW()-1,60),ROW()-1,FALSE))</f>
        <v/>
      </c>
      <c r="AV137" t="str">
        <f ca="1">IF(AND(ISNUMBER($AV$259),$B$156=1),$AV$259,HLOOKUP(INDIRECT(ADDRESS(2,COLUMN())),OFFSET($BN$2,0,0,ROW()-1,60),ROW()-1,FALSE))</f>
        <v/>
      </c>
      <c r="AW137" t="str">
        <f ca="1">IF(AND(ISNUMBER($AW$259),$B$156=1),$AW$259,HLOOKUP(INDIRECT(ADDRESS(2,COLUMN())),OFFSET($BN$2,0,0,ROW()-1,60),ROW()-1,FALSE))</f>
        <v/>
      </c>
      <c r="AX137" t="str">
        <f ca="1">IF(AND(ISNUMBER($AX$259),$B$156=1),$AX$259,HLOOKUP(INDIRECT(ADDRESS(2,COLUMN())),OFFSET($BN$2,0,0,ROW()-1,60),ROW()-1,FALSE))</f>
        <v/>
      </c>
      <c r="AY137" t="str">
        <f ca="1">IF(AND(ISNUMBER($AY$259),$B$156=1),$AY$259,HLOOKUP(INDIRECT(ADDRESS(2,COLUMN())),OFFSET($BN$2,0,0,ROW()-1,60),ROW()-1,FALSE))</f>
        <v/>
      </c>
      <c r="AZ137" t="str">
        <f ca="1">IF(AND(ISNUMBER($AZ$259),$B$156=1),$AZ$259,HLOOKUP(INDIRECT(ADDRESS(2,COLUMN())),OFFSET($BN$2,0,0,ROW()-1,60),ROW()-1,FALSE))</f>
        <v/>
      </c>
      <c r="BA137" t="str">
        <f ca="1">IF(AND(ISNUMBER($BA$259),$B$156=1),$BA$259,HLOOKUP(INDIRECT(ADDRESS(2,COLUMN())),OFFSET($BN$2,0,0,ROW()-1,60),ROW()-1,FALSE))</f>
        <v/>
      </c>
      <c r="BB137" t="str">
        <f ca="1">IF(AND(ISNUMBER($BB$259),$B$156=1),$BB$259,HLOOKUP(INDIRECT(ADDRESS(2,COLUMN())),OFFSET($BN$2,0,0,ROW()-1,60),ROW()-1,FALSE))</f>
        <v/>
      </c>
      <c r="BC137" t="str">
        <f ca="1">IF(AND(ISNUMBER($BC$259),$B$156=1),$BC$259,HLOOKUP(INDIRECT(ADDRESS(2,COLUMN())),OFFSET($BN$2,0,0,ROW()-1,60),ROW()-1,FALSE))</f>
        <v/>
      </c>
      <c r="BD137" t="str">
        <f ca="1">IF(AND(ISNUMBER($BD$259),$B$156=1),$BD$259,HLOOKUP(INDIRECT(ADDRESS(2,COLUMN())),OFFSET($BN$2,0,0,ROW()-1,60),ROW()-1,FALSE))</f>
        <v/>
      </c>
      <c r="BE137" t="str">
        <f ca="1">IF(AND(ISNUMBER($BE$259),$B$156=1),$BE$259,HLOOKUP(INDIRECT(ADDRESS(2,COLUMN())),OFFSET($BN$2,0,0,ROW()-1,60),ROW()-1,FALSE))</f>
        <v/>
      </c>
      <c r="BF137" t="str">
        <f ca="1">IF(AND(ISNUMBER($BF$259),$B$156=1),$BF$259,HLOOKUP(INDIRECT(ADDRESS(2,COLUMN())),OFFSET($BN$2,0,0,ROW()-1,60),ROW()-1,FALSE))</f>
        <v/>
      </c>
      <c r="BG137" t="str">
        <f ca="1">IF(AND(ISNUMBER($BG$259),$B$156=1),$BG$259,HLOOKUP(INDIRECT(ADDRESS(2,COLUMN())),OFFSET($BN$2,0,0,ROW()-1,60),ROW()-1,FALSE))</f>
        <v/>
      </c>
      <c r="BH137" t="str">
        <f ca="1">IF(AND(ISNUMBER($BH$259),$B$156=1),$BH$259,HLOOKUP(INDIRECT(ADDRESS(2,COLUMN())),OFFSET($BN$2,0,0,ROW()-1,60),ROW()-1,FALSE))</f>
        <v/>
      </c>
      <c r="BI137" t="str">
        <f ca="1">IF(AND(ISNUMBER($BI$259),$B$156=1),$BI$259,HLOOKUP(INDIRECT(ADDRESS(2,COLUMN())),OFFSET($BN$2,0,0,ROW()-1,60),ROW()-1,FALSE))</f>
        <v/>
      </c>
      <c r="BJ137" t="str">
        <f ca="1">IF(AND(ISNUMBER($BJ$259),$B$156=1),$BJ$259,HLOOKUP(INDIRECT(ADDRESS(2,COLUMN())),OFFSET($BN$2,0,0,ROW()-1,60),ROW()-1,FALSE))</f>
        <v/>
      </c>
      <c r="BK137" t="str">
        <f ca="1">IF(AND(ISNUMBER($BK$259),$B$156=1),$BK$259,HLOOKUP(INDIRECT(ADDRESS(2,COLUMN())),OFFSET($BN$2,0,0,ROW()-1,60),ROW()-1,FALSE))</f>
        <v/>
      </c>
      <c r="BL137" t="str">
        <f ca="1">IF(AND(ISNUMBER($BL$259),$B$156=1),$BL$259,HLOOKUP(INDIRECT(ADDRESS(2,COLUMN())),OFFSET($BN$2,0,0,ROW()-1,60),ROW()-1,FALSE))</f>
        <v/>
      </c>
      <c r="BM137" t="str">
        <f ca="1">IF(AND(ISNUMBER($BM$259),$B$156=1),$BM$259,HLOOKUP(INDIRECT(ADDRESS(2,COLUMN())),OFFSET($BN$2,0,0,ROW()-1,60),ROW()-1,FALSE))</f>
        <v/>
      </c>
      <c r="BN137" t="str">
        <f>""</f>
        <v/>
      </c>
      <c r="BO137" t="str">
        <f>""</f>
        <v/>
      </c>
      <c r="BP137" t="str">
        <f>""</f>
        <v/>
      </c>
      <c r="BQ137" t="str">
        <f>""</f>
        <v/>
      </c>
      <c r="BR137" t="str">
        <f>""</f>
        <v/>
      </c>
      <c r="BS137" t="str">
        <f>""</f>
        <v/>
      </c>
      <c r="BT137" t="str">
        <f>""</f>
        <v/>
      </c>
      <c r="BU137" t="str">
        <f>""</f>
        <v/>
      </c>
      <c r="BV137" t="str">
        <f>""</f>
        <v/>
      </c>
      <c r="BW137" t="str">
        <f>""</f>
        <v/>
      </c>
      <c r="BX137" t="str">
        <f>""</f>
        <v/>
      </c>
      <c r="BY137" t="str">
        <f>""</f>
        <v/>
      </c>
      <c r="BZ137" t="str">
        <f>""</f>
        <v/>
      </c>
      <c r="CA137" t="str">
        <f>""</f>
        <v/>
      </c>
      <c r="CB137" t="str">
        <f>""</f>
        <v/>
      </c>
      <c r="CC137" t="str">
        <f>""</f>
        <v/>
      </c>
      <c r="CD137" t="str">
        <f>""</f>
        <v/>
      </c>
      <c r="CE137" t="str">
        <f>""</f>
        <v/>
      </c>
      <c r="CF137" t="str">
        <f>""</f>
        <v/>
      </c>
      <c r="CG137" t="str">
        <f>""</f>
        <v/>
      </c>
      <c r="CH137" t="str">
        <f>""</f>
        <v/>
      </c>
      <c r="CI137" t="str">
        <f>""</f>
        <v/>
      </c>
      <c r="CJ137" t="str">
        <f>""</f>
        <v/>
      </c>
      <c r="CK137" t="str">
        <f>""</f>
        <v/>
      </c>
      <c r="CL137" t="str">
        <f>""</f>
        <v/>
      </c>
      <c r="CM137" t="str">
        <f>""</f>
        <v/>
      </c>
      <c r="CN137" t="str">
        <f>""</f>
        <v/>
      </c>
      <c r="CO137" t="str">
        <f>""</f>
        <v/>
      </c>
      <c r="CP137" t="str">
        <f>""</f>
        <v/>
      </c>
      <c r="CQ137" t="str">
        <f>""</f>
        <v/>
      </c>
      <c r="CR137" t="str">
        <f>""</f>
        <v/>
      </c>
      <c r="CS137" t="str">
        <f>""</f>
        <v/>
      </c>
      <c r="CT137" t="str">
        <f>""</f>
        <v/>
      </c>
      <c r="CU137" t="str">
        <f>""</f>
        <v/>
      </c>
      <c r="CV137" t="str">
        <f>""</f>
        <v/>
      </c>
      <c r="CW137" t="str">
        <f>""</f>
        <v/>
      </c>
      <c r="CX137" t="str">
        <f>""</f>
        <v/>
      </c>
      <c r="CY137" t="str">
        <f>""</f>
        <v/>
      </c>
      <c r="CZ137" t="str">
        <f>""</f>
        <v/>
      </c>
      <c r="DA137" t="str">
        <f>""</f>
        <v/>
      </c>
      <c r="DB137" t="str">
        <f>""</f>
        <v/>
      </c>
      <c r="DC137" t="str">
        <f>""</f>
        <v/>
      </c>
      <c r="DD137" t="str">
        <f>""</f>
        <v/>
      </c>
      <c r="DE137" t="str">
        <f>""</f>
        <v/>
      </c>
      <c r="DF137" t="str">
        <f>""</f>
        <v/>
      </c>
      <c r="DG137" t="str">
        <f>""</f>
        <v/>
      </c>
      <c r="DH137" t="str">
        <f>""</f>
        <v/>
      </c>
      <c r="DI137" t="str">
        <f>""</f>
        <v/>
      </c>
      <c r="DJ137" t="str">
        <f>""</f>
        <v/>
      </c>
      <c r="DK137" t="str">
        <f>""</f>
        <v/>
      </c>
      <c r="DL137" t="str">
        <f>""</f>
        <v/>
      </c>
      <c r="DM137" t="str">
        <f>""</f>
        <v/>
      </c>
      <c r="DN137" t="str">
        <f>""</f>
        <v/>
      </c>
      <c r="DO137" t="str">
        <f>""</f>
        <v/>
      </c>
      <c r="DP137" t="str">
        <f>""</f>
        <v/>
      </c>
      <c r="DQ137" t="str">
        <f>""</f>
        <v/>
      </c>
      <c r="DR137" t="str">
        <f>""</f>
        <v/>
      </c>
      <c r="DS137" t="str">
        <f>""</f>
        <v/>
      </c>
      <c r="DT137" t="str">
        <f>""</f>
        <v/>
      </c>
      <c r="DU137" t="str">
        <f>""</f>
        <v/>
      </c>
    </row>
    <row r="138" spans="1:125" x14ac:dyDescent="0.25">
      <c r="A138" t="str">
        <f>"    Tesla Motors Inc"</f>
        <v xml:space="preserve">    Tesla Motors Inc</v>
      </c>
      <c r="B138" t="str">
        <f>"TSLA US Equity"</f>
        <v>TSLA US Equity</v>
      </c>
      <c r="C138" t="str">
        <f t="shared" si="38"/>
        <v>FS265</v>
      </c>
      <c r="D138" t="str">
        <f t="shared" si="39"/>
        <v>AUTO_VEHICLES_SOLD_WW</v>
      </c>
      <c r="E138" t="str">
        <f t="shared" si="40"/>
        <v>Dynamic</v>
      </c>
      <c r="F138" t="str">
        <f ca="1">IF(AND(ISNUMBER($F$260),$B$156=1),$F$260,HLOOKUP(INDIRECT(ADDRESS(2,COLUMN())),OFFSET($BN$2,0,0,ROW()-1,60),ROW()-1,FALSE))</f>
        <v/>
      </c>
      <c r="G138">
        <f ca="1">IF(AND(ISNUMBER($G$260),$B$156=1),$G$260,HLOOKUP(INDIRECT(ADDRESS(2,COLUMN())),OFFSET($BN$2,0,0,ROW()-1,60),ROW()-1,FALSE))</f>
        <v>90966</v>
      </c>
      <c r="H138">
        <f ca="1">IF(AND(ISNUMBER($H$260),$B$156=1),$H$260,HLOOKUP(INDIRECT(ADDRESS(2,COLUMN())),OFFSET($BN$2,0,0,ROW()-1,60),ROW()-1,FALSE))</f>
        <v>83500</v>
      </c>
      <c r="I138">
        <f ca="1">IF(AND(ISNUMBER($I$260),$B$156=1),$I$260,HLOOKUP(INDIRECT(ADDRESS(2,COLUMN())),OFFSET($BN$2,0,0,ROW()-1,60),ROW()-1,FALSE))</f>
        <v>40740</v>
      </c>
      <c r="J138">
        <f ca="1">IF(AND(ISNUMBER($J$260),$B$156=1),$J$260,HLOOKUP(INDIRECT(ADDRESS(2,COLUMN())),OFFSET($BN$2,0,0,ROW()-1,60),ROW()-1,FALSE))</f>
        <v>29997</v>
      </c>
      <c r="K138">
        <f ca="1">IF(AND(ISNUMBER($K$260),$B$156=1),$K$260,HLOOKUP(INDIRECT(ADDRESS(2,COLUMN())),OFFSET($BN$2,0,0,ROW()-1,60),ROW()-1,FALSE))</f>
        <v>29967</v>
      </c>
      <c r="L138">
        <f ca="1">IF(AND(ISNUMBER($L$260),$B$156=1),$L$260,HLOOKUP(INDIRECT(ADDRESS(2,COLUMN())),OFFSET($BN$2,0,0,ROW()-1,60),ROW()-1,FALSE))</f>
        <v>26137</v>
      </c>
      <c r="M138">
        <f ca="1">IF(AND(ISNUMBER($M$260),$B$156=1),$M$260,HLOOKUP(INDIRECT(ADDRESS(2,COLUMN())),OFFSET($BN$2,0,0,ROW()-1,60),ROW()-1,FALSE))</f>
        <v>22026</v>
      </c>
      <c r="N138">
        <f ca="1">IF(AND(ISNUMBER($N$260),$B$156=1),$N$260,HLOOKUP(INDIRECT(ADDRESS(2,COLUMN())),OFFSET($BN$2,0,0,ROW()-1,60),ROW()-1,FALSE))</f>
        <v>25051</v>
      </c>
      <c r="O138">
        <f ca="1">IF(AND(ISNUMBER($O$260),$B$156=1),$O$260,HLOOKUP(INDIRECT(ADDRESS(2,COLUMN())),OFFSET($BN$2,0,0,ROW()-1,60),ROW()-1,FALSE))</f>
        <v>22197</v>
      </c>
      <c r="P138">
        <f ca="1">IF(AND(ISNUMBER($P$260),$B$156=1),$P$260,HLOOKUP(INDIRECT(ADDRESS(2,COLUMN())),OFFSET($BN$2,0,0,ROW()-1,60),ROW()-1,FALSE))</f>
        <v>24821</v>
      </c>
      <c r="Q138">
        <f ca="1">IF(AND(ISNUMBER($Q$260),$B$156=1),$Q$260,HLOOKUP(INDIRECT(ADDRESS(2,COLUMN())),OFFSET($BN$2,0,0,ROW()-1,60),ROW()-1,FALSE))</f>
        <v>14402</v>
      </c>
      <c r="R138">
        <f ca="1">IF(AND(ISNUMBER($R$260),$B$156=1),$R$260,HLOOKUP(INDIRECT(ADDRESS(2,COLUMN())),OFFSET($BN$2,0,0,ROW()-1,60),ROW()-1,FALSE))</f>
        <v>14810</v>
      </c>
      <c r="S138">
        <f ca="1">IF(AND(ISNUMBER($S$260),$B$156=1),$S$260,HLOOKUP(INDIRECT(ADDRESS(2,COLUMN())),OFFSET($BN$2,0,0,ROW()-1,60),ROW()-1,FALSE))</f>
        <v>17478</v>
      </c>
      <c r="T138">
        <f ca="1">IF(AND(ISNUMBER($T$260),$B$156=1),$T$260,HLOOKUP(INDIRECT(ADDRESS(2,COLUMN())),OFFSET($BN$2,0,0,ROW()-1,60),ROW()-1,FALSE))</f>
        <v>11603</v>
      </c>
      <c r="U138">
        <f ca="1">IF(AND(ISNUMBER($U$260),$B$156=1),$U$260,HLOOKUP(INDIRECT(ADDRESS(2,COLUMN())),OFFSET($BN$2,0,0,ROW()-1,60),ROW()-1,FALSE))</f>
        <v>11532</v>
      </c>
      <c r="V138">
        <f ca="1">IF(AND(ISNUMBER($V$260),$B$156=1),$V$260,HLOOKUP(INDIRECT(ADDRESS(2,COLUMN())),OFFSET($BN$2,0,0,ROW()-1,60),ROW()-1,FALSE))</f>
        <v>10045</v>
      </c>
      <c r="W138">
        <f ca="1">IF(AND(ISNUMBER($W$260),$B$156=1),$W$260,HLOOKUP(INDIRECT(ADDRESS(2,COLUMN())),OFFSET($BN$2,0,0,ROW()-1,60),ROW()-1,FALSE))</f>
        <v>9834</v>
      </c>
      <c r="X138">
        <f ca="1">IF(AND(ISNUMBER($X$260),$B$156=1),$X$260,HLOOKUP(INDIRECT(ADDRESS(2,COLUMN())),OFFSET($BN$2,0,0,ROW()-1,60),ROW()-1,FALSE))</f>
        <v>7785</v>
      </c>
      <c r="Y138">
        <f ca="1">IF(AND(ISNUMBER($Y$260),$B$156=1),$Y$260,HLOOKUP(INDIRECT(ADDRESS(2,COLUMN())),OFFSET($BN$2,0,0,ROW()-1,60),ROW()-1,FALSE))</f>
        <v>7579</v>
      </c>
      <c r="Z138">
        <f ca="1">IF(AND(ISNUMBER($Z$260),$B$156=1),$Z$260,HLOOKUP(INDIRECT(ADDRESS(2,COLUMN())),OFFSET($BN$2,0,0,ROW()-1,60),ROW()-1,FALSE))</f>
        <v>6457</v>
      </c>
      <c r="AA138">
        <f ca="1">IF(AND(ISNUMBER($AA$260),$B$156=1),$AA$260,HLOOKUP(INDIRECT(ADDRESS(2,COLUMN())),OFFSET($BN$2,0,0,ROW()-1,60),ROW()-1,FALSE))</f>
        <v>6892</v>
      </c>
      <c r="AB138">
        <f ca="1">IF(AND(ISNUMBER($AB$260),$B$156=1),$AB$260,HLOOKUP(INDIRECT(ADDRESS(2,COLUMN())),OFFSET($BN$2,0,0,ROW()-1,60),ROW()-1,FALSE))</f>
        <v>5516</v>
      </c>
      <c r="AC138">
        <f ca="1">IF(AND(ISNUMBER($AC$260),$B$156=1),$AC$260,HLOOKUP(INDIRECT(ADDRESS(2,COLUMN())),OFFSET($BN$2,0,0,ROW()-1,60),ROW()-1,FALSE))</f>
        <v>5168</v>
      </c>
      <c r="AD138">
        <f ca="1">IF(AND(ISNUMBER($AD$260),$B$156=1),$AD$260,HLOOKUP(INDIRECT(ADDRESS(2,COLUMN())),OFFSET($BN$2,0,0,ROW()-1,60),ROW()-1,FALSE))</f>
        <v>4901</v>
      </c>
      <c r="AE138">
        <f ca="1">IF(AND(ISNUMBER($AE$260),$B$156=1),$AE$260,HLOOKUP(INDIRECT(ADDRESS(2,COLUMN())),OFFSET($BN$2,0,0,ROW()-1,60),ROW()-1,FALSE))</f>
        <v>2387</v>
      </c>
      <c r="AF138">
        <f ca="1">IF(AND(ISNUMBER($AF$260),$B$156=1),$AF$260,HLOOKUP(INDIRECT(ADDRESS(2,COLUMN())),OFFSET($BN$2,0,0,ROW()-1,60),ROW()-1,FALSE))</f>
        <v>249</v>
      </c>
      <c r="AG138">
        <f ca="1">IF(AND(ISNUMBER($AG$260),$B$156=1),$AG$260,HLOOKUP(INDIRECT(ADDRESS(2,COLUMN())),OFFSET($BN$2,0,0,ROW()-1,60),ROW()-1,FALSE))</f>
        <v>89</v>
      </c>
      <c r="AH138">
        <f ca="1">IF(AND(ISNUMBER($AH$260),$B$156=1),$AH$260,HLOOKUP(INDIRECT(ADDRESS(2,COLUMN())),OFFSET($BN$2,0,0,ROW()-1,60),ROW()-1,FALSE))</f>
        <v>99</v>
      </c>
      <c r="AI138">
        <f ca="1">IF(AND(ISNUMBER($AI$260),$B$156=1),$AI$260,HLOOKUP(INDIRECT(ADDRESS(2,COLUMN())),OFFSET($BN$2,0,0,ROW()-1,60),ROW()-1,FALSE))</f>
        <v>150</v>
      </c>
      <c r="AJ138">
        <f ca="1">IF(AND(ISNUMBER($AJ$260),$B$156=1),$AJ$260,HLOOKUP(INDIRECT(ADDRESS(2,COLUMN())),OFFSET($BN$2,0,0,ROW()-1,60),ROW()-1,FALSE))</f>
        <v>160</v>
      </c>
      <c r="AK138">
        <f ca="1">IF(AND(ISNUMBER($AK$260),$B$156=1),$AK$260,HLOOKUP(INDIRECT(ADDRESS(2,COLUMN())),OFFSET($BN$2,0,0,ROW()-1,60),ROW()-1,FALSE))</f>
        <v>190</v>
      </c>
      <c r="AL138">
        <f ca="1">IF(AND(ISNUMBER($AL$260),$B$156=1),$AL$260,HLOOKUP(INDIRECT(ADDRESS(2,COLUMN())),OFFSET($BN$2,0,0,ROW()-1,60),ROW()-1,FALSE))</f>
        <v>145</v>
      </c>
      <c r="AM138">
        <f ca="1">IF(AND(ISNUMBER($AM$260),$B$156=1),$AM$260,HLOOKUP(INDIRECT(ADDRESS(2,COLUMN())),OFFSET($BN$2,0,0,ROW()-1,60),ROW()-1,FALSE))</f>
        <v>200</v>
      </c>
      <c r="AN138" t="str">
        <f ca="1">IF(AND(ISNUMBER($AN$260),$B$156=1),$AN$260,HLOOKUP(INDIRECT(ADDRESS(2,COLUMN())),OFFSET($BN$2,0,0,ROW()-1,60),ROW()-1,FALSE))</f>
        <v/>
      </c>
      <c r="AO138">
        <f ca="1">IF(AND(ISNUMBER($AO$260),$B$156=1),$AO$260,HLOOKUP(INDIRECT(ADDRESS(2,COLUMN())),OFFSET($BN$2,0,0,ROW()-1,60),ROW()-1,FALSE))</f>
        <v>370</v>
      </c>
      <c r="AP138" t="str">
        <f ca="1">IF(AND(ISNUMBER($AP$260),$B$156=1),$AP$260,HLOOKUP(INDIRECT(ADDRESS(2,COLUMN())),OFFSET($BN$2,0,0,ROW()-1,60),ROW()-1,FALSE))</f>
        <v/>
      </c>
      <c r="AQ138" t="str">
        <f ca="1">IF(AND(ISNUMBER($AQ$260),$B$156=1),$AQ$260,HLOOKUP(INDIRECT(ADDRESS(2,COLUMN())),OFFSET($BN$2,0,0,ROW()-1,60),ROW()-1,FALSE))</f>
        <v/>
      </c>
      <c r="AR138" t="str">
        <f ca="1">IF(AND(ISNUMBER($AR$260),$B$156=1),$AR$260,HLOOKUP(INDIRECT(ADDRESS(2,COLUMN())),OFFSET($BN$2,0,0,ROW()-1,60),ROW()-1,FALSE))</f>
        <v/>
      </c>
      <c r="AS138" t="str">
        <f ca="1">IF(AND(ISNUMBER($AS$260),$B$156=1),$AS$260,HLOOKUP(INDIRECT(ADDRESS(2,COLUMN())),OFFSET($BN$2,0,0,ROW()-1,60),ROW()-1,FALSE))</f>
        <v/>
      </c>
      <c r="AT138" t="str">
        <f ca="1">IF(AND(ISNUMBER($AT$260),$B$156=1),$AT$260,HLOOKUP(INDIRECT(ADDRESS(2,COLUMN())),OFFSET($BN$2,0,0,ROW()-1,60),ROW()-1,FALSE))</f>
        <v/>
      </c>
      <c r="AU138" t="str">
        <f ca="1">IF(AND(ISNUMBER($AU$260),$B$156=1),$AU$260,HLOOKUP(INDIRECT(ADDRESS(2,COLUMN())),OFFSET($BN$2,0,0,ROW()-1,60),ROW()-1,FALSE))</f>
        <v/>
      </c>
      <c r="AV138" t="str">
        <f ca="1">IF(AND(ISNUMBER($AV$260),$B$156=1),$AV$260,HLOOKUP(INDIRECT(ADDRESS(2,COLUMN())),OFFSET($BN$2,0,0,ROW()-1,60),ROW()-1,FALSE))</f>
        <v/>
      </c>
      <c r="AW138" t="str">
        <f ca="1">IF(AND(ISNUMBER($AW$260),$B$156=1),$AW$260,HLOOKUP(INDIRECT(ADDRESS(2,COLUMN())),OFFSET($BN$2,0,0,ROW()-1,60),ROW()-1,FALSE))</f>
        <v/>
      </c>
      <c r="AX138" t="str">
        <f ca="1">IF(AND(ISNUMBER($AX$260),$B$156=1),$AX$260,HLOOKUP(INDIRECT(ADDRESS(2,COLUMN())),OFFSET($BN$2,0,0,ROW()-1,60),ROW()-1,FALSE))</f>
        <v/>
      </c>
      <c r="AY138" t="str">
        <f ca="1">IF(AND(ISNUMBER($AY$260),$B$156=1),$AY$260,HLOOKUP(INDIRECT(ADDRESS(2,COLUMN())),OFFSET($BN$2,0,0,ROW()-1,60),ROW()-1,FALSE))</f>
        <v/>
      </c>
      <c r="AZ138" t="str">
        <f ca="1">IF(AND(ISNUMBER($AZ$260),$B$156=1),$AZ$260,HLOOKUP(INDIRECT(ADDRESS(2,COLUMN())),OFFSET($BN$2,0,0,ROW()-1,60),ROW()-1,FALSE))</f>
        <v/>
      </c>
      <c r="BA138" t="str">
        <f ca="1">IF(AND(ISNUMBER($BA$260),$B$156=1),$BA$260,HLOOKUP(INDIRECT(ADDRESS(2,COLUMN())),OFFSET($BN$2,0,0,ROW()-1,60),ROW()-1,FALSE))</f>
        <v/>
      </c>
      <c r="BB138" t="str">
        <f ca="1">IF(AND(ISNUMBER($BB$260),$B$156=1),$BB$260,HLOOKUP(INDIRECT(ADDRESS(2,COLUMN())),OFFSET($BN$2,0,0,ROW()-1,60),ROW()-1,FALSE))</f>
        <v/>
      </c>
      <c r="BC138" t="str">
        <f ca="1">IF(AND(ISNUMBER($BC$260),$B$156=1),$BC$260,HLOOKUP(INDIRECT(ADDRESS(2,COLUMN())),OFFSET($BN$2,0,0,ROW()-1,60),ROW()-1,FALSE))</f>
        <v/>
      </c>
      <c r="BD138" t="str">
        <f ca="1">IF(AND(ISNUMBER($BD$260),$B$156=1),$BD$260,HLOOKUP(INDIRECT(ADDRESS(2,COLUMN())),OFFSET($BN$2,0,0,ROW()-1,60),ROW()-1,FALSE))</f>
        <v/>
      </c>
      <c r="BE138" t="str">
        <f ca="1">IF(AND(ISNUMBER($BE$260),$B$156=1),$BE$260,HLOOKUP(INDIRECT(ADDRESS(2,COLUMN())),OFFSET($BN$2,0,0,ROW()-1,60),ROW()-1,FALSE))</f>
        <v/>
      </c>
      <c r="BF138" t="str">
        <f ca="1">IF(AND(ISNUMBER($BF$260),$B$156=1),$BF$260,HLOOKUP(INDIRECT(ADDRESS(2,COLUMN())),OFFSET($BN$2,0,0,ROW()-1,60),ROW()-1,FALSE))</f>
        <v/>
      </c>
      <c r="BG138" t="str">
        <f ca="1">IF(AND(ISNUMBER($BG$260),$B$156=1),$BG$260,HLOOKUP(INDIRECT(ADDRESS(2,COLUMN())),OFFSET($BN$2,0,0,ROW()-1,60),ROW()-1,FALSE))</f>
        <v/>
      </c>
      <c r="BH138" t="str">
        <f ca="1">IF(AND(ISNUMBER($BH$260),$B$156=1),$BH$260,HLOOKUP(INDIRECT(ADDRESS(2,COLUMN())),OFFSET($BN$2,0,0,ROW()-1,60),ROW()-1,FALSE))</f>
        <v/>
      </c>
      <c r="BI138" t="str">
        <f ca="1">IF(AND(ISNUMBER($BI$260),$B$156=1),$BI$260,HLOOKUP(INDIRECT(ADDRESS(2,COLUMN())),OFFSET($BN$2,0,0,ROW()-1,60),ROW()-1,FALSE))</f>
        <v/>
      </c>
      <c r="BJ138" t="str">
        <f ca="1">IF(AND(ISNUMBER($BJ$260),$B$156=1),$BJ$260,HLOOKUP(INDIRECT(ADDRESS(2,COLUMN())),OFFSET($BN$2,0,0,ROW()-1,60),ROW()-1,FALSE))</f>
        <v/>
      </c>
      <c r="BK138" t="str">
        <f ca="1">IF(AND(ISNUMBER($BK$260),$B$156=1),$BK$260,HLOOKUP(INDIRECT(ADDRESS(2,COLUMN())),OFFSET($BN$2,0,0,ROW()-1,60),ROW()-1,FALSE))</f>
        <v/>
      </c>
      <c r="BL138" t="str">
        <f ca="1">IF(AND(ISNUMBER($BL$260),$B$156=1),$BL$260,HLOOKUP(INDIRECT(ADDRESS(2,COLUMN())),OFFSET($BN$2,0,0,ROW()-1,60),ROW()-1,FALSE))</f>
        <v/>
      </c>
      <c r="BM138" t="str">
        <f ca="1">IF(AND(ISNUMBER($BM$260),$B$156=1),$BM$260,HLOOKUP(INDIRECT(ADDRESS(2,COLUMN())),OFFSET($BN$2,0,0,ROW()-1,60),ROW()-1,FALSE))</f>
        <v/>
      </c>
      <c r="BN138" t="str">
        <f>""</f>
        <v/>
      </c>
      <c r="BO138">
        <f>90966</f>
        <v>90966</v>
      </c>
      <c r="BP138">
        <f>83500</f>
        <v>83500</v>
      </c>
      <c r="BQ138">
        <f>40740</f>
        <v>40740</v>
      </c>
      <c r="BR138">
        <f>29997</f>
        <v>29997</v>
      </c>
      <c r="BS138">
        <f>29967</f>
        <v>29967</v>
      </c>
      <c r="BT138">
        <f>26137</f>
        <v>26137</v>
      </c>
      <c r="BU138">
        <f>22026</f>
        <v>22026</v>
      </c>
      <c r="BV138">
        <f>25051</f>
        <v>25051</v>
      </c>
      <c r="BW138">
        <f>22197</f>
        <v>22197</v>
      </c>
      <c r="BX138">
        <f>24821</f>
        <v>24821</v>
      </c>
      <c r="BY138">
        <f>14402</f>
        <v>14402</v>
      </c>
      <c r="BZ138">
        <f>14810</f>
        <v>14810</v>
      </c>
      <c r="CA138">
        <f>17478</f>
        <v>17478</v>
      </c>
      <c r="CB138">
        <f>11603</f>
        <v>11603</v>
      </c>
      <c r="CC138">
        <f>11532</f>
        <v>11532</v>
      </c>
      <c r="CD138">
        <f>10045</f>
        <v>10045</v>
      </c>
      <c r="CE138">
        <f>9834</f>
        <v>9834</v>
      </c>
      <c r="CF138">
        <f>7785</f>
        <v>7785</v>
      </c>
      <c r="CG138">
        <f>7579</f>
        <v>7579</v>
      </c>
      <c r="CH138">
        <f>6457</f>
        <v>6457</v>
      </c>
      <c r="CI138">
        <f>6892</f>
        <v>6892</v>
      </c>
      <c r="CJ138">
        <f>5516</f>
        <v>5516</v>
      </c>
      <c r="CK138">
        <f>5168</f>
        <v>5168</v>
      </c>
      <c r="CL138">
        <f>4901</f>
        <v>4901</v>
      </c>
      <c r="CM138">
        <f>2387</f>
        <v>2387</v>
      </c>
      <c r="CN138">
        <f>249</f>
        <v>249</v>
      </c>
      <c r="CO138">
        <f>89</f>
        <v>89</v>
      </c>
      <c r="CP138">
        <f>99</f>
        <v>99</v>
      </c>
      <c r="CQ138">
        <f>150</f>
        <v>150</v>
      </c>
      <c r="CR138">
        <f>160</f>
        <v>160</v>
      </c>
      <c r="CS138">
        <f>190</f>
        <v>190</v>
      </c>
      <c r="CT138">
        <f>145</f>
        <v>145</v>
      </c>
      <c r="CU138">
        <f>200</f>
        <v>200</v>
      </c>
      <c r="CV138" t="str">
        <f>""</f>
        <v/>
      </c>
      <c r="CW138">
        <f>370</f>
        <v>370</v>
      </c>
      <c r="CX138" t="str">
        <f>""</f>
        <v/>
      </c>
      <c r="CY138" t="str">
        <f>""</f>
        <v/>
      </c>
      <c r="CZ138" t="str">
        <f>""</f>
        <v/>
      </c>
      <c r="DA138" t="str">
        <f>""</f>
        <v/>
      </c>
      <c r="DB138" t="str">
        <f>""</f>
        <v/>
      </c>
      <c r="DC138" t="str">
        <f>""</f>
        <v/>
      </c>
      <c r="DD138" t="str">
        <f>""</f>
        <v/>
      </c>
      <c r="DE138" t="str">
        <f>""</f>
        <v/>
      </c>
      <c r="DF138" t="str">
        <f>""</f>
        <v/>
      </c>
      <c r="DG138" t="str">
        <f>""</f>
        <v/>
      </c>
      <c r="DH138" t="str">
        <f>""</f>
        <v/>
      </c>
      <c r="DI138" t="str">
        <f>""</f>
        <v/>
      </c>
      <c r="DJ138" t="str">
        <f>""</f>
        <v/>
      </c>
      <c r="DK138" t="str">
        <f>""</f>
        <v/>
      </c>
      <c r="DL138" t="str">
        <f>""</f>
        <v/>
      </c>
      <c r="DM138" t="str">
        <f>""</f>
        <v/>
      </c>
      <c r="DN138" t="str">
        <f>""</f>
        <v/>
      </c>
      <c r="DO138" t="str">
        <f>""</f>
        <v/>
      </c>
      <c r="DP138" t="str">
        <f>""</f>
        <v/>
      </c>
      <c r="DQ138" t="str">
        <f>""</f>
        <v/>
      </c>
      <c r="DR138" t="str">
        <f>""</f>
        <v/>
      </c>
      <c r="DS138" t="str">
        <f>""</f>
        <v/>
      </c>
      <c r="DT138" t="str">
        <f>""</f>
        <v/>
      </c>
      <c r="DU138" t="str">
        <f>""</f>
        <v/>
      </c>
    </row>
    <row r="139" spans="1:125" x14ac:dyDescent="0.25">
      <c r="A139" t="str">
        <f>"Source: Company filings, Bloomberg Data"</f>
        <v>Source: Company filings, Bloomberg Data</v>
      </c>
      <c r="B139" t="str">
        <f>""</f>
        <v/>
      </c>
      <c r="E139" t="str">
        <f>"Heading"</f>
        <v>Heading</v>
      </c>
      <c r="BN139" t="str">
        <f>""</f>
        <v/>
      </c>
      <c r="BO139" t="str">
        <f>""</f>
        <v/>
      </c>
      <c r="BP139" t="str">
        <f>""</f>
        <v/>
      </c>
      <c r="BQ139" t="str">
        <f>""</f>
        <v/>
      </c>
      <c r="BR139" t="str">
        <f>""</f>
        <v/>
      </c>
      <c r="BS139" t="str">
        <f>""</f>
        <v/>
      </c>
      <c r="BT139" t="str">
        <f>""</f>
        <v/>
      </c>
      <c r="BU139" t="str">
        <f>""</f>
        <v/>
      </c>
      <c r="BV139" t="str">
        <f>""</f>
        <v/>
      </c>
      <c r="BW139" t="str">
        <f>""</f>
        <v/>
      </c>
      <c r="BX139" t="str">
        <f>""</f>
        <v/>
      </c>
      <c r="BY139" t="str">
        <f>""</f>
        <v/>
      </c>
      <c r="BZ139" t="str">
        <f>""</f>
        <v/>
      </c>
      <c r="CA139" t="str">
        <f>""</f>
        <v/>
      </c>
      <c r="CB139" t="str">
        <f>""</f>
        <v/>
      </c>
      <c r="CC139" t="str">
        <f>""</f>
        <v/>
      </c>
      <c r="CD139" t="str">
        <f>""</f>
        <v/>
      </c>
      <c r="CE139" t="str">
        <f>""</f>
        <v/>
      </c>
      <c r="CF139" t="str">
        <f>""</f>
        <v/>
      </c>
      <c r="CG139" t="str">
        <f>""</f>
        <v/>
      </c>
      <c r="CH139" t="str">
        <f>""</f>
        <v/>
      </c>
      <c r="CI139" t="str">
        <f>""</f>
        <v/>
      </c>
      <c r="CJ139" t="str">
        <f>""</f>
        <v/>
      </c>
      <c r="CK139" t="str">
        <f>""</f>
        <v/>
      </c>
      <c r="CL139" t="str">
        <f>""</f>
        <v/>
      </c>
      <c r="CM139" t="str">
        <f>""</f>
        <v/>
      </c>
      <c r="CN139" t="str">
        <f>""</f>
        <v/>
      </c>
      <c r="CO139" t="str">
        <f>""</f>
        <v/>
      </c>
      <c r="CP139" t="str">
        <f>""</f>
        <v/>
      </c>
      <c r="CQ139" t="str">
        <f>""</f>
        <v/>
      </c>
      <c r="CR139" t="str">
        <f>""</f>
        <v/>
      </c>
      <c r="CS139" t="str">
        <f>""</f>
        <v/>
      </c>
      <c r="CT139" t="str">
        <f>""</f>
        <v/>
      </c>
      <c r="CU139" t="str">
        <f>""</f>
        <v/>
      </c>
      <c r="CV139" t="str">
        <f>""</f>
        <v/>
      </c>
      <c r="CW139" t="str">
        <f>""</f>
        <v/>
      </c>
      <c r="CX139" t="str">
        <f>""</f>
        <v/>
      </c>
      <c r="CY139" t="str">
        <f>""</f>
        <v/>
      </c>
      <c r="CZ139" t="str">
        <f>""</f>
        <v/>
      </c>
      <c r="DA139" t="str">
        <f>""</f>
        <v/>
      </c>
      <c r="DB139" t="str">
        <f>""</f>
        <v/>
      </c>
      <c r="DC139" t="str">
        <f>""</f>
        <v/>
      </c>
      <c r="DD139" t="str">
        <f>""</f>
        <v/>
      </c>
      <c r="DE139" t="str">
        <f>""</f>
        <v/>
      </c>
      <c r="DF139" t="str">
        <f>""</f>
        <v/>
      </c>
      <c r="DG139" t="str">
        <f>""</f>
        <v/>
      </c>
      <c r="DH139" t="str">
        <f>""</f>
        <v/>
      </c>
      <c r="DI139" t="str">
        <f>""</f>
        <v/>
      </c>
      <c r="DJ139" t="str">
        <f>""</f>
        <v/>
      </c>
      <c r="DK139" t="str">
        <f>""</f>
        <v/>
      </c>
      <c r="DL139" t="str">
        <f>""</f>
        <v/>
      </c>
      <c r="DM139" t="str">
        <f>""</f>
        <v/>
      </c>
      <c r="DN139" t="str">
        <f>""</f>
        <v/>
      </c>
      <c r="DO139" t="str">
        <f>""</f>
        <v/>
      </c>
      <c r="DP139" t="str">
        <f>""</f>
        <v/>
      </c>
      <c r="DQ139" t="str">
        <f>""</f>
        <v/>
      </c>
      <c r="DR139" t="str">
        <f>""</f>
        <v/>
      </c>
      <c r="DS139" t="str">
        <f>""</f>
        <v/>
      </c>
      <c r="DT139" t="str">
        <f>""</f>
        <v/>
      </c>
      <c r="DU139" t="str">
        <f>""</f>
        <v/>
      </c>
    </row>
    <row r="140" spans="1:125" x14ac:dyDescent="0.25">
      <c r="A140" t="str">
        <f>"Sales may be double-counted units due to joint-ventures."</f>
        <v>Sales may be double-counted units due to joint-ventures.</v>
      </c>
      <c r="B140" t="str">
        <f>""</f>
        <v/>
      </c>
      <c r="E140" t="str">
        <f>"Heading"</f>
        <v>Heading</v>
      </c>
      <c r="BN140" t="str">
        <f>""</f>
        <v/>
      </c>
      <c r="BO140" t="str">
        <f>""</f>
        <v/>
      </c>
      <c r="BP140" t="str">
        <f>""</f>
        <v/>
      </c>
      <c r="BQ140" t="str">
        <f>""</f>
        <v/>
      </c>
      <c r="BR140" t="str">
        <f>""</f>
        <v/>
      </c>
      <c r="BS140" t="str">
        <f>""</f>
        <v/>
      </c>
      <c r="BT140" t="str">
        <f>""</f>
        <v/>
      </c>
      <c r="BU140" t="str">
        <f>""</f>
        <v/>
      </c>
      <c r="BV140" t="str">
        <f>""</f>
        <v/>
      </c>
      <c r="BW140" t="str">
        <f>""</f>
        <v/>
      </c>
      <c r="BX140" t="str">
        <f>""</f>
        <v/>
      </c>
      <c r="BY140" t="str">
        <f>""</f>
        <v/>
      </c>
      <c r="BZ140" t="str">
        <f>""</f>
        <v/>
      </c>
      <c r="CA140" t="str">
        <f>""</f>
        <v/>
      </c>
      <c r="CB140" t="str">
        <f>""</f>
        <v/>
      </c>
      <c r="CC140" t="str">
        <f>""</f>
        <v/>
      </c>
      <c r="CD140" t="str">
        <f>""</f>
        <v/>
      </c>
      <c r="CE140" t="str">
        <f>""</f>
        <v/>
      </c>
      <c r="CF140" t="str">
        <f>""</f>
        <v/>
      </c>
      <c r="CG140" t="str">
        <f>""</f>
        <v/>
      </c>
      <c r="CH140" t="str">
        <f>""</f>
        <v/>
      </c>
      <c r="CI140" t="str">
        <f>""</f>
        <v/>
      </c>
      <c r="CJ140" t="str">
        <f>""</f>
        <v/>
      </c>
      <c r="CK140" t="str">
        <f>""</f>
        <v/>
      </c>
      <c r="CL140" t="str">
        <f>""</f>
        <v/>
      </c>
      <c r="CM140" t="str">
        <f>""</f>
        <v/>
      </c>
      <c r="CN140" t="str">
        <f>""</f>
        <v/>
      </c>
      <c r="CO140" t="str">
        <f>""</f>
        <v/>
      </c>
      <c r="CP140" t="str">
        <f>""</f>
        <v/>
      </c>
      <c r="CQ140" t="str">
        <f>""</f>
        <v/>
      </c>
      <c r="CR140" t="str">
        <f>""</f>
        <v/>
      </c>
      <c r="CS140" t="str">
        <f>""</f>
        <v/>
      </c>
      <c r="CT140" t="str">
        <f>""</f>
        <v/>
      </c>
      <c r="CU140" t="str">
        <f>""</f>
        <v/>
      </c>
      <c r="CV140" t="str">
        <f>""</f>
        <v/>
      </c>
      <c r="CW140" t="str">
        <f>""</f>
        <v/>
      </c>
      <c r="CX140" t="str">
        <f>""</f>
        <v/>
      </c>
      <c r="CY140" t="str">
        <f>""</f>
        <v/>
      </c>
      <c r="CZ140" t="str">
        <f>""</f>
        <v/>
      </c>
      <c r="DA140" t="str">
        <f>""</f>
        <v/>
      </c>
      <c r="DB140" t="str">
        <f>""</f>
        <v/>
      </c>
      <c r="DC140" t="str">
        <f>""</f>
        <v/>
      </c>
      <c r="DD140" t="str">
        <f>""</f>
        <v/>
      </c>
      <c r="DE140" t="str">
        <f>""</f>
        <v/>
      </c>
      <c r="DF140" t="str">
        <f>""</f>
        <v/>
      </c>
      <c r="DG140" t="str">
        <f>""</f>
        <v/>
      </c>
      <c r="DH140" t="str">
        <f>""</f>
        <v/>
      </c>
      <c r="DI140" t="str">
        <f>""</f>
        <v/>
      </c>
      <c r="DJ140" t="str">
        <f>""</f>
        <v/>
      </c>
      <c r="DK140" t="str">
        <f>""</f>
        <v/>
      </c>
      <c r="DL140" t="str">
        <f>""</f>
        <v/>
      </c>
      <c r="DM140" t="str">
        <f>""</f>
        <v/>
      </c>
      <c r="DN140" t="str">
        <f>""</f>
        <v/>
      </c>
      <c r="DO140" t="str">
        <f>""</f>
        <v/>
      </c>
      <c r="DP140" t="str">
        <f>""</f>
        <v/>
      </c>
      <c r="DQ140" t="str">
        <f>""</f>
        <v/>
      </c>
      <c r="DR140" t="str">
        <f>""</f>
        <v/>
      </c>
      <c r="DS140" t="str">
        <f>""</f>
        <v/>
      </c>
      <c r="DT140" t="str">
        <f>""</f>
        <v/>
      </c>
      <c r="DU140" t="str">
        <f>""</f>
        <v/>
      </c>
    </row>
    <row r="141" spans="1:125" x14ac:dyDescent="0.25">
      <c r="BN141" t="str">
        <f>""</f>
        <v/>
      </c>
      <c r="BO141" t="str">
        <f>""</f>
        <v/>
      </c>
      <c r="BP141" t="str">
        <f>""</f>
        <v/>
      </c>
      <c r="BQ141" t="str">
        <f>""</f>
        <v/>
      </c>
      <c r="BR141" t="str">
        <f>""</f>
        <v/>
      </c>
      <c r="BS141" t="str">
        <f>""</f>
        <v/>
      </c>
      <c r="BT141" t="str">
        <f>""</f>
        <v/>
      </c>
      <c r="BU141" t="str">
        <f>""</f>
        <v/>
      </c>
      <c r="BV141" t="str">
        <f>""</f>
        <v/>
      </c>
      <c r="BW141" t="str">
        <f>""</f>
        <v/>
      </c>
      <c r="BX141" t="str">
        <f>""</f>
        <v/>
      </c>
      <c r="BY141" t="str">
        <f>""</f>
        <v/>
      </c>
      <c r="BZ141" t="str">
        <f>""</f>
        <v/>
      </c>
      <c r="CA141" t="str">
        <f>""</f>
        <v/>
      </c>
      <c r="CB141" t="str">
        <f>""</f>
        <v/>
      </c>
      <c r="CC141" t="str">
        <f>""</f>
        <v/>
      </c>
      <c r="CD141" t="str">
        <f>""</f>
        <v/>
      </c>
      <c r="CE141" t="str">
        <f>""</f>
        <v/>
      </c>
      <c r="CF141" t="str">
        <f>""</f>
        <v/>
      </c>
      <c r="CG141" t="str">
        <f>""</f>
        <v/>
      </c>
      <c r="CH141" t="str">
        <f>""</f>
        <v/>
      </c>
      <c r="CI141" t="str">
        <f>""</f>
        <v/>
      </c>
      <c r="CJ141" t="str">
        <f>""</f>
        <v/>
      </c>
      <c r="CK141" t="str">
        <f>""</f>
        <v/>
      </c>
      <c r="CL141" t="str">
        <f>""</f>
        <v/>
      </c>
      <c r="CM141" t="str">
        <f>""</f>
        <v/>
      </c>
      <c r="CN141" t="str">
        <f>""</f>
        <v/>
      </c>
      <c r="CO141" t="str">
        <f>""</f>
        <v/>
      </c>
      <c r="CP141" t="str">
        <f>""</f>
        <v/>
      </c>
      <c r="CQ141" t="str">
        <f>""</f>
        <v/>
      </c>
      <c r="CR141" t="str">
        <f>""</f>
        <v/>
      </c>
      <c r="CS141" t="str">
        <f>""</f>
        <v/>
      </c>
      <c r="CT141" t="str">
        <f>""</f>
        <v/>
      </c>
      <c r="CU141" t="str">
        <f>""</f>
        <v/>
      </c>
      <c r="CV141" t="str">
        <f>""</f>
        <v/>
      </c>
      <c r="CW141" t="str">
        <f>""</f>
        <v/>
      </c>
      <c r="CX141" t="str">
        <f>""</f>
        <v/>
      </c>
      <c r="CY141" t="str">
        <f>""</f>
        <v/>
      </c>
      <c r="CZ141" t="str">
        <f>""</f>
        <v/>
      </c>
      <c r="DA141" t="str">
        <f>""</f>
        <v/>
      </c>
      <c r="DB141" t="str">
        <f>""</f>
        <v/>
      </c>
      <c r="DC141" t="str">
        <f>""</f>
        <v/>
      </c>
      <c r="DD141" t="str">
        <f>""</f>
        <v/>
      </c>
      <c r="DE141" t="str">
        <f>""</f>
        <v/>
      </c>
      <c r="DF141" t="str">
        <f>""</f>
        <v/>
      </c>
      <c r="DG141" t="str">
        <f>""</f>
        <v/>
      </c>
      <c r="DH141" t="str">
        <f>""</f>
        <v/>
      </c>
      <c r="DI141" t="str">
        <f>""</f>
        <v/>
      </c>
      <c r="DJ141" t="str">
        <f>""</f>
        <v/>
      </c>
      <c r="DK141" t="str">
        <f>""</f>
        <v/>
      </c>
      <c r="DL141" t="str">
        <f>""</f>
        <v/>
      </c>
      <c r="DM141" t="str">
        <f>""</f>
        <v/>
      </c>
      <c r="DN141" t="str">
        <f>""</f>
        <v/>
      </c>
      <c r="DO141" t="str">
        <f>""</f>
        <v/>
      </c>
      <c r="DP141" t="str">
        <f>""</f>
        <v/>
      </c>
      <c r="DQ141" t="str">
        <f>""</f>
        <v/>
      </c>
      <c r="DR141" t="str">
        <f>""</f>
        <v/>
      </c>
      <c r="DS141" t="str">
        <f>""</f>
        <v/>
      </c>
      <c r="DT141" t="str">
        <f>""</f>
        <v/>
      </c>
      <c r="DU141" t="str">
        <f>""</f>
        <v/>
      </c>
    </row>
    <row r="142" spans="1:125" x14ac:dyDescent="0.25">
      <c r="BN142" t="str">
        <f>""</f>
        <v/>
      </c>
      <c r="BO142" t="str">
        <f>""</f>
        <v/>
      </c>
      <c r="BP142" t="str">
        <f>""</f>
        <v/>
      </c>
      <c r="BQ142" t="str">
        <f>""</f>
        <v/>
      </c>
      <c r="BR142" t="str">
        <f>""</f>
        <v/>
      </c>
      <c r="BS142" t="str">
        <f>""</f>
        <v/>
      </c>
      <c r="BT142" t="str">
        <f>""</f>
        <v/>
      </c>
      <c r="BU142" t="str">
        <f>""</f>
        <v/>
      </c>
      <c r="BV142" t="str">
        <f>""</f>
        <v/>
      </c>
      <c r="BW142" t="str">
        <f>""</f>
        <v/>
      </c>
      <c r="BX142" t="str">
        <f>""</f>
        <v/>
      </c>
      <c r="BY142" t="str">
        <f>""</f>
        <v/>
      </c>
      <c r="BZ142" t="str">
        <f>""</f>
        <v/>
      </c>
      <c r="CA142" t="str">
        <f>""</f>
        <v/>
      </c>
      <c r="CB142" t="str">
        <f>""</f>
        <v/>
      </c>
      <c r="CC142" t="str">
        <f>""</f>
        <v/>
      </c>
      <c r="CD142" t="str">
        <f>""</f>
        <v/>
      </c>
      <c r="CE142" t="str">
        <f>""</f>
        <v/>
      </c>
      <c r="CF142" t="str">
        <f>""</f>
        <v/>
      </c>
      <c r="CG142" t="str">
        <f>""</f>
        <v/>
      </c>
      <c r="CH142" t="str">
        <f>""</f>
        <v/>
      </c>
      <c r="CI142" t="str">
        <f>""</f>
        <v/>
      </c>
      <c r="CJ142" t="str">
        <f>""</f>
        <v/>
      </c>
      <c r="CK142" t="str">
        <f>""</f>
        <v/>
      </c>
      <c r="CL142" t="str">
        <f>""</f>
        <v/>
      </c>
      <c r="CM142" t="str">
        <f>""</f>
        <v/>
      </c>
      <c r="CN142" t="str">
        <f>""</f>
        <v/>
      </c>
      <c r="CO142" t="str">
        <f>""</f>
        <v/>
      </c>
      <c r="CP142" t="str">
        <f>""</f>
        <v/>
      </c>
      <c r="CQ142" t="str">
        <f>""</f>
        <v/>
      </c>
      <c r="CR142" t="str">
        <f>""</f>
        <v/>
      </c>
      <c r="CS142" t="str">
        <f>""</f>
        <v/>
      </c>
      <c r="CT142" t="str">
        <f>""</f>
        <v/>
      </c>
      <c r="CU142" t="str">
        <f>""</f>
        <v/>
      </c>
      <c r="CV142" t="str">
        <f>""</f>
        <v/>
      </c>
      <c r="CW142" t="str">
        <f>""</f>
        <v/>
      </c>
      <c r="CX142" t="str">
        <f>""</f>
        <v/>
      </c>
      <c r="CY142" t="str">
        <f>""</f>
        <v/>
      </c>
      <c r="CZ142" t="str">
        <f>""</f>
        <v/>
      </c>
      <c r="DA142" t="str">
        <f>""</f>
        <v/>
      </c>
      <c r="DB142" t="str">
        <f>""</f>
        <v/>
      </c>
      <c r="DC142" t="str">
        <f>""</f>
        <v/>
      </c>
      <c r="DD142" t="str">
        <f>""</f>
        <v/>
      </c>
      <c r="DE142" t="str">
        <f>""</f>
        <v/>
      </c>
      <c r="DF142" t="str">
        <f>""</f>
        <v/>
      </c>
      <c r="DG142" t="str">
        <f>""</f>
        <v/>
      </c>
      <c r="DH142" t="str">
        <f>""</f>
        <v/>
      </c>
      <c r="DI142" t="str">
        <f>""</f>
        <v/>
      </c>
      <c r="DJ142" t="str">
        <f>""</f>
        <v/>
      </c>
      <c r="DK142" t="str">
        <f>""</f>
        <v/>
      </c>
      <c r="DL142" t="str">
        <f>""</f>
        <v/>
      </c>
      <c r="DM142" t="str">
        <f>""</f>
        <v/>
      </c>
      <c r="DN142" t="str">
        <f>""</f>
        <v/>
      </c>
      <c r="DO142" t="str">
        <f>""</f>
        <v/>
      </c>
      <c r="DP142" t="str">
        <f>""</f>
        <v/>
      </c>
      <c r="DQ142" t="str">
        <f>""</f>
        <v/>
      </c>
      <c r="DR142" t="str">
        <f>""</f>
        <v/>
      </c>
      <c r="DS142" t="str">
        <f>""</f>
        <v/>
      </c>
      <c r="DT142" t="str">
        <f>""</f>
        <v/>
      </c>
      <c r="DU142" t="str">
        <f>""</f>
        <v/>
      </c>
    </row>
    <row r="143" spans="1:125" x14ac:dyDescent="0.25">
      <c r="BN143" t="str">
        <f>""</f>
        <v/>
      </c>
      <c r="BO143" t="str">
        <f>""</f>
        <v/>
      </c>
      <c r="BP143" t="str">
        <f>""</f>
        <v/>
      </c>
      <c r="BQ143" t="str">
        <f>""</f>
        <v/>
      </c>
      <c r="BR143" t="str">
        <f>""</f>
        <v/>
      </c>
      <c r="BS143" t="str">
        <f>""</f>
        <v/>
      </c>
      <c r="BT143" t="str">
        <f>""</f>
        <v/>
      </c>
      <c r="BU143" t="str">
        <f>""</f>
        <v/>
      </c>
      <c r="BV143" t="str">
        <f>""</f>
        <v/>
      </c>
      <c r="BW143" t="str">
        <f>""</f>
        <v/>
      </c>
      <c r="BX143" t="str">
        <f>""</f>
        <v/>
      </c>
      <c r="BY143" t="str">
        <f>""</f>
        <v/>
      </c>
      <c r="BZ143" t="str">
        <f>""</f>
        <v/>
      </c>
      <c r="CA143" t="str">
        <f>""</f>
        <v/>
      </c>
      <c r="CB143" t="str">
        <f>""</f>
        <v/>
      </c>
      <c r="CC143" t="str">
        <f>""</f>
        <v/>
      </c>
      <c r="CD143" t="str">
        <f>""</f>
        <v/>
      </c>
      <c r="CE143" t="str">
        <f>""</f>
        <v/>
      </c>
      <c r="CF143" t="str">
        <f>""</f>
        <v/>
      </c>
      <c r="CG143" t="str">
        <f>""</f>
        <v/>
      </c>
      <c r="CH143" t="str">
        <f>""</f>
        <v/>
      </c>
      <c r="CI143" t="str">
        <f>""</f>
        <v/>
      </c>
      <c r="CJ143" t="str">
        <f>""</f>
        <v/>
      </c>
      <c r="CK143" t="str">
        <f>""</f>
        <v/>
      </c>
      <c r="CL143" t="str">
        <f>""</f>
        <v/>
      </c>
      <c r="CM143" t="str">
        <f>""</f>
        <v/>
      </c>
      <c r="CN143" t="str">
        <f>""</f>
        <v/>
      </c>
      <c r="CO143" t="str">
        <f>""</f>
        <v/>
      </c>
      <c r="CP143" t="str">
        <f>""</f>
        <v/>
      </c>
      <c r="CQ143" t="str">
        <f>""</f>
        <v/>
      </c>
      <c r="CR143" t="str">
        <f>""</f>
        <v/>
      </c>
      <c r="CS143" t="str">
        <f>""</f>
        <v/>
      </c>
      <c r="CT143" t="str">
        <f>""</f>
        <v/>
      </c>
      <c r="CU143" t="str">
        <f>""</f>
        <v/>
      </c>
      <c r="CV143" t="str">
        <f>""</f>
        <v/>
      </c>
      <c r="CW143" t="str">
        <f>""</f>
        <v/>
      </c>
      <c r="CX143" t="str">
        <f>""</f>
        <v/>
      </c>
      <c r="CY143" t="str">
        <f>""</f>
        <v/>
      </c>
      <c r="CZ143" t="str">
        <f>""</f>
        <v/>
      </c>
      <c r="DA143" t="str">
        <f>""</f>
        <v/>
      </c>
      <c r="DB143" t="str">
        <f>""</f>
        <v/>
      </c>
      <c r="DC143" t="str">
        <f>""</f>
        <v/>
      </c>
      <c r="DD143" t="str">
        <f>""</f>
        <v/>
      </c>
      <c r="DE143" t="str">
        <f>""</f>
        <v/>
      </c>
      <c r="DF143" t="str">
        <f>""</f>
        <v/>
      </c>
      <c r="DG143" t="str">
        <f>""</f>
        <v/>
      </c>
      <c r="DH143" t="str">
        <f>""</f>
        <v/>
      </c>
      <c r="DI143" t="str">
        <f>""</f>
        <v/>
      </c>
      <c r="DJ143" t="str">
        <f>""</f>
        <v/>
      </c>
      <c r="DK143" t="str">
        <f>""</f>
        <v/>
      </c>
      <c r="DL143" t="str">
        <f>""</f>
        <v/>
      </c>
      <c r="DM143" t="str">
        <f>""</f>
        <v/>
      </c>
      <c r="DN143" t="str">
        <f>""</f>
        <v/>
      </c>
      <c r="DO143" t="str">
        <f>""</f>
        <v/>
      </c>
      <c r="DP143" t="str">
        <f>""</f>
        <v/>
      </c>
      <c r="DQ143" t="str">
        <f>""</f>
        <v/>
      </c>
      <c r="DR143" t="str">
        <f>""</f>
        <v/>
      </c>
      <c r="DS143" t="str">
        <f>""</f>
        <v/>
      </c>
      <c r="DT143" t="str">
        <f>""</f>
        <v/>
      </c>
      <c r="DU143" t="str">
        <f>""</f>
        <v/>
      </c>
    </row>
    <row r="144" spans="1:125" x14ac:dyDescent="0.25">
      <c r="BN144" t="str">
        <f>""</f>
        <v/>
      </c>
      <c r="BO144" t="str">
        <f>""</f>
        <v/>
      </c>
      <c r="BP144" t="str">
        <f>""</f>
        <v/>
      </c>
      <c r="BQ144" t="str">
        <f>""</f>
        <v/>
      </c>
      <c r="BR144" t="str">
        <f>""</f>
        <v/>
      </c>
      <c r="BS144" t="str">
        <f>""</f>
        <v/>
      </c>
      <c r="BT144" t="str">
        <f>""</f>
        <v/>
      </c>
      <c r="BU144" t="str">
        <f>""</f>
        <v/>
      </c>
      <c r="BV144" t="str">
        <f>""</f>
        <v/>
      </c>
      <c r="BW144" t="str">
        <f>""</f>
        <v/>
      </c>
      <c r="BX144" t="str">
        <f>""</f>
        <v/>
      </c>
      <c r="BY144" t="str">
        <f>""</f>
        <v/>
      </c>
      <c r="BZ144" t="str">
        <f>""</f>
        <v/>
      </c>
      <c r="CA144" t="str">
        <f>""</f>
        <v/>
      </c>
      <c r="CB144" t="str">
        <f>""</f>
        <v/>
      </c>
      <c r="CC144" t="str">
        <f>""</f>
        <v/>
      </c>
      <c r="CD144" t="str">
        <f>""</f>
        <v/>
      </c>
      <c r="CE144" t="str">
        <f>""</f>
        <v/>
      </c>
      <c r="CF144" t="str">
        <f>""</f>
        <v/>
      </c>
      <c r="CG144" t="str">
        <f>""</f>
        <v/>
      </c>
      <c r="CH144" t="str">
        <f>""</f>
        <v/>
      </c>
      <c r="CI144" t="str">
        <f>""</f>
        <v/>
      </c>
      <c r="CJ144" t="str">
        <f>""</f>
        <v/>
      </c>
      <c r="CK144" t="str">
        <f>""</f>
        <v/>
      </c>
      <c r="CL144" t="str">
        <f>""</f>
        <v/>
      </c>
      <c r="CM144" t="str">
        <f>""</f>
        <v/>
      </c>
      <c r="CN144" t="str">
        <f>""</f>
        <v/>
      </c>
      <c r="CO144" t="str">
        <f>""</f>
        <v/>
      </c>
      <c r="CP144" t="str">
        <f>""</f>
        <v/>
      </c>
      <c r="CQ144" t="str">
        <f>""</f>
        <v/>
      </c>
      <c r="CR144" t="str">
        <f>""</f>
        <v/>
      </c>
      <c r="CS144" t="str">
        <f>""</f>
        <v/>
      </c>
      <c r="CT144" t="str">
        <f>""</f>
        <v/>
      </c>
      <c r="CU144" t="str">
        <f>""</f>
        <v/>
      </c>
      <c r="CV144" t="str">
        <f>""</f>
        <v/>
      </c>
      <c r="CW144" t="str">
        <f>""</f>
        <v/>
      </c>
      <c r="CX144" t="str">
        <f>""</f>
        <v/>
      </c>
      <c r="CY144" t="str">
        <f>""</f>
        <v/>
      </c>
      <c r="CZ144" t="str">
        <f>""</f>
        <v/>
      </c>
      <c r="DA144" t="str">
        <f>""</f>
        <v/>
      </c>
      <c r="DB144" t="str">
        <f>""</f>
        <v/>
      </c>
      <c r="DC144" t="str">
        <f>""</f>
        <v/>
      </c>
      <c r="DD144" t="str">
        <f>""</f>
        <v/>
      </c>
      <c r="DE144" t="str">
        <f>""</f>
        <v/>
      </c>
      <c r="DF144" t="str">
        <f>""</f>
        <v/>
      </c>
      <c r="DG144" t="str">
        <f>""</f>
        <v/>
      </c>
      <c r="DH144" t="str">
        <f>""</f>
        <v/>
      </c>
      <c r="DI144" t="str">
        <f>""</f>
        <v/>
      </c>
      <c r="DJ144" t="str">
        <f>""</f>
        <v/>
      </c>
      <c r="DK144" t="str">
        <f>""</f>
        <v/>
      </c>
      <c r="DL144" t="str">
        <f>""</f>
        <v/>
      </c>
      <c r="DM144" t="str">
        <f>""</f>
        <v/>
      </c>
      <c r="DN144" t="str">
        <f>""</f>
        <v/>
      </c>
      <c r="DO144" t="str">
        <f>""</f>
        <v/>
      </c>
      <c r="DP144" t="str">
        <f>""</f>
        <v/>
      </c>
      <c r="DQ144" t="str">
        <f>""</f>
        <v/>
      </c>
      <c r="DR144" t="str">
        <f>""</f>
        <v/>
      </c>
      <c r="DS144" t="str">
        <f>""</f>
        <v/>
      </c>
      <c r="DT144" t="str">
        <f>""</f>
        <v/>
      </c>
      <c r="DU144" t="str">
        <f>""</f>
        <v/>
      </c>
    </row>
    <row r="145" spans="1:125" x14ac:dyDescent="0.25">
      <c r="BN145" t="str">
        <f>""</f>
        <v/>
      </c>
      <c r="BO145" t="str">
        <f>""</f>
        <v/>
      </c>
      <c r="BP145" t="str">
        <f>""</f>
        <v/>
      </c>
      <c r="BQ145" t="str">
        <f>""</f>
        <v/>
      </c>
      <c r="BR145" t="str">
        <f>""</f>
        <v/>
      </c>
      <c r="BS145" t="str">
        <f>""</f>
        <v/>
      </c>
      <c r="BT145" t="str">
        <f>""</f>
        <v/>
      </c>
      <c r="BU145" t="str">
        <f>""</f>
        <v/>
      </c>
      <c r="BV145" t="str">
        <f>""</f>
        <v/>
      </c>
      <c r="BW145" t="str">
        <f>""</f>
        <v/>
      </c>
      <c r="BX145" t="str">
        <f>""</f>
        <v/>
      </c>
      <c r="BY145" t="str">
        <f>""</f>
        <v/>
      </c>
      <c r="BZ145" t="str">
        <f>""</f>
        <v/>
      </c>
      <c r="CA145" t="str">
        <f>""</f>
        <v/>
      </c>
      <c r="CB145" t="str">
        <f>""</f>
        <v/>
      </c>
      <c r="CC145" t="str">
        <f>""</f>
        <v/>
      </c>
      <c r="CD145" t="str">
        <f>""</f>
        <v/>
      </c>
      <c r="CE145" t="str">
        <f>""</f>
        <v/>
      </c>
      <c r="CF145" t="str">
        <f>""</f>
        <v/>
      </c>
      <c r="CG145" t="str">
        <f>""</f>
        <v/>
      </c>
      <c r="CH145" t="str">
        <f>""</f>
        <v/>
      </c>
      <c r="CI145" t="str">
        <f>""</f>
        <v/>
      </c>
      <c r="CJ145" t="str">
        <f>""</f>
        <v/>
      </c>
      <c r="CK145" t="str">
        <f>""</f>
        <v/>
      </c>
      <c r="CL145" t="str">
        <f>""</f>
        <v/>
      </c>
      <c r="CM145" t="str">
        <f>""</f>
        <v/>
      </c>
      <c r="CN145" t="str">
        <f>""</f>
        <v/>
      </c>
      <c r="CO145" t="str">
        <f>""</f>
        <v/>
      </c>
      <c r="CP145" t="str">
        <f>""</f>
        <v/>
      </c>
      <c r="CQ145" t="str">
        <f>""</f>
        <v/>
      </c>
      <c r="CR145" t="str">
        <f>""</f>
        <v/>
      </c>
      <c r="CS145" t="str">
        <f>""</f>
        <v/>
      </c>
      <c r="CT145" t="str">
        <f>""</f>
        <v/>
      </c>
      <c r="CU145" t="str">
        <f>""</f>
        <v/>
      </c>
      <c r="CV145" t="str">
        <f>""</f>
        <v/>
      </c>
      <c r="CW145" t="str">
        <f>""</f>
        <v/>
      </c>
      <c r="CX145" t="str">
        <f>""</f>
        <v/>
      </c>
      <c r="CY145" t="str">
        <f>""</f>
        <v/>
      </c>
      <c r="CZ145" t="str">
        <f>""</f>
        <v/>
      </c>
      <c r="DA145" t="str">
        <f>""</f>
        <v/>
      </c>
      <c r="DB145" t="str">
        <f>""</f>
        <v/>
      </c>
      <c r="DC145" t="str">
        <f>""</f>
        <v/>
      </c>
      <c r="DD145" t="str">
        <f>""</f>
        <v/>
      </c>
      <c r="DE145" t="str">
        <f>""</f>
        <v/>
      </c>
      <c r="DF145" t="str">
        <f>""</f>
        <v/>
      </c>
      <c r="DG145" t="str">
        <f>""</f>
        <v/>
      </c>
      <c r="DH145" t="str">
        <f>""</f>
        <v/>
      </c>
      <c r="DI145" t="str">
        <f>""</f>
        <v/>
      </c>
      <c r="DJ145" t="str">
        <f>""</f>
        <v/>
      </c>
      <c r="DK145" t="str">
        <f>""</f>
        <v/>
      </c>
      <c r="DL145" t="str">
        <f>""</f>
        <v/>
      </c>
      <c r="DM145" t="str">
        <f>""</f>
        <v/>
      </c>
      <c r="DN145" t="str">
        <f>""</f>
        <v/>
      </c>
      <c r="DO145" t="str">
        <f>""</f>
        <v/>
      </c>
      <c r="DP145" t="str">
        <f>""</f>
        <v/>
      </c>
      <c r="DQ145" t="str">
        <f>""</f>
        <v/>
      </c>
      <c r="DR145" t="str">
        <f>""</f>
        <v/>
      </c>
      <c r="DS145" t="str">
        <f>""</f>
        <v/>
      </c>
      <c r="DT145" t="str">
        <f>""</f>
        <v/>
      </c>
      <c r="DU145" t="str">
        <f>""</f>
        <v/>
      </c>
    </row>
    <row r="146" spans="1:125" x14ac:dyDescent="0.25">
      <c r="BN146" t="str">
        <f>""</f>
        <v/>
      </c>
      <c r="BO146" t="str">
        <f>""</f>
        <v/>
      </c>
      <c r="BP146" t="str">
        <f>""</f>
        <v/>
      </c>
      <c r="BQ146" t="str">
        <f>""</f>
        <v/>
      </c>
      <c r="BR146" t="str">
        <f>""</f>
        <v/>
      </c>
      <c r="BS146" t="str">
        <f>""</f>
        <v/>
      </c>
      <c r="BT146" t="str">
        <f>""</f>
        <v/>
      </c>
      <c r="BU146" t="str">
        <f>""</f>
        <v/>
      </c>
      <c r="BV146" t="str">
        <f>""</f>
        <v/>
      </c>
      <c r="BW146" t="str">
        <f>""</f>
        <v/>
      </c>
      <c r="BX146" t="str">
        <f>""</f>
        <v/>
      </c>
      <c r="BY146" t="str">
        <f>""</f>
        <v/>
      </c>
      <c r="BZ146" t="str">
        <f>""</f>
        <v/>
      </c>
      <c r="CA146" t="str">
        <f>""</f>
        <v/>
      </c>
      <c r="CB146" t="str">
        <f>""</f>
        <v/>
      </c>
      <c r="CC146" t="str">
        <f>""</f>
        <v/>
      </c>
      <c r="CD146" t="str">
        <f>""</f>
        <v/>
      </c>
      <c r="CE146" t="str">
        <f>""</f>
        <v/>
      </c>
      <c r="CF146" t="str">
        <f>""</f>
        <v/>
      </c>
      <c r="CG146" t="str">
        <f>""</f>
        <v/>
      </c>
      <c r="CH146" t="str">
        <f>""</f>
        <v/>
      </c>
      <c r="CI146" t="str">
        <f>""</f>
        <v/>
      </c>
      <c r="CJ146" t="str">
        <f>""</f>
        <v/>
      </c>
      <c r="CK146" t="str">
        <f>""</f>
        <v/>
      </c>
      <c r="CL146" t="str">
        <f>""</f>
        <v/>
      </c>
      <c r="CM146" t="str">
        <f>""</f>
        <v/>
      </c>
      <c r="CN146" t="str">
        <f>""</f>
        <v/>
      </c>
      <c r="CO146" t="str">
        <f>""</f>
        <v/>
      </c>
      <c r="CP146" t="str">
        <f>""</f>
        <v/>
      </c>
      <c r="CQ146" t="str">
        <f>""</f>
        <v/>
      </c>
      <c r="CR146" t="str">
        <f>""</f>
        <v/>
      </c>
      <c r="CS146" t="str">
        <f>""</f>
        <v/>
      </c>
      <c r="CT146" t="str">
        <f>""</f>
        <v/>
      </c>
      <c r="CU146" t="str">
        <f>""</f>
        <v/>
      </c>
      <c r="CV146" t="str">
        <f>""</f>
        <v/>
      </c>
      <c r="CW146" t="str">
        <f>""</f>
        <v/>
      </c>
      <c r="CX146" t="str">
        <f>""</f>
        <v/>
      </c>
      <c r="CY146" t="str">
        <f>""</f>
        <v/>
      </c>
      <c r="CZ146" t="str">
        <f>""</f>
        <v/>
      </c>
      <c r="DA146" t="str">
        <f>""</f>
        <v/>
      </c>
      <c r="DB146" t="str">
        <f>""</f>
        <v/>
      </c>
      <c r="DC146" t="str">
        <f>""</f>
        <v/>
      </c>
      <c r="DD146" t="str">
        <f>""</f>
        <v/>
      </c>
      <c r="DE146" t="str">
        <f>""</f>
        <v/>
      </c>
      <c r="DF146" t="str">
        <f>""</f>
        <v/>
      </c>
      <c r="DG146" t="str">
        <f>""</f>
        <v/>
      </c>
      <c r="DH146" t="str">
        <f>""</f>
        <v/>
      </c>
      <c r="DI146" t="str">
        <f>""</f>
        <v/>
      </c>
      <c r="DJ146" t="str">
        <f>""</f>
        <v/>
      </c>
      <c r="DK146" t="str">
        <f>""</f>
        <v/>
      </c>
      <c r="DL146" t="str">
        <f>""</f>
        <v/>
      </c>
      <c r="DM146" t="str">
        <f>""</f>
        <v/>
      </c>
      <c r="DN146" t="str">
        <f>""</f>
        <v/>
      </c>
      <c r="DO146" t="str">
        <f>""</f>
        <v/>
      </c>
      <c r="DP146" t="str">
        <f>""</f>
        <v/>
      </c>
      <c r="DQ146" t="str">
        <f>""</f>
        <v/>
      </c>
      <c r="DR146" t="str">
        <f>""</f>
        <v/>
      </c>
      <c r="DS146" t="str">
        <f>""</f>
        <v/>
      </c>
      <c r="DT146" t="str">
        <f>""</f>
        <v/>
      </c>
      <c r="DU146" t="str">
        <f>""</f>
        <v/>
      </c>
    </row>
    <row r="147" spans="1:125" x14ac:dyDescent="0.25">
      <c r="BN147" t="str">
        <f>""</f>
        <v/>
      </c>
      <c r="BO147" t="str">
        <f>""</f>
        <v/>
      </c>
      <c r="BP147" t="str">
        <f>""</f>
        <v/>
      </c>
      <c r="BQ147" t="str">
        <f>""</f>
        <v/>
      </c>
      <c r="BR147" t="str">
        <f>""</f>
        <v/>
      </c>
      <c r="BS147" t="str">
        <f>""</f>
        <v/>
      </c>
      <c r="BT147" t="str">
        <f>""</f>
        <v/>
      </c>
      <c r="BU147" t="str">
        <f>""</f>
        <v/>
      </c>
      <c r="BV147" t="str">
        <f>""</f>
        <v/>
      </c>
      <c r="BW147" t="str">
        <f>""</f>
        <v/>
      </c>
      <c r="BX147" t="str">
        <f>""</f>
        <v/>
      </c>
      <c r="BY147" t="str">
        <f>""</f>
        <v/>
      </c>
      <c r="BZ147" t="str">
        <f>""</f>
        <v/>
      </c>
      <c r="CA147" t="str">
        <f>""</f>
        <v/>
      </c>
      <c r="CB147" t="str">
        <f>""</f>
        <v/>
      </c>
      <c r="CC147" t="str">
        <f>""</f>
        <v/>
      </c>
      <c r="CD147" t="str">
        <f>""</f>
        <v/>
      </c>
      <c r="CE147" t="str">
        <f>""</f>
        <v/>
      </c>
      <c r="CF147" t="str">
        <f>""</f>
        <v/>
      </c>
      <c r="CG147" t="str">
        <f>""</f>
        <v/>
      </c>
      <c r="CH147" t="str">
        <f>""</f>
        <v/>
      </c>
      <c r="CI147" t="str">
        <f>""</f>
        <v/>
      </c>
      <c r="CJ147" t="str">
        <f>""</f>
        <v/>
      </c>
      <c r="CK147" t="str">
        <f>""</f>
        <v/>
      </c>
      <c r="CL147" t="str">
        <f>""</f>
        <v/>
      </c>
      <c r="CM147" t="str">
        <f>""</f>
        <v/>
      </c>
      <c r="CN147" t="str">
        <f>""</f>
        <v/>
      </c>
      <c r="CO147" t="str">
        <f>""</f>
        <v/>
      </c>
      <c r="CP147" t="str">
        <f>""</f>
        <v/>
      </c>
      <c r="CQ147" t="str">
        <f>""</f>
        <v/>
      </c>
      <c r="CR147" t="str">
        <f>""</f>
        <v/>
      </c>
      <c r="CS147" t="str">
        <f>""</f>
        <v/>
      </c>
      <c r="CT147" t="str">
        <f>""</f>
        <v/>
      </c>
      <c r="CU147" t="str">
        <f>""</f>
        <v/>
      </c>
      <c r="CV147" t="str">
        <f>""</f>
        <v/>
      </c>
      <c r="CW147" t="str">
        <f>""</f>
        <v/>
      </c>
      <c r="CX147" t="str">
        <f>""</f>
        <v/>
      </c>
      <c r="CY147" t="str">
        <f>""</f>
        <v/>
      </c>
      <c r="CZ147" t="str">
        <f>""</f>
        <v/>
      </c>
      <c r="DA147" t="str">
        <f>""</f>
        <v/>
      </c>
      <c r="DB147" t="str">
        <f>""</f>
        <v/>
      </c>
      <c r="DC147" t="str">
        <f>""</f>
        <v/>
      </c>
      <c r="DD147" t="str">
        <f>""</f>
        <v/>
      </c>
      <c r="DE147" t="str">
        <f>""</f>
        <v/>
      </c>
      <c r="DF147" t="str">
        <f>""</f>
        <v/>
      </c>
      <c r="DG147" t="str">
        <f>""</f>
        <v/>
      </c>
      <c r="DH147" t="str">
        <f>""</f>
        <v/>
      </c>
      <c r="DI147" t="str">
        <f>""</f>
        <v/>
      </c>
      <c r="DJ147" t="str">
        <f>""</f>
        <v/>
      </c>
      <c r="DK147" t="str">
        <f>""</f>
        <v/>
      </c>
      <c r="DL147" t="str">
        <f>""</f>
        <v/>
      </c>
      <c r="DM147" t="str">
        <f>""</f>
        <v/>
      </c>
      <c r="DN147" t="str">
        <f>""</f>
        <v/>
      </c>
      <c r="DO147" t="str">
        <f>""</f>
        <v/>
      </c>
      <c r="DP147" t="str">
        <f>""</f>
        <v/>
      </c>
      <c r="DQ147" t="str">
        <f>""</f>
        <v/>
      </c>
      <c r="DR147" t="str">
        <f>""</f>
        <v/>
      </c>
      <c r="DS147" t="str">
        <f>""</f>
        <v/>
      </c>
      <c r="DT147" t="str">
        <f>""</f>
        <v/>
      </c>
      <c r="DU147" t="str">
        <f>""</f>
        <v/>
      </c>
    </row>
    <row r="148" spans="1:125" x14ac:dyDescent="0.25">
      <c r="A148" t="str">
        <f t="shared" ref="A148:AF148" si="41">"~~~~~~~~~~"</f>
        <v>~~~~~~~~~~</v>
      </c>
      <c r="B148" t="str">
        <f t="shared" si="41"/>
        <v>~~~~~~~~~~</v>
      </c>
      <c r="C148" t="str">
        <f t="shared" si="41"/>
        <v>~~~~~~~~~~</v>
      </c>
      <c r="D148" t="str">
        <f t="shared" si="41"/>
        <v>~~~~~~~~~~</v>
      </c>
      <c r="E148" t="str">
        <f t="shared" si="41"/>
        <v>~~~~~~~~~~</v>
      </c>
      <c r="F148" t="str">
        <f t="shared" si="41"/>
        <v>~~~~~~~~~~</v>
      </c>
      <c r="G148" t="str">
        <f t="shared" si="41"/>
        <v>~~~~~~~~~~</v>
      </c>
      <c r="H148" t="str">
        <f t="shared" si="41"/>
        <v>~~~~~~~~~~</v>
      </c>
      <c r="I148" t="str">
        <f t="shared" si="41"/>
        <v>~~~~~~~~~~</v>
      </c>
      <c r="J148" t="str">
        <f t="shared" si="41"/>
        <v>~~~~~~~~~~</v>
      </c>
      <c r="K148" t="str">
        <f t="shared" si="41"/>
        <v>~~~~~~~~~~</v>
      </c>
      <c r="L148" t="str">
        <f t="shared" si="41"/>
        <v>~~~~~~~~~~</v>
      </c>
      <c r="M148" t="str">
        <f t="shared" si="41"/>
        <v>~~~~~~~~~~</v>
      </c>
      <c r="N148" t="str">
        <f t="shared" si="41"/>
        <v>~~~~~~~~~~</v>
      </c>
      <c r="O148" t="str">
        <f t="shared" si="41"/>
        <v>~~~~~~~~~~</v>
      </c>
      <c r="P148" t="str">
        <f t="shared" si="41"/>
        <v>~~~~~~~~~~</v>
      </c>
      <c r="Q148" t="str">
        <f t="shared" si="41"/>
        <v>~~~~~~~~~~</v>
      </c>
      <c r="R148" t="str">
        <f t="shared" si="41"/>
        <v>~~~~~~~~~~</v>
      </c>
      <c r="S148" t="str">
        <f t="shared" si="41"/>
        <v>~~~~~~~~~~</v>
      </c>
      <c r="T148" t="str">
        <f t="shared" si="41"/>
        <v>~~~~~~~~~~</v>
      </c>
      <c r="U148" t="str">
        <f t="shared" si="41"/>
        <v>~~~~~~~~~~</v>
      </c>
      <c r="V148" t="str">
        <f t="shared" si="41"/>
        <v>~~~~~~~~~~</v>
      </c>
      <c r="W148" t="str">
        <f t="shared" si="41"/>
        <v>~~~~~~~~~~</v>
      </c>
      <c r="X148" t="str">
        <f t="shared" si="41"/>
        <v>~~~~~~~~~~</v>
      </c>
      <c r="Y148" t="str">
        <f t="shared" si="41"/>
        <v>~~~~~~~~~~</v>
      </c>
      <c r="Z148" t="str">
        <f t="shared" si="41"/>
        <v>~~~~~~~~~~</v>
      </c>
      <c r="AA148" t="str">
        <f t="shared" si="41"/>
        <v>~~~~~~~~~~</v>
      </c>
      <c r="AB148" t="str">
        <f t="shared" si="41"/>
        <v>~~~~~~~~~~</v>
      </c>
      <c r="AC148" t="str">
        <f t="shared" si="41"/>
        <v>~~~~~~~~~~</v>
      </c>
      <c r="AD148" t="str">
        <f t="shared" si="41"/>
        <v>~~~~~~~~~~</v>
      </c>
      <c r="AE148" t="str">
        <f t="shared" si="41"/>
        <v>~~~~~~~~~~</v>
      </c>
      <c r="AF148" t="str">
        <f t="shared" si="41"/>
        <v>~~~~~~~~~~</v>
      </c>
      <c r="AG148" t="str">
        <f t="shared" ref="AG148:BM148" si="42">"~~~~~~~~~~"</f>
        <v>~~~~~~~~~~</v>
      </c>
      <c r="AH148" t="str">
        <f t="shared" si="42"/>
        <v>~~~~~~~~~~</v>
      </c>
      <c r="AI148" t="str">
        <f t="shared" si="42"/>
        <v>~~~~~~~~~~</v>
      </c>
      <c r="AJ148" t="str">
        <f t="shared" si="42"/>
        <v>~~~~~~~~~~</v>
      </c>
      <c r="AK148" t="str">
        <f t="shared" si="42"/>
        <v>~~~~~~~~~~</v>
      </c>
      <c r="AL148" t="str">
        <f t="shared" si="42"/>
        <v>~~~~~~~~~~</v>
      </c>
      <c r="AM148" t="str">
        <f t="shared" si="42"/>
        <v>~~~~~~~~~~</v>
      </c>
      <c r="AN148" t="str">
        <f t="shared" si="42"/>
        <v>~~~~~~~~~~</v>
      </c>
      <c r="AO148" t="str">
        <f t="shared" si="42"/>
        <v>~~~~~~~~~~</v>
      </c>
      <c r="AP148" t="str">
        <f t="shared" si="42"/>
        <v>~~~~~~~~~~</v>
      </c>
      <c r="AQ148" t="str">
        <f t="shared" si="42"/>
        <v>~~~~~~~~~~</v>
      </c>
      <c r="AR148" t="str">
        <f t="shared" si="42"/>
        <v>~~~~~~~~~~</v>
      </c>
      <c r="AS148" t="str">
        <f t="shared" si="42"/>
        <v>~~~~~~~~~~</v>
      </c>
      <c r="AT148" t="str">
        <f t="shared" si="42"/>
        <v>~~~~~~~~~~</v>
      </c>
      <c r="AU148" t="str">
        <f t="shared" si="42"/>
        <v>~~~~~~~~~~</v>
      </c>
      <c r="AV148" t="str">
        <f t="shared" si="42"/>
        <v>~~~~~~~~~~</v>
      </c>
      <c r="AW148" t="str">
        <f t="shared" si="42"/>
        <v>~~~~~~~~~~</v>
      </c>
      <c r="AX148" t="str">
        <f t="shared" si="42"/>
        <v>~~~~~~~~~~</v>
      </c>
      <c r="AY148" t="str">
        <f t="shared" si="42"/>
        <v>~~~~~~~~~~</v>
      </c>
      <c r="AZ148" t="str">
        <f t="shared" si="42"/>
        <v>~~~~~~~~~~</v>
      </c>
      <c r="BA148" t="str">
        <f t="shared" si="42"/>
        <v>~~~~~~~~~~</v>
      </c>
      <c r="BB148" t="str">
        <f t="shared" si="42"/>
        <v>~~~~~~~~~~</v>
      </c>
      <c r="BC148" t="str">
        <f t="shared" si="42"/>
        <v>~~~~~~~~~~</v>
      </c>
      <c r="BD148" t="str">
        <f t="shared" si="42"/>
        <v>~~~~~~~~~~</v>
      </c>
      <c r="BE148" t="str">
        <f t="shared" si="42"/>
        <v>~~~~~~~~~~</v>
      </c>
      <c r="BF148" t="str">
        <f t="shared" si="42"/>
        <v>~~~~~~~~~~</v>
      </c>
      <c r="BG148" t="str">
        <f t="shared" si="42"/>
        <v>~~~~~~~~~~</v>
      </c>
      <c r="BH148" t="str">
        <f t="shared" si="42"/>
        <v>~~~~~~~~~~</v>
      </c>
      <c r="BI148" t="str">
        <f t="shared" si="42"/>
        <v>~~~~~~~~~~</v>
      </c>
      <c r="BJ148" t="str">
        <f t="shared" si="42"/>
        <v>~~~~~~~~~~</v>
      </c>
      <c r="BK148" t="str">
        <f t="shared" si="42"/>
        <v>~~~~~~~~~~</v>
      </c>
      <c r="BL148" t="str">
        <f t="shared" si="42"/>
        <v>~~~~~~~~~~</v>
      </c>
      <c r="BM148" t="str">
        <f t="shared" si="42"/>
        <v>~~~~~~~~~~</v>
      </c>
      <c r="BN148" t="str">
        <f>""</f>
        <v/>
      </c>
      <c r="BO148" t="str">
        <f>""</f>
        <v/>
      </c>
      <c r="BP148" t="str">
        <f>""</f>
        <v/>
      </c>
      <c r="BQ148" t="str">
        <f>""</f>
        <v/>
      </c>
      <c r="BR148" t="str">
        <f>""</f>
        <v/>
      </c>
      <c r="BS148" t="str">
        <f>""</f>
        <v/>
      </c>
      <c r="BT148" t="str">
        <f>""</f>
        <v/>
      </c>
      <c r="BU148" t="str">
        <f>""</f>
        <v/>
      </c>
      <c r="BV148" t="str">
        <f>""</f>
        <v/>
      </c>
      <c r="BW148" t="str">
        <f>""</f>
        <v/>
      </c>
      <c r="BX148" t="str">
        <f>""</f>
        <v/>
      </c>
      <c r="BY148" t="str">
        <f>""</f>
        <v/>
      </c>
      <c r="BZ148" t="str">
        <f>""</f>
        <v/>
      </c>
      <c r="CA148" t="str">
        <f>""</f>
        <v/>
      </c>
      <c r="CB148" t="str">
        <f>""</f>
        <v/>
      </c>
      <c r="CC148" t="str">
        <f>""</f>
        <v/>
      </c>
      <c r="CD148" t="str">
        <f>""</f>
        <v/>
      </c>
      <c r="CE148" t="str">
        <f>""</f>
        <v/>
      </c>
      <c r="CF148" t="str">
        <f>""</f>
        <v/>
      </c>
      <c r="CG148" t="str">
        <f>""</f>
        <v/>
      </c>
      <c r="CH148" t="str">
        <f>""</f>
        <v/>
      </c>
      <c r="CI148" t="str">
        <f>""</f>
        <v/>
      </c>
      <c r="CJ148" t="str">
        <f>""</f>
        <v/>
      </c>
      <c r="CK148" t="str">
        <f>""</f>
        <v/>
      </c>
      <c r="CL148" t="str">
        <f>""</f>
        <v/>
      </c>
      <c r="CM148" t="str">
        <f>""</f>
        <v/>
      </c>
      <c r="CN148" t="str">
        <f>""</f>
        <v/>
      </c>
      <c r="CO148" t="str">
        <f>""</f>
        <v/>
      </c>
      <c r="CP148" t="str">
        <f>""</f>
        <v/>
      </c>
      <c r="CQ148" t="str">
        <f>""</f>
        <v/>
      </c>
      <c r="CR148" t="str">
        <f>""</f>
        <v/>
      </c>
      <c r="CS148" t="str">
        <f>""</f>
        <v/>
      </c>
      <c r="CT148" t="str">
        <f>""</f>
        <v/>
      </c>
      <c r="CU148" t="str">
        <f>""</f>
        <v/>
      </c>
      <c r="CV148" t="str">
        <f>""</f>
        <v/>
      </c>
      <c r="CW148" t="str">
        <f>""</f>
        <v/>
      </c>
      <c r="CX148" t="str">
        <f>""</f>
        <v/>
      </c>
      <c r="CY148" t="str">
        <f>""</f>
        <v/>
      </c>
      <c r="CZ148" t="str">
        <f>""</f>
        <v/>
      </c>
      <c r="DA148" t="str">
        <f>""</f>
        <v/>
      </c>
      <c r="DB148" t="str">
        <f>""</f>
        <v/>
      </c>
      <c r="DC148" t="str">
        <f>""</f>
        <v/>
      </c>
      <c r="DD148" t="str">
        <f>""</f>
        <v/>
      </c>
      <c r="DE148" t="str">
        <f>""</f>
        <v/>
      </c>
      <c r="DF148" t="str">
        <f>""</f>
        <v/>
      </c>
      <c r="DG148" t="str">
        <f>""</f>
        <v/>
      </c>
      <c r="DH148" t="str">
        <f>""</f>
        <v/>
      </c>
      <c r="DI148" t="str">
        <f>""</f>
        <v/>
      </c>
      <c r="DJ148" t="str">
        <f>""</f>
        <v/>
      </c>
      <c r="DK148" t="str">
        <f>""</f>
        <v/>
      </c>
      <c r="DL148" t="str">
        <f>""</f>
        <v/>
      </c>
      <c r="DM148" t="str">
        <f>""</f>
        <v/>
      </c>
      <c r="DN148" t="str">
        <f>""</f>
        <v/>
      </c>
      <c r="DO148" t="str">
        <f>""</f>
        <v/>
      </c>
      <c r="DP148" t="str">
        <f>""</f>
        <v/>
      </c>
      <c r="DQ148" t="str">
        <f>""</f>
        <v/>
      </c>
      <c r="DR148" t="str">
        <f>""</f>
        <v/>
      </c>
      <c r="DS148" t="str">
        <f>""</f>
        <v/>
      </c>
      <c r="DT148" t="str">
        <f>""</f>
        <v/>
      </c>
      <c r="DU148" t="str">
        <f>""</f>
        <v/>
      </c>
    </row>
    <row r="149" spans="1:125" x14ac:dyDescent="0.25">
      <c r="A149" t="str">
        <f>"All rows below have been added for reference by formula rows above."</f>
        <v>All rows below have been added for reference by formula rows above.</v>
      </c>
      <c r="BN149" t="str">
        <f>""</f>
        <v/>
      </c>
      <c r="BO149" t="str">
        <f>""</f>
        <v/>
      </c>
      <c r="BP149" t="str">
        <f>""</f>
        <v/>
      </c>
      <c r="BQ149" t="str">
        <f>""</f>
        <v/>
      </c>
      <c r="BR149" t="str">
        <f>""</f>
        <v/>
      </c>
      <c r="BS149" t="str">
        <f>""</f>
        <v/>
      </c>
      <c r="BT149" t="str">
        <f>""</f>
        <v/>
      </c>
      <c r="BU149" t="str">
        <f>""</f>
        <v/>
      </c>
      <c r="BV149" t="str">
        <f>""</f>
        <v/>
      </c>
      <c r="BW149" t="str">
        <f>""</f>
        <v/>
      </c>
      <c r="BX149" t="str">
        <f>""</f>
        <v/>
      </c>
      <c r="BY149" t="str">
        <f>""</f>
        <v/>
      </c>
      <c r="BZ149" t="str">
        <f>""</f>
        <v/>
      </c>
      <c r="CA149" t="str">
        <f>""</f>
        <v/>
      </c>
      <c r="CB149" t="str">
        <f>""</f>
        <v/>
      </c>
      <c r="CC149" t="str">
        <f>""</f>
        <v/>
      </c>
      <c r="CD149" t="str">
        <f>""</f>
        <v/>
      </c>
      <c r="CE149" t="str">
        <f>""</f>
        <v/>
      </c>
      <c r="CF149" t="str">
        <f>""</f>
        <v/>
      </c>
      <c r="CG149" t="str">
        <f>""</f>
        <v/>
      </c>
      <c r="CH149" t="str">
        <f>""</f>
        <v/>
      </c>
      <c r="CI149" t="str">
        <f>""</f>
        <v/>
      </c>
      <c r="CJ149" t="str">
        <f>""</f>
        <v/>
      </c>
      <c r="CK149" t="str">
        <f>""</f>
        <v/>
      </c>
      <c r="CL149" t="str">
        <f>""</f>
        <v/>
      </c>
      <c r="CM149" t="str">
        <f>""</f>
        <v/>
      </c>
      <c r="CN149" t="str">
        <f>""</f>
        <v/>
      </c>
      <c r="CO149" t="str">
        <f>""</f>
        <v/>
      </c>
      <c r="CP149" t="str">
        <f>""</f>
        <v/>
      </c>
      <c r="CQ149" t="str">
        <f>""</f>
        <v/>
      </c>
      <c r="CR149" t="str">
        <f>""</f>
        <v/>
      </c>
      <c r="CS149" t="str">
        <f>""</f>
        <v/>
      </c>
      <c r="CT149" t="str">
        <f>""</f>
        <v/>
      </c>
      <c r="CU149" t="str">
        <f>""</f>
        <v/>
      </c>
      <c r="CV149" t="str">
        <f>""</f>
        <v/>
      </c>
      <c r="CW149" t="str">
        <f>""</f>
        <v/>
      </c>
      <c r="CX149" t="str">
        <f>""</f>
        <v/>
      </c>
      <c r="CY149" t="str">
        <f>""</f>
        <v/>
      </c>
      <c r="CZ149" t="str">
        <f>""</f>
        <v/>
      </c>
      <c r="DA149" t="str">
        <f>""</f>
        <v/>
      </c>
      <c r="DB149" t="str">
        <f>""</f>
        <v/>
      </c>
      <c r="DC149" t="str">
        <f>""</f>
        <v/>
      </c>
      <c r="DD149" t="str">
        <f>""</f>
        <v/>
      </c>
      <c r="DE149" t="str">
        <f>""</f>
        <v/>
      </c>
      <c r="DF149" t="str">
        <f>""</f>
        <v/>
      </c>
      <c r="DG149" t="str">
        <f>""</f>
        <v/>
      </c>
      <c r="DH149" t="str">
        <f>""</f>
        <v/>
      </c>
      <c r="DI149" t="str">
        <f>""</f>
        <v/>
      </c>
      <c r="DJ149" t="str">
        <f>""</f>
        <v/>
      </c>
      <c r="DK149" t="str">
        <f>""</f>
        <v/>
      </c>
      <c r="DL149" t="str">
        <f>""</f>
        <v/>
      </c>
      <c r="DM149" t="str">
        <f>""</f>
        <v/>
      </c>
      <c r="DN149" t="str">
        <f>""</f>
        <v/>
      </c>
      <c r="DO149" t="str">
        <f>""</f>
        <v/>
      </c>
      <c r="DP149" t="str">
        <f>""</f>
        <v/>
      </c>
      <c r="DQ149" t="str">
        <f>""</f>
        <v/>
      </c>
      <c r="DR149" t="str">
        <f>""</f>
        <v/>
      </c>
      <c r="DS149" t="str">
        <f>""</f>
        <v/>
      </c>
      <c r="DT149" t="str">
        <f>""</f>
        <v/>
      </c>
      <c r="DU149" t="str">
        <f>""</f>
        <v/>
      </c>
    </row>
    <row r="150" spans="1:125" x14ac:dyDescent="0.25">
      <c r="A150">
        <f>RTD("bloomberg.ccyreader", "", "#track", "DBG", "BIHITX", "1.0","RepeatHit")</f>
        <v>0</v>
      </c>
      <c r="BN150" t="str">
        <f>""</f>
        <v/>
      </c>
      <c r="BO150" t="str">
        <f>""</f>
        <v/>
      </c>
      <c r="BP150" t="str">
        <f>""</f>
        <v/>
      </c>
      <c r="BQ150" t="str">
        <f>""</f>
        <v/>
      </c>
      <c r="BR150" t="str">
        <f>""</f>
        <v/>
      </c>
      <c r="BS150" t="str">
        <f>""</f>
        <v/>
      </c>
      <c r="BT150" t="str">
        <f>""</f>
        <v/>
      </c>
      <c r="BU150" t="str">
        <f>""</f>
        <v/>
      </c>
      <c r="BV150" t="str">
        <f>""</f>
        <v/>
      </c>
      <c r="BW150" t="str">
        <f>""</f>
        <v/>
      </c>
      <c r="BX150" t="str">
        <f>""</f>
        <v/>
      </c>
      <c r="BY150" t="str">
        <f>""</f>
        <v/>
      </c>
      <c r="BZ150" t="str">
        <f>""</f>
        <v/>
      </c>
      <c r="CA150" t="str">
        <f>""</f>
        <v/>
      </c>
      <c r="CB150" t="str">
        <f>""</f>
        <v/>
      </c>
      <c r="CC150" t="str">
        <f>""</f>
        <v/>
      </c>
      <c r="CD150" t="str">
        <f>""</f>
        <v/>
      </c>
      <c r="CE150" t="str">
        <f>""</f>
        <v/>
      </c>
      <c r="CF150" t="str">
        <f>""</f>
        <v/>
      </c>
      <c r="CG150" t="str">
        <f>""</f>
        <v/>
      </c>
      <c r="CH150" t="str">
        <f>""</f>
        <v/>
      </c>
      <c r="CI150" t="str">
        <f>""</f>
        <v/>
      </c>
      <c r="CJ150" t="str">
        <f>""</f>
        <v/>
      </c>
      <c r="CK150" t="str">
        <f>""</f>
        <v/>
      </c>
      <c r="CL150" t="str">
        <f>""</f>
        <v/>
      </c>
      <c r="CM150" t="str">
        <f>""</f>
        <v/>
      </c>
      <c r="CN150" t="str">
        <f>""</f>
        <v/>
      </c>
      <c r="CO150" t="str">
        <f>""</f>
        <v/>
      </c>
      <c r="CP150" t="str">
        <f>""</f>
        <v/>
      </c>
      <c r="CQ150" t="str">
        <f>""</f>
        <v/>
      </c>
      <c r="CR150" t="str">
        <f>""</f>
        <v/>
      </c>
      <c r="CS150" t="str">
        <f>""</f>
        <v/>
      </c>
      <c r="CT150" t="str">
        <f>""</f>
        <v/>
      </c>
      <c r="CU150" t="str">
        <f>""</f>
        <v/>
      </c>
      <c r="CV150" t="str">
        <f>""</f>
        <v/>
      </c>
      <c r="CW150" t="str">
        <f>""</f>
        <v/>
      </c>
      <c r="CX150" t="str">
        <f>""</f>
        <v/>
      </c>
      <c r="CY150" t="str">
        <f>""</f>
        <v/>
      </c>
      <c r="CZ150" t="str">
        <f>""</f>
        <v/>
      </c>
      <c r="DA150" t="str">
        <f>""</f>
        <v/>
      </c>
      <c r="DB150" t="str">
        <f>""</f>
        <v/>
      </c>
      <c r="DC150" t="str">
        <f>""</f>
        <v/>
      </c>
      <c r="DD150" t="str">
        <f>""</f>
        <v/>
      </c>
      <c r="DE150" t="str">
        <f>""</f>
        <v/>
      </c>
      <c r="DF150" t="str">
        <f>""</f>
        <v/>
      </c>
      <c r="DG150" t="str">
        <f>""</f>
        <v/>
      </c>
      <c r="DH150" t="str">
        <f>""</f>
        <v/>
      </c>
      <c r="DI150" t="str">
        <f>""</f>
        <v/>
      </c>
      <c r="DJ150" t="str">
        <f>""</f>
        <v/>
      </c>
      <c r="DK150" t="str">
        <f>""</f>
        <v/>
      </c>
      <c r="DL150" t="str">
        <f>""</f>
        <v/>
      </c>
      <c r="DM150" t="str">
        <f>""</f>
        <v/>
      </c>
      <c r="DN150" t="str">
        <f>""</f>
        <v/>
      </c>
      <c r="DO150" t="str">
        <f>""</f>
        <v/>
      </c>
      <c r="DP150" t="str">
        <f>""</f>
        <v/>
      </c>
      <c r="DQ150" t="str">
        <f>""</f>
        <v/>
      </c>
      <c r="DR150" t="str">
        <f>""</f>
        <v/>
      </c>
      <c r="DS150" t="str">
        <f>""</f>
        <v/>
      </c>
      <c r="DT150" t="str">
        <f>""</f>
        <v/>
      </c>
      <c r="DU150" t="str">
        <f>""</f>
        <v/>
      </c>
    </row>
    <row r="151" spans="1:125" x14ac:dyDescent="0.25">
      <c r="A151" t="str">
        <f>"Currency"</f>
        <v>Currency</v>
      </c>
      <c r="B151" t="str">
        <f>"USD"</f>
        <v>USD</v>
      </c>
      <c r="BN151" t="str">
        <f>""</f>
        <v/>
      </c>
      <c r="BO151" t="str">
        <f>""</f>
        <v/>
      </c>
      <c r="BP151" t="str">
        <f>""</f>
        <v/>
      </c>
      <c r="BQ151" t="str">
        <f>""</f>
        <v/>
      </c>
      <c r="BR151" t="str">
        <f>""</f>
        <v/>
      </c>
      <c r="BS151" t="str">
        <f>""</f>
        <v/>
      </c>
      <c r="BT151" t="str">
        <f>""</f>
        <v/>
      </c>
      <c r="BU151" t="str">
        <f>""</f>
        <v/>
      </c>
      <c r="BV151" t="str">
        <f>""</f>
        <v/>
      </c>
      <c r="BW151" t="str">
        <f>""</f>
        <v/>
      </c>
      <c r="BX151" t="str">
        <f>""</f>
        <v/>
      </c>
      <c r="BY151" t="str">
        <f>""</f>
        <v/>
      </c>
      <c r="BZ151" t="str">
        <f>""</f>
        <v/>
      </c>
      <c r="CA151" t="str">
        <f>""</f>
        <v/>
      </c>
      <c r="CB151" t="str">
        <f>""</f>
        <v/>
      </c>
      <c r="CC151" t="str">
        <f>""</f>
        <v/>
      </c>
      <c r="CD151" t="str">
        <f>""</f>
        <v/>
      </c>
      <c r="CE151" t="str">
        <f>""</f>
        <v/>
      </c>
      <c r="CF151" t="str">
        <f>""</f>
        <v/>
      </c>
      <c r="CG151" t="str">
        <f>""</f>
        <v/>
      </c>
      <c r="CH151" t="str">
        <f>""</f>
        <v/>
      </c>
      <c r="CI151" t="str">
        <f>""</f>
        <v/>
      </c>
      <c r="CJ151" t="str">
        <f>""</f>
        <v/>
      </c>
      <c r="CK151" t="str">
        <f>""</f>
        <v/>
      </c>
      <c r="CL151" t="str">
        <f>""</f>
        <v/>
      </c>
      <c r="CM151" t="str">
        <f>""</f>
        <v/>
      </c>
      <c r="CN151" t="str">
        <f>""</f>
        <v/>
      </c>
      <c r="CO151" t="str">
        <f>""</f>
        <v/>
      </c>
      <c r="CP151" t="str">
        <f>""</f>
        <v/>
      </c>
      <c r="CQ151" t="str">
        <f>""</f>
        <v/>
      </c>
      <c r="CR151" t="str">
        <f>""</f>
        <v/>
      </c>
      <c r="CS151" t="str">
        <f>""</f>
        <v/>
      </c>
      <c r="CT151" t="str">
        <f>""</f>
        <v/>
      </c>
      <c r="CU151" t="str">
        <f>""</f>
        <v/>
      </c>
      <c r="CV151" t="str">
        <f>""</f>
        <v/>
      </c>
      <c r="CW151" t="str">
        <f>""</f>
        <v/>
      </c>
      <c r="CX151" t="str">
        <f>""</f>
        <v/>
      </c>
      <c r="CY151" t="str">
        <f>""</f>
        <v/>
      </c>
      <c r="CZ151" t="str">
        <f>""</f>
        <v/>
      </c>
      <c r="DA151" t="str">
        <f>""</f>
        <v/>
      </c>
      <c r="DB151" t="str">
        <f>""</f>
        <v/>
      </c>
      <c r="DC151" t="str">
        <f>""</f>
        <v/>
      </c>
      <c r="DD151" t="str">
        <f>""</f>
        <v/>
      </c>
      <c r="DE151" t="str">
        <f>""</f>
        <v/>
      </c>
      <c r="DF151" t="str">
        <f>""</f>
        <v/>
      </c>
      <c r="DG151" t="str">
        <f>""</f>
        <v/>
      </c>
      <c r="DH151" t="str">
        <f>""</f>
        <v/>
      </c>
      <c r="DI151" t="str">
        <f>""</f>
        <v/>
      </c>
      <c r="DJ151" t="str">
        <f>""</f>
        <v/>
      </c>
      <c r="DK151" t="str">
        <f>""</f>
        <v/>
      </c>
      <c r="DL151" t="str">
        <f>""</f>
        <v/>
      </c>
      <c r="DM151" t="str">
        <f>""</f>
        <v/>
      </c>
      <c r="DN151" t="str">
        <f>""</f>
        <v/>
      </c>
      <c r="DO151" t="str">
        <f>""</f>
        <v/>
      </c>
      <c r="DP151" t="str">
        <f>""</f>
        <v/>
      </c>
      <c r="DQ151" t="str">
        <f>""</f>
        <v/>
      </c>
      <c r="DR151" t="str">
        <f>""</f>
        <v/>
      </c>
      <c r="DS151" t="str">
        <f>""</f>
        <v/>
      </c>
      <c r="DT151" t="str">
        <f>""</f>
        <v/>
      </c>
      <c r="DU151" t="str">
        <f>""</f>
        <v/>
      </c>
    </row>
    <row r="152" spans="1:125" x14ac:dyDescent="0.25">
      <c r="A152" t="str">
        <f>"Periodicity"</f>
        <v>Periodicity</v>
      </c>
      <c r="B152" t="str">
        <f>"CQ"</f>
        <v>CQ</v>
      </c>
      <c r="C152" t="str">
        <f>"AQ"</f>
        <v>AQ</v>
      </c>
      <c r="BN152" t="str">
        <f>""</f>
        <v/>
      </c>
      <c r="BO152" t="str">
        <f>""</f>
        <v/>
      </c>
      <c r="BP152" t="str">
        <f>""</f>
        <v/>
      </c>
      <c r="BQ152" t="str">
        <f>""</f>
        <v/>
      </c>
      <c r="BR152" t="str">
        <f>""</f>
        <v/>
      </c>
      <c r="BS152" t="str">
        <f>""</f>
        <v/>
      </c>
      <c r="BT152" t="str">
        <f>""</f>
        <v/>
      </c>
      <c r="BU152" t="str">
        <f>""</f>
        <v/>
      </c>
      <c r="BV152" t="str">
        <f>""</f>
        <v/>
      </c>
      <c r="BW152" t="str">
        <f>""</f>
        <v/>
      </c>
      <c r="BX152" t="str">
        <f>""</f>
        <v/>
      </c>
      <c r="BY152" t="str">
        <f>""</f>
        <v/>
      </c>
      <c r="BZ152" t="str">
        <f>""</f>
        <v/>
      </c>
      <c r="CA152" t="str">
        <f>""</f>
        <v/>
      </c>
      <c r="CB152" t="str">
        <f>""</f>
        <v/>
      </c>
      <c r="CC152" t="str">
        <f>""</f>
        <v/>
      </c>
      <c r="CD152" t="str">
        <f>""</f>
        <v/>
      </c>
      <c r="CE152" t="str">
        <f>""</f>
        <v/>
      </c>
      <c r="CF152" t="str">
        <f>""</f>
        <v/>
      </c>
      <c r="CG152" t="str">
        <f>""</f>
        <v/>
      </c>
      <c r="CH152" t="str">
        <f>""</f>
        <v/>
      </c>
      <c r="CI152" t="str">
        <f>""</f>
        <v/>
      </c>
      <c r="CJ152" t="str">
        <f>""</f>
        <v/>
      </c>
      <c r="CK152" t="str">
        <f>""</f>
        <v/>
      </c>
      <c r="CL152" t="str">
        <f>""</f>
        <v/>
      </c>
      <c r="CM152" t="str">
        <f>""</f>
        <v/>
      </c>
      <c r="CN152" t="str">
        <f>""</f>
        <v/>
      </c>
      <c r="CO152" t="str">
        <f>""</f>
        <v/>
      </c>
      <c r="CP152" t="str">
        <f>""</f>
        <v/>
      </c>
      <c r="CQ152" t="str">
        <f>""</f>
        <v/>
      </c>
      <c r="CR152" t="str">
        <f>""</f>
        <v/>
      </c>
      <c r="CS152" t="str">
        <f>""</f>
        <v/>
      </c>
      <c r="CT152" t="str">
        <f>""</f>
        <v/>
      </c>
      <c r="CU152" t="str">
        <f>""</f>
        <v/>
      </c>
      <c r="CV152" t="str">
        <f>""</f>
        <v/>
      </c>
      <c r="CW152" t="str">
        <f>""</f>
        <v/>
      </c>
      <c r="CX152" t="str">
        <f>""</f>
        <v/>
      </c>
      <c r="CY152" t="str">
        <f>""</f>
        <v/>
      </c>
      <c r="CZ152" t="str">
        <f>""</f>
        <v/>
      </c>
      <c r="DA152" t="str">
        <f>""</f>
        <v/>
      </c>
      <c r="DB152" t="str">
        <f>""</f>
        <v/>
      </c>
      <c r="DC152" t="str">
        <f>""</f>
        <v/>
      </c>
      <c r="DD152" t="str">
        <f>""</f>
        <v/>
      </c>
      <c r="DE152" t="str">
        <f>""</f>
        <v/>
      </c>
      <c r="DF152" t="str">
        <f>""</f>
        <v/>
      </c>
      <c r="DG152" t="str">
        <f>""</f>
        <v/>
      </c>
      <c r="DH152" t="str">
        <f>""</f>
        <v/>
      </c>
      <c r="DI152" t="str">
        <f>""</f>
        <v/>
      </c>
      <c r="DJ152" t="str">
        <f>""</f>
        <v/>
      </c>
      <c r="DK152" t="str">
        <f>""</f>
        <v/>
      </c>
      <c r="DL152" t="str">
        <f>""</f>
        <v/>
      </c>
      <c r="DM152" t="str">
        <f>""</f>
        <v/>
      </c>
      <c r="DN152" t="str">
        <f>""</f>
        <v/>
      </c>
      <c r="DO152" t="str">
        <f>""</f>
        <v/>
      </c>
      <c r="DP152" t="str">
        <f>""</f>
        <v/>
      </c>
      <c r="DQ152" t="str">
        <f>""</f>
        <v/>
      </c>
      <c r="DR152" t="str">
        <f>""</f>
        <v/>
      </c>
      <c r="DS152" t="str">
        <f>""</f>
        <v/>
      </c>
      <c r="DT152" t="str">
        <f>""</f>
        <v/>
      </c>
      <c r="DU152" t="str">
        <f>""</f>
        <v/>
      </c>
    </row>
    <row r="153" spans="1:125" x14ac:dyDescent="0.25">
      <c r="A153" t="str">
        <f>"Number of Periods"</f>
        <v>Number of Periods</v>
      </c>
      <c r="B153">
        <f>60</f>
        <v>60</v>
      </c>
      <c r="BN153" t="str">
        <f>""</f>
        <v/>
      </c>
      <c r="BO153" t="str">
        <f>""</f>
        <v/>
      </c>
      <c r="BP153" t="str">
        <f>""</f>
        <v/>
      </c>
      <c r="BQ153" t="str">
        <f>""</f>
        <v/>
      </c>
      <c r="BR153" t="str">
        <f>""</f>
        <v/>
      </c>
      <c r="BS153" t="str">
        <f>""</f>
        <v/>
      </c>
      <c r="BT153" t="str">
        <f>""</f>
        <v/>
      </c>
      <c r="BU153" t="str">
        <f>""</f>
        <v/>
      </c>
      <c r="BV153" t="str">
        <f>""</f>
        <v/>
      </c>
      <c r="BW153" t="str">
        <f>""</f>
        <v/>
      </c>
      <c r="BX153" t="str">
        <f>""</f>
        <v/>
      </c>
      <c r="BY153" t="str">
        <f>""</f>
        <v/>
      </c>
      <c r="BZ153" t="str">
        <f>""</f>
        <v/>
      </c>
      <c r="CA153" t="str">
        <f>""</f>
        <v/>
      </c>
      <c r="CB153" t="str">
        <f>""</f>
        <v/>
      </c>
      <c r="CC153" t="str">
        <f>""</f>
        <v/>
      </c>
      <c r="CD153" t="str">
        <f>""</f>
        <v/>
      </c>
      <c r="CE153" t="str">
        <f>""</f>
        <v/>
      </c>
      <c r="CF153" t="str">
        <f>""</f>
        <v/>
      </c>
      <c r="CG153" t="str">
        <f>""</f>
        <v/>
      </c>
      <c r="CH153" t="str">
        <f>""</f>
        <v/>
      </c>
      <c r="CI153" t="str">
        <f>""</f>
        <v/>
      </c>
      <c r="CJ153" t="str">
        <f>""</f>
        <v/>
      </c>
      <c r="CK153" t="str">
        <f>""</f>
        <v/>
      </c>
      <c r="CL153" t="str">
        <f>""</f>
        <v/>
      </c>
      <c r="CM153" t="str">
        <f>""</f>
        <v/>
      </c>
      <c r="CN153" t="str">
        <f>""</f>
        <v/>
      </c>
      <c r="CO153" t="str">
        <f>""</f>
        <v/>
      </c>
      <c r="CP153" t="str">
        <f>""</f>
        <v/>
      </c>
      <c r="CQ153" t="str">
        <f>""</f>
        <v/>
      </c>
      <c r="CR153" t="str">
        <f>""</f>
        <v/>
      </c>
      <c r="CS153" t="str">
        <f>""</f>
        <v/>
      </c>
      <c r="CT153" t="str">
        <f>""</f>
        <v/>
      </c>
      <c r="CU153" t="str">
        <f>""</f>
        <v/>
      </c>
      <c r="CV153" t="str">
        <f>""</f>
        <v/>
      </c>
      <c r="CW153" t="str">
        <f>""</f>
        <v/>
      </c>
      <c r="CX153" t="str">
        <f>""</f>
        <v/>
      </c>
      <c r="CY153" t="str">
        <f>""</f>
        <v/>
      </c>
      <c r="CZ153" t="str">
        <f>""</f>
        <v/>
      </c>
      <c r="DA153" t="str">
        <f>""</f>
        <v/>
      </c>
      <c r="DB153" t="str">
        <f>""</f>
        <v/>
      </c>
      <c r="DC153" t="str">
        <f>""</f>
        <v/>
      </c>
      <c r="DD153" t="str">
        <f>""</f>
        <v/>
      </c>
      <c r="DE153" t="str">
        <f>""</f>
        <v/>
      </c>
      <c r="DF153" t="str">
        <f>""</f>
        <v/>
      </c>
      <c r="DG153" t="str">
        <f>""</f>
        <v/>
      </c>
      <c r="DH153" t="str">
        <f>""</f>
        <v/>
      </c>
      <c r="DI153" t="str">
        <f>""</f>
        <v/>
      </c>
      <c r="DJ153" t="str">
        <f>""</f>
        <v/>
      </c>
      <c r="DK153" t="str">
        <f>""</f>
        <v/>
      </c>
      <c r="DL153" t="str">
        <f>""</f>
        <v/>
      </c>
      <c r="DM153" t="str">
        <f>""</f>
        <v/>
      </c>
      <c r="DN153" t="str">
        <f>""</f>
        <v/>
      </c>
      <c r="DO153" t="str">
        <f>""</f>
        <v/>
      </c>
      <c r="DP153" t="str">
        <f>""</f>
        <v/>
      </c>
      <c r="DQ153" t="str">
        <f>""</f>
        <v/>
      </c>
      <c r="DR153" t="str">
        <f>""</f>
        <v/>
      </c>
      <c r="DS153" t="str">
        <f>""</f>
        <v/>
      </c>
      <c r="DT153" t="str">
        <f>""</f>
        <v/>
      </c>
      <c r="DU153" t="str">
        <f>""</f>
        <v/>
      </c>
    </row>
    <row r="154" spans="1:125" x14ac:dyDescent="0.25">
      <c r="A154" t="str">
        <f>"Start Date"</f>
        <v>Start Date</v>
      </c>
      <c r="B154" t="str">
        <f>CONCATENATE("-",$B$153,$B$152)</f>
        <v>-60CQ</v>
      </c>
      <c r="C154" t="str">
        <f>CONCATENATE("-",$B$153,$C$152)</f>
        <v>-60AQ</v>
      </c>
      <c r="BN154" t="str">
        <f>""</f>
        <v/>
      </c>
      <c r="BO154" t="str">
        <f>""</f>
        <v/>
      </c>
      <c r="BP154" t="str">
        <f>""</f>
        <v/>
      </c>
      <c r="BQ154" t="str">
        <f>""</f>
        <v/>
      </c>
      <c r="BR154" t="str">
        <f>""</f>
        <v/>
      </c>
      <c r="BS154" t="str">
        <f>""</f>
        <v/>
      </c>
      <c r="BT154" t="str">
        <f>""</f>
        <v/>
      </c>
      <c r="BU154" t="str">
        <f>""</f>
        <v/>
      </c>
      <c r="BV154" t="str">
        <f>""</f>
        <v/>
      </c>
      <c r="BW154" t="str">
        <f>""</f>
        <v/>
      </c>
      <c r="BX154" t="str">
        <f>""</f>
        <v/>
      </c>
      <c r="BY154" t="str">
        <f>""</f>
        <v/>
      </c>
      <c r="BZ154" t="str">
        <f>""</f>
        <v/>
      </c>
      <c r="CA154" t="str">
        <f>""</f>
        <v/>
      </c>
      <c r="CB154" t="str">
        <f>""</f>
        <v/>
      </c>
      <c r="CC154" t="str">
        <f>""</f>
        <v/>
      </c>
      <c r="CD154" t="str">
        <f>""</f>
        <v/>
      </c>
      <c r="CE154" t="str">
        <f>""</f>
        <v/>
      </c>
      <c r="CF154" t="str">
        <f>""</f>
        <v/>
      </c>
      <c r="CG154" t="str">
        <f>""</f>
        <v/>
      </c>
      <c r="CH154" t="str">
        <f>""</f>
        <v/>
      </c>
      <c r="CI154" t="str">
        <f>""</f>
        <v/>
      </c>
      <c r="CJ154" t="str">
        <f>""</f>
        <v/>
      </c>
      <c r="CK154" t="str">
        <f>""</f>
        <v/>
      </c>
      <c r="CL154" t="str">
        <f>""</f>
        <v/>
      </c>
      <c r="CM154" t="str">
        <f>""</f>
        <v/>
      </c>
      <c r="CN154" t="str">
        <f>""</f>
        <v/>
      </c>
      <c r="CO154" t="str">
        <f>""</f>
        <v/>
      </c>
      <c r="CP154" t="str">
        <f>""</f>
        <v/>
      </c>
      <c r="CQ154" t="str">
        <f>""</f>
        <v/>
      </c>
      <c r="CR154" t="str">
        <f>""</f>
        <v/>
      </c>
      <c r="CS154" t="str">
        <f>""</f>
        <v/>
      </c>
      <c r="CT154" t="str">
        <f>""</f>
        <v/>
      </c>
      <c r="CU154" t="str">
        <f>""</f>
        <v/>
      </c>
      <c r="CV154" t="str">
        <f>""</f>
        <v/>
      </c>
      <c r="CW154" t="str">
        <f>""</f>
        <v/>
      </c>
      <c r="CX154" t="str">
        <f>""</f>
        <v/>
      </c>
      <c r="CY154" t="str">
        <f>""</f>
        <v/>
      </c>
      <c r="CZ154" t="str">
        <f>""</f>
        <v/>
      </c>
      <c r="DA154" t="str">
        <f>""</f>
        <v/>
      </c>
      <c r="DB154" t="str">
        <f>""</f>
        <v/>
      </c>
      <c r="DC154" t="str">
        <f>""</f>
        <v/>
      </c>
      <c r="DD154" t="str">
        <f>""</f>
        <v/>
      </c>
      <c r="DE154" t="str">
        <f>""</f>
        <v/>
      </c>
      <c r="DF154" t="str">
        <f>""</f>
        <v/>
      </c>
      <c r="DG154" t="str">
        <f>""</f>
        <v/>
      </c>
      <c r="DH154" t="str">
        <f>""</f>
        <v/>
      </c>
      <c r="DI154" t="str">
        <f>""</f>
        <v/>
      </c>
      <c r="DJ154" t="str">
        <f>""</f>
        <v/>
      </c>
      <c r="DK154" t="str">
        <f>""</f>
        <v/>
      </c>
      <c r="DL154" t="str">
        <f>""</f>
        <v/>
      </c>
      <c r="DM154" t="str">
        <f>""</f>
        <v/>
      </c>
      <c r="DN154" t="str">
        <f>""</f>
        <v/>
      </c>
      <c r="DO154" t="str">
        <f>""</f>
        <v/>
      </c>
      <c r="DP154" t="str">
        <f>""</f>
        <v/>
      </c>
      <c r="DQ154" t="str">
        <f>""</f>
        <v/>
      </c>
      <c r="DR154" t="str">
        <f>""</f>
        <v/>
      </c>
      <c r="DS154" t="str">
        <f>""</f>
        <v/>
      </c>
      <c r="DT154" t="str">
        <f>""</f>
        <v/>
      </c>
      <c r="DU154" t="str">
        <f>""</f>
        <v/>
      </c>
    </row>
    <row r="155" spans="1:125" x14ac:dyDescent="0.25">
      <c r="A155" t="str">
        <f>"End Date"</f>
        <v>End Date</v>
      </c>
      <c r="B155">
        <f ca="1">IF(TODAY()&lt;DATE(2019, 3,31),DATE(2019, 3,31),TODAY())</f>
        <v>43555</v>
      </c>
      <c r="BN155" t="str">
        <f>""</f>
        <v/>
      </c>
      <c r="BO155" t="str">
        <f>""</f>
        <v/>
      </c>
      <c r="BP155" t="str">
        <f>""</f>
        <v/>
      </c>
      <c r="BQ155" t="str">
        <f>""</f>
        <v/>
      </c>
      <c r="BR155" t="str">
        <f>""</f>
        <v/>
      </c>
      <c r="BS155" t="str">
        <f>""</f>
        <v/>
      </c>
      <c r="BT155" t="str">
        <f>""</f>
        <v/>
      </c>
      <c r="BU155" t="str">
        <f>""</f>
        <v/>
      </c>
      <c r="BV155" t="str">
        <f>""</f>
        <v/>
      </c>
      <c r="BW155" t="str">
        <f>""</f>
        <v/>
      </c>
      <c r="BX155" t="str">
        <f>""</f>
        <v/>
      </c>
      <c r="BY155" t="str">
        <f>""</f>
        <v/>
      </c>
      <c r="BZ155" t="str">
        <f>""</f>
        <v/>
      </c>
      <c r="CA155" t="str">
        <f>""</f>
        <v/>
      </c>
      <c r="CB155" t="str">
        <f>""</f>
        <v/>
      </c>
      <c r="CC155" t="str">
        <f>""</f>
        <v/>
      </c>
      <c r="CD155" t="str">
        <f>""</f>
        <v/>
      </c>
      <c r="CE155" t="str">
        <f>""</f>
        <v/>
      </c>
      <c r="CF155" t="str">
        <f>""</f>
        <v/>
      </c>
      <c r="CG155" t="str">
        <f>""</f>
        <v/>
      </c>
      <c r="CH155" t="str">
        <f>""</f>
        <v/>
      </c>
      <c r="CI155" t="str">
        <f>""</f>
        <v/>
      </c>
      <c r="CJ155" t="str">
        <f>""</f>
        <v/>
      </c>
      <c r="CK155" t="str">
        <f>""</f>
        <v/>
      </c>
      <c r="CL155" t="str">
        <f>""</f>
        <v/>
      </c>
      <c r="CM155" t="str">
        <f>""</f>
        <v/>
      </c>
      <c r="CN155" t="str">
        <f>""</f>
        <v/>
      </c>
      <c r="CO155" t="str">
        <f>""</f>
        <v/>
      </c>
      <c r="CP155" t="str">
        <f>""</f>
        <v/>
      </c>
      <c r="CQ155" t="str">
        <f>""</f>
        <v/>
      </c>
      <c r="CR155" t="str">
        <f>""</f>
        <v/>
      </c>
      <c r="CS155" t="str">
        <f>""</f>
        <v/>
      </c>
      <c r="CT155" t="str">
        <f>""</f>
        <v/>
      </c>
      <c r="CU155" t="str">
        <f>""</f>
        <v/>
      </c>
      <c r="CV155" t="str">
        <f>""</f>
        <v/>
      </c>
      <c r="CW155" t="str">
        <f>""</f>
        <v/>
      </c>
      <c r="CX155" t="str">
        <f>""</f>
        <v/>
      </c>
      <c r="CY155" t="str">
        <f>""</f>
        <v/>
      </c>
      <c r="CZ155" t="str">
        <f>""</f>
        <v/>
      </c>
      <c r="DA155" t="str">
        <f>""</f>
        <v/>
      </c>
      <c r="DB155" t="str">
        <f>""</f>
        <v/>
      </c>
      <c r="DC155" t="str">
        <f>""</f>
        <v/>
      </c>
      <c r="DD155" t="str">
        <f>""</f>
        <v/>
      </c>
      <c r="DE155" t="str">
        <f>""</f>
        <v/>
      </c>
      <c r="DF155" t="str">
        <f>""</f>
        <v/>
      </c>
      <c r="DG155" t="str">
        <f>""</f>
        <v/>
      </c>
      <c r="DH155" t="str">
        <f>""</f>
        <v/>
      </c>
      <c r="DI155" t="str">
        <f>""</f>
        <v/>
      </c>
      <c r="DJ155" t="str">
        <f>""</f>
        <v/>
      </c>
      <c r="DK155" t="str">
        <f>""</f>
        <v/>
      </c>
      <c r="DL155" t="str">
        <f>""</f>
        <v/>
      </c>
      <c r="DM155" t="str">
        <f>""</f>
        <v/>
      </c>
      <c r="DN155" t="str">
        <f>""</f>
        <v/>
      </c>
      <c r="DO155" t="str">
        <f>""</f>
        <v/>
      </c>
      <c r="DP155" t="str">
        <f>""</f>
        <v/>
      </c>
      <c r="DQ155" t="str">
        <f>""</f>
        <v/>
      </c>
      <c r="DR155" t="str">
        <f>""</f>
        <v/>
      </c>
      <c r="DS155" t="str">
        <f>""</f>
        <v/>
      </c>
      <c r="DT155" t="str">
        <f>""</f>
        <v/>
      </c>
      <c r="DU155" t="str">
        <f>""</f>
        <v/>
      </c>
    </row>
    <row r="156" spans="1:125" x14ac:dyDescent="0.25">
      <c r="A156" t="str">
        <f>"HeaderStatus(custom data)"</f>
        <v>HeaderStatus(custom data)</v>
      </c>
      <c r="BN156" t="str">
        <f>""</f>
        <v/>
      </c>
      <c r="BO156" t="str">
        <f>""</f>
        <v/>
      </c>
      <c r="BP156" t="str">
        <f>""</f>
        <v/>
      </c>
      <c r="BQ156" t="str">
        <f>""</f>
        <v/>
      </c>
      <c r="BR156" t="str">
        <f>""</f>
        <v/>
      </c>
      <c r="BS156" t="str">
        <f>""</f>
        <v/>
      </c>
      <c r="BT156" t="str">
        <f>""</f>
        <v/>
      </c>
      <c r="BU156" t="str">
        <f>""</f>
        <v/>
      </c>
      <c r="BV156" t="str">
        <f>""</f>
        <v/>
      </c>
      <c r="BW156" t="str">
        <f>""</f>
        <v/>
      </c>
      <c r="BX156" t="str">
        <f>""</f>
        <v/>
      </c>
      <c r="BY156" t="str">
        <f>""</f>
        <v/>
      </c>
      <c r="BZ156" t="str">
        <f>""</f>
        <v/>
      </c>
      <c r="CA156" t="str">
        <f>""</f>
        <v/>
      </c>
      <c r="CB156" t="str">
        <f>""</f>
        <v/>
      </c>
      <c r="CC156" t="str">
        <f>""</f>
        <v/>
      </c>
      <c r="CD156" t="str">
        <f>""</f>
        <v/>
      </c>
      <c r="CE156" t="str">
        <f>""</f>
        <v/>
      </c>
      <c r="CF156" t="str">
        <f>""</f>
        <v/>
      </c>
      <c r="CG156" t="str">
        <f>""</f>
        <v/>
      </c>
      <c r="CH156" t="str">
        <f>""</f>
        <v/>
      </c>
      <c r="CI156" t="str">
        <f>""</f>
        <v/>
      </c>
      <c r="CJ156" t="str">
        <f>""</f>
        <v/>
      </c>
      <c r="CK156" t="str">
        <f>""</f>
        <v/>
      </c>
      <c r="CL156" t="str">
        <f>""</f>
        <v/>
      </c>
      <c r="CM156" t="str">
        <f>""</f>
        <v/>
      </c>
      <c r="CN156" t="str">
        <f>""</f>
        <v/>
      </c>
      <c r="CO156" t="str">
        <f>""</f>
        <v/>
      </c>
      <c r="CP156" t="str">
        <f>""</f>
        <v/>
      </c>
      <c r="CQ156" t="str">
        <f>""</f>
        <v/>
      </c>
      <c r="CR156" t="str">
        <f>""</f>
        <v/>
      </c>
      <c r="CS156" t="str">
        <f>""</f>
        <v/>
      </c>
      <c r="CT156" t="str">
        <f>""</f>
        <v/>
      </c>
      <c r="CU156" t="str">
        <f>""</f>
        <v/>
      </c>
      <c r="CV156" t="str">
        <f>""</f>
        <v/>
      </c>
      <c r="CW156" t="str">
        <f>""</f>
        <v/>
      </c>
      <c r="CX156" t="str">
        <f>""</f>
        <v/>
      </c>
      <c r="CY156" t="str">
        <f>""</f>
        <v/>
      </c>
      <c r="CZ156" t="str">
        <f>""</f>
        <v/>
      </c>
      <c r="DA156" t="str">
        <f>""</f>
        <v/>
      </c>
      <c r="DB156" t="str">
        <f>""</f>
        <v/>
      </c>
      <c r="DC156" t="str">
        <f>""</f>
        <v/>
      </c>
      <c r="DD156" t="str">
        <f>""</f>
        <v/>
      </c>
      <c r="DE156" t="str">
        <f>""</f>
        <v/>
      </c>
      <c r="DF156" t="str">
        <f>""</f>
        <v/>
      </c>
      <c r="DG156" t="str">
        <f>""</f>
        <v/>
      </c>
      <c r="DH156" t="str">
        <f>""</f>
        <v/>
      </c>
      <c r="DI156" t="str">
        <f>""</f>
        <v/>
      </c>
      <c r="DJ156" t="str">
        <f>""</f>
        <v/>
      </c>
      <c r="DK156" t="str">
        <f>""</f>
        <v/>
      </c>
      <c r="DL156" t="str">
        <f>""</f>
        <v/>
      </c>
      <c r="DM156" t="str">
        <f>""</f>
        <v/>
      </c>
      <c r="DN156" t="str">
        <f>""</f>
        <v/>
      </c>
      <c r="DO156" t="str">
        <f>""</f>
        <v/>
      </c>
      <c r="DP156" t="str">
        <f>""</f>
        <v/>
      </c>
      <c r="DQ156" t="str">
        <f>""</f>
        <v/>
      </c>
      <c r="DR156" t="str">
        <f>""</f>
        <v/>
      </c>
      <c r="DS156" t="str">
        <f>""</f>
        <v/>
      </c>
      <c r="DT156" t="str">
        <f>""</f>
        <v/>
      </c>
      <c r="DU156" t="str">
        <f>""</f>
        <v/>
      </c>
    </row>
    <row r="157" spans="1:125" x14ac:dyDescent="0.25"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  <c r="BT157" t="str">
        <f>""</f>
        <v/>
      </c>
      <c r="BU157" t="str">
        <f>""</f>
        <v/>
      </c>
      <c r="BV157" t="str">
        <f>""</f>
        <v/>
      </c>
      <c r="BW157" t="str">
        <f>""</f>
        <v/>
      </c>
      <c r="BX157" t="str">
        <f>""</f>
        <v/>
      </c>
      <c r="BY157" t="str">
        <f>""</f>
        <v/>
      </c>
      <c r="BZ157" t="str">
        <f>""</f>
        <v/>
      </c>
      <c r="CA157" t="str">
        <f>""</f>
        <v/>
      </c>
      <c r="CB157" t="str">
        <f>""</f>
        <v/>
      </c>
      <c r="CC157" t="str">
        <f>""</f>
        <v/>
      </c>
      <c r="CD157" t="str">
        <f>""</f>
        <v/>
      </c>
      <c r="CE157" t="str">
        <f>""</f>
        <v/>
      </c>
      <c r="CF157" t="str">
        <f>""</f>
        <v/>
      </c>
      <c r="CG157" t="str">
        <f>""</f>
        <v/>
      </c>
      <c r="CH157" t="str">
        <f>""</f>
        <v/>
      </c>
      <c r="CI157" t="str">
        <f>""</f>
        <v/>
      </c>
      <c r="CJ157" t="str">
        <f>""</f>
        <v/>
      </c>
      <c r="CK157" t="str">
        <f>""</f>
        <v/>
      </c>
      <c r="CL157" t="str">
        <f>""</f>
        <v/>
      </c>
      <c r="CM157" t="str">
        <f>""</f>
        <v/>
      </c>
      <c r="CN157" t="str">
        <f>""</f>
        <v/>
      </c>
      <c r="CO157" t="str">
        <f>""</f>
        <v/>
      </c>
      <c r="CP157" t="str">
        <f>""</f>
        <v/>
      </c>
      <c r="CQ157" t="str">
        <f>""</f>
        <v/>
      </c>
      <c r="CR157" t="str">
        <f>""</f>
        <v/>
      </c>
      <c r="CS157" t="str">
        <f>""</f>
        <v/>
      </c>
      <c r="CT157" t="str">
        <f>""</f>
        <v/>
      </c>
      <c r="CU157" t="str">
        <f>""</f>
        <v/>
      </c>
      <c r="CV157" t="str">
        <f>""</f>
        <v/>
      </c>
      <c r="CW157" t="str">
        <f>""</f>
        <v/>
      </c>
      <c r="CX157" t="str">
        <f>""</f>
        <v/>
      </c>
      <c r="CY157" t="str">
        <f>""</f>
        <v/>
      </c>
      <c r="CZ157" t="str">
        <f>""</f>
        <v/>
      </c>
      <c r="DA157" t="str">
        <f>""</f>
        <v/>
      </c>
      <c r="DB157" t="str">
        <f>""</f>
        <v/>
      </c>
      <c r="DC157" t="str">
        <f>""</f>
        <v/>
      </c>
      <c r="DD157" t="str">
        <f>""</f>
        <v/>
      </c>
      <c r="DE157" t="str">
        <f>""</f>
        <v/>
      </c>
      <c r="DF157" t="str">
        <f>""</f>
        <v/>
      </c>
      <c r="DG157" t="str">
        <f>""</f>
        <v/>
      </c>
      <c r="DH157" t="str">
        <f>""</f>
        <v/>
      </c>
      <c r="DI157" t="str">
        <f>""</f>
        <v/>
      </c>
      <c r="DJ157" t="str">
        <f>""</f>
        <v/>
      </c>
      <c r="DK157" t="str">
        <f>""</f>
        <v/>
      </c>
      <c r="DL157" t="str">
        <f>""</f>
        <v/>
      </c>
      <c r="DM157" t="str">
        <f>""</f>
        <v/>
      </c>
      <c r="DN157" t="str">
        <f>""</f>
        <v/>
      </c>
      <c r="DO157" t="str">
        <f>""</f>
        <v/>
      </c>
      <c r="DP157" t="str">
        <f>""</f>
        <v/>
      </c>
      <c r="DQ157" t="str">
        <f>""</f>
        <v/>
      </c>
      <c r="DR157" t="str">
        <f>""</f>
        <v/>
      </c>
      <c r="DS157" t="str">
        <f>""</f>
        <v/>
      </c>
      <c r="DT157" t="str">
        <f>""</f>
        <v/>
      </c>
      <c r="DU157" t="str">
        <f>""</f>
        <v/>
      </c>
    </row>
    <row r="158" spans="1:125" x14ac:dyDescent="0.25">
      <c r="A158" t="str">
        <f>"Period Start"</f>
        <v>Period Start</v>
      </c>
      <c r="C158" t="str">
        <f>"PX391"</f>
        <v>PX391</v>
      </c>
      <c r="D158" t="str">
        <f>"START_DATE_OVERRIDE"</f>
        <v>START_DATE_OVERRIDE</v>
      </c>
      <c r="E158" t="str">
        <f>"Dynamic"</f>
        <v>Dynamic</v>
      </c>
      <c r="F158" t="str">
        <f ca="1">CONCATENATE(YEAR( DATE(YEAR($B$155),FLOOR(MONTH($B$155)-1,3)+1+(-3*0),1) ), IF( MONTH(DATE(YEAR($B$155),FLOOR(MONTH($B$155)-1,3)+1+(-3*0),1)) &lt; 10, "0", "" ), MONTH( DATE(YEAR($B$155),FLOOR(MONTH($B$155)-1,3)+1+(-3*0),1) ), IF( DAY(DATE(YEAR($B$155),FLOOR(MONTH($B$155)-1,3)+1+(-3*0),1)) &lt; 10, "0", "" ), DAY( DATE(YEAR($B$155),FLOOR(MONTH($B$155)-1,3)+1+(-3*0),1) ), )</f>
        <v>20190101</v>
      </c>
      <c r="G158" t="str">
        <f ca="1">CONCATENATE(YEAR( DATE(YEAR($B$155),FLOOR(MONTH($B$155)-1,3)+1+(-3*1),1) ), IF( MONTH(DATE(YEAR($B$155),FLOOR(MONTH($B$155)-1,3)+1+(-3*1),1)) &lt; 10, "0", "" ), MONTH( DATE(YEAR($B$155),FLOOR(MONTH($B$155)-1,3)+1+(-3*1),1) ), IF( DAY(DATE(YEAR($B$155),FLOOR(MONTH($B$155)-1,3)+1+(-3*1),1)) &lt; 10, "0", "" ), DAY( DATE(YEAR($B$155),FLOOR(MONTH($B$155)-1,3)+1+(-3*1),1) ), )</f>
        <v>20181001</v>
      </c>
      <c r="H158" t="str">
        <f ca="1">CONCATENATE(YEAR( DATE(YEAR($B$155),FLOOR(MONTH($B$155)-1,3)+1+(-3*2),1) ), IF( MONTH(DATE(YEAR($B$155),FLOOR(MONTH($B$155)-1,3)+1+(-3*2),1)) &lt; 10, "0", "" ), MONTH( DATE(YEAR($B$155),FLOOR(MONTH($B$155)-1,3)+1+(-3*2),1) ), IF( DAY(DATE(YEAR($B$155),FLOOR(MONTH($B$155)-1,3)+1+(-3*2),1)) &lt; 10, "0", "" ), DAY( DATE(YEAR($B$155),FLOOR(MONTH($B$155)-1,3)+1+(-3*2),1) ), )</f>
        <v>20180701</v>
      </c>
      <c r="I158" t="str">
        <f ca="1">CONCATENATE(YEAR( DATE(YEAR($B$155),FLOOR(MONTH($B$155)-1,3)+1+(-3*3),1) ), IF( MONTH(DATE(YEAR($B$155),FLOOR(MONTH($B$155)-1,3)+1+(-3*3),1)) &lt; 10, "0", "" ), MONTH( DATE(YEAR($B$155),FLOOR(MONTH($B$155)-1,3)+1+(-3*3),1) ), IF( DAY(DATE(YEAR($B$155),FLOOR(MONTH($B$155)-1,3)+1+(-3*3),1)) &lt; 10, "0", "" ), DAY( DATE(YEAR($B$155),FLOOR(MONTH($B$155)-1,3)+1+(-3*3),1) ), )</f>
        <v>20180401</v>
      </c>
      <c r="J158" t="str">
        <f ca="1">CONCATENATE(YEAR( DATE(YEAR($B$155),FLOOR(MONTH($B$155)-1,3)+1+(-3*4),1) ), IF( MONTH(DATE(YEAR($B$155),FLOOR(MONTH($B$155)-1,3)+1+(-3*4),1)) &lt; 10, "0", "" ), MONTH( DATE(YEAR($B$155),FLOOR(MONTH($B$155)-1,3)+1+(-3*4),1) ), IF( DAY(DATE(YEAR($B$155),FLOOR(MONTH($B$155)-1,3)+1+(-3*4),1)) &lt; 10, "0", "" ), DAY( DATE(YEAR($B$155),FLOOR(MONTH($B$155)-1,3)+1+(-3*4),1) ), )</f>
        <v>20180101</v>
      </c>
      <c r="K158" t="str">
        <f ca="1">CONCATENATE(YEAR( DATE(YEAR($B$155),FLOOR(MONTH($B$155)-1,3)+1+(-3*5),1) ), IF( MONTH(DATE(YEAR($B$155),FLOOR(MONTH($B$155)-1,3)+1+(-3*5),1)) &lt; 10, "0", "" ), MONTH( DATE(YEAR($B$155),FLOOR(MONTH($B$155)-1,3)+1+(-3*5),1) ), IF( DAY(DATE(YEAR($B$155),FLOOR(MONTH($B$155)-1,3)+1+(-3*5),1)) &lt; 10, "0", "" ), DAY( DATE(YEAR($B$155),FLOOR(MONTH($B$155)-1,3)+1+(-3*5),1) ), )</f>
        <v>20171001</v>
      </c>
      <c r="L158" t="str">
        <f ca="1">CONCATENATE(YEAR( DATE(YEAR($B$155),FLOOR(MONTH($B$155)-1,3)+1+(-3*6),1) ), IF( MONTH(DATE(YEAR($B$155),FLOOR(MONTH($B$155)-1,3)+1+(-3*6),1)) &lt; 10, "0", "" ), MONTH( DATE(YEAR($B$155),FLOOR(MONTH($B$155)-1,3)+1+(-3*6),1) ), IF( DAY(DATE(YEAR($B$155),FLOOR(MONTH($B$155)-1,3)+1+(-3*6),1)) &lt; 10, "0", "" ), DAY( DATE(YEAR($B$155),FLOOR(MONTH($B$155)-1,3)+1+(-3*6),1) ), )</f>
        <v>20170701</v>
      </c>
      <c r="M158" t="str">
        <f ca="1">CONCATENATE(YEAR( DATE(YEAR($B$155),FLOOR(MONTH($B$155)-1,3)+1+(-3*7),1) ), IF( MONTH(DATE(YEAR($B$155),FLOOR(MONTH($B$155)-1,3)+1+(-3*7),1)) &lt; 10, "0", "" ), MONTH( DATE(YEAR($B$155),FLOOR(MONTH($B$155)-1,3)+1+(-3*7),1) ), IF( DAY(DATE(YEAR($B$155),FLOOR(MONTH($B$155)-1,3)+1+(-3*7),1)) &lt; 10, "0", "" ), DAY( DATE(YEAR($B$155),FLOOR(MONTH($B$155)-1,3)+1+(-3*7),1) ), )</f>
        <v>20170401</v>
      </c>
      <c r="N158" t="str">
        <f ca="1">CONCATENATE(YEAR( DATE(YEAR($B$155),FLOOR(MONTH($B$155)-1,3)+1+(-3*8),1) ), IF( MONTH(DATE(YEAR($B$155),FLOOR(MONTH($B$155)-1,3)+1+(-3*8),1)) &lt; 10, "0", "" ), MONTH( DATE(YEAR($B$155),FLOOR(MONTH($B$155)-1,3)+1+(-3*8),1) ), IF( DAY(DATE(YEAR($B$155),FLOOR(MONTH($B$155)-1,3)+1+(-3*8),1)) &lt; 10, "0", "" ), DAY( DATE(YEAR($B$155),FLOOR(MONTH($B$155)-1,3)+1+(-3*8),1) ), )</f>
        <v>20170101</v>
      </c>
      <c r="O158" t="str">
        <f ca="1">CONCATENATE(YEAR( DATE(YEAR($B$155),FLOOR(MONTH($B$155)-1,3)+1+(-3*9),1) ), IF( MONTH(DATE(YEAR($B$155),FLOOR(MONTH($B$155)-1,3)+1+(-3*9),1)) &lt; 10, "0", "" ), MONTH( DATE(YEAR($B$155),FLOOR(MONTH($B$155)-1,3)+1+(-3*9),1) ), IF( DAY(DATE(YEAR($B$155),FLOOR(MONTH($B$155)-1,3)+1+(-3*9),1)) &lt; 10, "0", "" ), DAY( DATE(YEAR($B$155),FLOOR(MONTH($B$155)-1,3)+1+(-3*9),1) ), )</f>
        <v>20161001</v>
      </c>
      <c r="P158" t="str">
        <f ca="1">CONCATENATE(YEAR( DATE(YEAR($B$155),FLOOR(MONTH($B$155)-1,3)+1+(-3*10),1) ), IF( MONTH(DATE(YEAR($B$155),FLOOR(MONTH($B$155)-1,3)+1+(-3*10),1)) &lt; 10, "0", "" ), MONTH( DATE(YEAR($B$155),FLOOR(MONTH($B$155)-1,3)+1+(-3*10),1) ), IF( DAY(DATE(YEAR($B$155),FLOOR(MONTH($B$155)-1,3)+1+(-3*10),1)) &lt; 10, "0", "" ), DAY( DATE(YEAR($B$155),FLOOR(MONTH($B$155)-1,3)+1+(-3*10),1) ), )</f>
        <v>20160701</v>
      </c>
      <c r="Q158" t="str">
        <f ca="1">CONCATENATE(YEAR( DATE(YEAR($B$155),FLOOR(MONTH($B$155)-1,3)+1+(-3*11),1) ), IF( MONTH(DATE(YEAR($B$155),FLOOR(MONTH($B$155)-1,3)+1+(-3*11),1)) &lt; 10, "0", "" ), MONTH( DATE(YEAR($B$155),FLOOR(MONTH($B$155)-1,3)+1+(-3*11),1) ), IF( DAY(DATE(YEAR($B$155),FLOOR(MONTH($B$155)-1,3)+1+(-3*11),1)) &lt; 10, "0", "" ), DAY( DATE(YEAR($B$155),FLOOR(MONTH($B$155)-1,3)+1+(-3*11),1) ), )</f>
        <v>20160401</v>
      </c>
      <c r="R158" t="str">
        <f ca="1">CONCATENATE(YEAR( DATE(YEAR($B$155),FLOOR(MONTH($B$155)-1,3)+1+(-3*12),1) ), IF( MONTH(DATE(YEAR($B$155),FLOOR(MONTH($B$155)-1,3)+1+(-3*12),1)) &lt; 10, "0", "" ), MONTH( DATE(YEAR($B$155),FLOOR(MONTH($B$155)-1,3)+1+(-3*12),1) ), IF( DAY(DATE(YEAR($B$155),FLOOR(MONTH($B$155)-1,3)+1+(-3*12),1)) &lt; 10, "0", "" ), DAY( DATE(YEAR($B$155),FLOOR(MONTH($B$155)-1,3)+1+(-3*12),1) ), )</f>
        <v>20160101</v>
      </c>
      <c r="S158" t="str">
        <f ca="1">CONCATENATE(YEAR( DATE(YEAR($B$155),FLOOR(MONTH($B$155)-1,3)+1+(-3*13),1) ), IF( MONTH(DATE(YEAR($B$155),FLOOR(MONTH($B$155)-1,3)+1+(-3*13),1)) &lt; 10, "0", "" ), MONTH( DATE(YEAR($B$155),FLOOR(MONTH($B$155)-1,3)+1+(-3*13),1) ), IF( DAY(DATE(YEAR($B$155),FLOOR(MONTH($B$155)-1,3)+1+(-3*13),1)) &lt; 10, "0", "" ), DAY( DATE(YEAR($B$155),FLOOR(MONTH($B$155)-1,3)+1+(-3*13),1) ), )</f>
        <v>20151001</v>
      </c>
      <c r="T158" t="str">
        <f ca="1">CONCATENATE(YEAR( DATE(YEAR($B$155),FLOOR(MONTH($B$155)-1,3)+1+(-3*14),1) ), IF( MONTH(DATE(YEAR($B$155),FLOOR(MONTH($B$155)-1,3)+1+(-3*14),1)) &lt; 10, "0", "" ), MONTH( DATE(YEAR($B$155),FLOOR(MONTH($B$155)-1,3)+1+(-3*14),1) ), IF( DAY(DATE(YEAR($B$155),FLOOR(MONTH($B$155)-1,3)+1+(-3*14),1)) &lt; 10, "0", "" ), DAY( DATE(YEAR($B$155),FLOOR(MONTH($B$155)-1,3)+1+(-3*14),1) ), )</f>
        <v>20150701</v>
      </c>
      <c r="U158" t="str">
        <f ca="1">CONCATENATE(YEAR( DATE(YEAR($B$155),FLOOR(MONTH($B$155)-1,3)+1+(-3*15),1) ), IF( MONTH(DATE(YEAR($B$155),FLOOR(MONTH($B$155)-1,3)+1+(-3*15),1)) &lt; 10, "0", "" ), MONTH( DATE(YEAR($B$155),FLOOR(MONTH($B$155)-1,3)+1+(-3*15),1) ), IF( DAY(DATE(YEAR($B$155),FLOOR(MONTH($B$155)-1,3)+1+(-3*15),1)) &lt; 10, "0", "" ), DAY( DATE(YEAR($B$155),FLOOR(MONTH($B$155)-1,3)+1+(-3*15),1) ), )</f>
        <v>20150401</v>
      </c>
      <c r="V158" t="str">
        <f ca="1">CONCATENATE(YEAR( DATE(YEAR($B$155),FLOOR(MONTH($B$155)-1,3)+1+(-3*16),1) ), IF( MONTH(DATE(YEAR($B$155),FLOOR(MONTH($B$155)-1,3)+1+(-3*16),1)) &lt; 10, "0", "" ), MONTH( DATE(YEAR($B$155),FLOOR(MONTH($B$155)-1,3)+1+(-3*16),1) ), IF( DAY(DATE(YEAR($B$155),FLOOR(MONTH($B$155)-1,3)+1+(-3*16),1)) &lt; 10, "0", "" ), DAY( DATE(YEAR($B$155),FLOOR(MONTH($B$155)-1,3)+1+(-3*16),1) ), )</f>
        <v>20150101</v>
      </c>
      <c r="W158" t="str">
        <f ca="1">CONCATENATE(YEAR( DATE(YEAR($B$155),FLOOR(MONTH($B$155)-1,3)+1+(-3*17),1) ), IF( MONTH(DATE(YEAR($B$155),FLOOR(MONTH($B$155)-1,3)+1+(-3*17),1)) &lt; 10, "0", "" ), MONTH( DATE(YEAR($B$155),FLOOR(MONTH($B$155)-1,3)+1+(-3*17),1) ), IF( DAY(DATE(YEAR($B$155),FLOOR(MONTH($B$155)-1,3)+1+(-3*17),1)) &lt; 10, "0", "" ), DAY( DATE(YEAR($B$155),FLOOR(MONTH($B$155)-1,3)+1+(-3*17),1) ), )</f>
        <v>20141001</v>
      </c>
      <c r="X158" t="str">
        <f ca="1">CONCATENATE(YEAR( DATE(YEAR($B$155),FLOOR(MONTH($B$155)-1,3)+1+(-3*18),1) ), IF( MONTH(DATE(YEAR($B$155),FLOOR(MONTH($B$155)-1,3)+1+(-3*18),1)) &lt; 10, "0", "" ), MONTH( DATE(YEAR($B$155),FLOOR(MONTH($B$155)-1,3)+1+(-3*18),1) ), IF( DAY(DATE(YEAR($B$155),FLOOR(MONTH($B$155)-1,3)+1+(-3*18),1)) &lt; 10, "0", "" ), DAY( DATE(YEAR($B$155),FLOOR(MONTH($B$155)-1,3)+1+(-3*18),1) ), )</f>
        <v>20140701</v>
      </c>
      <c r="Y158" t="str">
        <f ca="1">CONCATENATE(YEAR( DATE(YEAR($B$155),FLOOR(MONTH($B$155)-1,3)+1+(-3*19),1) ), IF( MONTH(DATE(YEAR($B$155),FLOOR(MONTH($B$155)-1,3)+1+(-3*19),1)) &lt; 10, "0", "" ), MONTH( DATE(YEAR($B$155),FLOOR(MONTH($B$155)-1,3)+1+(-3*19),1) ), IF( DAY(DATE(YEAR($B$155),FLOOR(MONTH($B$155)-1,3)+1+(-3*19),1)) &lt; 10, "0", "" ), DAY( DATE(YEAR($B$155),FLOOR(MONTH($B$155)-1,3)+1+(-3*19),1) ), )</f>
        <v>20140401</v>
      </c>
      <c r="Z158" t="str">
        <f ca="1">CONCATENATE(YEAR( DATE(YEAR($B$155),FLOOR(MONTH($B$155)-1,3)+1+(-3*20),1) ), IF( MONTH(DATE(YEAR($B$155),FLOOR(MONTH($B$155)-1,3)+1+(-3*20),1)) &lt; 10, "0", "" ), MONTH( DATE(YEAR($B$155),FLOOR(MONTH($B$155)-1,3)+1+(-3*20),1) ), IF( DAY(DATE(YEAR($B$155),FLOOR(MONTH($B$155)-1,3)+1+(-3*20),1)) &lt; 10, "0", "" ), DAY( DATE(YEAR($B$155),FLOOR(MONTH($B$155)-1,3)+1+(-3*20),1) ), )</f>
        <v>20140101</v>
      </c>
      <c r="AA158" t="str">
        <f ca="1">CONCATENATE(YEAR( DATE(YEAR($B$155),FLOOR(MONTH($B$155)-1,3)+1+(-3*21),1) ), IF( MONTH(DATE(YEAR($B$155),FLOOR(MONTH($B$155)-1,3)+1+(-3*21),1)) &lt; 10, "0", "" ), MONTH( DATE(YEAR($B$155),FLOOR(MONTH($B$155)-1,3)+1+(-3*21),1) ), IF( DAY(DATE(YEAR($B$155),FLOOR(MONTH($B$155)-1,3)+1+(-3*21),1)) &lt; 10, "0", "" ), DAY( DATE(YEAR($B$155),FLOOR(MONTH($B$155)-1,3)+1+(-3*21),1) ), )</f>
        <v>20131001</v>
      </c>
      <c r="AB158" t="str">
        <f ca="1">CONCATENATE(YEAR( DATE(YEAR($B$155),FLOOR(MONTH($B$155)-1,3)+1+(-3*22),1) ), IF( MONTH(DATE(YEAR($B$155),FLOOR(MONTH($B$155)-1,3)+1+(-3*22),1)) &lt; 10, "0", "" ), MONTH( DATE(YEAR($B$155),FLOOR(MONTH($B$155)-1,3)+1+(-3*22),1) ), IF( DAY(DATE(YEAR($B$155),FLOOR(MONTH($B$155)-1,3)+1+(-3*22),1)) &lt; 10, "0", "" ), DAY( DATE(YEAR($B$155),FLOOR(MONTH($B$155)-1,3)+1+(-3*22),1) ), )</f>
        <v>20130701</v>
      </c>
      <c r="AC158" t="str">
        <f ca="1">CONCATENATE(YEAR( DATE(YEAR($B$155),FLOOR(MONTH($B$155)-1,3)+1+(-3*23),1) ), IF( MONTH(DATE(YEAR($B$155),FLOOR(MONTH($B$155)-1,3)+1+(-3*23),1)) &lt; 10, "0", "" ), MONTH( DATE(YEAR($B$155),FLOOR(MONTH($B$155)-1,3)+1+(-3*23),1) ), IF( DAY(DATE(YEAR($B$155),FLOOR(MONTH($B$155)-1,3)+1+(-3*23),1)) &lt; 10, "0", "" ), DAY( DATE(YEAR($B$155),FLOOR(MONTH($B$155)-1,3)+1+(-3*23),1) ), )</f>
        <v>20130401</v>
      </c>
      <c r="AD158" t="str">
        <f ca="1">CONCATENATE(YEAR( DATE(YEAR($B$155),FLOOR(MONTH($B$155)-1,3)+1+(-3*24),1) ), IF( MONTH(DATE(YEAR($B$155),FLOOR(MONTH($B$155)-1,3)+1+(-3*24),1)) &lt; 10, "0", "" ), MONTH( DATE(YEAR($B$155),FLOOR(MONTH($B$155)-1,3)+1+(-3*24),1) ), IF( DAY(DATE(YEAR($B$155),FLOOR(MONTH($B$155)-1,3)+1+(-3*24),1)) &lt; 10, "0", "" ), DAY( DATE(YEAR($B$155),FLOOR(MONTH($B$155)-1,3)+1+(-3*24),1) ), )</f>
        <v>20130101</v>
      </c>
      <c r="AE158" t="str">
        <f ca="1">CONCATENATE(YEAR( DATE(YEAR($B$155),FLOOR(MONTH($B$155)-1,3)+1+(-3*25),1) ), IF( MONTH(DATE(YEAR($B$155),FLOOR(MONTH($B$155)-1,3)+1+(-3*25),1)) &lt; 10, "0", "" ), MONTH( DATE(YEAR($B$155),FLOOR(MONTH($B$155)-1,3)+1+(-3*25),1) ), IF( DAY(DATE(YEAR($B$155),FLOOR(MONTH($B$155)-1,3)+1+(-3*25),1)) &lt; 10, "0", "" ), DAY( DATE(YEAR($B$155),FLOOR(MONTH($B$155)-1,3)+1+(-3*25),1) ), )</f>
        <v>20121001</v>
      </c>
      <c r="AF158" t="str">
        <f ca="1">CONCATENATE(YEAR( DATE(YEAR($B$155),FLOOR(MONTH($B$155)-1,3)+1+(-3*26),1) ), IF( MONTH(DATE(YEAR($B$155),FLOOR(MONTH($B$155)-1,3)+1+(-3*26),1)) &lt; 10, "0", "" ), MONTH( DATE(YEAR($B$155),FLOOR(MONTH($B$155)-1,3)+1+(-3*26),1) ), IF( DAY(DATE(YEAR($B$155),FLOOR(MONTH($B$155)-1,3)+1+(-3*26),1)) &lt; 10, "0", "" ), DAY( DATE(YEAR($B$155),FLOOR(MONTH($B$155)-1,3)+1+(-3*26),1) ), )</f>
        <v>20120701</v>
      </c>
      <c r="AG158" t="str">
        <f ca="1">CONCATENATE(YEAR( DATE(YEAR($B$155),FLOOR(MONTH($B$155)-1,3)+1+(-3*27),1) ), IF( MONTH(DATE(YEAR($B$155),FLOOR(MONTH($B$155)-1,3)+1+(-3*27),1)) &lt; 10, "0", "" ), MONTH( DATE(YEAR($B$155),FLOOR(MONTH($B$155)-1,3)+1+(-3*27),1) ), IF( DAY(DATE(YEAR($B$155),FLOOR(MONTH($B$155)-1,3)+1+(-3*27),1)) &lt; 10, "0", "" ), DAY( DATE(YEAR($B$155),FLOOR(MONTH($B$155)-1,3)+1+(-3*27),1) ), )</f>
        <v>20120401</v>
      </c>
      <c r="AH158" t="str">
        <f ca="1">CONCATENATE(YEAR( DATE(YEAR($B$155),FLOOR(MONTH($B$155)-1,3)+1+(-3*28),1) ), IF( MONTH(DATE(YEAR($B$155),FLOOR(MONTH($B$155)-1,3)+1+(-3*28),1)) &lt; 10, "0", "" ), MONTH( DATE(YEAR($B$155),FLOOR(MONTH($B$155)-1,3)+1+(-3*28),1) ), IF( DAY(DATE(YEAR($B$155),FLOOR(MONTH($B$155)-1,3)+1+(-3*28),1)) &lt; 10, "0", "" ), DAY( DATE(YEAR($B$155),FLOOR(MONTH($B$155)-1,3)+1+(-3*28),1) ), )</f>
        <v>20120101</v>
      </c>
      <c r="AI158" t="str">
        <f ca="1">CONCATENATE(YEAR( DATE(YEAR($B$155),FLOOR(MONTH($B$155)-1,3)+1+(-3*29),1) ), IF( MONTH(DATE(YEAR($B$155),FLOOR(MONTH($B$155)-1,3)+1+(-3*29),1)) &lt; 10, "0", "" ), MONTH( DATE(YEAR($B$155),FLOOR(MONTH($B$155)-1,3)+1+(-3*29),1) ), IF( DAY(DATE(YEAR($B$155),FLOOR(MONTH($B$155)-1,3)+1+(-3*29),1)) &lt; 10, "0", "" ), DAY( DATE(YEAR($B$155),FLOOR(MONTH($B$155)-1,3)+1+(-3*29),1) ), )</f>
        <v>20111001</v>
      </c>
      <c r="AJ158" t="str">
        <f ca="1">CONCATENATE(YEAR( DATE(YEAR($B$155),FLOOR(MONTH($B$155)-1,3)+1+(-3*30),1) ), IF( MONTH(DATE(YEAR($B$155),FLOOR(MONTH($B$155)-1,3)+1+(-3*30),1)) &lt; 10, "0", "" ), MONTH( DATE(YEAR($B$155),FLOOR(MONTH($B$155)-1,3)+1+(-3*30),1) ), IF( DAY(DATE(YEAR($B$155),FLOOR(MONTH($B$155)-1,3)+1+(-3*30),1)) &lt; 10, "0", "" ), DAY( DATE(YEAR($B$155),FLOOR(MONTH($B$155)-1,3)+1+(-3*30),1) ), )</f>
        <v>20110701</v>
      </c>
      <c r="AK158" t="str">
        <f ca="1">CONCATENATE(YEAR( DATE(YEAR($B$155),FLOOR(MONTH($B$155)-1,3)+1+(-3*31),1) ), IF( MONTH(DATE(YEAR($B$155),FLOOR(MONTH($B$155)-1,3)+1+(-3*31),1)) &lt; 10, "0", "" ), MONTH( DATE(YEAR($B$155),FLOOR(MONTH($B$155)-1,3)+1+(-3*31),1) ), IF( DAY(DATE(YEAR($B$155),FLOOR(MONTH($B$155)-1,3)+1+(-3*31),1)) &lt; 10, "0", "" ), DAY( DATE(YEAR($B$155),FLOOR(MONTH($B$155)-1,3)+1+(-3*31),1) ), )</f>
        <v>20110401</v>
      </c>
      <c r="AL158" t="str">
        <f ca="1">CONCATENATE(YEAR( DATE(YEAR($B$155),FLOOR(MONTH($B$155)-1,3)+1+(-3*32),1) ), IF( MONTH(DATE(YEAR($B$155),FLOOR(MONTH($B$155)-1,3)+1+(-3*32),1)) &lt; 10, "0", "" ), MONTH( DATE(YEAR($B$155),FLOOR(MONTH($B$155)-1,3)+1+(-3*32),1) ), IF( DAY(DATE(YEAR($B$155),FLOOR(MONTH($B$155)-1,3)+1+(-3*32),1)) &lt; 10, "0", "" ), DAY( DATE(YEAR($B$155),FLOOR(MONTH($B$155)-1,3)+1+(-3*32),1) ), )</f>
        <v>20110101</v>
      </c>
      <c r="AM158" t="str">
        <f ca="1">CONCATENATE(YEAR( DATE(YEAR($B$155),FLOOR(MONTH($B$155)-1,3)+1+(-3*33),1) ), IF( MONTH(DATE(YEAR($B$155),FLOOR(MONTH($B$155)-1,3)+1+(-3*33),1)) &lt; 10, "0", "" ), MONTH( DATE(YEAR($B$155),FLOOR(MONTH($B$155)-1,3)+1+(-3*33),1) ), IF( DAY(DATE(YEAR($B$155),FLOOR(MONTH($B$155)-1,3)+1+(-3*33),1)) &lt; 10, "0", "" ), DAY( DATE(YEAR($B$155),FLOOR(MONTH($B$155)-1,3)+1+(-3*33),1) ), )</f>
        <v>20101001</v>
      </c>
      <c r="AN158" t="str">
        <f ca="1">CONCATENATE(YEAR( DATE(YEAR($B$155),FLOOR(MONTH($B$155)-1,3)+1+(-3*34),1) ), IF( MONTH(DATE(YEAR($B$155),FLOOR(MONTH($B$155)-1,3)+1+(-3*34),1)) &lt; 10, "0", "" ), MONTH( DATE(YEAR($B$155),FLOOR(MONTH($B$155)-1,3)+1+(-3*34),1) ), IF( DAY(DATE(YEAR($B$155),FLOOR(MONTH($B$155)-1,3)+1+(-3*34),1)) &lt; 10, "0", "" ), DAY( DATE(YEAR($B$155),FLOOR(MONTH($B$155)-1,3)+1+(-3*34),1) ), )</f>
        <v>20100701</v>
      </c>
      <c r="AO158" t="str">
        <f ca="1">CONCATENATE(YEAR( DATE(YEAR($B$155),FLOOR(MONTH($B$155)-1,3)+1+(-3*35),1) ), IF( MONTH(DATE(YEAR($B$155),FLOOR(MONTH($B$155)-1,3)+1+(-3*35),1)) &lt; 10, "0", "" ), MONTH( DATE(YEAR($B$155),FLOOR(MONTH($B$155)-1,3)+1+(-3*35),1) ), IF( DAY(DATE(YEAR($B$155),FLOOR(MONTH($B$155)-1,3)+1+(-3*35),1)) &lt; 10, "0", "" ), DAY( DATE(YEAR($B$155),FLOOR(MONTH($B$155)-1,3)+1+(-3*35),1) ), )</f>
        <v>20100401</v>
      </c>
      <c r="AP158" t="str">
        <f ca="1">CONCATENATE(YEAR( DATE(YEAR($B$155),FLOOR(MONTH($B$155)-1,3)+1+(-3*36),1) ), IF( MONTH(DATE(YEAR($B$155),FLOOR(MONTH($B$155)-1,3)+1+(-3*36),1)) &lt; 10, "0", "" ), MONTH( DATE(YEAR($B$155),FLOOR(MONTH($B$155)-1,3)+1+(-3*36),1) ), IF( DAY(DATE(YEAR($B$155),FLOOR(MONTH($B$155)-1,3)+1+(-3*36),1)) &lt; 10, "0", "" ), DAY( DATE(YEAR($B$155),FLOOR(MONTH($B$155)-1,3)+1+(-3*36),1) ), )</f>
        <v>20100101</v>
      </c>
      <c r="AQ158" t="str">
        <f ca="1">CONCATENATE(YEAR( DATE(YEAR($B$155),FLOOR(MONTH($B$155)-1,3)+1+(-3*37),1) ), IF( MONTH(DATE(YEAR($B$155),FLOOR(MONTH($B$155)-1,3)+1+(-3*37),1)) &lt; 10, "0", "" ), MONTH( DATE(YEAR($B$155),FLOOR(MONTH($B$155)-1,3)+1+(-3*37),1) ), IF( DAY(DATE(YEAR($B$155),FLOOR(MONTH($B$155)-1,3)+1+(-3*37),1)) &lt; 10, "0", "" ), DAY( DATE(YEAR($B$155),FLOOR(MONTH($B$155)-1,3)+1+(-3*37),1) ), )</f>
        <v>20091001</v>
      </c>
      <c r="AR158" t="str">
        <f ca="1">CONCATENATE(YEAR( DATE(YEAR($B$155),FLOOR(MONTH($B$155)-1,3)+1+(-3*38),1) ), IF( MONTH(DATE(YEAR($B$155),FLOOR(MONTH($B$155)-1,3)+1+(-3*38),1)) &lt; 10, "0", "" ), MONTH( DATE(YEAR($B$155),FLOOR(MONTH($B$155)-1,3)+1+(-3*38),1) ), IF( DAY(DATE(YEAR($B$155),FLOOR(MONTH($B$155)-1,3)+1+(-3*38),1)) &lt; 10, "0", "" ), DAY( DATE(YEAR($B$155),FLOOR(MONTH($B$155)-1,3)+1+(-3*38),1) ), )</f>
        <v>20090701</v>
      </c>
      <c r="AS158" t="str">
        <f ca="1">CONCATENATE(YEAR( DATE(YEAR($B$155),FLOOR(MONTH($B$155)-1,3)+1+(-3*39),1) ), IF( MONTH(DATE(YEAR($B$155),FLOOR(MONTH($B$155)-1,3)+1+(-3*39),1)) &lt; 10, "0", "" ), MONTH( DATE(YEAR($B$155),FLOOR(MONTH($B$155)-1,3)+1+(-3*39),1) ), IF( DAY(DATE(YEAR($B$155),FLOOR(MONTH($B$155)-1,3)+1+(-3*39),1)) &lt; 10, "0", "" ), DAY( DATE(YEAR($B$155),FLOOR(MONTH($B$155)-1,3)+1+(-3*39),1) ), )</f>
        <v>20090401</v>
      </c>
      <c r="AT158" t="str">
        <f ca="1">CONCATENATE(YEAR( DATE(YEAR($B$155),FLOOR(MONTH($B$155)-1,3)+1+(-3*40),1) ), IF( MONTH(DATE(YEAR($B$155),FLOOR(MONTH($B$155)-1,3)+1+(-3*40),1)) &lt; 10, "0", "" ), MONTH( DATE(YEAR($B$155),FLOOR(MONTH($B$155)-1,3)+1+(-3*40),1) ), IF( DAY(DATE(YEAR($B$155),FLOOR(MONTH($B$155)-1,3)+1+(-3*40),1)) &lt; 10, "0", "" ), DAY( DATE(YEAR($B$155),FLOOR(MONTH($B$155)-1,3)+1+(-3*40),1) ), )</f>
        <v>20090101</v>
      </c>
      <c r="AU158" t="str">
        <f ca="1">CONCATENATE(YEAR( DATE(YEAR($B$155),FLOOR(MONTH($B$155)-1,3)+1+(-3*41),1) ), IF( MONTH(DATE(YEAR($B$155),FLOOR(MONTH($B$155)-1,3)+1+(-3*41),1)) &lt; 10, "0", "" ), MONTH( DATE(YEAR($B$155),FLOOR(MONTH($B$155)-1,3)+1+(-3*41),1) ), IF( DAY(DATE(YEAR($B$155),FLOOR(MONTH($B$155)-1,3)+1+(-3*41),1)) &lt; 10, "0", "" ), DAY( DATE(YEAR($B$155),FLOOR(MONTH($B$155)-1,3)+1+(-3*41),1) ), )</f>
        <v>20081001</v>
      </c>
      <c r="AV158" t="str">
        <f ca="1">CONCATENATE(YEAR( DATE(YEAR($B$155),FLOOR(MONTH($B$155)-1,3)+1+(-3*42),1) ), IF( MONTH(DATE(YEAR($B$155),FLOOR(MONTH($B$155)-1,3)+1+(-3*42),1)) &lt; 10, "0", "" ), MONTH( DATE(YEAR($B$155),FLOOR(MONTH($B$155)-1,3)+1+(-3*42),1) ), IF( DAY(DATE(YEAR($B$155),FLOOR(MONTH($B$155)-1,3)+1+(-3*42),1)) &lt; 10, "0", "" ), DAY( DATE(YEAR($B$155),FLOOR(MONTH($B$155)-1,3)+1+(-3*42),1) ), )</f>
        <v>20080701</v>
      </c>
      <c r="AW158" t="str">
        <f ca="1">CONCATENATE(YEAR( DATE(YEAR($B$155),FLOOR(MONTH($B$155)-1,3)+1+(-3*43),1) ), IF( MONTH(DATE(YEAR($B$155),FLOOR(MONTH($B$155)-1,3)+1+(-3*43),1)) &lt; 10, "0", "" ), MONTH( DATE(YEAR($B$155),FLOOR(MONTH($B$155)-1,3)+1+(-3*43),1) ), IF( DAY(DATE(YEAR($B$155),FLOOR(MONTH($B$155)-1,3)+1+(-3*43),1)) &lt; 10, "0", "" ), DAY( DATE(YEAR($B$155),FLOOR(MONTH($B$155)-1,3)+1+(-3*43),1) ), )</f>
        <v>20080401</v>
      </c>
      <c r="AX158" t="str">
        <f ca="1">CONCATENATE(YEAR( DATE(YEAR($B$155),FLOOR(MONTH($B$155)-1,3)+1+(-3*44),1) ), IF( MONTH(DATE(YEAR($B$155),FLOOR(MONTH($B$155)-1,3)+1+(-3*44),1)) &lt; 10, "0", "" ), MONTH( DATE(YEAR($B$155),FLOOR(MONTH($B$155)-1,3)+1+(-3*44),1) ), IF( DAY(DATE(YEAR($B$155),FLOOR(MONTH($B$155)-1,3)+1+(-3*44),1)) &lt; 10, "0", "" ), DAY( DATE(YEAR($B$155),FLOOR(MONTH($B$155)-1,3)+1+(-3*44),1) ), )</f>
        <v>20080101</v>
      </c>
      <c r="AY158" t="str">
        <f ca="1">CONCATENATE(YEAR( DATE(YEAR($B$155),FLOOR(MONTH($B$155)-1,3)+1+(-3*45),1) ), IF( MONTH(DATE(YEAR($B$155),FLOOR(MONTH($B$155)-1,3)+1+(-3*45),1)) &lt; 10, "0", "" ), MONTH( DATE(YEAR($B$155),FLOOR(MONTH($B$155)-1,3)+1+(-3*45),1) ), IF( DAY(DATE(YEAR($B$155),FLOOR(MONTH($B$155)-1,3)+1+(-3*45),1)) &lt; 10, "0", "" ), DAY( DATE(YEAR($B$155),FLOOR(MONTH($B$155)-1,3)+1+(-3*45),1) ), )</f>
        <v>20071001</v>
      </c>
      <c r="AZ158" t="str">
        <f ca="1">CONCATENATE(YEAR( DATE(YEAR($B$155),FLOOR(MONTH($B$155)-1,3)+1+(-3*46),1) ), IF( MONTH(DATE(YEAR($B$155),FLOOR(MONTH($B$155)-1,3)+1+(-3*46),1)) &lt; 10, "0", "" ), MONTH( DATE(YEAR($B$155),FLOOR(MONTH($B$155)-1,3)+1+(-3*46),1) ), IF( DAY(DATE(YEAR($B$155),FLOOR(MONTH($B$155)-1,3)+1+(-3*46),1)) &lt; 10, "0", "" ), DAY( DATE(YEAR($B$155),FLOOR(MONTH($B$155)-1,3)+1+(-3*46),1) ), )</f>
        <v>20070701</v>
      </c>
      <c r="BA158" t="str">
        <f ca="1">CONCATENATE(YEAR( DATE(YEAR($B$155),FLOOR(MONTH($B$155)-1,3)+1+(-3*47),1) ), IF( MONTH(DATE(YEAR($B$155),FLOOR(MONTH($B$155)-1,3)+1+(-3*47),1)) &lt; 10, "0", "" ), MONTH( DATE(YEAR($B$155),FLOOR(MONTH($B$155)-1,3)+1+(-3*47),1) ), IF( DAY(DATE(YEAR($B$155),FLOOR(MONTH($B$155)-1,3)+1+(-3*47),1)) &lt; 10, "0", "" ), DAY( DATE(YEAR($B$155),FLOOR(MONTH($B$155)-1,3)+1+(-3*47),1) ), )</f>
        <v>20070401</v>
      </c>
      <c r="BB158" t="str">
        <f ca="1">CONCATENATE(YEAR( DATE(YEAR($B$155),FLOOR(MONTH($B$155)-1,3)+1+(-3*48),1) ), IF( MONTH(DATE(YEAR($B$155),FLOOR(MONTH($B$155)-1,3)+1+(-3*48),1)) &lt; 10, "0", "" ), MONTH( DATE(YEAR($B$155),FLOOR(MONTH($B$155)-1,3)+1+(-3*48),1) ), IF( DAY(DATE(YEAR($B$155),FLOOR(MONTH($B$155)-1,3)+1+(-3*48),1)) &lt; 10, "0", "" ), DAY( DATE(YEAR($B$155),FLOOR(MONTH($B$155)-1,3)+1+(-3*48),1) ), )</f>
        <v>20070101</v>
      </c>
      <c r="BC158" t="str">
        <f ca="1">CONCATENATE(YEAR( DATE(YEAR($B$155),FLOOR(MONTH($B$155)-1,3)+1+(-3*49),1) ), IF( MONTH(DATE(YEAR($B$155),FLOOR(MONTH($B$155)-1,3)+1+(-3*49),1)) &lt; 10, "0", "" ), MONTH( DATE(YEAR($B$155),FLOOR(MONTH($B$155)-1,3)+1+(-3*49),1) ), IF( DAY(DATE(YEAR($B$155),FLOOR(MONTH($B$155)-1,3)+1+(-3*49),1)) &lt; 10, "0", "" ), DAY( DATE(YEAR($B$155),FLOOR(MONTH($B$155)-1,3)+1+(-3*49),1) ), )</f>
        <v>20061001</v>
      </c>
      <c r="BD158" t="str">
        <f ca="1">CONCATENATE(YEAR( DATE(YEAR($B$155),FLOOR(MONTH($B$155)-1,3)+1+(-3*50),1) ), IF( MONTH(DATE(YEAR($B$155),FLOOR(MONTH($B$155)-1,3)+1+(-3*50),1)) &lt; 10, "0", "" ), MONTH( DATE(YEAR($B$155),FLOOR(MONTH($B$155)-1,3)+1+(-3*50),1) ), IF( DAY(DATE(YEAR($B$155),FLOOR(MONTH($B$155)-1,3)+1+(-3*50),1)) &lt; 10, "0", "" ), DAY( DATE(YEAR($B$155),FLOOR(MONTH($B$155)-1,3)+1+(-3*50),1) ), )</f>
        <v>20060701</v>
      </c>
      <c r="BE158" t="str">
        <f ca="1">CONCATENATE(YEAR( DATE(YEAR($B$155),FLOOR(MONTH($B$155)-1,3)+1+(-3*51),1) ), IF( MONTH(DATE(YEAR($B$155),FLOOR(MONTH($B$155)-1,3)+1+(-3*51),1)) &lt; 10, "0", "" ), MONTH( DATE(YEAR($B$155),FLOOR(MONTH($B$155)-1,3)+1+(-3*51),1) ), IF( DAY(DATE(YEAR($B$155),FLOOR(MONTH($B$155)-1,3)+1+(-3*51),1)) &lt; 10, "0", "" ), DAY( DATE(YEAR($B$155),FLOOR(MONTH($B$155)-1,3)+1+(-3*51),1) ), )</f>
        <v>20060401</v>
      </c>
      <c r="BF158" t="str">
        <f ca="1">CONCATENATE(YEAR( DATE(YEAR($B$155),FLOOR(MONTH($B$155)-1,3)+1+(-3*52),1) ), IF( MONTH(DATE(YEAR($B$155),FLOOR(MONTH($B$155)-1,3)+1+(-3*52),1)) &lt; 10, "0", "" ), MONTH( DATE(YEAR($B$155),FLOOR(MONTH($B$155)-1,3)+1+(-3*52),1) ), IF( DAY(DATE(YEAR($B$155),FLOOR(MONTH($B$155)-1,3)+1+(-3*52),1)) &lt; 10, "0", "" ), DAY( DATE(YEAR($B$155),FLOOR(MONTH($B$155)-1,3)+1+(-3*52),1) ), )</f>
        <v>20060101</v>
      </c>
      <c r="BG158" t="str">
        <f ca="1">CONCATENATE(YEAR( DATE(YEAR($B$155),FLOOR(MONTH($B$155)-1,3)+1+(-3*53),1) ), IF( MONTH(DATE(YEAR($B$155),FLOOR(MONTH($B$155)-1,3)+1+(-3*53),1)) &lt; 10, "0", "" ), MONTH( DATE(YEAR($B$155),FLOOR(MONTH($B$155)-1,3)+1+(-3*53),1) ), IF( DAY(DATE(YEAR($B$155),FLOOR(MONTH($B$155)-1,3)+1+(-3*53),1)) &lt; 10, "0", "" ), DAY( DATE(YEAR($B$155),FLOOR(MONTH($B$155)-1,3)+1+(-3*53),1) ), )</f>
        <v>20051001</v>
      </c>
      <c r="BH158" t="str">
        <f ca="1">CONCATENATE(YEAR( DATE(YEAR($B$155),FLOOR(MONTH($B$155)-1,3)+1+(-3*54),1) ), IF( MONTH(DATE(YEAR($B$155),FLOOR(MONTH($B$155)-1,3)+1+(-3*54),1)) &lt; 10, "0", "" ), MONTH( DATE(YEAR($B$155),FLOOR(MONTH($B$155)-1,3)+1+(-3*54),1) ), IF( DAY(DATE(YEAR($B$155),FLOOR(MONTH($B$155)-1,3)+1+(-3*54),1)) &lt; 10, "0", "" ), DAY( DATE(YEAR($B$155),FLOOR(MONTH($B$155)-1,3)+1+(-3*54),1) ), )</f>
        <v>20050701</v>
      </c>
      <c r="BI158" t="str">
        <f ca="1">CONCATENATE(YEAR( DATE(YEAR($B$155),FLOOR(MONTH($B$155)-1,3)+1+(-3*55),1) ), IF( MONTH(DATE(YEAR($B$155),FLOOR(MONTH($B$155)-1,3)+1+(-3*55),1)) &lt; 10, "0", "" ), MONTH( DATE(YEAR($B$155),FLOOR(MONTH($B$155)-1,3)+1+(-3*55),1) ), IF( DAY(DATE(YEAR($B$155),FLOOR(MONTH($B$155)-1,3)+1+(-3*55),1)) &lt; 10, "0", "" ), DAY( DATE(YEAR($B$155),FLOOR(MONTH($B$155)-1,3)+1+(-3*55),1) ), )</f>
        <v>20050401</v>
      </c>
      <c r="BJ158" t="str">
        <f ca="1">CONCATENATE(YEAR( DATE(YEAR($B$155),FLOOR(MONTH($B$155)-1,3)+1+(-3*56),1) ), IF( MONTH(DATE(YEAR($B$155),FLOOR(MONTH($B$155)-1,3)+1+(-3*56),1)) &lt; 10, "0", "" ), MONTH( DATE(YEAR($B$155),FLOOR(MONTH($B$155)-1,3)+1+(-3*56),1) ), IF( DAY(DATE(YEAR($B$155),FLOOR(MONTH($B$155)-1,3)+1+(-3*56),1)) &lt; 10, "0", "" ), DAY( DATE(YEAR($B$155),FLOOR(MONTH($B$155)-1,3)+1+(-3*56),1) ), )</f>
        <v>20050101</v>
      </c>
      <c r="BK158" t="str">
        <f ca="1">CONCATENATE(YEAR( DATE(YEAR($B$155),FLOOR(MONTH($B$155)-1,3)+1+(-3*57),1) ), IF( MONTH(DATE(YEAR($B$155),FLOOR(MONTH($B$155)-1,3)+1+(-3*57),1)) &lt; 10, "0", "" ), MONTH( DATE(YEAR($B$155),FLOOR(MONTH($B$155)-1,3)+1+(-3*57),1) ), IF( DAY(DATE(YEAR($B$155),FLOOR(MONTH($B$155)-1,3)+1+(-3*57),1)) &lt; 10, "0", "" ), DAY( DATE(YEAR($B$155),FLOOR(MONTH($B$155)-1,3)+1+(-3*57),1) ), )</f>
        <v>20041001</v>
      </c>
      <c r="BL158" t="str">
        <f ca="1">CONCATENATE(YEAR( DATE(YEAR($B$155),FLOOR(MONTH($B$155)-1,3)+1+(-3*58),1) ), IF( MONTH(DATE(YEAR($B$155),FLOOR(MONTH($B$155)-1,3)+1+(-3*58),1)) &lt; 10, "0", "" ), MONTH( DATE(YEAR($B$155),FLOOR(MONTH($B$155)-1,3)+1+(-3*58),1) ), IF( DAY(DATE(YEAR($B$155),FLOOR(MONTH($B$155)-1,3)+1+(-3*58),1)) &lt; 10, "0", "" ), DAY( DATE(YEAR($B$155),FLOOR(MONTH($B$155)-1,3)+1+(-3*58),1) ), )</f>
        <v>20040701</v>
      </c>
      <c r="BM158" t="str">
        <f ca="1">CONCATENATE(YEAR( DATE(YEAR($B$155),FLOOR(MONTH($B$155)-1,3)+1+(-3*59),1) ), IF( MONTH(DATE(YEAR($B$155),FLOOR(MONTH($B$155)-1,3)+1+(-3*59),1)) &lt; 10, "0", "" ), MONTH( DATE(YEAR($B$155),FLOOR(MONTH($B$155)-1,3)+1+(-3*59),1) ), IF( DAY(DATE(YEAR($B$155),FLOOR(MONTH($B$155)-1,3)+1+(-3*59),1)) &lt; 10, "0", "" ), DAY( DATE(YEAR($B$155),FLOOR(MONTH($B$155)-1,3)+1+(-3*59),1) ), )</f>
        <v>20040401</v>
      </c>
      <c r="BN158" t="str">
        <f>""</f>
        <v/>
      </c>
      <c r="BO158" t="str">
        <f>""</f>
        <v/>
      </c>
      <c r="BP158" t="str">
        <f>""</f>
        <v/>
      </c>
      <c r="BQ158" t="str">
        <f>""</f>
        <v/>
      </c>
      <c r="BR158" t="str">
        <f>""</f>
        <v/>
      </c>
      <c r="BS158" t="str">
        <f>""</f>
        <v/>
      </c>
      <c r="BT158" t="str">
        <f>""</f>
        <v/>
      </c>
      <c r="BU158" t="str">
        <f>""</f>
        <v/>
      </c>
      <c r="BV158" t="str">
        <f>""</f>
        <v/>
      </c>
      <c r="BW158" t="str">
        <f>""</f>
        <v/>
      </c>
      <c r="BX158" t="str">
        <f>""</f>
        <v/>
      </c>
      <c r="BY158" t="str">
        <f>""</f>
        <v/>
      </c>
      <c r="BZ158" t="str">
        <f>""</f>
        <v/>
      </c>
      <c r="CA158" t="str">
        <f>""</f>
        <v/>
      </c>
      <c r="CB158" t="str">
        <f>""</f>
        <v/>
      </c>
      <c r="CC158" t="str">
        <f>""</f>
        <v/>
      </c>
      <c r="CD158" t="str">
        <f>""</f>
        <v/>
      </c>
      <c r="CE158" t="str">
        <f>""</f>
        <v/>
      </c>
      <c r="CF158" t="str">
        <f>""</f>
        <v/>
      </c>
      <c r="CG158" t="str">
        <f>""</f>
        <v/>
      </c>
      <c r="CH158" t="str">
        <f>""</f>
        <v/>
      </c>
      <c r="CI158" t="str">
        <f>""</f>
        <v/>
      </c>
      <c r="CJ158" t="str">
        <f>""</f>
        <v/>
      </c>
      <c r="CK158" t="str">
        <f>""</f>
        <v/>
      </c>
      <c r="CL158" t="str">
        <f>""</f>
        <v/>
      </c>
      <c r="CM158" t="str">
        <f>""</f>
        <v/>
      </c>
      <c r="CN158" t="str">
        <f>""</f>
        <v/>
      </c>
      <c r="CO158" t="str">
        <f>""</f>
        <v/>
      </c>
      <c r="CP158" t="str">
        <f>""</f>
        <v/>
      </c>
      <c r="CQ158" t="str">
        <f>""</f>
        <v/>
      </c>
      <c r="CR158" t="str">
        <f>""</f>
        <v/>
      </c>
      <c r="CS158" t="str">
        <f>""</f>
        <v/>
      </c>
      <c r="CT158" t="str">
        <f>""</f>
        <v/>
      </c>
      <c r="CU158" t="str">
        <f>""</f>
        <v/>
      </c>
      <c r="CV158" t="str">
        <f>""</f>
        <v/>
      </c>
      <c r="CW158" t="str">
        <f>""</f>
        <v/>
      </c>
      <c r="CX158" t="str">
        <f>""</f>
        <v/>
      </c>
      <c r="CY158" t="str">
        <f>""</f>
        <v/>
      </c>
      <c r="CZ158" t="str">
        <f>""</f>
        <v/>
      </c>
      <c r="DA158" t="str">
        <f>""</f>
        <v/>
      </c>
      <c r="DB158" t="str">
        <f>""</f>
        <v/>
      </c>
      <c r="DC158" t="str">
        <f>""</f>
        <v/>
      </c>
      <c r="DD158" t="str">
        <f>""</f>
        <v/>
      </c>
      <c r="DE158" t="str">
        <f>""</f>
        <v/>
      </c>
      <c r="DF158" t="str">
        <f>""</f>
        <v/>
      </c>
      <c r="DG158" t="str">
        <f>""</f>
        <v/>
      </c>
      <c r="DH158" t="str">
        <f>""</f>
        <v/>
      </c>
      <c r="DI158" t="str">
        <f>""</f>
        <v/>
      </c>
      <c r="DJ158" t="str">
        <f>""</f>
        <v/>
      </c>
      <c r="DK158" t="str">
        <f>""</f>
        <v/>
      </c>
      <c r="DL158" t="str">
        <f>""</f>
        <v/>
      </c>
      <c r="DM158" t="str">
        <f>""</f>
        <v/>
      </c>
      <c r="DN158" t="str">
        <f>""</f>
        <v/>
      </c>
      <c r="DO158" t="str">
        <f>""</f>
        <v/>
      </c>
      <c r="DP158" t="str">
        <f>""</f>
        <v/>
      </c>
      <c r="DQ158" t="str">
        <f>""</f>
        <v/>
      </c>
      <c r="DR158" t="str">
        <f>""</f>
        <v/>
      </c>
      <c r="DS158" t="str">
        <f>""</f>
        <v/>
      </c>
      <c r="DT158" t="str">
        <f>""</f>
        <v/>
      </c>
      <c r="DU158" t="str">
        <f>""</f>
        <v/>
      </c>
    </row>
    <row r="159" spans="1:125" x14ac:dyDescent="0.25">
      <c r="A159" t="str">
        <f>"Period End"</f>
        <v>Period End</v>
      </c>
      <c r="C159" t="str">
        <f>"PX392"</f>
        <v>PX392</v>
      </c>
      <c r="D159" t="str">
        <f>"END_DATE_OVERRIDE"</f>
        <v>END_DATE_OVERRIDE</v>
      </c>
      <c r="E159" t="str">
        <f>"Dynamic"</f>
        <v>Dynamic</v>
      </c>
      <c r="F159" t="str">
        <f ca="1">CONCATENATE(YEAR( DATE(YEAR($B$155),CEILING(MONTH($B$155),3)+1+(-3*0),0) ), IF( MONTH(DATE(YEAR($B$155),CEILING(MONTH($B$155),3)+1+(-3*0),0)) &lt; 10, "0", "" ), MONTH( DATE(YEAR($B$155),CEILING(MONTH($B$155),3)+1+(-3*0),0) ), IF( DAY(DATE(YEAR($B$155),CEILING(MONTH($B$155),3)+1+(-3*0),0)) &lt; 10, "0", "" ), DAY( DATE(YEAR($B$155),CEILING(MONTH($B$155),3)+1+(-3*0),0) ), )</f>
        <v>20190331</v>
      </c>
      <c r="G159" t="str">
        <f ca="1">CONCATENATE(YEAR( DATE(YEAR($B$155),CEILING(MONTH($B$155),3)+1+(-3*1),0) ), IF( MONTH(DATE(YEAR($B$155),CEILING(MONTH($B$155),3)+1+(-3*1),0)) &lt; 10, "0", "" ), MONTH( DATE(YEAR($B$155),CEILING(MONTH($B$155),3)+1+(-3*1),0) ), IF( DAY(DATE(YEAR($B$155),CEILING(MONTH($B$155),3)+1+(-3*1),0)) &lt; 10, "0", "" ), DAY( DATE(YEAR($B$155),CEILING(MONTH($B$155),3)+1+(-3*1),0) ), )</f>
        <v>20181231</v>
      </c>
      <c r="H159" t="str">
        <f ca="1">CONCATENATE(YEAR( DATE(YEAR($B$155),CEILING(MONTH($B$155),3)+1+(-3*2),0) ), IF( MONTH(DATE(YEAR($B$155),CEILING(MONTH($B$155),3)+1+(-3*2),0)) &lt; 10, "0", "" ), MONTH( DATE(YEAR($B$155),CEILING(MONTH($B$155),3)+1+(-3*2),0) ), IF( DAY(DATE(YEAR($B$155),CEILING(MONTH($B$155),3)+1+(-3*2),0)) &lt; 10, "0", "" ), DAY( DATE(YEAR($B$155),CEILING(MONTH($B$155),3)+1+(-3*2),0) ), )</f>
        <v>20180930</v>
      </c>
      <c r="I159" t="str">
        <f ca="1">CONCATENATE(YEAR( DATE(YEAR($B$155),CEILING(MONTH($B$155),3)+1+(-3*3),0) ), IF( MONTH(DATE(YEAR($B$155),CEILING(MONTH($B$155),3)+1+(-3*3),0)) &lt; 10, "0", "" ), MONTH( DATE(YEAR($B$155),CEILING(MONTH($B$155),3)+1+(-3*3),0) ), IF( DAY(DATE(YEAR($B$155),CEILING(MONTH($B$155),3)+1+(-3*3),0)) &lt; 10, "0", "" ), DAY( DATE(YEAR($B$155),CEILING(MONTH($B$155),3)+1+(-3*3),0) ), )</f>
        <v>20180630</v>
      </c>
      <c r="J159" t="str">
        <f ca="1">CONCATENATE(YEAR( DATE(YEAR($B$155),CEILING(MONTH($B$155),3)+1+(-3*4),0) ), IF( MONTH(DATE(YEAR($B$155),CEILING(MONTH($B$155),3)+1+(-3*4),0)) &lt; 10, "0", "" ), MONTH( DATE(YEAR($B$155),CEILING(MONTH($B$155),3)+1+(-3*4),0) ), IF( DAY(DATE(YEAR($B$155),CEILING(MONTH($B$155),3)+1+(-3*4),0)) &lt; 10, "0", "" ), DAY( DATE(YEAR($B$155),CEILING(MONTH($B$155),3)+1+(-3*4),0) ), )</f>
        <v>20180331</v>
      </c>
      <c r="K159" t="str">
        <f ca="1">CONCATENATE(YEAR( DATE(YEAR($B$155),CEILING(MONTH($B$155),3)+1+(-3*5),0) ), IF( MONTH(DATE(YEAR($B$155),CEILING(MONTH($B$155),3)+1+(-3*5),0)) &lt; 10, "0", "" ), MONTH( DATE(YEAR($B$155),CEILING(MONTH($B$155),3)+1+(-3*5),0) ), IF( DAY(DATE(YEAR($B$155),CEILING(MONTH($B$155),3)+1+(-3*5),0)) &lt; 10, "0", "" ), DAY( DATE(YEAR($B$155),CEILING(MONTH($B$155),3)+1+(-3*5),0) ), )</f>
        <v>20171231</v>
      </c>
      <c r="L159" t="str">
        <f ca="1">CONCATENATE(YEAR( DATE(YEAR($B$155),CEILING(MONTH($B$155),3)+1+(-3*6),0) ), IF( MONTH(DATE(YEAR($B$155),CEILING(MONTH($B$155),3)+1+(-3*6),0)) &lt; 10, "0", "" ), MONTH( DATE(YEAR($B$155),CEILING(MONTH($B$155),3)+1+(-3*6),0) ), IF( DAY(DATE(YEAR($B$155),CEILING(MONTH($B$155),3)+1+(-3*6),0)) &lt; 10, "0", "" ), DAY( DATE(YEAR($B$155),CEILING(MONTH($B$155),3)+1+(-3*6),0) ), )</f>
        <v>20170930</v>
      </c>
      <c r="M159" t="str">
        <f ca="1">CONCATENATE(YEAR( DATE(YEAR($B$155),CEILING(MONTH($B$155),3)+1+(-3*7),0) ), IF( MONTH(DATE(YEAR($B$155),CEILING(MONTH($B$155),3)+1+(-3*7),0)) &lt; 10, "0", "" ), MONTH( DATE(YEAR($B$155),CEILING(MONTH($B$155),3)+1+(-3*7),0) ), IF( DAY(DATE(YEAR($B$155),CEILING(MONTH($B$155),3)+1+(-3*7),0)) &lt; 10, "0", "" ), DAY( DATE(YEAR($B$155),CEILING(MONTH($B$155),3)+1+(-3*7),0) ), )</f>
        <v>20170630</v>
      </c>
      <c r="N159" t="str">
        <f ca="1">CONCATENATE(YEAR( DATE(YEAR($B$155),CEILING(MONTH($B$155),3)+1+(-3*8),0) ), IF( MONTH(DATE(YEAR($B$155),CEILING(MONTH($B$155),3)+1+(-3*8),0)) &lt; 10, "0", "" ), MONTH( DATE(YEAR($B$155),CEILING(MONTH($B$155),3)+1+(-3*8),0) ), IF( DAY(DATE(YEAR($B$155),CEILING(MONTH($B$155),3)+1+(-3*8),0)) &lt; 10, "0", "" ), DAY( DATE(YEAR($B$155),CEILING(MONTH($B$155),3)+1+(-3*8),0) ), )</f>
        <v>20170331</v>
      </c>
      <c r="O159" t="str">
        <f ca="1">CONCATENATE(YEAR( DATE(YEAR($B$155),CEILING(MONTH($B$155),3)+1+(-3*9),0) ), IF( MONTH(DATE(YEAR($B$155),CEILING(MONTH($B$155),3)+1+(-3*9),0)) &lt; 10, "0", "" ), MONTH( DATE(YEAR($B$155),CEILING(MONTH($B$155),3)+1+(-3*9),0) ), IF( DAY(DATE(YEAR($B$155),CEILING(MONTH($B$155),3)+1+(-3*9),0)) &lt; 10, "0", "" ), DAY( DATE(YEAR($B$155),CEILING(MONTH($B$155),3)+1+(-3*9),0) ), )</f>
        <v>20161231</v>
      </c>
      <c r="P159" t="str">
        <f ca="1">CONCATENATE(YEAR( DATE(YEAR($B$155),CEILING(MONTH($B$155),3)+1+(-3*10),0) ), IF( MONTH(DATE(YEAR($B$155),CEILING(MONTH($B$155),3)+1+(-3*10),0)) &lt; 10, "0", "" ), MONTH( DATE(YEAR($B$155),CEILING(MONTH($B$155),3)+1+(-3*10),0) ), IF( DAY(DATE(YEAR($B$155),CEILING(MONTH($B$155),3)+1+(-3*10),0)) &lt; 10, "0", "" ), DAY( DATE(YEAR($B$155),CEILING(MONTH($B$155),3)+1+(-3*10),0) ), )</f>
        <v>20160930</v>
      </c>
      <c r="Q159" t="str">
        <f ca="1">CONCATENATE(YEAR( DATE(YEAR($B$155),CEILING(MONTH($B$155),3)+1+(-3*11),0) ), IF( MONTH(DATE(YEAR($B$155),CEILING(MONTH($B$155),3)+1+(-3*11),0)) &lt; 10, "0", "" ), MONTH( DATE(YEAR($B$155),CEILING(MONTH($B$155),3)+1+(-3*11),0) ), IF( DAY(DATE(YEAR($B$155),CEILING(MONTH($B$155),3)+1+(-3*11),0)) &lt; 10, "0", "" ), DAY( DATE(YEAR($B$155),CEILING(MONTH($B$155),3)+1+(-3*11),0) ), )</f>
        <v>20160630</v>
      </c>
      <c r="R159" t="str">
        <f ca="1">CONCATENATE(YEAR( DATE(YEAR($B$155),CEILING(MONTH($B$155),3)+1+(-3*12),0) ), IF( MONTH(DATE(YEAR($B$155),CEILING(MONTH($B$155),3)+1+(-3*12),0)) &lt; 10, "0", "" ), MONTH( DATE(YEAR($B$155),CEILING(MONTH($B$155),3)+1+(-3*12),0) ), IF( DAY(DATE(YEAR($B$155),CEILING(MONTH($B$155),3)+1+(-3*12),0)) &lt; 10, "0", "" ), DAY( DATE(YEAR($B$155),CEILING(MONTH($B$155),3)+1+(-3*12),0) ), )</f>
        <v>20160331</v>
      </c>
      <c r="S159" t="str">
        <f ca="1">CONCATENATE(YEAR( DATE(YEAR($B$155),CEILING(MONTH($B$155),3)+1+(-3*13),0) ), IF( MONTH(DATE(YEAR($B$155),CEILING(MONTH($B$155),3)+1+(-3*13),0)) &lt; 10, "0", "" ), MONTH( DATE(YEAR($B$155),CEILING(MONTH($B$155),3)+1+(-3*13),0) ), IF( DAY(DATE(YEAR($B$155),CEILING(MONTH($B$155),3)+1+(-3*13),0)) &lt; 10, "0", "" ), DAY( DATE(YEAR($B$155),CEILING(MONTH($B$155),3)+1+(-3*13),0) ), )</f>
        <v>20151231</v>
      </c>
      <c r="T159" t="str">
        <f ca="1">CONCATENATE(YEAR( DATE(YEAR($B$155),CEILING(MONTH($B$155),3)+1+(-3*14),0) ), IF( MONTH(DATE(YEAR($B$155),CEILING(MONTH($B$155),3)+1+(-3*14),0)) &lt; 10, "0", "" ), MONTH( DATE(YEAR($B$155),CEILING(MONTH($B$155),3)+1+(-3*14),0) ), IF( DAY(DATE(YEAR($B$155),CEILING(MONTH($B$155),3)+1+(-3*14),0)) &lt; 10, "0", "" ), DAY( DATE(YEAR($B$155),CEILING(MONTH($B$155),3)+1+(-3*14),0) ), )</f>
        <v>20150930</v>
      </c>
      <c r="U159" t="str">
        <f ca="1">CONCATENATE(YEAR( DATE(YEAR($B$155),CEILING(MONTH($B$155),3)+1+(-3*15),0) ), IF( MONTH(DATE(YEAR($B$155),CEILING(MONTH($B$155),3)+1+(-3*15),0)) &lt; 10, "0", "" ), MONTH( DATE(YEAR($B$155),CEILING(MONTH($B$155),3)+1+(-3*15),0) ), IF( DAY(DATE(YEAR($B$155),CEILING(MONTH($B$155),3)+1+(-3*15),0)) &lt; 10, "0", "" ), DAY( DATE(YEAR($B$155),CEILING(MONTH($B$155),3)+1+(-3*15),0) ), )</f>
        <v>20150630</v>
      </c>
      <c r="V159" t="str">
        <f ca="1">CONCATENATE(YEAR( DATE(YEAR($B$155),CEILING(MONTH($B$155),3)+1+(-3*16),0) ), IF( MONTH(DATE(YEAR($B$155),CEILING(MONTH($B$155),3)+1+(-3*16),0)) &lt; 10, "0", "" ), MONTH( DATE(YEAR($B$155),CEILING(MONTH($B$155),3)+1+(-3*16),0) ), IF( DAY(DATE(YEAR($B$155),CEILING(MONTH($B$155),3)+1+(-3*16),0)) &lt; 10, "0", "" ), DAY( DATE(YEAR($B$155),CEILING(MONTH($B$155),3)+1+(-3*16),0) ), )</f>
        <v>20150331</v>
      </c>
      <c r="W159" t="str">
        <f ca="1">CONCATENATE(YEAR( DATE(YEAR($B$155),CEILING(MONTH($B$155),3)+1+(-3*17),0) ), IF( MONTH(DATE(YEAR($B$155),CEILING(MONTH($B$155),3)+1+(-3*17),0)) &lt; 10, "0", "" ), MONTH( DATE(YEAR($B$155),CEILING(MONTH($B$155),3)+1+(-3*17),0) ), IF( DAY(DATE(YEAR($B$155),CEILING(MONTH($B$155),3)+1+(-3*17),0)) &lt; 10, "0", "" ), DAY( DATE(YEAR($B$155),CEILING(MONTH($B$155),3)+1+(-3*17),0) ), )</f>
        <v>20141231</v>
      </c>
      <c r="X159" t="str">
        <f ca="1">CONCATENATE(YEAR( DATE(YEAR($B$155),CEILING(MONTH($B$155),3)+1+(-3*18),0) ), IF( MONTH(DATE(YEAR($B$155),CEILING(MONTH($B$155),3)+1+(-3*18),0)) &lt; 10, "0", "" ), MONTH( DATE(YEAR($B$155),CEILING(MONTH($B$155),3)+1+(-3*18),0) ), IF( DAY(DATE(YEAR($B$155),CEILING(MONTH($B$155),3)+1+(-3*18),0)) &lt; 10, "0", "" ), DAY( DATE(YEAR($B$155),CEILING(MONTH($B$155),3)+1+(-3*18),0) ), )</f>
        <v>20140930</v>
      </c>
      <c r="Y159" t="str">
        <f ca="1">CONCATENATE(YEAR( DATE(YEAR($B$155),CEILING(MONTH($B$155),3)+1+(-3*19),0) ), IF( MONTH(DATE(YEAR($B$155),CEILING(MONTH($B$155),3)+1+(-3*19),0)) &lt; 10, "0", "" ), MONTH( DATE(YEAR($B$155),CEILING(MONTH($B$155),3)+1+(-3*19),0) ), IF( DAY(DATE(YEAR($B$155),CEILING(MONTH($B$155),3)+1+(-3*19),0)) &lt; 10, "0", "" ), DAY( DATE(YEAR($B$155),CEILING(MONTH($B$155),3)+1+(-3*19),0) ), )</f>
        <v>20140630</v>
      </c>
      <c r="Z159" t="str">
        <f ca="1">CONCATENATE(YEAR( DATE(YEAR($B$155),CEILING(MONTH($B$155),3)+1+(-3*20),0) ), IF( MONTH(DATE(YEAR($B$155),CEILING(MONTH($B$155),3)+1+(-3*20),0)) &lt; 10, "0", "" ), MONTH( DATE(YEAR($B$155),CEILING(MONTH($B$155),3)+1+(-3*20),0) ), IF( DAY(DATE(YEAR($B$155),CEILING(MONTH($B$155),3)+1+(-3*20),0)) &lt; 10, "0", "" ), DAY( DATE(YEAR($B$155),CEILING(MONTH($B$155),3)+1+(-3*20),0) ), )</f>
        <v>20140331</v>
      </c>
      <c r="AA159" t="str">
        <f ca="1">CONCATENATE(YEAR( DATE(YEAR($B$155),CEILING(MONTH($B$155),3)+1+(-3*21),0) ), IF( MONTH(DATE(YEAR($B$155),CEILING(MONTH($B$155),3)+1+(-3*21),0)) &lt; 10, "0", "" ), MONTH( DATE(YEAR($B$155),CEILING(MONTH($B$155),3)+1+(-3*21),0) ), IF( DAY(DATE(YEAR($B$155),CEILING(MONTH($B$155),3)+1+(-3*21),0)) &lt; 10, "0", "" ), DAY( DATE(YEAR($B$155),CEILING(MONTH($B$155),3)+1+(-3*21),0) ), )</f>
        <v>20131231</v>
      </c>
      <c r="AB159" t="str">
        <f ca="1">CONCATENATE(YEAR( DATE(YEAR($B$155),CEILING(MONTH($B$155),3)+1+(-3*22),0) ), IF( MONTH(DATE(YEAR($B$155),CEILING(MONTH($B$155),3)+1+(-3*22),0)) &lt; 10, "0", "" ), MONTH( DATE(YEAR($B$155),CEILING(MONTH($B$155),3)+1+(-3*22),0) ), IF( DAY(DATE(YEAR($B$155),CEILING(MONTH($B$155),3)+1+(-3*22),0)) &lt; 10, "0", "" ), DAY( DATE(YEAR($B$155),CEILING(MONTH($B$155),3)+1+(-3*22),0) ), )</f>
        <v>20130930</v>
      </c>
      <c r="AC159" t="str">
        <f ca="1">CONCATENATE(YEAR( DATE(YEAR($B$155),CEILING(MONTH($B$155),3)+1+(-3*23),0) ), IF( MONTH(DATE(YEAR($B$155),CEILING(MONTH($B$155),3)+1+(-3*23),0)) &lt; 10, "0", "" ), MONTH( DATE(YEAR($B$155),CEILING(MONTH($B$155),3)+1+(-3*23),0) ), IF( DAY(DATE(YEAR($B$155),CEILING(MONTH($B$155),3)+1+(-3*23),0)) &lt; 10, "0", "" ), DAY( DATE(YEAR($B$155),CEILING(MONTH($B$155),3)+1+(-3*23),0) ), )</f>
        <v>20130630</v>
      </c>
      <c r="AD159" t="str">
        <f ca="1">CONCATENATE(YEAR( DATE(YEAR($B$155),CEILING(MONTH($B$155),3)+1+(-3*24),0) ), IF( MONTH(DATE(YEAR($B$155),CEILING(MONTH($B$155),3)+1+(-3*24),0)) &lt; 10, "0", "" ), MONTH( DATE(YEAR($B$155),CEILING(MONTH($B$155),3)+1+(-3*24),0) ), IF( DAY(DATE(YEAR($B$155),CEILING(MONTH($B$155),3)+1+(-3*24),0)) &lt; 10, "0", "" ), DAY( DATE(YEAR($B$155),CEILING(MONTH($B$155),3)+1+(-3*24),0) ), )</f>
        <v>20130331</v>
      </c>
      <c r="AE159" t="str">
        <f ca="1">CONCATENATE(YEAR( DATE(YEAR($B$155),CEILING(MONTH($B$155),3)+1+(-3*25),0) ), IF( MONTH(DATE(YEAR($B$155),CEILING(MONTH($B$155),3)+1+(-3*25),0)) &lt; 10, "0", "" ), MONTH( DATE(YEAR($B$155),CEILING(MONTH($B$155),3)+1+(-3*25),0) ), IF( DAY(DATE(YEAR($B$155),CEILING(MONTH($B$155),3)+1+(-3*25),0)) &lt; 10, "0", "" ), DAY( DATE(YEAR($B$155),CEILING(MONTH($B$155),3)+1+(-3*25),0) ), )</f>
        <v>20121231</v>
      </c>
      <c r="AF159" t="str">
        <f ca="1">CONCATENATE(YEAR( DATE(YEAR($B$155),CEILING(MONTH($B$155),3)+1+(-3*26),0) ), IF( MONTH(DATE(YEAR($B$155),CEILING(MONTH($B$155),3)+1+(-3*26),0)) &lt; 10, "0", "" ), MONTH( DATE(YEAR($B$155),CEILING(MONTH($B$155),3)+1+(-3*26),0) ), IF( DAY(DATE(YEAR($B$155),CEILING(MONTH($B$155),3)+1+(-3*26),0)) &lt; 10, "0", "" ), DAY( DATE(YEAR($B$155),CEILING(MONTH($B$155),3)+1+(-3*26),0) ), )</f>
        <v>20120930</v>
      </c>
      <c r="AG159" t="str">
        <f ca="1">CONCATENATE(YEAR( DATE(YEAR($B$155),CEILING(MONTH($B$155),3)+1+(-3*27),0) ), IF( MONTH(DATE(YEAR($B$155),CEILING(MONTH($B$155),3)+1+(-3*27),0)) &lt; 10, "0", "" ), MONTH( DATE(YEAR($B$155),CEILING(MONTH($B$155),3)+1+(-3*27),0) ), IF( DAY(DATE(YEAR($B$155),CEILING(MONTH($B$155),3)+1+(-3*27),0)) &lt; 10, "0", "" ), DAY( DATE(YEAR($B$155),CEILING(MONTH($B$155),3)+1+(-3*27),0) ), )</f>
        <v>20120630</v>
      </c>
      <c r="AH159" t="str">
        <f ca="1">CONCATENATE(YEAR( DATE(YEAR($B$155),CEILING(MONTH($B$155),3)+1+(-3*28),0) ), IF( MONTH(DATE(YEAR($B$155),CEILING(MONTH($B$155),3)+1+(-3*28),0)) &lt; 10, "0", "" ), MONTH( DATE(YEAR($B$155),CEILING(MONTH($B$155),3)+1+(-3*28),0) ), IF( DAY(DATE(YEAR($B$155),CEILING(MONTH($B$155),3)+1+(-3*28),0)) &lt; 10, "0", "" ), DAY( DATE(YEAR($B$155),CEILING(MONTH($B$155),3)+1+(-3*28),0) ), )</f>
        <v>20120331</v>
      </c>
      <c r="AI159" t="str">
        <f ca="1">CONCATENATE(YEAR( DATE(YEAR($B$155),CEILING(MONTH($B$155),3)+1+(-3*29),0) ), IF( MONTH(DATE(YEAR($B$155),CEILING(MONTH($B$155),3)+1+(-3*29),0)) &lt; 10, "0", "" ), MONTH( DATE(YEAR($B$155),CEILING(MONTH($B$155),3)+1+(-3*29),0) ), IF( DAY(DATE(YEAR($B$155),CEILING(MONTH($B$155),3)+1+(-3*29),0)) &lt; 10, "0", "" ), DAY( DATE(YEAR($B$155),CEILING(MONTH($B$155),3)+1+(-3*29),0) ), )</f>
        <v>20111231</v>
      </c>
      <c r="AJ159" t="str">
        <f ca="1">CONCATENATE(YEAR( DATE(YEAR($B$155),CEILING(MONTH($B$155),3)+1+(-3*30),0) ), IF( MONTH(DATE(YEAR($B$155),CEILING(MONTH($B$155),3)+1+(-3*30),0)) &lt; 10, "0", "" ), MONTH( DATE(YEAR($B$155),CEILING(MONTH($B$155),3)+1+(-3*30),0) ), IF( DAY(DATE(YEAR($B$155),CEILING(MONTH($B$155),3)+1+(-3*30),0)) &lt; 10, "0", "" ), DAY( DATE(YEAR($B$155),CEILING(MONTH($B$155),3)+1+(-3*30),0) ), )</f>
        <v>20110930</v>
      </c>
      <c r="AK159" t="str">
        <f ca="1">CONCATENATE(YEAR( DATE(YEAR($B$155),CEILING(MONTH($B$155),3)+1+(-3*31),0) ), IF( MONTH(DATE(YEAR($B$155),CEILING(MONTH($B$155),3)+1+(-3*31),0)) &lt; 10, "0", "" ), MONTH( DATE(YEAR($B$155),CEILING(MONTH($B$155),3)+1+(-3*31),0) ), IF( DAY(DATE(YEAR($B$155),CEILING(MONTH($B$155),3)+1+(-3*31),0)) &lt; 10, "0", "" ), DAY( DATE(YEAR($B$155),CEILING(MONTH($B$155),3)+1+(-3*31),0) ), )</f>
        <v>20110630</v>
      </c>
      <c r="AL159" t="str">
        <f ca="1">CONCATENATE(YEAR( DATE(YEAR($B$155),CEILING(MONTH($B$155),3)+1+(-3*32),0) ), IF( MONTH(DATE(YEAR($B$155),CEILING(MONTH($B$155),3)+1+(-3*32),0)) &lt; 10, "0", "" ), MONTH( DATE(YEAR($B$155),CEILING(MONTH($B$155),3)+1+(-3*32),0) ), IF( DAY(DATE(YEAR($B$155),CEILING(MONTH($B$155),3)+1+(-3*32),0)) &lt; 10, "0", "" ), DAY( DATE(YEAR($B$155),CEILING(MONTH($B$155),3)+1+(-3*32),0) ), )</f>
        <v>20110331</v>
      </c>
      <c r="AM159" t="str">
        <f ca="1">CONCATENATE(YEAR( DATE(YEAR($B$155),CEILING(MONTH($B$155),3)+1+(-3*33),0) ), IF( MONTH(DATE(YEAR($B$155),CEILING(MONTH($B$155),3)+1+(-3*33),0)) &lt; 10, "0", "" ), MONTH( DATE(YEAR($B$155),CEILING(MONTH($B$155),3)+1+(-3*33),0) ), IF( DAY(DATE(YEAR($B$155),CEILING(MONTH($B$155),3)+1+(-3*33),0)) &lt; 10, "0", "" ), DAY( DATE(YEAR($B$155),CEILING(MONTH($B$155),3)+1+(-3*33),0) ), )</f>
        <v>20101231</v>
      </c>
      <c r="AN159" t="str">
        <f ca="1">CONCATENATE(YEAR( DATE(YEAR($B$155),CEILING(MONTH($B$155),3)+1+(-3*34),0) ), IF( MONTH(DATE(YEAR($B$155),CEILING(MONTH($B$155),3)+1+(-3*34),0)) &lt; 10, "0", "" ), MONTH( DATE(YEAR($B$155),CEILING(MONTH($B$155),3)+1+(-3*34),0) ), IF( DAY(DATE(YEAR($B$155),CEILING(MONTH($B$155),3)+1+(-3*34),0)) &lt; 10, "0", "" ), DAY( DATE(YEAR($B$155),CEILING(MONTH($B$155),3)+1+(-3*34),0) ), )</f>
        <v>20100930</v>
      </c>
      <c r="AO159" t="str">
        <f ca="1">CONCATENATE(YEAR( DATE(YEAR($B$155),CEILING(MONTH($B$155),3)+1+(-3*35),0) ), IF( MONTH(DATE(YEAR($B$155),CEILING(MONTH($B$155),3)+1+(-3*35),0)) &lt; 10, "0", "" ), MONTH( DATE(YEAR($B$155),CEILING(MONTH($B$155),3)+1+(-3*35),0) ), IF( DAY(DATE(YEAR($B$155),CEILING(MONTH($B$155),3)+1+(-3*35),0)) &lt; 10, "0", "" ), DAY( DATE(YEAR($B$155),CEILING(MONTH($B$155),3)+1+(-3*35),0) ), )</f>
        <v>20100630</v>
      </c>
      <c r="AP159" t="str">
        <f ca="1">CONCATENATE(YEAR( DATE(YEAR($B$155),CEILING(MONTH($B$155),3)+1+(-3*36),0) ), IF( MONTH(DATE(YEAR($B$155),CEILING(MONTH($B$155),3)+1+(-3*36),0)) &lt; 10, "0", "" ), MONTH( DATE(YEAR($B$155),CEILING(MONTH($B$155),3)+1+(-3*36),0) ), IF( DAY(DATE(YEAR($B$155),CEILING(MONTH($B$155),3)+1+(-3*36),0)) &lt; 10, "0", "" ), DAY( DATE(YEAR($B$155),CEILING(MONTH($B$155),3)+1+(-3*36),0) ), )</f>
        <v>20100331</v>
      </c>
      <c r="AQ159" t="str">
        <f ca="1">CONCATENATE(YEAR( DATE(YEAR($B$155),CEILING(MONTH($B$155),3)+1+(-3*37),0) ), IF( MONTH(DATE(YEAR($B$155),CEILING(MONTH($B$155),3)+1+(-3*37),0)) &lt; 10, "0", "" ), MONTH( DATE(YEAR($B$155),CEILING(MONTH($B$155),3)+1+(-3*37),0) ), IF( DAY(DATE(YEAR($B$155),CEILING(MONTH($B$155),3)+1+(-3*37),0)) &lt; 10, "0", "" ), DAY( DATE(YEAR($B$155),CEILING(MONTH($B$155),3)+1+(-3*37),0) ), )</f>
        <v>20091231</v>
      </c>
      <c r="AR159" t="str">
        <f ca="1">CONCATENATE(YEAR( DATE(YEAR($B$155),CEILING(MONTH($B$155),3)+1+(-3*38),0) ), IF( MONTH(DATE(YEAR($B$155),CEILING(MONTH($B$155),3)+1+(-3*38),0)) &lt; 10, "0", "" ), MONTH( DATE(YEAR($B$155),CEILING(MONTH($B$155),3)+1+(-3*38),0) ), IF( DAY(DATE(YEAR($B$155),CEILING(MONTH($B$155),3)+1+(-3*38),0)) &lt; 10, "0", "" ), DAY( DATE(YEAR($B$155),CEILING(MONTH($B$155),3)+1+(-3*38),0) ), )</f>
        <v>20090930</v>
      </c>
      <c r="AS159" t="str">
        <f ca="1">CONCATENATE(YEAR( DATE(YEAR($B$155),CEILING(MONTH($B$155),3)+1+(-3*39),0) ), IF( MONTH(DATE(YEAR($B$155),CEILING(MONTH($B$155),3)+1+(-3*39),0)) &lt; 10, "0", "" ), MONTH( DATE(YEAR($B$155),CEILING(MONTH($B$155),3)+1+(-3*39),0) ), IF( DAY(DATE(YEAR($B$155),CEILING(MONTH($B$155),3)+1+(-3*39),0)) &lt; 10, "0", "" ), DAY( DATE(YEAR($B$155),CEILING(MONTH($B$155),3)+1+(-3*39),0) ), )</f>
        <v>20090630</v>
      </c>
      <c r="AT159" t="str">
        <f ca="1">CONCATENATE(YEAR( DATE(YEAR($B$155),CEILING(MONTH($B$155),3)+1+(-3*40),0) ), IF( MONTH(DATE(YEAR($B$155),CEILING(MONTH($B$155),3)+1+(-3*40),0)) &lt; 10, "0", "" ), MONTH( DATE(YEAR($B$155),CEILING(MONTH($B$155),3)+1+(-3*40),0) ), IF( DAY(DATE(YEAR($B$155),CEILING(MONTH($B$155),3)+1+(-3*40),0)) &lt; 10, "0", "" ), DAY( DATE(YEAR($B$155),CEILING(MONTH($B$155),3)+1+(-3*40),0) ), )</f>
        <v>20090331</v>
      </c>
      <c r="AU159" t="str">
        <f ca="1">CONCATENATE(YEAR( DATE(YEAR($B$155),CEILING(MONTH($B$155),3)+1+(-3*41),0) ), IF( MONTH(DATE(YEAR($B$155),CEILING(MONTH($B$155),3)+1+(-3*41),0)) &lt; 10, "0", "" ), MONTH( DATE(YEAR($B$155),CEILING(MONTH($B$155),3)+1+(-3*41),0) ), IF( DAY(DATE(YEAR($B$155),CEILING(MONTH($B$155),3)+1+(-3*41),0)) &lt; 10, "0", "" ), DAY( DATE(YEAR($B$155),CEILING(MONTH($B$155),3)+1+(-3*41),0) ), )</f>
        <v>20081231</v>
      </c>
      <c r="AV159" t="str">
        <f ca="1">CONCATENATE(YEAR( DATE(YEAR($B$155),CEILING(MONTH($B$155),3)+1+(-3*42),0) ), IF( MONTH(DATE(YEAR($B$155),CEILING(MONTH($B$155),3)+1+(-3*42),0)) &lt; 10, "0", "" ), MONTH( DATE(YEAR($B$155),CEILING(MONTH($B$155),3)+1+(-3*42),0) ), IF( DAY(DATE(YEAR($B$155),CEILING(MONTH($B$155),3)+1+(-3*42),0)) &lt; 10, "0", "" ), DAY( DATE(YEAR($B$155),CEILING(MONTH($B$155),3)+1+(-3*42),0) ), )</f>
        <v>20080930</v>
      </c>
      <c r="AW159" t="str">
        <f ca="1">CONCATENATE(YEAR( DATE(YEAR($B$155),CEILING(MONTH($B$155),3)+1+(-3*43),0) ), IF( MONTH(DATE(YEAR($B$155),CEILING(MONTH($B$155),3)+1+(-3*43),0)) &lt; 10, "0", "" ), MONTH( DATE(YEAR($B$155),CEILING(MONTH($B$155),3)+1+(-3*43),0) ), IF( DAY(DATE(YEAR($B$155),CEILING(MONTH($B$155),3)+1+(-3*43),0)) &lt; 10, "0", "" ), DAY( DATE(YEAR($B$155),CEILING(MONTH($B$155),3)+1+(-3*43),0) ), )</f>
        <v>20080630</v>
      </c>
      <c r="AX159" t="str">
        <f ca="1">CONCATENATE(YEAR( DATE(YEAR($B$155),CEILING(MONTH($B$155),3)+1+(-3*44),0) ), IF( MONTH(DATE(YEAR($B$155),CEILING(MONTH($B$155),3)+1+(-3*44),0)) &lt; 10, "0", "" ), MONTH( DATE(YEAR($B$155),CEILING(MONTH($B$155),3)+1+(-3*44),0) ), IF( DAY(DATE(YEAR($B$155),CEILING(MONTH($B$155),3)+1+(-3*44),0)) &lt; 10, "0", "" ), DAY( DATE(YEAR($B$155),CEILING(MONTH($B$155),3)+1+(-3*44),0) ), )</f>
        <v>20080331</v>
      </c>
      <c r="AY159" t="str">
        <f ca="1">CONCATENATE(YEAR( DATE(YEAR($B$155),CEILING(MONTH($B$155),3)+1+(-3*45),0) ), IF( MONTH(DATE(YEAR($B$155),CEILING(MONTH($B$155),3)+1+(-3*45),0)) &lt; 10, "0", "" ), MONTH( DATE(YEAR($B$155),CEILING(MONTH($B$155),3)+1+(-3*45),0) ), IF( DAY(DATE(YEAR($B$155),CEILING(MONTH($B$155),3)+1+(-3*45),0)) &lt; 10, "0", "" ), DAY( DATE(YEAR($B$155),CEILING(MONTH($B$155),3)+1+(-3*45),0) ), )</f>
        <v>20071231</v>
      </c>
      <c r="AZ159" t="str">
        <f ca="1">CONCATENATE(YEAR( DATE(YEAR($B$155),CEILING(MONTH($B$155),3)+1+(-3*46),0) ), IF( MONTH(DATE(YEAR($B$155),CEILING(MONTH($B$155),3)+1+(-3*46),0)) &lt; 10, "0", "" ), MONTH( DATE(YEAR($B$155),CEILING(MONTH($B$155),3)+1+(-3*46),0) ), IF( DAY(DATE(YEAR($B$155),CEILING(MONTH($B$155),3)+1+(-3*46),0)) &lt; 10, "0", "" ), DAY( DATE(YEAR($B$155),CEILING(MONTH($B$155),3)+1+(-3*46),0) ), )</f>
        <v>20070930</v>
      </c>
      <c r="BA159" t="str">
        <f ca="1">CONCATENATE(YEAR( DATE(YEAR($B$155),CEILING(MONTH($B$155),3)+1+(-3*47),0) ), IF( MONTH(DATE(YEAR($B$155),CEILING(MONTH($B$155),3)+1+(-3*47),0)) &lt; 10, "0", "" ), MONTH( DATE(YEAR($B$155),CEILING(MONTH($B$155),3)+1+(-3*47),0) ), IF( DAY(DATE(YEAR($B$155),CEILING(MONTH($B$155),3)+1+(-3*47),0)) &lt; 10, "0", "" ), DAY( DATE(YEAR($B$155),CEILING(MONTH($B$155),3)+1+(-3*47),0) ), )</f>
        <v>20070630</v>
      </c>
      <c r="BB159" t="str">
        <f ca="1">CONCATENATE(YEAR( DATE(YEAR($B$155),CEILING(MONTH($B$155),3)+1+(-3*48),0) ), IF( MONTH(DATE(YEAR($B$155),CEILING(MONTH($B$155),3)+1+(-3*48),0)) &lt; 10, "0", "" ), MONTH( DATE(YEAR($B$155),CEILING(MONTH($B$155),3)+1+(-3*48),0) ), IF( DAY(DATE(YEAR($B$155),CEILING(MONTH($B$155),3)+1+(-3*48),0)) &lt; 10, "0", "" ), DAY( DATE(YEAR($B$155),CEILING(MONTH($B$155),3)+1+(-3*48),0) ), )</f>
        <v>20070331</v>
      </c>
      <c r="BC159" t="str">
        <f ca="1">CONCATENATE(YEAR( DATE(YEAR($B$155),CEILING(MONTH($B$155),3)+1+(-3*49),0) ), IF( MONTH(DATE(YEAR($B$155),CEILING(MONTH($B$155),3)+1+(-3*49),0)) &lt; 10, "0", "" ), MONTH( DATE(YEAR($B$155),CEILING(MONTH($B$155),3)+1+(-3*49),0) ), IF( DAY(DATE(YEAR($B$155),CEILING(MONTH($B$155),3)+1+(-3*49),0)) &lt; 10, "0", "" ), DAY( DATE(YEAR($B$155),CEILING(MONTH($B$155),3)+1+(-3*49),0) ), )</f>
        <v>20061231</v>
      </c>
      <c r="BD159" t="str">
        <f ca="1">CONCATENATE(YEAR( DATE(YEAR($B$155),CEILING(MONTH($B$155),3)+1+(-3*50),0) ), IF( MONTH(DATE(YEAR($B$155),CEILING(MONTH($B$155),3)+1+(-3*50),0)) &lt; 10, "0", "" ), MONTH( DATE(YEAR($B$155),CEILING(MONTH($B$155),3)+1+(-3*50),0) ), IF( DAY(DATE(YEAR($B$155),CEILING(MONTH($B$155),3)+1+(-3*50),0)) &lt; 10, "0", "" ), DAY( DATE(YEAR($B$155),CEILING(MONTH($B$155),3)+1+(-3*50),0) ), )</f>
        <v>20060930</v>
      </c>
      <c r="BE159" t="str">
        <f ca="1">CONCATENATE(YEAR( DATE(YEAR($B$155),CEILING(MONTH($B$155),3)+1+(-3*51),0) ), IF( MONTH(DATE(YEAR($B$155),CEILING(MONTH($B$155),3)+1+(-3*51),0)) &lt; 10, "0", "" ), MONTH( DATE(YEAR($B$155),CEILING(MONTH($B$155),3)+1+(-3*51),0) ), IF( DAY(DATE(YEAR($B$155),CEILING(MONTH($B$155),3)+1+(-3*51),0)) &lt; 10, "0", "" ), DAY( DATE(YEAR($B$155),CEILING(MONTH($B$155),3)+1+(-3*51),0) ), )</f>
        <v>20060630</v>
      </c>
      <c r="BF159" t="str">
        <f ca="1">CONCATENATE(YEAR( DATE(YEAR($B$155),CEILING(MONTH($B$155),3)+1+(-3*52),0) ), IF( MONTH(DATE(YEAR($B$155),CEILING(MONTH($B$155),3)+1+(-3*52),0)) &lt; 10, "0", "" ), MONTH( DATE(YEAR($B$155),CEILING(MONTH($B$155),3)+1+(-3*52),0) ), IF( DAY(DATE(YEAR($B$155),CEILING(MONTH($B$155),3)+1+(-3*52),0)) &lt; 10, "0", "" ), DAY( DATE(YEAR($B$155),CEILING(MONTH($B$155),3)+1+(-3*52),0) ), )</f>
        <v>20060331</v>
      </c>
      <c r="BG159" t="str">
        <f ca="1">CONCATENATE(YEAR( DATE(YEAR($B$155),CEILING(MONTH($B$155),3)+1+(-3*53),0) ), IF( MONTH(DATE(YEAR($B$155),CEILING(MONTH($B$155),3)+1+(-3*53),0)) &lt; 10, "0", "" ), MONTH( DATE(YEAR($B$155),CEILING(MONTH($B$155),3)+1+(-3*53),0) ), IF( DAY(DATE(YEAR($B$155),CEILING(MONTH($B$155),3)+1+(-3*53),0)) &lt; 10, "0", "" ), DAY( DATE(YEAR($B$155),CEILING(MONTH($B$155),3)+1+(-3*53),0) ), )</f>
        <v>20051231</v>
      </c>
      <c r="BH159" t="str">
        <f ca="1">CONCATENATE(YEAR( DATE(YEAR($B$155),CEILING(MONTH($B$155),3)+1+(-3*54),0) ), IF( MONTH(DATE(YEAR($B$155),CEILING(MONTH($B$155),3)+1+(-3*54),0)) &lt; 10, "0", "" ), MONTH( DATE(YEAR($B$155),CEILING(MONTH($B$155),3)+1+(-3*54),0) ), IF( DAY(DATE(YEAR($B$155),CEILING(MONTH($B$155),3)+1+(-3*54),0)) &lt; 10, "0", "" ), DAY( DATE(YEAR($B$155),CEILING(MONTH($B$155),3)+1+(-3*54),0) ), )</f>
        <v>20050930</v>
      </c>
      <c r="BI159" t="str">
        <f ca="1">CONCATENATE(YEAR( DATE(YEAR($B$155),CEILING(MONTH($B$155),3)+1+(-3*55),0) ), IF( MONTH(DATE(YEAR($B$155),CEILING(MONTH($B$155),3)+1+(-3*55),0)) &lt; 10, "0", "" ), MONTH( DATE(YEAR($B$155),CEILING(MONTH($B$155),3)+1+(-3*55),0) ), IF( DAY(DATE(YEAR($B$155),CEILING(MONTH($B$155),3)+1+(-3*55),0)) &lt; 10, "0", "" ), DAY( DATE(YEAR($B$155),CEILING(MONTH($B$155),3)+1+(-3*55),0) ), )</f>
        <v>20050630</v>
      </c>
      <c r="BJ159" t="str">
        <f ca="1">CONCATENATE(YEAR( DATE(YEAR($B$155),CEILING(MONTH($B$155),3)+1+(-3*56),0) ), IF( MONTH(DATE(YEAR($B$155),CEILING(MONTH($B$155),3)+1+(-3*56),0)) &lt; 10, "0", "" ), MONTH( DATE(YEAR($B$155),CEILING(MONTH($B$155),3)+1+(-3*56),0) ), IF( DAY(DATE(YEAR($B$155),CEILING(MONTH($B$155),3)+1+(-3*56),0)) &lt; 10, "0", "" ), DAY( DATE(YEAR($B$155),CEILING(MONTH($B$155),3)+1+(-3*56),0) ), )</f>
        <v>20050331</v>
      </c>
      <c r="BK159" t="str">
        <f ca="1">CONCATENATE(YEAR( DATE(YEAR($B$155),CEILING(MONTH($B$155),3)+1+(-3*57),0) ), IF( MONTH(DATE(YEAR($B$155),CEILING(MONTH($B$155),3)+1+(-3*57),0)) &lt; 10, "0", "" ), MONTH( DATE(YEAR($B$155),CEILING(MONTH($B$155),3)+1+(-3*57),0) ), IF( DAY(DATE(YEAR($B$155),CEILING(MONTH($B$155),3)+1+(-3*57),0)) &lt; 10, "0", "" ), DAY( DATE(YEAR($B$155),CEILING(MONTH($B$155),3)+1+(-3*57),0) ), )</f>
        <v>20041231</v>
      </c>
      <c r="BL159" t="str">
        <f ca="1">CONCATENATE(YEAR( DATE(YEAR($B$155),CEILING(MONTH($B$155),3)+1+(-3*58),0) ), IF( MONTH(DATE(YEAR($B$155),CEILING(MONTH($B$155),3)+1+(-3*58),0)) &lt; 10, "0", "" ), MONTH( DATE(YEAR($B$155),CEILING(MONTH($B$155),3)+1+(-3*58),0) ), IF( DAY(DATE(YEAR($B$155),CEILING(MONTH($B$155),3)+1+(-3*58),0)) &lt; 10, "0", "" ), DAY( DATE(YEAR($B$155),CEILING(MONTH($B$155),3)+1+(-3*58),0) ), )</f>
        <v>20040930</v>
      </c>
      <c r="BM159" t="str">
        <f ca="1">CONCATENATE(YEAR( DATE(YEAR($B$155),CEILING(MONTH($B$155),3)+1+(-3*59),0) ), IF( MONTH(DATE(YEAR($B$155),CEILING(MONTH($B$155),3)+1+(-3*59),0)) &lt; 10, "0", "" ), MONTH( DATE(YEAR($B$155),CEILING(MONTH($B$155),3)+1+(-3*59),0) ), IF( DAY(DATE(YEAR($B$155),CEILING(MONTH($B$155),3)+1+(-3*59),0)) &lt; 10, "0", "" ), DAY( DATE(YEAR($B$155),CEILING(MONTH($B$155),3)+1+(-3*59),0) ), )</f>
        <v>20040630</v>
      </c>
      <c r="BN159" t="str">
        <f>""</f>
        <v/>
      </c>
      <c r="BO159" t="str">
        <f>""</f>
        <v/>
      </c>
      <c r="BP159" t="str">
        <f>""</f>
        <v/>
      </c>
      <c r="BQ159" t="str">
        <f>""</f>
        <v/>
      </c>
      <c r="BR159" t="str">
        <f>""</f>
        <v/>
      </c>
      <c r="BS159" t="str">
        <f>""</f>
        <v/>
      </c>
      <c r="BT159" t="str">
        <f>""</f>
        <v/>
      </c>
      <c r="BU159" t="str">
        <f>""</f>
        <v/>
      </c>
      <c r="BV159" t="str">
        <f>""</f>
        <v/>
      </c>
      <c r="BW159" t="str">
        <f>""</f>
        <v/>
      </c>
      <c r="BX159" t="str">
        <f>""</f>
        <v/>
      </c>
      <c r="BY159" t="str">
        <f>""</f>
        <v/>
      </c>
      <c r="BZ159" t="str">
        <f>""</f>
        <v/>
      </c>
      <c r="CA159" t="str">
        <f>""</f>
        <v/>
      </c>
      <c r="CB159" t="str">
        <f>""</f>
        <v/>
      </c>
      <c r="CC159" t="str">
        <f>""</f>
        <v/>
      </c>
      <c r="CD159" t="str">
        <f>""</f>
        <v/>
      </c>
      <c r="CE159" t="str">
        <f>""</f>
        <v/>
      </c>
      <c r="CF159" t="str">
        <f>""</f>
        <v/>
      </c>
      <c r="CG159" t="str">
        <f>""</f>
        <v/>
      </c>
      <c r="CH159" t="str">
        <f>""</f>
        <v/>
      </c>
      <c r="CI159" t="str">
        <f>""</f>
        <v/>
      </c>
      <c r="CJ159" t="str">
        <f>""</f>
        <v/>
      </c>
      <c r="CK159" t="str">
        <f>""</f>
        <v/>
      </c>
      <c r="CL159" t="str">
        <f>""</f>
        <v/>
      </c>
      <c r="CM159" t="str">
        <f>""</f>
        <v/>
      </c>
      <c r="CN159" t="str">
        <f>""</f>
        <v/>
      </c>
      <c r="CO159" t="str">
        <f>""</f>
        <v/>
      </c>
      <c r="CP159" t="str">
        <f>""</f>
        <v/>
      </c>
      <c r="CQ159" t="str">
        <f>""</f>
        <v/>
      </c>
      <c r="CR159" t="str">
        <f>""</f>
        <v/>
      </c>
      <c r="CS159" t="str">
        <f>""</f>
        <v/>
      </c>
      <c r="CT159" t="str">
        <f>""</f>
        <v/>
      </c>
      <c r="CU159" t="str">
        <f>""</f>
        <v/>
      </c>
      <c r="CV159" t="str">
        <f>""</f>
        <v/>
      </c>
      <c r="CW159" t="str">
        <f>""</f>
        <v/>
      </c>
      <c r="CX159" t="str">
        <f>""</f>
        <v/>
      </c>
      <c r="CY159" t="str">
        <f>""</f>
        <v/>
      </c>
      <c r="CZ159" t="str">
        <f>""</f>
        <v/>
      </c>
      <c r="DA159" t="str">
        <f>""</f>
        <v/>
      </c>
      <c r="DB159" t="str">
        <f>""</f>
        <v/>
      </c>
      <c r="DC159" t="str">
        <f>""</f>
        <v/>
      </c>
      <c r="DD159" t="str">
        <f>""</f>
        <v/>
      </c>
      <c r="DE159" t="str">
        <f>""</f>
        <v/>
      </c>
      <c r="DF159" t="str">
        <f>""</f>
        <v/>
      </c>
      <c r="DG159" t="str">
        <f>""</f>
        <v/>
      </c>
      <c r="DH159" t="str">
        <f>""</f>
        <v/>
      </c>
      <c r="DI159" t="str">
        <f>""</f>
        <v/>
      </c>
      <c r="DJ159" t="str">
        <f>""</f>
        <v/>
      </c>
      <c r="DK159" t="str">
        <f>""</f>
        <v/>
      </c>
      <c r="DL159" t="str">
        <f>""</f>
        <v/>
      </c>
      <c r="DM159" t="str">
        <f>""</f>
        <v/>
      </c>
      <c r="DN159" t="str">
        <f>""</f>
        <v/>
      </c>
      <c r="DO159" t="str">
        <f>""</f>
        <v/>
      </c>
      <c r="DP159" t="str">
        <f>""</f>
        <v/>
      </c>
      <c r="DQ159" t="str">
        <f>""</f>
        <v/>
      </c>
      <c r="DR159" t="str">
        <f>""</f>
        <v/>
      </c>
      <c r="DS159" t="str">
        <f>""</f>
        <v/>
      </c>
      <c r="DT159" t="str">
        <f>""</f>
        <v/>
      </c>
      <c r="DU159" t="str">
        <f>""</f>
        <v/>
      </c>
    </row>
    <row r="160" spans="1:125" x14ac:dyDescent="0.25">
      <c r="B160" t="str">
        <f>"CAUTSALE Index"</f>
        <v>CAUTSALE Index</v>
      </c>
      <c r="C160" t="str">
        <f>"PX385"</f>
        <v>PX385</v>
      </c>
      <c r="D160" t="str">
        <f>"INTERVAL_SUM"</f>
        <v>INTERVAL_SUM</v>
      </c>
      <c r="E160" t="str">
        <f>"Dynamic"</f>
        <v>Dynamic</v>
      </c>
      <c r="F160" t="str">
        <f ca="1">_xll.BDP($B$160,$C$160,CONCATENATE("PX391=", $F$158), CONCATENATE("PX392=",$F$159), CONCATENATE("DS004=",$B$151), "Fill=B")</f>
        <v>#N/A Connection</v>
      </c>
      <c r="G160" t="str">
        <f ca="1">_xll.BDP($B$160,$C$160,CONCATENATE("PX391=", $G$158), CONCATENATE("PX392=",$G$159), CONCATENATE("DS004=",$B$151), "Fill=B")</f>
        <v>#N/A Connection</v>
      </c>
      <c r="H160" t="str">
        <f ca="1">_xll.BDP($B$160,$C$160,CONCATENATE("PX391=", $H$158), CONCATENATE("PX392=",$H$159), CONCATENATE("DS004=",$B$151), "Fill=B")</f>
        <v>#N/A Connection</v>
      </c>
      <c r="I160" t="str">
        <f ca="1">_xll.BDP($B$160,$C$160,CONCATENATE("PX391=", $I$158), CONCATENATE("PX392=",$I$159), CONCATENATE("DS004=",$B$151), "Fill=B")</f>
        <v>#N/A Connection</v>
      </c>
      <c r="J160" t="str">
        <f ca="1">_xll.BDP($B$160,$C$160,CONCATENATE("PX391=", $J$158), CONCATENATE("PX392=",$J$159), CONCATENATE("DS004=",$B$151), "Fill=B")</f>
        <v>#N/A Connection</v>
      </c>
      <c r="K160" t="str">
        <f ca="1">_xll.BDP($B$160,$C$160,CONCATENATE("PX391=", $K$158), CONCATENATE("PX392=",$K$159), CONCATENATE("DS004=",$B$151), "Fill=B")</f>
        <v>#N/A Connection</v>
      </c>
      <c r="L160" t="str">
        <f ca="1">_xll.BDP($B$160,$C$160,CONCATENATE("PX391=", $L$158), CONCATENATE("PX392=",$L$159), CONCATENATE("DS004=",$B$151), "Fill=B")</f>
        <v>#N/A Connection</v>
      </c>
      <c r="M160" t="str">
        <f ca="1">_xll.BDP($B$160,$C$160,CONCATENATE("PX391=", $M$158), CONCATENATE("PX392=",$M$159), CONCATENATE("DS004=",$B$151), "Fill=B")</f>
        <v>#N/A Connection</v>
      </c>
      <c r="N160" t="str">
        <f ca="1">_xll.BDP($B$160,$C$160,CONCATENATE("PX391=", $N$158), CONCATENATE("PX392=",$N$159), CONCATENATE("DS004=",$B$151), "Fill=B")</f>
        <v>#N/A Connection</v>
      </c>
      <c r="O160" t="str">
        <f ca="1">_xll.BDP($B$160,$C$160,CONCATENATE("PX391=", $O$158), CONCATENATE("PX392=",$O$159), CONCATENATE("DS004=",$B$151), "Fill=B")</f>
        <v>#N/A Connection</v>
      </c>
      <c r="P160" t="str">
        <f ca="1">_xll.BDP($B$160,$C$160,CONCATENATE("PX391=", $P$158), CONCATENATE("PX392=",$P$159), CONCATENATE("DS004=",$B$151), "Fill=B")</f>
        <v>#N/A Connection</v>
      </c>
      <c r="Q160" t="str">
        <f ca="1">_xll.BDP($B$160,$C$160,CONCATENATE("PX391=", $Q$158), CONCATENATE("PX392=",$Q$159), CONCATENATE("DS004=",$B$151), "Fill=B")</f>
        <v>#N/A Connection</v>
      </c>
      <c r="R160" t="str">
        <f ca="1">_xll.BDP($B$160,$C$160,CONCATENATE("PX391=", $R$158), CONCATENATE("PX392=",$R$159), CONCATENATE("DS004=",$B$151), "Fill=B")</f>
        <v>#N/A Connection</v>
      </c>
      <c r="S160" t="str">
        <f ca="1">_xll.BDP($B$160,$C$160,CONCATENATE("PX391=", $S$158), CONCATENATE("PX392=",$S$159), CONCATENATE("DS004=",$B$151), "Fill=B")</f>
        <v>#N/A Connection</v>
      </c>
      <c r="T160" t="str">
        <f ca="1">_xll.BDP($B$160,$C$160,CONCATENATE("PX391=", $T$158), CONCATENATE("PX392=",$T$159), CONCATENATE("DS004=",$B$151), "Fill=B")</f>
        <v>#N/A Connection</v>
      </c>
      <c r="U160" t="str">
        <f ca="1">_xll.BDP($B$160,$C$160,CONCATENATE("PX391=", $U$158), CONCATENATE("PX392=",$U$159), CONCATENATE("DS004=",$B$151), "Fill=B")</f>
        <v>#N/A Connection</v>
      </c>
      <c r="V160" t="str">
        <f ca="1">_xll.BDP($B$160,$C$160,CONCATENATE("PX391=", $V$158), CONCATENATE("PX392=",$V$159), CONCATENATE("DS004=",$B$151), "Fill=B")</f>
        <v>#N/A Connection</v>
      </c>
      <c r="W160" t="str">
        <f ca="1">_xll.BDP($B$160,$C$160,CONCATENATE("PX391=", $W$158), CONCATENATE("PX392=",$W$159), CONCATENATE("DS004=",$B$151), "Fill=B")</f>
        <v>#N/A Connection</v>
      </c>
      <c r="X160" t="str">
        <f ca="1">_xll.BDP($B$160,$C$160,CONCATENATE("PX391=", $X$158), CONCATENATE("PX392=",$X$159), CONCATENATE("DS004=",$B$151), "Fill=B")</f>
        <v>#N/A Connection</v>
      </c>
      <c r="Y160" t="str">
        <f ca="1">_xll.BDP($B$160,$C$160,CONCATENATE("PX391=", $Y$158), CONCATENATE("PX392=",$Y$159), CONCATENATE("DS004=",$B$151), "Fill=B")</f>
        <v>#N/A Connection</v>
      </c>
      <c r="Z160" t="str">
        <f ca="1">_xll.BDP($B$160,$C$160,CONCATENATE("PX391=", $Z$158), CONCATENATE("PX392=",$Z$159), CONCATENATE("DS004=",$B$151), "Fill=B")</f>
        <v>#N/A Connection</v>
      </c>
      <c r="AA160" t="str">
        <f ca="1">_xll.BDP($B$160,$C$160,CONCATENATE("PX391=", $AA$158), CONCATENATE("PX392=",$AA$159), CONCATENATE("DS004=",$B$151), "Fill=B")</f>
        <v>#N/A Connection</v>
      </c>
      <c r="AB160" t="str">
        <f ca="1">_xll.BDP($B$160,$C$160,CONCATENATE("PX391=", $AB$158), CONCATENATE("PX392=",$AB$159), CONCATENATE("DS004=",$B$151), "Fill=B")</f>
        <v>#N/A Connection</v>
      </c>
      <c r="AC160" t="str">
        <f ca="1">_xll.BDP($B$160,$C$160,CONCATENATE("PX391=", $AC$158), CONCATENATE("PX392=",$AC$159), CONCATENATE("DS004=",$B$151), "Fill=B")</f>
        <v>#N/A Connection</v>
      </c>
      <c r="AD160" t="str">
        <f ca="1">_xll.BDP($B$160,$C$160,CONCATENATE("PX391=", $AD$158), CONCATENATE("PX392=",$AD$159), CONCATENATE("DS004=",$B$151), "Fill=B")</f>
        <v>#N/A Connection</v>
      </c>
      <c r="AE160" t="str">
        <f ca="1">_xll.BDP($B$160,$C$160,CONCATENATE("PX391=", $AE$158), CONCATENATE("PX392=",$AE$159), CONCATENATE("DS004=",$B$151), "Fill=B")</f>
        <v>#N/A Connection</v>
      </c>
      <c r="AF160" t="str">
        <f ca="1">_xll.BDP($B$160,$C$160,CONCATENATE("PX391=", $AF$158), CONCATENATE("PX392=",$AF$159), CONCATENATE("DS004=",$B$151), "Fill=B")</f>
        <v>#N/A Connection</v>
      </c>
      <c r="AG160" t="str">
        <f ca="1">_xll.BDP($B$160,$C$160,CONCATENATE("PX391=", $AG$158), CONCATENATE("PX392=",$AG$159), CONCATENATE("DS004=",$B$151), "Fill=B")</f>
        <v>#N/A Connection</v>
      </c>
      <c r="AH160" t="str">
        <f ca="1">_xll.BDP($B$160,$C$160,CONCATENATE("PX391=", $AH$158), CONCATENATE("PX392=",$AH$159), CONCATENATE("DS004=",$B$151), "Fill=B")</f>
        <v>#N/A Connection</v>
      </c>
      <c r="AI160" t="str">
        <f ca="1">_xll.BDP($B$160,$C$160,CONCATENATE("PX391=", $AI$158), CONCATENATE("PX392=",$AI$159), CONCATENATE("DS004=",$B$151), "Fill=B")</f>
        <v>#N/A Connection</v>
      </c>
      <c r="AJ160" t="str">
        <f ca="1">_xll.BDP($B$160,$C$160,CONCATENATE("PX391=", $AJ$158), CONCATENATE("PX392=",$AJ$159), CONCATENATE("DS004=",$B$151), "Fill=B")</f>
        <v>#N/A Connection</v>
      </c>
      <c r="AK160" t="str">
        <f ca="1">_xll.BDP($B$160,$C$160,CONCATENATE("PX391=", $AK$158), CONCATENATE("PX392=",$AK$159), CONCATENATE("DS004=",$B$151), "Fill=B")</f>
        <v>#N/A Connection</v>
      </c>
      <c r="AL160" t="str">
        <f ca="1">_xll.BDP($B$160,$C$160,CONCATENATE("PX391=", $AL$158), CONCATENATE("PX392=",$AL$159), CONCATENATE("DS004=",$B$151), "Fill=B")</f>
        <v>#N/A Connection</v>
      </c>
      <c r="AM160" t="str">
        <f ca="1">_xll.BDP($B$160,$C$160,CONCATENATE("PX391=", $AM$158), CONCATENATE("PX392=",$AM$159), CONCATENATE("DS004=",$B$151), "Fill=B")</f>
        <v>#N/A Connection</v>
      </c>
      <c r="AN160" t="str">
        <f ca="1">_xll.BDP($B$160,$C$160,CONCATENATE("PX391=", $AN$158), CONCATENATE("PX392=",$AN$159), CONCATENATE("DS004=",$B$151), "Fill=B")</f>
        <v>#N/A Connection</v>
      </c>
      <c r="AO160" t="str">
        <f ca="1">_xll.BDP($B$160,$C$160,CONCATENATE("PX391=", $AO$158), CONCATENATE("PX392=",$AO$159), CONCATENATE("DS004=",$B$151), "Fill=B")</f>
        <v>#N/A Connection</v>
      </c>
      <c r="AP160" t="str">
        <f ca="1">_xll.BDP($B$160,$C$160,CONCATENATE("PX391=", $AP$158), CONCATENATE("PX392=",$AP$159), CONCATENATE("DS004=",$B$151), "Fill=B")</f>
        <v>#N/A Connection</v>
      </c>
      <c r="AQ160" t="str">
        <f ca="1">_xll.BDP($B$160,$C$160,CONCATENATE("PX391=", $AQ$158), CONCATENATE("PX392=",$AQ$159), CONCATENATE("DS004=",$B$151), "Fill=B")</f>
        <v>#N/A Connection</v>
      </c>
      <c r="AR160" t="str">
        <f ca="1">_xll.BDP($B$160,$C$160,CONCATENATE("PX391=", $AR$158), CONCATENATE("PX392=",$AR$159), CONCATENATE("DS004=",$B$151), "Fill=B")</f>
        <v>#N/A Connection</v>
      </c>
      <c r="AS160" t="str">
        <f ca="1">_xll.BDP($B$160,$C$160,CONCATENATE("PX391=", $AS$158), CONCATENATE("PX392=",$AS$159), CONCATENATE("DS004=",$B$151), "Fill=B")</f>
        <v>#N/A Connection</v>
      </c>
      <c r="AT160" t="str">
        <f ca="1">_xll.BDP($B$160,$C$160,CONCATENATE("PX391=", $AT$158), CONCATENATE("PX392=",$AT$159), CONCATENATE("DS004=",$B$151), "Fill=B")</f>
        <v>#N/A Connection</v>
      </c>
      <c r="AU160" t="str">
        <f ca="1">_xll.BDP($B$160,$C$160,CONCATENATE("PX391=", $AU$158), CONCATENATE("PX392=",$AU$159), CONCATENATE("DS004=",$B$151), "Fill=B")</f>
        <v>#N/A Connection</v>
      </c>
      <c r="AV160" t="str">
        <f ca="1">_xll.BDP($B$160,$C$160,CONCATENATE("PX391=", $AV$158), CONCATENATE("PX392=",$AV$159), CONCATENATE("DS004=",$B$151), "Fill=B")</f>
        <v>#N/A Connection</v>
      </c>
      <c r="AW160" t="str">
        <f ca="1">_xll.BDP($B$160,$C$160,CONCATENATE("PX391=", $AW$158), CONCATENATE("PX392=",$AW$159), CONCATENATE("DS004=",$B$151), "Fill=B")</f>
        <v>#N/A Connection</v>
      </c>
      <c r="AX160" t="str">
        <f ca="1">_xll.BDP($B$160,$C$160,CONCATENATE("PX391=", $AX$158), CONCATENATE("PX392=",$AX$159), CONCATENATE("DS004=",$B$151), "Fill=B")</f>
        <v>#N/A Connection</v>
      </c>
      <c r="AY160" t="str">
        <f ca="1">_xll.BDP($B$160,$C$160,CONCATENATE("PX391=", $AY$158), CONCATENATE("PX392=",$AY$159), CONCATENATE("DS004=",$B$151), "Fill=B")</f>
        <v>#N/A Connection</v>
      </c>
      <c r="AZ160" t="str">
        <f ca="1">_xll.BDP($B$160,$C$160,CONCATENATE("PX391=", $AZ$158), CONCATENATE("PX392=",$AZ$159), CONCATENATE("DS004=",$B$151), "Fill=B")</f>
        <v>#N/A Connection</v>
      </c>
      <c r="BA160" t="str">
        <f ca="1">_xll.BDP($B$160,$C$160,CONCATENATE("PX391=", $BA$158), CONCATENATE("PX392=",$BA$159), CONCATENATE("DS004=",$B$151), "Fill=B")</f>
        <v>#N/A Connection</v>
      </c>
      <c r="BB160" t="str">
        <f ca="1">_xll.BDP($B$160,$C$160,CONCATENATE("PX391=", $BB$158), CONCATENATE("PX392=",$BB$159), CONCATENATE("DS004=",$B$151), "Fill=B")</f>
        <v>#N/A Connection</v>
      </c>
      <c r="BC160" t="str">
        <f ca="1">_xll.BDP($B$160,$C$160,CONCATENATE("PX391=", $BC$158), CONCATENATE("PX392=",$BC$159), CONCATENATE("DS004=",$B$151), "Fill=B")</f>
        <v>#N/A Connection</v>
      </c>
      <c r="BD160" t="str">
        <f ca="1">_xll.BDP($B$160,$C$160,CONCATENATE("PX391=", $BD$158), CONCATENATE("PX392=",$BD$159), CONCATENATE("DS004=",$B$151), "Fill=B")</f>
        <v>#N/A Connection</v>
      </c>
      <c r="BE160" t="str">
        <f ca="1">_xll.BDP($B$160,$C$160,CONCATENATE("PX391=", $BE$158), CONCATENATE("PX392=",$BE$159), CONCATENATE("DS004=",$B$151), "Fill=B")</f>
        <v>#N/A Connection</v>
      </c>
      <c r="BF160" t="str">
        <f ca="1">_xll.BDP($B$160,$C$160,CONCATENATE("PX391=", $BF$158), CONCATENATE("PX392=",$BF$159), CONCATENATE("DS004=",$B$151), "Fill=B")</f>
        <v>#N/A Connection</v>
      </c>
      <c r="BG160" t="str">
        <f ca="1">_xll.BDP($B$160,$C$160,CONCATENATE("PX391=", $BG$158), CONCATENATE("PX392=",$BG$159), CONCATENATE("DS004=",$B$151), "Fill=B")</f>
        <v>#N/A Connection</v>
      </c>
      <c r="BH160" t="str">
        <f ca="1">_xll.BDP($B$160,$C$160,CONCATENATE("PX391=", $BH$158), CONCATENATE("PX392=",$BH$159), CONCATENATE("DS004=",$B$151), "Fill=B")</f>
        <v>#N/A Connection</v>
      </c>
      <c r="BI160" t="str">
        <f ca="1">_xll.BDP($B$160,$C$160,CONCATENATE("PX391=", $BI$158), CONCATENATE("PX392=",$BI$159), CONCATENATE("DS004=",$B$151), "Fill=B")</f>
        <v>#N/A Connection</v>
      </c>
      <c r="BJ160" t="str">
        <f ca="1">_xll.BDP($B$160,$C$160,CONCATENATE("PX391=", $BJ$158), CONCATENATE("PX392=",$BJ$159), CONCATENATE("DS004=",$B$151), "Fill=B")</f>
        <v>#N/A Connection</v>
      </c>
      <c r="BK160" t="str">
        <f ca="1">_xll.BDP($B$160,$C$160,CONCATENATE("PX391=", $BK$158), CONCATENATE("PX392=",$BK$159), CONCATENATE("DS004=",$B$151), "Fill=B")</f>
        <v>#N/A Connection</v>
      </c>
      <c r="BL160" t="str">
        <f ca="1">_xll.BDP($B$160,$C$160,CONCATENATE("PX391=", $BL$158), CONCATENATE("PX392=",$BL$159), CONCATENATE("DS004=",$B$151), "Fill=B")</f>
        <v>#N/A Connection</v>
      </c>
      <c r="BM160" t="str">
        <f ca="1">_xll.BDP($B$160,$C$160,CONCATENATE("PX391=", $BM$158), CONCATENATE("PX392=",$BM$159), CONCATENATE("DS004=",$B$151), "Fill=B")</f>
        <v>#N/A Connection</v>
      </c>
      <c r="BN160" t="str">
        <f>""</f>
        <v/>
      </c>
      <c r="BO160" t="str">
        <f>""</f>
        <v/>
      </c>
      <c r="BP160" t="str">
        <f>""</f>
        <v/>
      </c>
      <c r="BQ160" t="str">
        <f>""</f>
        <v/>
      </c>
      <c r="BR160" t="str">
        <f>""</f>
        <v/>
      </c>
      <c r="BS160" t="str">
        <f>""</f>
        <v/>
      </c>
      <c r="BT160" t="str">
        <f>""</f>
        <v/>
      </c>
      <c r="BU160" t="str">
        <f>""</f>
        <v/>
      </c>
      <c r="BV160" t="str">
        <f>""</f>
        <v/>
      </c>
      <c r="BW160" t="str">
        <f>""</f>
        <v/>
      </c>
      <c r="BX160" t="str">
        <f>""</f>
        <v/>
      </c>
      <c r="BY160" t="str">
        <f>""</f>
        <v/>
      </c>
      <c r="BZ160" t="str">
        <f>""</f>
        <v/>
      </c>
      <c r="CA160" t="str">
        <f>""</f>
        <v/>
      </c>
      <c r="CB160" t="str">
        <f>""</f>
        <v/>
      </c>
      <c r="CC160" t="str">
        <f>""</f>
        <v/>
      </c>
      <c r="CD160" t="str">
        <f>""</f>
        <v/>
      </c>
      <c r="CE160" t="str">
        <f>""</f>
        <v/>
      </c>
      <c r="CF160" t="str">
        <f>""</f>
        <v/>
      </c>
      <c r="CG160" t="str">
        <f>""</f>
        <v/>
      </c>
      <c r="CH160" t="str">
        <f>""</f>
        <v/>
      </c>
      <c r="CI160" t="str">
        <f>""</f>
        <v/>
      </c>
      <c r="CJ160" t="str">
        <f>""</f>
        <v/>
      </c>
      <c r="CK160" t="str">
        <f>""</f>
        <v/>
      </c>
      <c r="CL160" t="str">
        <f>""</f>
        <v/>
      </c>
      <c r="CM160" t="str">
        <f>""</f>
        <v/>
      </c>
      <c r="CN160" t="str">
        <f>""</f>
        <v/>
      </c>
      <c r="CO160" t="str">
        <f>""</f>
        <v/>
      </c>
      <c r="CP160" t="str">
        <f>""</f>
        <v/>
      </c>
      <c r="CQ160" t="str">
        <f>""</f>
        <v/>
      </c>
      <c r="CR160" t="str">
        <f>""</f>
        <v/>
      </c>
      <c r="CS160" t="str">
        <f>""</f>
        <v/>
      </c>
      <c r="CT160" t="str">
        <f>""</f>
        <v/>
      </c>
      <c r="CU160" t="str">
        <f>""</f>
        <v/>
      </c>
      <c r="CV160" t="str">
        <f>""</f>
        <v/>
      </c>
      <c r="CW160" t="str">
        <f>""</f>
        <v/>
      </c>
      <c r="CX160" t="str">
        <f>""</f>
        <v/>
      </c>
      <c r="CY160" t="str">
        <f>""</f>
        <v/>
      </c>
      <c r="CZ160" t="str">
        <f>""</f>
        <v/>
      </c>
      <c r="DA160" t="str">
        <f>""</f>
        <v/>
      </c>
      <c r="DB160" t="str">
        <f>""</f>
        <v/>
      </c>
      <c r="DC160" t="str">
        <f>""</f>
        <v/>
      </c>
      <c r="DD160" t="str">
        <f>""</f>
        <v/>
      </c>
      <c r="DE160" t="str">
        <f>""</f>
        <v/>
      </c>
      <c r="DF160" t="str">
        <f>""</f>
        <v/>
      </c>
      <c r="DG160" t="str">
        <f>""</f>
        <v/>
      </c>
      <c r="DH160" t="str">
        <f>""</f>
        <v/>
      </c>
      <c r="DI160" t="str">
        <f>""</f>
        <v/>
      </c>
      <c r="DJ160" t="str">
        <f>""</f>
        <v/>
      </c>
      <c r="DK160" t="str">
        <f>""</f>
        <v/>
      </c>
      <c r="DL160" t="str">
        <f>""</f>
        <v/>
      </c>
      <c r="DM160" t="str">
        <f>""</f>
        <v/>
      </c>
      <c r="DN160" t="str">
        <f>""</f>
        <v/>
      </c>
      <c r="DO160" t="str">
        <f>""</f>
        <v/>
      </c>
      <c r="DP160" t="str">
        <f>""</f>
        <v/>
      </c>
      <c r="DQ160" t="str">
        <f>""</f>
        <v/>
      </c>
      <c r="DR160" t="str">
        <f>""</f>
        <v/>
      </c>
      <c r="DS160" t="str">
        <f>""</f>
        <v/>
      </c>
      <c r="DT160" t="str">
        <f>""</f>
        <v/>
      </c>
      <c r="DU160" t="str">
        <f>""</f>
        <v/>
      </c>
    </row>
    <row r="161" spans="1:125" x14ac:dyDescent="0.25">
      <c r="A161" t="str">
        <f>$A$6</f>
        <v xml:space="preserve">        Australia</v>
      </c>
      <c r="B161" t="str">
        <f>$B$6</f>
        <v>AUTMAUVS Index</v>
      </c>
      <c r="C161" t="str">
        <f>$C$6</f>
        <v>PX385</v>
      </c>
      <c r="D161" t="str">
        <f>$D$6</f>
        <v>INTERVAL_SUM</v>
      </c>
      <c r="E161" t="str">
        <f>$E$6</f>
        <v>Dynamic</v>
      </c>
      <c r="F161" t="str">
        <f ca="1">_xll.BDP($B$6,$C$6,CONCATENATE("PX391=", $F$158), CONCATENATE("PX392=",$F$159), CONCATENATE("DS004=",$B$151), "Fill=B")</f>
        <v>#N/A Connection</v>
      </c>
      <c r="G161" t="str">
        <f ca="1">_xll.BDP($B$6,$C$6,CONCATENATE("PX391=", $G$158), CONCATENATE("PX392=",$G$159), CONCATENATE("DS004=",$B$151), "Fill=B")</f>
        <v>#N/A Connection</v>
      </c>
      <c r="H161" t="str">
        <f ca="1">_xll.BDP($B$6,$C$6,CONCATENATE("PX391=", $H$158), CONCATENATE("PX392=",$H$159), CONCATENATE("DS004=",$B$151), "Fill=B")</f>
        <v>#N/A Connection</v>
      </c>
      <c r="I161" t="str">
        <f ca="1">_xll.BDP($B$6,$C$6,CONCATENATE("PX391=", $I$158), CONCATENATE("PX392=",$I$159), CONCATENATE("DS004=",$B$151), "Fill=B")</f>
        <v>#N/A Connection</v>
      </c>
      <c r="J161" t="str">
        <f ca="1">_xll.BDP($B$6,$C$6,CONCATENATE("PX391=", $J$158), CONCATENATE("PX392=",$J$159), CONCATENATE("DS004=",$B$151), "Fill=B")</f>
        <v>#N/A Connection</v>
      </c>
      <c r="K161" t="str">
        <f ca="1">_xll.BDP($B$6,$C$6,CONCATENATE("PX391=", $K$158), CONCATENATE("PX392=",$K$159), CONCATENATE("DS004=",$B$151), "Fill=B")</f>
        <v>#N/A Connection</v>
      </c>
      <c r="L161" t="str">
        <f ca="1">_xll.BDP($B$6,$C$6,CONCATENATE("PX391=", $L$158), CONCATENATE("PX392=",$L$159), CONCATENATE("DS004=",$B$151), "Fill=B")</f>
        <v>#N/A Connection</v>
      </c>
      <c r="M161" t="str">
        <f ca="1">_xll.BDP($B$6,$C$6,CONCATENATE("PX391=", $M$158), CONCATENATE("PX392=",$M$159), CONCATENATE("DS004=",$B$151), "Fill=B")</f>
        <v>#N/A Connection</v>
      </c>
      <c r="N161" t="str">
        <f ca="1">_xll.BDP($B$6,$C$6,CONCATENATE("PX391=", $N$158), CONCATENATE("PX392=",$N$159), CONCATENATE("DS004=",$B$151), "Fill=B")</f>
        <v>#N/A Connection</v>
      </c>
      <c r="O161" t="str">
        <f ca="1">_xll.BDP($B$6,$C$6,CONCATENATE("PX391=", $O$158), CONCATENATE("PX392=",$O$159), CONCATENATE("DS004=",$B$151), "Fill=B")</f>
        <v>#N/A Connection</v>
      </c>
      <c r="P161" t="str">
        <f ca="1">_xll.BDP($B$6,$C$6,CONCATENATE("PX391=", $P$158), CONCATENATE("PX392=",$P$159), CONCATENATE("DS004=",$B$151), "Fill=B")</f>
        <v>#N/A Connection</v>
      </c>
      <c r="Q161" t="str">
        <f ca="1">_xll.BDP($B$6,$C$6,CONCATENATE("PX391=", $Q$158), CONCATENATE("PX392=",$Q$159), CONCATENATE("DS004=",$B$151), "Fill=B")</f>
        <v>#N/A Connection</v>
      </c>
      <c r="R161" t="str">
        <f ca="1">_xll.BDP($B$6,$C$6,CONCATENATE("PX391=", $R$158), CONCATENATE("PX392=",$R$159), CONCATENATE("DS004=",$B$151), "Fill=B")</f>
        <v>#N/A Connection</v>
      </c>
      <c r="S161" t="str">
        <f ca="1">_xll.BDP($B$6,$C$6,CONCATENATE("PX391=", $S$158), CONCATENATE("PX392=",$S$159), CONCATENATE("DS004=",$B$151), "Fill=B")</f>
        <v>#N/A Connection</v>
      </c>
      <c r="T161" t="str">
        <f ca="1">_xll.BDP($B$6,$C$6,CONCATENATE("PX391=", $T$158), CONCATENATE("PX392=",$T$159), CONCATENATE("DS004=",$B$151), "Fill=B")</f>
        <v>#N/A Connection</v>
      </c>
      <c r="U161" t="str">
        <f ca="1">_xll.BDP($B$6,$C$6,CONCATENATE("PX391=", $U$158), CONCATENATE("PX392=",$U$159), CONCATENATE("DS004=",$B$151), "Fill=B")</f>
        <v>#N/A Connection</v>
      </c>
      <c r="V161" t="str">
        <f ca="1">_xll.BDP($B$6,$C$6,CONCATENATE("PX391=", $V$158), CONCATENATE("PX392=",$V$159), CONCATENATE("DS004=",$B$151), "Fill=B")</f>
        <v>#N/A Connection</v>
      </c>
      <c r="W161" t="str">
        <f ca="1">_xll.BDP($B$6,$C$6,CONCATENATE("PX391=", $W$158), CONCATENATE("PX392=",$W$159), CONCATENATE("DS004=",$B$151), "Fill=B")</f>
        <v>#N/A Connection</v>
      </c>
      <c r="X161" t="str">
        <f ca="1">_xll.BDP($B$6,$C$6,CONCATENATE("PX391=", $X$158), CONCATENATE("PX392=",$X$159), CONCATENATE("DS004=",$B$151), "Fill=B")</f>
        <v>#N/A Connection</v>
      </c>
      <c r="Y161" t="str">
        <f ca="1">_xll.BDP($B$6,$C$6,CONCATENATE("PX391=", $Y$158), CONCATENATE("PX392=",$Y$159), CONCATENATE("DS004=",$B$151), "Fill=B")</f>
        <v>#N/A Connection</v>
      </c>
      <c r="Z161" t="str">
        <f ca="1">_xll.BDP($B$6,$C$6,CONCATENATE("PX391=", $Z$158), CONCATENATE("PX392=",$Z$159), CONCATENATE("DS004=",$B$151), "Fill=B")</f>
        <v>#N/A Connection</v>
      </c>
      <c r="AA161" t="str">
        <f ca="1">_xll.BDP($B$6,$C$6,CONCATENATE("PX391=", $AA$158), CONCATENATE("PX392=",$AA$159), CONCATENATE("DS004=",$B$151), "Fill=B")</f>
        <v>#N/A Connection</v>
      </c>
      <c r="AB161" t="str">
        <f ca="1">_xll.BDP($B$6,$C$6,CONCATENATE("PX391=", $AB$158), CONCATENATE("PX392=",$AB$159), CONCATENATE("DS004=",$B$151), "Fill=B")</f>
        <v>#N/A Connection</v>
      </c>
      <c r="AC161" t="str">
        <f ca="1">_xll.BDP($B$6,$C$6,CONCATENATE("PX391=", $AC$158), CONCATENATE("PX392=",$AC$159), CONCATENATE("DS004=",$B$151), "Fill=B")</f>
        <v>#N/A Connection</v>
      </c>
      <c r="AD161" t="str">
        <f ca="1">_xll.BDP($B$6,$C$6,CONCATENATE("PX391=", $AD$158), CONCATENATE("PX392=",$AD$159), CONCATENATE("DS004=",$B$151), "Fill=B")</f>
        <v>#N/A Connection</v>
      </c>
      <c r="AE161" t="str">
        <f ca="1">_xll.BDP($B$6,$C$6,CONCATENATE("PX391=", $AE$158), CONCATENATE("PX392=",$AE$159), CONCATENATE("DS004=",$B$151), "Fill=B")</f>
        <v>#N/A Connection</v>
      </c>
      <c r="AF161" t="str">
        <f ca="1">_xll.BDP($B$6,$C$6,CONCATENATE("PX391=", $AF$158), CONCATENATE("PX392=",$AF$159), CONCATENATE("DS004=",$B$151), "Fill=B")</f>
        <v>#N/A Connection</v>
      </c>
      <c r="AG161" t="str">
        <f ca="1">_xll.BDP($B$6,$C$6,CONCATENATE("PX391=", $AG$158), CONCATENATE("PX392=",$AG$159), CONCATENATE("DS004=",$B$151), "Fill=B")</f>
        <v>#N/A Connection</v>
      </c>
      <c r="AH161" t="str">
        <f ca="1">_xll.BDP($B$6,$C$6,CONCATENATE("PX391=", $AH$158), CONCATENATE("PX392=",$AH$159), CONCATENATE("DS004=",$B$151), "Fill=B")</f>
        <v>#N/A Connection</v>
      </c>
      <c r="AI161" t="str">
        <f ca="1">_xll.BDP($B$6,$C$6,CONCATENATE("PX391=", $AI$158), CONCATENATE("PX392=",$AI$159), CONCATENATE("DS004=",$B$151), "Fill=B")</f>
        <v>#N/A Connection</v>
      </c>
      <c r="AJ161" t="str">
        <f ca="1">_xll.BDP($B$6,$C$6,CONCATENATE("PX391=", $AJ$158), CONCATENATE("PX392=",$AJ$159), CONCATENATE("DS004=",$B$151), "Fill=B")</f>
        <v>#N/A Connection</v>
      </c>
      <c r="AK161" t="str">
        <f ca="1">_xll.BDP($B$6,$C$6,CONCATENATE("PX391=", $AK$158), CONCATENATE("PX392=",$AK$159), CONCATENATE("DS004=",$B$151), "Fill=B")</f>
        <v>#N/A Connection</v>
      </c>
      <c r="AL161" t="str">
        <f ca="1">_xll.BDP($B$6,$C$6,CONCATENATE("PX391=", $AL$158), CONCATENATE("PX392=",$AL$159), CONCATENATE("DS004=",$B$151), "Fill=B")</f>
        <v>#N/A Connection</v>
      </c>
      <c r="AM161" t="str">
        <f ca="1">_xll.BDP($B$6,$C$6,CONCATENATE("PX391=", $AM$158), CONCATENATE("PX392=",$AM$159), CONCATENATE("DS004=",$B$151), "Fill=B")</f>
        <v>#N/A Connection</v>
      </c>
      <c r="AN161" t="str">
        <f ca="1">_xll.BDP($B$6,$C$6,CONCATENATE("PX391=", $AN$158), CONCATENATE("PX392=",$AN$159), CONCATENATE("DS004=",$B$151), "Fill=B")</f>
        <v>#N/A Connection</v>
      </c>
      <c r="AO161" t="str">
        <f ca="1">_xll.BDP($B$6,$C$6,CONCATENATE("PX391=", $AO$158), CONCATENATE("PX392=",$AO$159), CONCATENATE("DS004=",$B$151), "Fill=B")</f>
        <v>#N/A Connection</v>
      </c>
      <c r="AP161" t="str">
        <f ca="1">_xll.BDP($B$6,$C$6,CONCATENATE("PX391=", $AP$158), CONCATENATE("PX392=",$AP$159), CONCATENATE("DS004=",$B$151), "Fill=B")</f>
        <v>#N/A Connection</v>
      </c>
      <c r="AQ161" t="str">
        <f ca="1">_xll.BDP($B$6,$C$6,CONCATENATE("PX391=", $AQ$158), CONCATENATE("PX392=",$AQ$159), CONCATENATE("DS004=",$B$151), "Fill=B")</f>
        <v>#N/A Connection</v>
      </c>
      <c r="AR161" t="str">
        <f ca="1">_xll.BDP($B$6,$C$6,CONCATENATE("PX391=", $AR$158), CONCATENATE("PX392=",$AR$159), CONCATENATE("DS004=",$B$151), "Fill=B")</f>
        <v>#N/A Connection</v>
      </c>
      <c r="AS161" t="str">
        <f ca="1">_xll.BDP($B$6,$C$6,CONCATENATE("PX391=", $AS$158), CONCATENATE("PX392=",$AS$159), CONCATENATE("DS004=",$B$151), "Fill=B")</f>
        <v>#N/A Connection</v>
      </c>
      <c r="AT161" t="str">
        <f ca="1">_xll.BDP($B$6,$C$6,CONCATENATE("PX391=", $AT$158), CONCATENATE("PX392=",$AT$159), CONCATENATE("DS004=",$B$151), "Fill=B")</f>
        <v>#N/A Connection</v>
      </c>
      <c r="AU161" t="str">
        <f ca="1">_xll.BDP($B$6,$C$6,CONCATENATE("PX391=", $AU$158), CONCATENATE("PX392=",$AU$159), CONCATENATE("DS004=",$B$151), "Fill=B")</f>
        <v>#N/A Connection</v>
      </c>
      <c r="AV161" t="str">
        <f ca="1">_xll.BDP($B$6,$C$6,CONCATENATE("PX391=", $AV$158), CONCATENATE("PX392=",$AV$159), CONCATENATE("DS004=",$B$151), "Fill=B")</f>
        <v>#N/A Connection</v>
      </c>
      <c r="AW161" t="str">
        <f ca="1">_xll.BDP($B$6,$C$6,CONCATENATE("PX391=", $AW$158), CONCATENATE("PX392=",$AW$159), CONCATENATE("DS004=",$B$151), "Fill=B")</f>
        <v>#N/A Connection</v>
      </c>
      <c r="AX161" t="str">
        <f ca="1">_xll.BDP($B$6,$C$6,CONCATENATE("PX391=", $AX$158), CONCATENATE("PX392=",$AX$159), CONCATENATE("DS004=",$B$151), "Fill=B")</f>
        <v>#N/A Connection</v>
      </c>
      <c r="AY161" t="str">
        <f ca="1">_xll.BDP($B$6,$C$6,CONCATENATE("PX391=", $AY$158), CONCATENATE("PX392=",$AY$159), CONCATENATE("DS004=",$B$151), "Fill=B")</f>
        <v>#N/A Connection</v>
      </c>
      <c r="AZ161" t="str">
        <f ca="1">_xll.BDP($B$6,$C$6,CONCATENATE("PX391=", $AZ$158), CONCATENATE("PX392=",$AZ$159), CONCATENATE("DS004=",$B$151), "Fill=B")</f>
        <v>#N/A Connection</v>
      </c>
      <c r="BA161" t="str">
        <f ca="1">_xll.BDP($B$6,$C$6,CONCATENATE("PX391=", $BA$158), CONCATENATE("PX392=",$BA$159), CONCATENATE("DS004=",$B$151), "Fill=B")</f>
        <v>#N/A Connection</v>
      </c>
      <c r="BB161" t="str">
        <f ca="1">_xll.BDP($B$6,$C$6,CONCATENATE("PX391=", $BB$158), CONCATENATE("PX392=",$BB$159), CONCATENATE("DS004=",$B$151), "Fill=B")</f>
        <v>#N/A Connection</v>
      </c>
      <c r="BC161" t="str">
        <f ca="1">_xll.BDP($B$6,$C$6,CONCATENATE("PX391=", $BC$158), CONCATENATE("PX392=",$BC$159), CONCATENATE("DS004=",$B$151), "Fill=B")</f>
        <v>#N/A Connection</v>
      </c>
      <c r="BD161" t="str">
        <f ca="1">_xll.BDP($B$6,$C$6,CONCATENATE("PX391=", $BD$158), CONCATENATE("PX392=",$BD$159), CONCATENATE("DS004=",$B$151), "Fill=B")</f>
        <v>#N/A Connection</v>
      </c>
      <c r="BE161" t="str">
        <f ca="1">_xll.BDP($B$6,$C$6,CONCATENATE("PX391=", $BE$158), CONCATENATE("PX392=",$BE$159), CONCATENATE("DS004=",$B$151), "Fill=B")</f>
        <v>#N/A Connection</v>
      </c>
      <c r="BF161" t="str">
        <f ca="1">_xll.BDP($B$6,$C$6,CONCATENATE("PX391=", $BF$158), CONCATENATE("PX392=",$BF$159), CONCATENATE("DS004=",$B$151), "Fill=B")</f>
        <v>#N/A Connection</v>
      </c>
      <c r="BG161" t="str">
        <f ca="1">_xll.BDP($B$6,$C$6,CONCATENATE("PX391=", $BG$158), CONCATENATE("PX392=",$BG$159), CONCATENATE("DS004=",$B$151), "Fill=B")</f>
        <v>#N/A Connection</v>
      </c>
      <c r="BH161" t="str">
        <f ca="1">_xll.BDP($B$6,$C$6,CONCATENATE("PX391=", $BH$158), CONCATENATE("PX392=",$BH$159), CONCATENATE("DS004=",$B$151), "Fill=B")</f>
        <v>#N/A Connection</v>
      </c>
      <c r="BI161" t="str">
        <f ca="1">_xll.BDP($B$6,$C$6,CONCATENATE("PX391=", $BI$158), CONCATENATE("PX392=",$BI$159), CONCATENATE("DS004=",$B$151), "Fill=B")</f>
        <v>#N/A Connection</v>
      </c>
      <c r="BJ161" t="str">
        <f ca="1">_xll.BDP($B$6,$C$6,CONCATENATE("PX391=", $BJ$158), CONCATENATE("PX392=",$BJ$159), CONCATENATE("DS004=",$B$151), "Fill=B")</f>
        <v>#N/A Connection</v>
      </c>
      <c r="BK161" t="str">
        <f ca="1">_xll.BDP($B$6,$C$6,CONCATENATE("PX391=", $BK$158), CONCATENATE("PX392=",$BK$159), CONCATENATE("DS004=",$B$151), "Fill=B")</f>
        <v>#N/A Connection</v>
      </c>
      <c r="BL161" t="str">
        <f ca="1">_xll.BDP($B$6,$C$6,CONCATENATE("PX391=", $BL$158), CONCATENATE("PX392=",$BL$159), CONCATENATE("DS004=",$B$151), "Fill=B")</f>
        <v>#N/A Connection</v>
      </c>
      <c r="BM161" t="str">
        <f ca="1">_xll.BDP($B$6,$C$6,CONCATENATE("PX391=", $BM$158), CONCATENATE("PX392=",$BM$159), CONCATENATE("DS004=",$B$151), "Fill=B")</f>
        <v>#N/A Connection</v>
      </c>
      <c r="BN161" t="str">
        <f>""</f>
        <v/>
      </c>
      <c r="BO161" t="str">
        <f>""</f>
        <v/>
      </c>
      <c r="BP161" t="str">
        <f>""</f>
        <v/>
      </c>
      <c r="BQ161" t="str">
        <f>""</f>
        <v/>
      </c>
      <c r="BR161" t="str">
        <f>""</f>
        <v/>
      </c>
      <c r="BS161" t="str">
        <f>""</f>
        <v/>
      </c>
      <c r="BT161" t="str">
        <f>""</f>
        <v/>
      </c>
      <c r="BU161" t="str">
        <f>""</f>
        <v/>
      </c>
      <c r="BV161" t="str">
        <f>""</f>
        <v/>
      </c>
      <c r="BW161" t="str">
        <f>""</f>
        <v/>
      </c>
      <c r="BX161" t="str">
        <f>""</f>
        <v/>
      </c>
      <c r="BY161" t="str">
        <f>""</f>
        <v/>
      </c>
      <c r="BZ161" t="str">
        <f>""</f>
        <v/>
      </c>
      <c r="CA161" t="str">
        <f>""</f>
        <v/>
      </c>
      <c r="CB161" t="str">
        <f>""</f>
        <v/>
      </c>
      <c r="CC161" t="str">
        <f>""</f>
        <v/>
      </c>
      <c r="CD161" t="str">
        <f>""</f>
        <v/>
      </c>
      <c r="CE161" t="str">
        <f>""</f>
        <v/>
      </c>
      <c r="CF161" t="str">
        <f>""</f>
        <v/>
      </c>
      <c r="CG161" t="str">
        <f>""</f>
        <v/>
      </c>
      <c r="CH161" t="str">
        <f>""</f>
        <v/>
      </c>
      <c r="CI161" t="str">
        <f>""</f>
        <v/>
      </c>
      <c r="CJ161" t="str">
        <f>""</f>
        <v/>
      </c>
      <c r="CK161" t="str">
        <f>""</f>
        <v/>
      </c>
      <c r="CL161" t="str">
        <f>""</f>
        <v/>
      </c>
      <c r="CM161" t="str">
        <f>""</f>
        <v/>
      </c>
      <c r="CN161" t="str">
        <f>""</f>
        <v/>
      </c>
      <c r="CO161" t="str">
        <f>""</f>
        <v/>
      </c>
      <c r="CP161" t="str">
        <f>""</f>
        <v/>
      </c>
      <c r="CQ161" t="str">
        <f>""</f>
        <v/>
      </c>
      <c r="CR161" t="str">
        <f>""</f>
        <v/>
      </c>
      <c r="CS161" t="str">
        <f>""</f>
        <v/>
      </c>
      <c r="CT161" t="str">
        <f>""</f>
        <v/>
      </c>
      <c r="CU161" t="str">
        <f>""</f>
        <v/>
      </c>
      <c r="CV161" t="str">
        <f>""</f>
        <v/>
      </c>
      <c r="CW161" t="str">
        <f>""</f>
        <v/>
      </c>
      <c r="CX161" t="str">
        <f>""</f>
        <v/>
      </c>
      <c r="CY161" t="str">
        <f>""</f>
        <v/>
      </c>
      <c r="CZ161" t="str">
        <f>""</f>
        <v/>
      </c>
      <c r="DA161" t="str">
        <f>""</f>
        <v/>
      </c>
      <c r="DB161" t="str">
        <f>""</f>
        <v/>
      </c>
      <c r="DC161" t="str">
        <f>""</f>
        <v/>
      </c>
      <c r="DD161" t="str">
        <f>""</f>
        <v/>
      </c>
      <c r="DE161" t="str">
        <f>""</f>
        <v/>
      </c>
      <c r="DF161" t="str">
        <f>""</f>
        <v/>
      </c>
      <c r="DG161" t="str">
        <f>""</f>
        <v/>
      </c>
      <c r="DH161" t="str">
        <f>""</f>
        <v/>
      </c>
      <c r="DI161" t="str">
        <f>""</f>
        <v/>
      </c>
      <c r="DJ161" t="str">
        <f>""</f>
        <v/>
      </c>
      <c r="DK161" t="str">
        <f>""</f>
        <v/>
      </c>
      <c r="DL161" t="str">
        <f>""</f>
        <v/>
      </c>
      <c r="DM161" t="str">
        <f>""</f>
        <v/>
      </c>
      <c r="DN161" t="str">
        <f>""</f>
        <v/>
      </c>
      <c r="DO161" t="str">
        <f>""</f>
        <v/>
      </c>
      <c r="DP161" t="str">
        <f>""</f>
        <v/>
      </c>
      <c r="DQ161" t="str">
        <f>""</f>
        <v/>
      </c>
      <c r="DR161" t="str">
        <f>""</f>
        <v/>
      </c>
      <c r="DS161" t="str">
        <f>""</f>
        <v/>
      </c>
      <c r="DT161" t="str">
        <f>""</f>
        <v/>
      </c>
      <c r="DU161" t="str">
        <f>""</f>
        <v/>
      </c>
    </row>
    <row r="162" spans="1:125" x14ac:dyDescent="0.25">
      <c r="A162" t="str">
        <f>$A$7</f>
        <v xml:space="preserve">        China</v>
      </c>
      <c r="B162" t="str">
        <f>$B$7</f>
        <v>CNVSTTL Index</v>
      </c>
      <c r="C162" t="str">
        <f>$C$7</f>
        <v>PX385</v>
      </c>
      <c r="D162" t="str">
        <f>$D$7</f>
        <v>INTERVAL_SUM</v>
      </c>
      <c r="E162" t="str">
        <f>$E$7</f>
        <v>Dynamic</v>
      </c>
      <c r="F162" t="str">
        <f ca="1">_xll.BDP($B$7,$C$7,CONCATENATE("PX391=", $F$158), CONCATENATE("PX392=",$F$159), CONCATENATE("DS004=",$B$151), "Fill=B")</f>
        <v>#N/A Connection</v>
      </c>
      <c r="G162" t="str">
        <f ca="1">_xll.BDP($B$7,$C$7,CONCATENATE("PX391=", $G$158), CONCATENATE("PX392=",$G$159), CONCATENATE("DS004=",$B$151), "Fill=B")</f>
        <v>#N/A Connection</v>
      </c>
      <c r="H162" t="str">
        <f ca="1">_xll.BDP($B$7,$C$7,CONCATENATE("PX391=", $H$158), CONCATENATE("PX392=",$H$159), CONCATENATE("DS004=",$B$151), "Fill=B")</f>
        <v>#N/A Connection</v>
      </c>
      <c r="I162" t="str">
        <f ca="1">_xll.BDP($B$7,$C$7,CONCATENATE("PX391=", $I$158), CONCATENATE("PX392=",$I$159), CONCATENATE("DS004=",$B$151), "Fill=B")</f>
        <v>#N/A Connection</v>
      </c>
      <c r="J162" t="str">
        <f ca="1">_xll.BDP($B$7,$C$7,CONCATENATE("PX391=", $J$158), CONCATENATE("PX392=",$J$159), CONCATENATE("DS004=",$B$151), "Fill=B")</f>
        <v>#N/A Connection</v>
      </c>
      <c r="K162" t="str">
        <f ca="1">_xll.BDP($B$7,$C$7,CONCATENATE("PX391=", $K$158), CONCATENATE("PX392=",$K$159), CONCATENATE("DS004=",$B$151), "Fill=B")</f>
        <v>#N/A Connection</v>
      </c>
      <c r="L162" t="str">
        <f ca="1">_xll.BDP($B$7,$C$7,CONCATENATE("PX391=", $L$158), CONCATENATE("PX392=",$L$159), CONCATENATE("DS004=",$B$151), "Fill=B")</f>
        <v>#N/A Connection</v>
      </c>
      <c r="M162" t="str">
        <f ca="1">_xll.BDP($B$7,$C$7,CONCATENATE("PX391=", $M$158), CONCATENATE("PX392=",$M$159), CONCATENATE("DS004=",$B$151), "Fill=B")</f>
        <v>#N/A Connection</v>
      </c>
      <c r="N162" t="str">
        <f ca="1">_xll.BDP($B$7,$C$7,CONCATENATE("PX391=", $N$158), CONCATENATE("PX392=",$N$159), CONCATENATE("DS004=",$B$151), "Fill=B")</f>
        <v>#N/A Connection</v>
      </c>
      <c r="O162" t="str">
        <f ca="1">_xll.BDP($B$7,$C$7,CONCATENATE("PX391=", $O$158), CONCATENATE("PX392=",$O$159), CONCATENATE("DS004=",$B$151), "Fill=B")</f>
        <v>#N/A Connection</v>
      </c>
      <c r="P162" t="str">
        <f ca="1">_xll.BDP($B$7,$C$7,CONCATENATE("PX391=", $P$158), CONCATENATE("PX392=",$P$159), CONCATENATE("DS004=",$B$151), "Fill=B")</f>
        <v>#N/A Connection</v>
      </c>
      <c r="Q162" t="str">
        <f ca="1">_xll.BDP($B$7,$C$7,CONCATENATE("PX391=", $Q$158), CONCATENATE("PX392=",$Q$159), CONCATENATE("DS004=",$B$151), "Fill=B")</f>
        <v>#N/A Connection</v>
      </c>
      <c r="R162" t="str">
        <f ca="1">_xll.BDP($B$7,$C$7,CONCATENATE("PX391=", $R$158), CONCATENATE("PX392=",$R$159), CONCATENATE("DS004=",$B$151), "Fill=B")</f>
        <v>#N/A Connection</v>
      </c>
      <c r="S162" t="str">
        <f ca="1">_xll.BDP($B$7,$C$7,CONCATENATE("PX391=", $S$158), CONCATENATE("PX392=",$S$159), CONCATENATE("DS004=",$B$151), "Fill=B")</f>
        <v>#N/A Connection</v>
      </c>
      <c r="T162" t="str">
        <f ca="1">_xll.BDP($B$7,$C$7,CONCATENATE("PX391=", $T$158), CONCATENATE("PX392=",$T$159), CONCATENATE("DS004=",$B$151), "Fill=B")</f>
        <v>#N/A Connection</v>
      </c>
      <c r="U162" t="str">
        <f ca="1">_xll.BDP($B$7,$C$7,CONCATENATE("PX391=", $U$158), CONCATENATE("PX392=",$U$159), CONCATENATE("DS004=",$B$151), "Fill=B")</f>
        <v>#N/A Connection</v>
      </c>
      <c r="V162" t="str">
        <f ca="1">_xll.BDP($B$7,$C$7,CONCATENATE("PX391=", $V$158), CONCATENATE("PX392=",$V$159), CONCATENATE("DS004=",$B$151), "Fill=B")</f>
        <v>#N/A Connection</v>
      </c>
      <c r="W162" t="str">
        <f ca="1">_xll.BDP($B$7,$C$7,CONCATENATE("PX391=", $W$158), CONCATENATE("PX392=",$W$159), CONCATENATE("DS004=",$B$151), "Fill=B")</f>
        <v>#N/A Connection</v>
      </c>
      <c r="X162" t="str">
        <f ca="1">_xll.BDP($B$7,$C$7,CONCATENATE("PX391=", $X$158), CONCATENATE("PX392=",$X$159), CONCATENATE("DS004=",$B$151), "Fill=B")</f>
        <v>#N/A Connection</v>
      </c>
      <c r="Y162" t="str">
        <f ca="1">_xll.BDP($B$7,$C$7,CONCATENATE("PX391=", $Y$158), CONCATENATE("PX392=",$Y$159), CONCATENATE("DS004=",$B$151), "Fill=B")</f>
        <v>#N/A Connection</v>
      </c>
      <c r="Z162" t="str">
        <f ca="1">_xll.BDP($B$7,$C$7,CONCATENATE("PX391=", $Z$158), CONCATENATE("PX392=",$Z$159), CONCATENATE("DS004=",$B$151), "Fill=B")</f>
        <v>#N/A Connection</v>
      </c>
      <c r="AA162" t="str">
        <f ca="1">_xll.BDP($B$7,$C$7,CONCATENATE("PX391=", $AA$158), CONCATENATE("PX392=",$AA$159), CONCATENATE("DS004=",$B$151), "Fill=B")</f>
        <v>#N/A Connection</v>
      </c>
      <c r="AB162" t="str">
        <f ca="1">_xll.BDP($B$7,$C$7,CONCATENATE("PX391=", $AB$158), CONCATENATE("PX392=",$AB$159), CONCATENATE("DS004=",$B$151), "Fill=B")</f>
        <v>#N/A Connection</v>
      </c>
      <c r="AC162" t="str">
        <f ca="1">_xll.BDP($B$7,$C$7,CONCATENATE("PX391=", $AC$158), CONCATENATE("PX392=",$AC$159), CONCATENATE("DS004=",$B$151), "Fill=B")</f>
        <v>#N/A Connection</v>
      </c>
      <c r="AD162" t="str">
        <f ca="1">_xll.BDP($B$7,$C$7,CONCATENATE("PX391=", $AD$158), CONCATENATE("PX392=",$AD$159), CONCATENATE("DS004=",$B$151), "Fill=B")</f>
        <v>#N/A Connection</v>
      </c>
      <c r="AE162" t="str">
        <f ca="1">_xll.BDP($B$7,$C$7,CONCATENATE("PX391=", $AE$158), CONCATENATE("PX392=",$AE$159), CONCATENATE("DS004=",$B$151), "Fill=B")</f>
        <v>#N/A Connection</v>
      </c>
      <c r="AF162" t="str">
        <f ca="1">_xll.BDP($B$7,$C$7,CONCATENATE("PX391=", $AF$158), CONCATENATE("PX392=",$AF$159), CONCATENATE("DS004=",$B$151), "Fill=B")</f>
        <v>#N/A Connection</v>
      </c>
      <c r="AG162" t="str">
        <f ca="1">_xll.BDP($B$7,$C$7,CONCATENATE("PX391=", $AG$158), CONCATENATE("PX392=",$AG$159), CONCATENATE("DS004=",$B$151), "Fill=B")</f>
        <v>#N/A Connection</v>
      </c>
      <c r="AH162" t="str">
        <f ca="1">_xll.BDP($B$7,$C$7,CONCATENATE("PX391=", $AH$158), CONCATENATE("PX392=",$AH$159), CONCATENATE("DS004=",$B$151), "Fill=B")</f>
        <v>#N/A Connection</v>
      </c>
      <c r="AI162" t="str">
        <f ca="1">_xll.BDP($B$7,$C$7,CONCATENATE("PX391=", $AI$158), CONCATENATE("PX392=",$AI$159), CONCATENATE("DS004=",$B$151), "Fill=B")</f>
        <v>#N/A Connection</v>
      </c>
      <c r="AJ162" t="str">
        <f ca="1">_xll.BDP($B$7,$C$7,CONCATENATE("PX391=", $AJ$158), CONCATENATE("PX392=",$AJ$159), CONCATENATE("DS004=",$B$151), "Fill=B")</f>
        <v>#N/A Connection</v>
      </c>
      <c r="AK162" t="str">
        <f ca="1">_xll.BDP($B$7,$C$7,CONCATENATE("PX391=", $AK$158), CONCATENATE("PX392=",$AK$159), CONCATENATE("DS004=",$B$151), "Fill=B")</f>
        <v>#N/A Connection</v>
      </c>
      <c r="AL162" t="str">
        <f ca="1">_xll.BDP($B$7,$C$7,CONCATENATE("PX391=", $AL$158), CONCATENATE("PX392=",$AL$159), CONCATENATE("DS004=",$B$151), "Fill=B")</f>
        <v>#N/A Connection</v>
      </c>
      <c r="AM162" t="str">
        <f ca="1">_xll.BDP($B$7,$C$7,CONCATENATE("PX391=", $AM$158), CONCATENATE("PX392=",$AM$159), CONCATENATE("DS004=",$B$151), "Fill=B")</f>
        <v>#N/A Connection</v>
      </c>
      <c r="AN162" t="str">
        <f ca="1">_xll.BDP($B$7,$C$7,CONCATENATE("PX391=", $AN$158), CONCATENATE("PX392=",$AN$159), CONCATENATE("DS004=",$B$151), "Fill=B")</f>
        <v>#N/A Connection</v>
      </c>
      <c r="AO162" t="str">
        <f ca="1">_xll.BDP($B$7,$C$7,CONCATENATE("PX391=", $AO$158), CONCATENATE("PX392=",$AO$159), CONCATENATE("DS004=",$B$151), "Fill=B")</f>
        <v>#N/A Connection</v>
      </c>
      <c r="AP162" t="str">
        <f ca="1">_xll.BDP($B$7,$C$7,CONCATENATE("PX391=", $AP$158), CONCATENATE("PX392=",$AP$159), CONCATENATE("DS004=",$B$151), "Fill=B")</f>
        <v>#N/A Connection</v>
      </c>
      <c r="AQ162" t="str">
        <f ca="1">_xll.BDP($B$7,$C$7,CONCATENATE("PX391=", $AQ$158), CONCATENATE("PX392=",$AQ$159), CONCATENATE("DS004=",$B$151), "Fill=B")</f>
        <v>#N/A Connection</v>
      </c>
      <c r="AR162" t="str">
        <f ca="1">_xll.BDP($B$7,$C$7,CONCATENATE("PX391=", $AR$158), CONCATENATE("PX392=",$AR$159), CONCATENATE("DS004=",$B$151), "Fill=B")</f>
        <v>#N/A Connection</v>
      </c>
      <c r="AS162" t="str">
        <f ca="1">_xll.BDP($B$7,$C$7,CONCATENATE("PX391=", $AS$158), CONCATENATE("PX392=",$AS$159), CONCATENATE("DS004=",$B$151), "Fill=B")</f>
        <v>#N/A Connection</v>
      </c>
      <c r="AT162" t="str">
        <f ca="1">_xll.BDP($B$7,$C$7,CONCATENATE("PX391=", $AT$158), CONCATENATE("PX392=",$AT$159), CONCATENATE("DS004=",$B$151), "Fill=B")</f>
        <v>#N/A Connection</v>
      </c>
      <c r="AU162" t="str">
        <f ca="1">_xll.BDP($B$7,$C$7,CONCATENATE("PX391=", $AU$158), CONCATENATE("PX392=",$AU$159), CONCATENATE("DS004=",$B$151), "Fill=B")</f>
        <v>#N/A Connection</v>
      </c>
      <c r="AV162" t="str">
        <f ca="1">_xll.BDP($B$7,$C$7,CONCATENATE("PX391=", $AV$158), CONCATENATE("PX392=",$AV$159), CONCATENATE("DS004=",$B$151), "Fill=B")</f>
        <v>#N/A Connection</v>
      </c>
      <c r="AW162" t="str">
        <f ca="1">_xll.BDP($B$7,$C$7,CONCATENATE("PX391=", $AW$158), CONCATENATE("PX392=",$AW$159), CONCATENATE("DS004=",$B$151), "Fill=B")</f>
        <v>#N/A Connection</v>
      </c>
      <c r="AX162" t="str">
        <f ca="1">_xll.BDP($B$7,$C$7,CONCATENATE("PX391=", $AX$158), CONCATENATE("PX392=",$AX$159), CONCATENATE("DS004=",$B$151), "Fill=B")</f>
        <v>#N/A Connection</v>
      </c>
      <c r="AY162" t="str">
        <f ca="1">_xll.BDP($B$7,$C$7,CONCATENATE("PX391=", $AY$158), CONCATENATE("PX392=",$AY$159), CONCATENATE("DS004=",$B$151), "Fill=B")</f>
        <v>#N/A Connection</v>
      </c>
      <c r="AZ162" t="str">
        <f ca="1">_xll.BDP($B$7,$C$7,CONCATENATE("PX391=", $AZ$158), CONCATENATE("PX392=",$AZ$159), CONCATENATE("DS004=",$B$151), "Fill=B")</f>
        <v>#N/A Connection</v>
      </c>
      <c r="BA162" t="str">
        <f ca="1">_xll.BDP($B$7,$C$7,CONCATENATE("PX391=", $BA$158), CONCATENATE("PX392=",$BA$159), CONCATENATE("DS004=",$B$151), "Fill=B")</f>
        <v>#N/A Connection</v>
      </c>
      <c r="BB162" t="str">
        <f ca="1">_xll.BDP($B$7,$C$7,CONCATENATE("PX391=", $BB$158), CONCATENATE("PX392=",$BB$159), CONCATENATE("DS004=",$B$151), "Fill=B")</f>
        <v>#N/A Connection</v>
      </c>
      <c r="BC162" t="str">
        <f ca="1">_xll.BDP($B$7,$C$7,CONCATENATE("PX391=", $BC$158), CONCATENATE("PX392=",$BC$159), CONCATENATE("DS004=",$B$151), "Fill=B")</f>
        <v>#N/A Connection</v>
      </c>
      <c r="BD162" t="str">
        <f ca="1">_xll.BDP($B$7,$C$7,CONCATENATE("PX391=", $BD$158), CONCATENATE("PX392=",$BD$159), CONCATENATE("DS004=",$B$151), "Fill=B")</f>
        <v>#N/A Connection</v>
      </c>
      <c r="BE162" t="str">
        <f ca="1">_xll.BDP($B$7,$C$7,CONCATENATE("PX391=", $BE$158), CONCATENATE("PX392=",$BE$159), CONCATENATE("DS004=",$B$151), "Fill=B")</f>
        <v>#N/A Connection</v>
      </c>
      <c r="BF162" t="str">
        <f ca="1">_xll.BDP($B$7,$C$7,CONCATENATE("PX391=", $BF$158), CONCATENATE("PX392=",$BF$159), CONCATENATE("DS004=",$B$151), "Fill=B")</f>
        <v>#N/A Connection</v>
      </c>
      <c r="BG162" t="str">
        <f ca="1">_xll.BDP($B$7,$C$7,CONCATENATE("PX391=", $BG$158), CONCATENATE("PX392=",$BG$159), CONCATENATE("DS004=",$B$151), "Fill=B")</f>
        <v>#N/A Connection</v>
      </c>
      <c r="BH162" t="str">
        <f ca="1">_xll.BDP($B$7,$C$7,CONCATENATE("PX391=", $BH$158), CONCATENATE("PX392=",$BH$159), CONCATENATE("DS004=",$B$151), "Fill=B")</f>
        <v>#N/A Connection</v>
      </c>
      <c r="BI162" t="str">
        <f ca="1">_xll.BDP($B$7,$C$7,CONCATENATE("PX391=", $BI$158), CONCATENATE("PX392=",$BI$159), CONCATENATE("DS004=",$B$151), "Fill=B")</f>
        <v>#N/A Connection</v>
      </c>
      <c r="BJ162" t="str">
        <f ca="1">_xll.BDP($B$7,$C$7,CONCATENATE("PX391=", $BJ$158), CONCATENATE("PX392=",$BJ$159), CONCATENATE("DS004=",$B$151), "Fill=B")</f>
        <v>#N/A Connection</v>
      </c>
      <c r="BK162" t="str">
        <f ca="1">_xll.BDP($B$7,$C$7,CONCATENATE("PX391=", $BK$158), CONCATENATE("PX392=",$BK$159), CONCATENATE("DS004=",$B$151), "Fill=B")</f>
        <v>#N/A Connection</v>
      </c>
      <c r="BL162" t="str">
        <f ca="1">_xll.BDP($B$7,$C$7,CONCATENATE("PX391=", $BL$158), CONCATENATE("PX392=",$BL$159), CONCATENATE("DS004=",$B$151), "Fill=B")</f>
        <v>#N/A Connection</v>
      </c>
      <c r="BM162" t="str">
        <f ca="1">_xll.BDP($B$7,$C$7,CONCATENATE("PX391=", $BM$158), CONCATENATE("PX392=",$BM$159), CONCATENATE("DS004=",$B$151), "Fill=B")</f>
        <v>#N/A Connection</v>
      </c>
      <c r="BN162" t="str">
        <f>""</f>
        <v/>
      </c>
      <c r="BO162" t="str">
        <f>""</f>
        <v/>
      </c>
      <c r="BP162" t="str">
        <f>""</f>
        <v/>
      </c>
      <c r="BQ162" t="str">
        <f>""</f>
        <v/>
      </c>
      <c r="BR162" t="str">
        <f>""</f>
        <v/>
      </c>
      <c r="BS162" t="str">
        <f>""</f>
        <v/>
      </c>
      <c r="BT162" t="str">
        <f>""</f>
        <v/>
      </c>
      <c r="BU162" t="str">
        <f>""</f>
        <v/>
      </c>
      <c r="BV162" t="str">
        <f>""</f>
        <v/>
      </c>
      <c r="BW162" t="str">
        <f>""</f>
        <v/>
      </c>
      <c r="BX162" t="str">
        <f>""</f>
        <v/>
      </c>
      <c r="BY162" t="str">
        <f>""</f>
        <v/>
      </c>
      <c r="BZ162" t="str">
        <f>""</f>
        <v/>
      </c>
      <c r="CA162" t="str">
        <f>""</f>
        <v/>
      </c>
      <c r="CB162" t="str">
        <f>""</f>
        <v/>
      </c>
      <c r="CC162" t="str">
        <f>""</f>
        <v/>
      </c>
      <c r="CD162" t="str">
        <f>""</f>
        <v/>
      </c>
      <c r="CE162" t="str">
        <f>""</f>
        <v/>
      </c>
      <c r="CF162" t="str">
        <f>""</f>
        <v/>
      </c>
      <c r="CG162" t="str">
        <f>""</f>
        <v/>
      </c>
      <c r="CH162" t="str">
        <f>""</f>
        <v/>
      </c>
      <c r="CI162" t="str">
        <f>""</f>
        <v/>
      </c>
      <c r="CJ162" t="str">
        <f>""</f>
        <v/>
      </c>
      <c r="CK162" t="str">
        <f>""</f>
        <v/>
      </c>
      <c r="CL162" t="str">
        <f>""</f>
        <v/>
      </c>
      <c r="CM162" t="str">
        <f>""</f>
        <v/>
      </c>
      <c r="CN162" t="str">
        <f>""</f>
        <v/>
      </c>
      <c r="CO162" t="str">
        <f>""</f>
        <v/>
      </c>
      <c r="CP162" t="str">
        <f>""</f>
        <v/>
      </c>
      <c r="CQ162" t="str">
        <f>""</f>
        <v/>
      </c>
      <c r="CR162" t="str">
        <f>""</f>
        <v/>
      </c>
      <c r="CS162" t="str">
        <f>""</f>
        <v/>
      </c>
      <c r="CT162" t="str">
        <f>""</f>
        <v/>
      </c>
      <c r="CU162" t="str">
        <f>""</f>
        <v/>
      </c>
      <c r="CV162" t="str">
        <f>""</f>
        <v/>
      </c>
      <c r="CW162" t="str">
        <f>""</f>
        <v/>
      </c>
      <c r="CX162" t="str">
        <f>""</f>
        <v/>
      </c>
      <c r="CY162" t="str">
        <f>""</f>
        <v/>
      </c>
      <c r="CZ162" t="str">
        <f>""</f>
        <v/>
      </c>
      <c r="DA162" t="str">
        <f>""</f>
        <v/>
      </c>
      <c r="DB162" t="str">
        <f>""</f>
        <v/>
      </c>
      <c r="DC162" t="str">
        <f>""</f>
        <v/>
      </c>
      <c r="DD162" t="str">
        <f>""</f>
        <v/>
      </c>
      <c r="DE162" t="str">
        <f>""</f>
        <v/>
      </c>
      <c r="DF162" t="str">
        <f>""</f>
        <v/>
      </c>
      <c r="DG162" t="str">
        <f>""</f>
        <v/>
      </c>
      <c r="DH162" t="str">
        <f>""</f>
        <v/>
      </c>
      <c r="DI162" t="str">
        <f>""</f>
        <v/>
      </c>
      <c r="DJ162" t="str">
        <f>""</f>
        <v/>
      </c>
      <c r="DK162" t="str">
        <f>""</f>
        <v/>
      </c>
      <c r="DL162" t="str">
        <f>""</f>
        <v/>
      </c>
      <c r="DM162" t="str">
        <f>""</f>
        <v/>
      </c>
      <c r="DN162" t="str">
        <f>""</f>
        <v/>
      </c>
      <c r="DO162" t="str">
        <f>""</f>
        <v/>
      </c>
      <c r="DP162" t="str">
        <f>""</f>
        <v/>
      </c>
      <c r="DQ162" t="str">
        <f>""</f>
        <v/>
      </c>
      <c r="DR162" t="str">
        <f>""</f>
        <v/>
      </c>
      <c r="DS162" t="str">
        <f>""</f>
        <v/>
      </c>
      <c r="DT162" t="str">
        <f>""</f>
        <v/>
      </c>
      <c r="DU162" t="str">
        <f>""</f>
        <v/>
      </c>
    </row>
    <row r="163" spans="1:125" x14ac:dyDescent="0.25">
      <c r="A163" t="str">
        <f>$A$9</f>
        <v xml:space="preserve">            India Passeger Vehicle</v>
      </c>
      <c r="B163" t="str">
        <f>$B$9</f>
        <v>INVSDPAS Index</v>
      </c>
      <c r="C163" t="str">
        <f>$C$9</f>
        <v>PX385</v>
      </c>
      <c r="D163" t="str">
        <f>$D$9</f>
        <v>INTERVAL_SUM</v>
      </c>
      <c r="E163" t="str">
        <f>$E$9</f>
        <v>Dynamic</v>
      </c>
      <c r="F163" t="str">
        <f ca="1">_xll.BDP($B$9,$C$9,CONCATENATE("PX391=", $F$158), CONCATENATE("PX392=",$F$159), CONCATENATE("DS004=",$B$151), "Fill=B")</f>
        <v>#N/A Connection</v>
      </c>
      <c r="G163" t="str">
        <f ca="1">_xll.BDP($B$9,$C$9,CONCATENATE("PX391=", $G$158), CONCATENATE("PX392=",$G$159), CONCATENATE("DS004=",$B$151), "Fill=B")</f>
        <v>#N/A Connection</v>
      </c>
      <c r="H163" t="str">
        <f ca="1">_xll.BDP($B$9,$C$9,CONCATENATE("PX391=", $H$158), CONCATENATE("PX392=",$H$159), CONCATENATE("DS004=",$B$151), "Fill=B")</f>
        <v>#N/A Connection</v>
      </c>
      <c r="I163" t="str">
        <f ca="1">_xll.BDP($B$9,$C$9,CONCATENATE("PX391=", $I$158), CONCATENATE("PX392=",$I$159), CONCATENATE("DS004=",$B$151), "Fill=B")</f>
        <v>#N/A Connection</v>
      </c>
      <c r="J163" t="str">
        <f ca="1">_xll.BDP($B$9,$C$9,CONCATENATE("PX391=", $J$158), CONCATENATE("PX392=",$J$159), CONCATENATE("DS004=",$B$151), "Fill=B")</f>
        <v>#N/A Connection</v>
      </c>
      <c r="K163" t="str">
        <f ca="1">_xll.BDP($B$9,$C$9,CONCATENATE("PX391=", $K$158), CONCATENATE("PX392=",$K$159), CONCATENATE("DS004=",$B$151), "Fill=B")</f>
        <v>#N/A Connection</v>
      </c>
      <c r="L163" t="str">
        <f ca="1">_xll.BDP($B$9,$C$9,CONCATENATE("PX391=", $L$158), CONCATENATE("PX392=",$L$159), CONCATENATE("DS004=",$B$151), "Fill=B")</f>
        <v>#N/A Connection</v>
      </c>
      <c r="M163" t="str">
        <f ca="1">_xll.BDP($B$9,$C$9,CONCATENATE("PX391=", $M$158), CONCATENATE("PX392=",$M$159), CONCATENATE("DS004=",$B$151), "Fill=B")</f>
        <v>#N/A Connection</v>
      </c>
      <c r="N163" t="str">
        <f ca="1">_xll.BDP($B$9,$C$9,CONCATENATE("PX391=", $N$158), CONCATENATE("PX392=",$N$159), CONCATENATE("DS004=",$B$151), "Fill=B")</f>
        <v>#N/A Connection</v>
      </c>
      <c r="O163" t="str">
        <f ca="1">_xll.BDP($B$9,$C$9,CONCATENATE("PX391=", $O$158), CONCATENATE("PX392=",$O$159), CONCATENATE("DS004=",$B$151), "Fill=B")</f>
        <v>#N/A Connection</v>
      </c>
      <c r="P163" t="str">
        <f ca="1">_xll.BDP($B$9,$C$9,CONCATENATE("PX391=", $P$158), CONCATENATE("PX392=",$P$159), CONCATENATE("DS004=",$B$151), "Fill=B")</f>
        <v>#N/A Connection</v>
      </c>
      <c r="Q163" t="str">
        <f ca="1">_xll.BDP($B$9,$C$9,CONCATENATE("PX391=", $Q$158), CONCATENATE("PX392=",$Q$159), CONCATENATE("DS004=",$B$151), "Fill=B")</f>
        <v>#N/A Connection</v>
      </c>
      <c r="R163" t="str">
        <f ca="1">_xll.BDP($B$9,$C$9,CONCATENATE("PX391=", $R$158), CONCATENATE("PX392=",$R$159), CONCATENATE("DS004=",$B$151), "Fill=B")</f>
        <v>#N/A Connection</v>
      </c>
      <c r="S163" t="str">
        <f ca="1">_xll.BDP($B$9,$C$9,CONCATENATE("PX391=", $S$158), CONCATENATE("PX392=",$S$159), CONCATENATE("DS004=",$B$151), "Fill=B")</f>
        <v>#N/A Connection</v>
      </c>
      <c r="T163" t="str">
        <f ca="1">_xll.BDP($B$9,$C$9,CONCATENATE("PX391=", $T$158), CONCATENATE("PX392=",$T$159), CONCATENATE("DS004=",$B$151), "Fill=B")</f>
        <v>#N/A Connection</v>
      </c>
      <c r="U163" t="str">
        <f ca="1">_xll.BDP($B$9,$C$9,CONCATENATE("PX391=", $U$158), CONCATENATE("PX392=",$U$159), CONCATENATE("DS004=",$B$151), "Fill=B")</f>
        <v>#N/A Connection</v>
      </c>
      <c r="V163" t="str">
        <f ca="1">_xll.BDP($B$9,$C$9,CONCATENATE("PX391=", $V$158), CONCATENATE("PX392=",$V$159), CONCATENATE("DS004=",$B$151), "Fill=B")</f>
        <v>#N/A Connection</v>
      </c>
      <c r="W163" t="str">
        <f ca="1">_xll.BDP($B$9,$C$9,CONCATENATE("PX391=", $W$158), CONCATENATE("PX392=",$W$159), CONCATENATE("DS004=",$B$151), "Fill=B")</f>
        <v>#N/A Connection</v>
      </c>
      <c r="X163" t="str">
        <f ca="1">_xll.BDP($B$9,$C$9,CONCATENATE("PX391=", $X$158), CONCATENATE("PX392=",$X$159), CONCATENATE("DS004=",$B$151), "Fill=B")</f>
        <v>#N/A Connection</v>
      </c>
      <c r="Y163" t="str">
        <f ca="1">_xll.BDP($B$9,$C$9,CONCATENATE("PX391=", $Y$158), CONCATENATE("PX392=",$Y$159), CONCATENATE("DS004=",$B$151), "Fill=B")</f>
        <v>#N/A Connection</v>
      </c>
      <c r="Z163" t="str">
        <f ca="1">_xll.BDP($B$9,$C$9,CONCATENATE("PX391=", $Z$158), CONCATENATE("PX392=",$Z$159), CONCATENATE("DS004=",$B$151), "Fill=B")</f>
        <v>#N/A Connection</v>
      </c>
      <c r="AA163" t="str">
        <f ca="1">_xll.BDP($B$9,$C$9,CONCATENATE("PX391=", $AA$158), CONCATENATE("PX392=",$AA$159), CONCATENATE("DS004=",$B$151), "Fill=B")</f>
        <v>#N/A Connection</v>
      </c>
      <c r="AB163" t="str">
        <f ca="1">_xll.BDP($B$9,$C$9,CONCATENATE("PX391=", $AB$158), CONCATENATE("PX392=",$AB$159), CONCATENATE("DS004=",$B$151), "Fill=B")</f>
        <v>#N/A Connection</v>
      </c>
      <c r="AC163" t="str">
        <f ca="1">_xll.BDP($B$9,$C$9,CONCATENATE("PX391=", $AC$158), CONCATENATE("PX392=",$AC$159), CONCATENATE("DS004=",$B$151), "Fill=B")</f>
        <v>#N/A Connection</v>
      </c>
      <c r="AD163" t="str">
        <f ca="1">_xll.BDP($B$9,$C$9,CONCATENATE("PX391=", $AD$158), CONCATENATE("PX392=",$AD$159), CONCATENATE("DS004=",$B$151), "Fill=B")</f>
        <v>#N/A Connection</v>
      </c>
      <c r="AE163" t="str">
        <f ca="1">_xll.BDP($B$9,$C$9,CONCATENATE("PX391=", $AE$158), CONCATENATE("PX392=",$AE$159), CONCATENATE("DS004=",$B$151), "Fill=B")</f>
        <v>#N/A Connection</v>
      </c>
      <c r="AF163" t="str">
        <f ca="1">_xll.BDP($B$9,$C$9,CONCATENATE("PX391=", $AF$158), CONCATENATE("PX392=",$AF$159), CONCATENATE("DS004=",$B$151), "Fill=B")</f>
        <v>#N/A Connection</v>
      </c>
      <c r="AG163" t="str">
        <f ca="1">_xll.BDP($B$9,$C$9,CONCATENATE("PX391=", $AG$158), CONCATENATE("PX392=",$AG$159), CONCATENATE("DS004=",$B$151), "Fill=B")</f>
        <v>#N/A Connection</v>
      </c>
      <c r="AH163" t="str">
        <f ca="1">_xll.BDP($B$9,$C$9,CONCATENATE("PX391=", $AH$158), CONCATENATE("PX392=",$AH$159), CONCATENATE("DS004=",$B$151), "Fill=B")</f>
        <v>#N/A Connection</v>
      </c>
      <c r="AI163" t="str">
        <f ca="1">_xll.BDP($B$9,$C$9,CONCATENATE("PX391=", $AI$158), CONCATENATE("PX392=",$AI$159), CONCATENATE("DS004=",$B$151), "Fill=B")</f>
        <v>#N/A Connection</v>
      </c>
      <c r="AJ163" t="str">
        <f ca="1">_xll.BDP($B$9,$C$9,CONCATENATE("PX391=", $AJ$158), CONCATENATE("PX392=",$AJ$159), CONCATENATE("DS004=",$B$151), "Fill=B")</f>
        <v>#N/A Connection</v>
      </c>
      <c r="AK163" t="str">
        <f ca="1">_xll.BDP($B$9,$C$9,CONCATENATE("PX391=", $AK$158), CONCATENATE("PX392=",$AK$159), CONCATENATE("DS004=",$B$151), "Fill=B")</f>
        <v>#N/A Connection</v>
      </c>
      <c r="AL163" t="str">
        <f ca="1">_xll.BDP($B$9,$C$9,CONCATENATE("PX391=", $AL$158), CONCATENATE("PX392=",$AL$159), CONCATENATE("DS004=",$B$151), "Fill=B")</f>
        <v>#N/A Connection</v>
      </c>
      <c r="AM163" t="str">
        <f ca="1">_xll.BDP($B$9,$C$9,CONCATENATE("PX391=", $AM$158), CONCATENATE("PX392=",$AM$159), CONCATENATE("DS004=",$B$151), "Fill=B")</f>
        <v>#N/A Connection</v>
      </c>
      <c r="AN163" t="str">
        <f ca="1">_xll.BDP($B$9,$C$9,CONCATENATE("PX391=", $AN$158), CONCATENATE("PX392=",$AN$159), CONCATENATE("DS004=",$B$151), "Fill=B")</f>
        <v>#N/A Connection</v>
      </c>
      <c r="AO163" t="str">
        <f ca="1">_xll.BDP($B$9,$C$9,CONCATENATE("PX391=", $AO$158), CONCATENATE("PX392=",$AO$159), CONCATENATE("DS004=",$B$151), "Fill=B")</f>
        <v>#N/A Connection</v>
      </c>
      <c r="AP163" t="str">
        <f ca="1">_xll.BDP($B$9,$C$9,CONCATENATE("PX391=", $AP$158), CONCATENATE("PX392=",$AP$159), CONCATENATE("DS004=",$B$151), "Fill=B")</f>
        <v>#N/A Connection</v>
      </c>
      <c r="AQ163" t="str">
        <f ca="1">_xll.BDP($B$9,$C$9,CONCATENATE("PX391=", $AQ$158), CONCATENATE("PX392=",$AQ$159), CONCATENATE("DS004=",$B$151), "Fill=B")</f>
        <v>#N/A Connection</v>
      </c>
      <c r="AR163" t="str">
        <f ca="1">_xll.BDP($B$9,$C$9,CONCATENATE("PX391=", $AR$158), CONCATENATE("PX392=",$AR$159), CONCATENATE("DS004=",$B$151), "Fill=B")</f>
        <v>#N/A Connection</v>
      </c>
      <c r="AS163" t="str">
        <f ca="1">_xll.BDP($B$9,$C$9,CONCATENATE("PX391=", $AS$158), CONCATENATE("PX392=",$AS$159), CONCATENATE("DS004=",$B$151), "Fill=B")</f>
        <v>#N/A Connection</v>
      </c>
      <c r="AT163" t="str">
        <f ca="1">_xll.BDP($B$9,$C$9,CONCATENATE("PX391=", $AT$158), CONCATENATE("PX392=",$AT$159), CONCATENATE("DS004=",$B$151), "Fill=B")</f>
        <v>#N/A Connection</v>
      </c>
      <c r="AU163" t="str">
        <f ca="1">_xll.BDP($B$9,$C$9,CONCATENATE("PX391=", $AU$158), CONCATENATE("PX392=",$AU$159), CONCATENATE("DS004=",$B$151), "Fill=B")</f>
        <v>#N/A Connection</v>
      </c>
      <c r="AV163" t="str">
        <f ca="1">_xll.BDP($B$9,$C$9,CONCATENATE("PX391=", $AV$158), CONCATENATE("PX392=",$AV$159), CONCATENATE("DS004=",$B$151), "Fill=B")</f>
        <v>#N/A Connection</v>
      </c>
      <c r="AW163" t="str">
        <f ca="1">_xll.BDP($B$9,$C$9,CONCATENATE("PX391=", $AW$158), CONCATENATE("PX392=",$AW$159), CONCATENATE("DS004=",$B$151), "Fill=B")</f>
        <v>#N/A Connection</v>
      </c>
      <c r="AX163" t="str">
        <f ca="1">_xll.BDP($B$9,$C$9,CONCATENATE("PX391=", $AX$158), CONCATENATE("PX392=",$AX$159), CONCATENATE("DS004=",$B$151), "Fill=B")</f>
        <v>#N/A Connection</v>
      </c>
      <c r="AY163" t="str">
        <f ca="1">_xll.BDP($B$9,$C$9,CONCATENATE("PX391=", $AY$158), CONCATENATE("PX392=",$AY$159), CONCATENATE("DS004=",$B$151), "Fill=B")</f>
        <v>#N/A Connection</v>
      </c>
      <c r="AZ163" t="str">
        <f ca="1">_xll.BDP($B$9,$C$9,CONCATENATE("PX391=", $AZ$158), CONCATENATE("PX392=",$AZ$159), CONCATENATE("DS004=",$B$151), "Fill=B")</f>
        <v>#N/A Connection</v>
      </c>
      <c r="BA163" t="str">
        <f ca="1">_xll.BDP($B$9,$C$9,CONCATENATE("PX391=", $BA$158), CONCATENATE("PX392=",$BA$159), CONCATENATE("DS004=",$B$151), "Fill=B")</f>
        <v>#N/A Connection</v>
      </c>
      <c r="BB163" t="str">
        <f ca="1">_xll.BDP($B$9,$C$9,CONCATENATE("PX391=", $BB$158), CONCATENATE("PX392=",$BB$159), CONCATENATE("DS004=",$B$151), "Fill=B")</f>
        <v>#N/A Connection</v>
      </c>
      <c r="BC163" t="str">
        <f ca="1">_xll.BDP($B$9,$C$9,CONCATENATE("PX391=", $BC$158), CONCATENATE("PX392=",$BC$159), CONCATENATE("DS004=",$B$151), "Fill=B")</f>
        <v>#N/A Connection</v>
      </c>
      <c r="BD163" t="str">
        <f ca="1">_xll.BDP($B$9,$C$9,CONCATENATE("PX391=", $BD$158), CONCATENATE("PX392=",$BD$159), CONCATENATE("DS004=",$B$151), "Fill=B")</f>
        <v>#N/A Connection</v>
      </c>
      <c r="BE163" t="str">
        <f ca="1">_xll.BDP($B$9,$C$9,CONCATENATE("PX391=", $BE$158), CONCATENATE("PX392=",$BE$159), CONCATENATE("DS004=",$B$151), "Fill=B")</f>
        <v>#N/A Connection</v>
      </c>
      <c r="BF163" t="str">
        <f ca="1">_xll.BDP($B$9,$C$9,CONCATENATE("PX391=", $BF$158), CONCATENATE("PX392=",$BF$159), CONCATENATE("DS004=",$B$151), "Fill=B")</f>
        <v>#N/A Connection</v>
      </c>
      <c r="BG163" t="str">
        <f ca="1">_xll.BDP($B$9,$C$9,CONCATENATE("PX391=", $BG$158), CONCATENATE("PX392=",$BG$159), CONCATENATE("DS004=",$B$151), "Fill=B")</f>
        <v>#N/A Connection</v>
      </c>
      <c r="BH163" t="str">
        <f ca="1">_xll.BDP($B$9,$C$9,CONCATENATE("PX391=", $BH$158), CONCATENATE("PX392=",$BH$159), CONCATENATE("DS004=",$B$151), "Fill=B")</f>
        <v>#N/A Connection</v>
      </c>
      <c r="BI163" t="str">
        <f ca="1">_xll.BDP($B$9,$C$9,CONCATENATE("PX391=", $BI$158), CONCATENATE("PX392=",$BI$159), CONCATENATE("DS004=",$B$151), "Fill=B")</f>
        <v>#N/A Connection</v>
      </c>
      <c r="BJ163" t="str">
        <f ca="1">_xll.BDP($B$9,$C$9,CONCATENATE("PX391=", $BJ$158), CONCATENATE("PX392=",$BJ$159), CONCATENATE("DS004=",$B$151), "Fill=B")</f>
        <v>#N/A Connection</v>
      </c>
      <c r="BK163" t="str">
        <f ca="1">_xll.BDP($B$9,$C$9,CONCATENATE("PX391=", $BK$158), CONCATENATE("PX392=",$BK$159), CONCATENATE("DS004=",$B$151), "Fill=B")</f>
        <v>#N/A Connection</v>
      </c>
      <c r="BL163" t="str">
        <f ca="1">_xll.BDP($B$9,$C$9,CONCATENATE("PX391=", $BL$158), CONCATENATE("PX392=",$BL$159), CONCATENATE("DS004=",$B$151), "Fill=B")</f>
        <v>#N/A Connection</v>
      </c>
      <c r="BM163" t="str">
        <f ca="1">_xll.BDP($B$9,$C$9,CONCATENATE("PX391=", $BM$158), CONCATENATE("PX392=",$BM$159), CONCATENATE("DS004=",$B$151), "Fill=B")</f>
        <v>#N/A Connection</v>
      </c>
      <c r="BN163" t="str">
        <f>""</f>
        <v/>
      </c>
      <c r="BO163" t="str">
        <f>""</f>
        <v/>
      </c>
      <c r="BP163" t="str">
        <f>""</f>
        <v/>
      </c>
      <c r="BQ163" t="str">
        <f>""</f>
        <v/>
      </c>
      <c r="BR163" t="str">
        <f>""</f>
        <v/>
      </c>
      <c r="BS163" t="str">
        <f>""</f>
        <v/>
      </c>
      <c r="BT163" t="str">
        <f>""</f>
        <v/>
      </c>
      <c r="BU163" t="str">
        <f>""</f>
        <v/>
      </c>
      <c r="BV163" t="str">
        <f>""</f>
        <v/>
      </c>
      <c r="BW163" t="str">
        <f>""</f>
        <v/>
      </c>
      <c r="BX163" t="str">
        <f>""</f>
        <v/>
      </c>
      <c r="BY163" t="str">
        <f>""</f>
        <v/>
      </c>
      <c r="BZ163" t="str">
        <f>""</f>
        <v/>
      </c>
      <c r="CA163" t="str">
        <f>""</f>
        <v/>
      </c>
      <c r="CB163" t="str">
        <f>""</f>
        <v/>
      </c>
      <c r="CC163" t="str">
        <f>""</f>
        <v/>
      </c>
      <c r="CD163" t="str">
        <f>""</f>
        <v/>
      </c>
      <c r="CE163" t="str">
        <f>""</f>
        <v/>
      </c>
      <c r="CF163" t="str">
        <f>""</f>
        <v/>
      </c>
      <c r="CG163" t="str">
        <f>""</f>
        <v/>
      </c>
      <c r="CH163" t="str">
        <f>""</f>
        <v/>
      </c>
      <c r="CI163" t="str">
        <f>""</f>
        <v/>
      </c>
      <c r="CJ163" t="str">
        <f>""</f>
        <v/>
      </c>
      <c r="CK163" t="str">
        <f>""</f>
        <v/>
      </c>
      <c r="CL163" t="str">
        <f>""</f>
        <v/>
      </c>
      <c r="CM163" t="str">
        <f>""</f>
        <v/>
      </c>
      <c r="CN163" t="str">
        <f>""</f>
        <v/>
      </c>
      <c r="CO163" t="str">
        <f>""</f>
        <v/>
      </c>
      <c r="CP163" t="str">
        <f>""</f>
        <v/>
      </c>
      <c r="CQ163" t="str">
        <f>""</f>
        <v/>
      </c>
      <c r="CR163" t="str">
        <f>""</f>
        <v/>
      </c>
      <c r="CS163" t="str">
        <f>""</f>
        <v/>
      </c>
      <c r="CT163" t="str">
        <f>""</f>
        <v/>
      </c>
      <c r="CU163" t="str">
        <f>""</f>
        <v/>
      </c>
      <c r="CV163" t="str">
        <f>""</f>
        <v/>
      </c>
      <c r="CW163" t="str">
        <f>""</f>
        <v/>
      </c>
      <c r="CX163" t="str">
        <f>""</f>
        <v/>
      </c>
      <c r="CY163" t="str">
        <f>""</f>
        <v/>
      </c>
      <c r="CZ163" t="str">
        <f>""</f>
        <v/>
      </c>
      <c r="DA163" t="str">
        <f>""</f>
        <v/>
      </c>
      <c r="DB163" t="str">
        <f>""</f>
        <v/>
      </c>
      <c r="DC163" t="str">
        <f>""</f>
        <v/>
      </c>
      <c r="DD163" t="str">
        <f>""</f>
        <v/>
      </c>
      <c r="DE163" t="str">
        <f>""</f>
        <v/>
      </c>
      <c r="DF163" t="str">
        <f>""</f>
        <v/>
      </c>
      <c r="DG163" t="str">
        <f>""</f>
        <v/>
      </c>
      <c r="DH163" t="str">
        <f>""</f>
        <v/>
      </c>
      <c r="DI163" t="str">
        <f>""</f>
        <v/>
      </c>
      <c r="DJ163" t="str">
        <f>""</f>
        <v/>
      </c>
      <c r="DK163" t="str">
        <f>""</f>
        <v/>
      </c>
      <c r="DL163" t="str">
        <f>""</f>
        <v/>
      </c>
      <c r="DM163" t="str">
        <f>""</f>
        <v/>
      </c>
      <c r="DN163" t="str">
        <f>""</f>
        <v/>
      </c>
      <c r="DO163" t="str">
        <f>""</f>
        <v/>
      </c>
      <c r="DP163" t="str">
        <f>""</f>
        <v/>
      </c>
      <c r="DQ163" t="str">
        <f>""</f>
        <v/>
      </c>
      <c r="DR163" t="str">
        <f>""</f>
        <v/>
      </c>
      <c r="DS163" t="str">
        <f>""</f>
        <v/>
      </c>
      <c r="DT163" t="str">
        <f>""</f>
        <v/>
      </c>
      <c r="DU163" t="str">
        <f>""</f>
        <v/>
      </c>
    </row>
    <row r="164" spans="1:125" x14ac:dyDescent="0.25">
      <c r="A164" t="str">
        <f>$A$10</f>
        <v xml:space="preserve">            India Utility Vehicle</v>
      </c>
      <c r="B164" t="str">
        <f>$B$10</f>
        <v>INVSDMUT Index</v>
      </c>
      <c r="C164" t="str">
        <f>$C$10</f>
        <v>PX385</v>
      </c>
      <c r="D164" t="str">
        <f>$D$10</f>
        <v>INTERVAL_SUM</v>
      </c>
      <c r="E164" t="str">
        <f>$E$10</f>
        <v>Dynamic</v>
      </c>
      <c r="F164" t="str">
        <f ca="1">_xll.BDP($B$10,$C$10,CONCATENATE("PX391=", $F$158), CONCATENATE("PX392=",$F$159), CONCATENATE("DS004=",$B$151), "Fill=B")</f>
        <v>#N/A Connection</v>
      </c>
      <c r="G164" t="str">
        <f ca="1">_xll.BDP($B$10,$C$10,CONCATENATE("PX391=", $G$158), CONCATENATE("PX392=",$G$159), CONCATENATE("DS004=",$B$151), "Fill=B")</f>
        <v>#N/A Connection</v>
      </c>
      <c r="H164" t="str">
        <f ca="1">_xll.BDP($B$10,$C$10,CONCATENATE("PX391=", $H$158), CONCATENATE("PX392=",$H$159), CONCATENATE("DS004=",$B$151), "Fill=B")</f>
        <v>#N/A Connection</v>
      </c>
      <c r="I164" t="str">
        <f ca="1">_xll.BDP($B$10,$C$10,CONCATENATE("PX391=", $I$158), CONCATENATE("PX392=",$I$159), CONCATENATE("DS004=",$B$151), "Fill=B")</f>
        <v>#N/A Connection</v>
      </c>
      <c r="J164" t="str">
        <f ca="1">_xll.BDP($B$10,$C$10,CONCATENATE("PX391=", $J$158), CONCATENATE("PX392=",$J$159), CONCATENATE("DS004=",$B$151), "Fill=B")</f>
        <v>#N/A Connection</v>
      </c>
      <c r="K164" t="str">
        <f ca="1">_xll.BDP($B$10,$C$10,CONCATENATE("PX391=", $K$158), CONCATENATE("PX392=",$K$159), CONCATENATE("DS004=",$B$151), "Fill=B")</f>
        <v>#N/A Connection</v>
      </c>
      <c r="L164" t="str">
        <f ca="1">_xll.BDP($B$10,$C$10,CONCATENATE("PX391=", $L$158), CONCATENATE("PX392=",$L$159), CONCATENATE("DS004=",$B$151), "Fill=B")</f>
        <v>#N/A Connection</v>
      </c>
      <c r="M164" t="str">
        <f ca="1">_xll.BDP($B$10,$C$10,CONCATENATE("PX391=", $M$158), CONCATENATE("PX392=",$M$159), CONCATENATE("DS004=",$B$151), "Fill=B")</f>
        <v>#N/A Connection</v>
      </c>
      <c r="N164" t="str">
        <f ca="1">_xll.BDP($B$10,$C$10,CONCATENATE("PX391=", $N$158), CONCATENATE("PX392=",$N$159), CONCATENATE("DS004=",$B$151), "Fill=B")</f>
        <v>#N/A Connection</v>
      </c>
      <c r="O164" t="str">
        <f ca="1">_xll.BDP($B$10,$C$10,CONCATENATE("PX391=", $O$158), CONCATENATE("PX392=",$O$159), CONCATENATE("DS004=",$B$151), "Fill=B")</f>
        <v>#N/A Connection</v>
      </c>
      <c r="P164" t="str">
        <f ca="1">_xll.BDP($B$10,$C$10,CONCATENATE("PX391=", $P$158), CONCATENATE("PX392=",$P$159), CONCATENATE("DS004=",$B$151), "Fill=B")</f>
        <v>#N/A Connection</v>
      </c>
      <c r="Q164" t="str">
        <f ca="1">_xll.BDP($B$10,$C$10,CONCATENATE("PX391=", $Q$158), CONCATENATE("PX392=",$Q$159), CONCATENATE("DS004=",$B$151), "Fill=B")</f>
        <v>#N/A Connection</v>
      </c>
      <c r="R164" t="str">
        <f ca="1">_xll.BDP($B$10,$C$10,CONCATENATE("PX391=", $R$158), CONCATENATE("PX392=",$R$159), CONCATENATE("DS004=",$B$151), "Fill=B")</f>
        <v>#N/A Connection</v>
      </c>
      <c r="S164" t="str">
        <f ca="1">_xll.BDP($B$10,$C$10,CONCATENATE("PX391=", $S$158), CONCATENATE("PX392=",$S$159), CONCATENATE("DS004=",$B$151), "Fill=B")</f>
        <v>#N/A Connection</v>
      </c>
      <c r="T164" t="str">
        <f ca="1">_xll.BDP($B$10,$C$10,CONCATENATE("PX391=", $T$158), CONCATENATE("PX392=",$T$159), CONCATENATE("DS004=",$B$151), "Fill=B")</f>
        <v>#N/A Connection</v>
      </c>
      <c r="U164" t="str">
        <f ca="1">_xll.BDP($B$10,$C$10,CONCATENATE("PX391=", $U$158), CONCATENATE("PX392=",$U$159), CONCATENATE("DS004=",$B$151), "Fill=B")</f>
        <v>#N/A Connection</v>
      </c>
      <c r="V164" t="str">
        <f ca="1">_xll.BDP($B$10,$C$10,CONCATENATE("PX391=", $V$158), CONCATENATE("PX392=",$V$159), CONCATENATE("DS004=",$B$151), "Fill=B")</f>
        <v>#N/A Connection</v>
      </c>
      <c r="W164" t="str">
        <f ca="1">_xll.BDP($B$10,$C$10,CONCATENATE("PX391=", $W$158), CONCATENATE("PX392=",$W$159), CONCATENATE("DS004=",$B$151), "Fill=B")</f>
        <v>#N/A Connection</v>
      </c>
      <c r="X164" t="str">
        <f ca="1">_xll.BDP($B$10,$C$10,CONCATENATE("PX391=", $X$158), CONCATENATE("PX392=",$X$159), CONCATENATE("DS004=",$B$151), "Fill=B")</f>
        <v>#N/A Connection</v>
      </c>
      <c r="Y164" t="str">
        <f ca="1">_xll.BDP($B$10,$C$10,CONCATENATE("PX391=", $Y$158), CONCATENATE("PX392=",$Y$159), CONCATENATE("DS004=",$B$151), "Fill=B")</f>
        <v>#N/A Connection</v>
      </c>
      <c r="Z164" t="str">
        <f ca="1">_xll.BDP($B$10,$C$10,CONCATENATE("PX391=", $Z$158), CONCATENATE("PX392=",$Z$159), CONCATENATE("DS004=",$B$151), "Fill=B")</f>
        <v>#N/A Connection</v>
      </c>
      <c r="AA164" t="str">
        <f ca="1">_xll.BDP($B$10,$C$10,CONCATENATE("PX391=", $AA$158), CONCATENATE("PX392=",$AA$159), CONCATENATE("DS004=",$B$151), "Fill=B")</f>
        <v>#N/A Connection</v>
      </c>
      <c r="AB164" t="str">
        <f ca="1">_xll.BDP($B$10,$C$10,CONCATENATE("PX391=", $AB$158), CONCATENATE("PX392=",$AB$159), CONCATENATE("DS004=",$B$151), "Fill=B")</f>
        <v>#N/A Connection</v>
      </c>
      <c r="AC164" t="str">
        <f ca="1">_xll.BDP($B$10,$C$10,CONCATENATE("PX391=", $AC$158), CONCATENATE("PX392=",$AC$159), CONCATENATE("DS004=",$B$151), "Fill=B")</f>
        <v>#N/A Connection</v>
      </c>
      <c r="AD164" t="str">
        <f ca="1">_xll.BDP($B$10,$C$10,CONCATENATE("PX391=", $AD$158), CONCATENATE("PX392=",$AD$159), CONCATENATE("DS004=",$B$151), "Fill=B")</f>
        <v>#N/A Connection</v>
      </c>
      <c r="AE164" t="str">
        <f ca="1">_xll.BDP($B$10,$C$10,CONCATENATE("PX391=", $AE$158), CONCATENATE("PX392=",$AE$159), CONCATENATE("DS004=",$B$151), "Fill=B")</f>
        <v>#N/A Connection</v>
      </c>
      <c r="AF164" t="str">
        <f ca="1">_xll.BDP($B$10,$C$10,CONCATENATE("PX391=", $AF$158), CONCATENATE("PX392=",$AF$159), CONCATENATE("DS004=",$B$151), "Fill=B")</f>
        <v>#N/A Connection</v>
      </c>
      <c r="AG164" t="str">
        <f ca="1">_xll.BDP($B$10,$C$10,CONCATENATE("PX391=", $AG$158), CONCATENATE("PX392=",$AG$159), CONCATENATE("DS004=",$B$151), "Fill=B")</f>
        <v>#N/A Connection</v>
      </c>
      <c r="AH164" t="str">
        <f ca="1">_xll.BDP($B$10,$C$10,CONCATENATE("PX391=", $AH$158), CONCATENATE("PX392=",$AH$159), CONCATENATE("DS004=",$B$151), "Fill=B")</f>
        <v>#N/A Connection</v>
      </c>
      <c r="AI164" t="str">
        <f ca="1">_xll.BDP($B$10,$C$10,CONCATENATE("PX391=", $AI$158), CONCATENATE("PX392=",$AI$159), CONCATENATE("DS004=",$B$151), "Fill=B")</f>
        <v>#N/A Connection</v>
      </c>
      <c r="AJ164" t="str">
        <f ca="1">_xll.BDP($B$10,$C$10,CONCATENATE("PX391=", $AJ$158), CONCATENATE("PX392=",$AJ$159), CONCATENATE("DS004=",$B$151), "Fill=B")</f>
        <v>#N/A Connection</v>
      </c>
      <c r="AK164" t="str">
        <f ca="1">_xll.BDP($B$10,$C$10,CONCATENATE("PX391=", $AK$158), CONCATENATE("PX392=",$AK$159), CONCATENATE("DS004=",$B$151), "Fill=B")</f>
        <v>#N/A Connection</v>
      </c>
      <c r="AL164" t="str">
        <f ca="1">_xll.BDP($B$10,$C$10,CONCATENATE("PX391=", $AL$158), CONCATENATE("PX392=",$AL$159), CONCATENATE("DS004=",$B$151), "Fill=B")</f>
        <v>#N/A Connection</v>
      </c>
      <c r="AM164" t="str">
        <f ca="1">_xll.BDP($B$10,$C$10,CONCATENATE("PX391=", $AM$158), CONCATENATE("PX392=",$AM$159), CONCATENATE("DS004=",$B$151), "Fill=B")</f>
        <v>#N/A Connection</v>
      </c>
      <c r="AN164" t="str">
        <f ca="1">_xll.BDP($B$10,$C$10,CONCATENATE("PX391=", $AN$158), CONCATENATE("PX392=",$AN$159), CONCATENATE("DS004=",$B$151), "Fill=B")</f>
        <v>#N/A Connection</v>
      </c>
      <c r="AO164" t="str">
        <f ca="1">_xll.BDP($B$10,$C$10,CONCATENATE("PX391=", $AO$158), CONCATENATE("PX392=",$AO$159), CONCATENATE("DS004=",$B$151), "Fill=B")</f>
        <v>#N/A Connection</v>
      </c>
      <c r="AP164" t="str">
        <f ca="1">_xll.BDP($B$10,$C$10,CONCATENATE("PX391=", $AP$158), CONCATENATE("PX392=",$AP$159), CONCATENATE("DS004=",$B$151), "Fill=B")</f>
        <v>#N/A Connection</v>
      </c>
      <c r="AQ164" t="str">
        <f ca="1">_xll.BDP($B$10,$C$10,CONCATENATE("PX391=", $AQ$158), CONCATENATE("PX392=",$AQ$159), CONCATENATE("DS004=",$B$151), "Fill=B")</f>
        <v>#N/A Connection</v>
      </c>
      <c r="AR164" t="str">
        <f ca="1">_xll.BDP($B$10,$C$10,CONCATENATE("PX391=", $AR$158), CONCATENATE("PX392=",$AR$159), CONCATENATE("DS004=",$B$151), "Fill=B")</f>
        <v>#N/A Connection</v>
      </c>
      <c r="AS164" t="str">
        <f ca="1">_xll.BDP($B$10,$C$10,CONCATENATE("PX391=", $AS$158), CONCATENATE("PX392=",$AS$159), CONCATENATE("DS004=",$B$151), "Fill=B")</f>
        <v>#N/A Connection</v>
      </c>
      <c r="AT164" t="str">
        <f ca="1">_xll.BDP($B$10,$C$10,CONCATENATE("PX391=", $AT$158), CONCATENATE("PX392=",$AT$159), CONCATENATE("DS004=",$B$151), "Fill=B")</f>
        <v>#N/A Connection</v>
      </c>
      <c r="AU164" t="str">
        <f ca="1">_xll.BDP($B$10,$C$10,CONCATENATE("PX391=", $AU$158), CONCATENATE("PX392=",$AU$159), CONCATENATE("DS004=",$B$151), "Fill=B")</f>
        <v>#N/A Connection</v>
      </c>
      <c r="AV164" t="str">
        <f ca="1">_xll.BDP($B$10,$C$10,CONCATENATE("PX391=", $AV$158), CONCATENATE("PX392=",$AV$159), CONCATENATE("DS004=",$B$151), "Fill=B")</f>
        <v>#N/A Connection</v>
      </c>
      <c r="AW164" t="str">
        <f ca="1">_xll.BDP($B$10,$C$10,CONCATENATE("PX391=", $AW$158), CONCATENATE("PX392=",$AW$159), CONCATENATE("DS004=",$B$151), "Fill=B")</f>
        <v>#N/A Connection</v>
      </c>
      <c r="AX164" t="str">
        <f ca="1">_xll.BDP($B$10,$C$10,CONCATENATE("PX391=", $AX$158), CONCATENATE("PX392=",$AX$159), CONCATENATE("DS004=",$B$151), "Fill=B")</f>
        <v>#N/A Connection</v>
      </c>
      <c r="AY164" t="str">
        <f ca="1">_xll.BDP($B$10,$C$10,CONCATENATE("PX391=", $AY$158), CONCATENATE("PX392=",$AY$159), CONCATENATE("DS004=",$B$151), "Fill=B")</f>
        <v>#N/A Connection</v>
      </c>
      <c r="AZ164" t="str">
        <f ca="1">_xll.BDP($B$10,$C$10,CONCATENATE("PX391=", $AZ$158), CONCATENATE("PX392=",$AZ$159), CONCATENATE("DS004=",$B$151), "Fill=B")</f>
        <v>#N/A Connection</v>
      </c>
      <c r="BA164" t="str">
        <f ca="1">_xll.BDP($B$10,$C$10,CONCATENATE("PX391=", $BA$158), CONCATENATE("PX392=",$BA$159), CONCATENATE("DS004=",$B$151), "Fill=B")</f>
        <v>#N/A Connection</v>
      </c>
      <c r="BB164" t="str">
        <f ca="1">_xll.BDP($B$10,$C$10,CONCATENATE("PX391=", $BB$158), CONCATENATE("PX392=",$BB$159), CONCATENATE("DS004=",$B$151), "Fill=B")</f>
        <v>#N/A Connection</v>
      </c>
      <c r="BC164" t="str">
        <f ca="1">_xll.BDP($B$10,$C$10,CONCATENATE("PX391=", $BC$158), CONCATENATE("PX392=",$BC$159), CONCATENATE("DS004=",$B$151), "Fill=B")</f>
        <v>#N/A Connection</v>
      </c>
      <c r="BD164" t="str">
        <f ca="1">_xll.BDP($B$10,$C$10,CONCATENATE("PX391=", $BD$158), CONCATENATE("PX392=",$BD$159), CONCATENATE("DS004=",$B$151), "Fill=B")</f>
        <v>#N/A Connection</v>
      </c>
      <c r="BE164" t="str">
        <f ca="1">_xll.BDP($B$10,$C$10,CONCATENATE("PX391=", $BE$158), CONCATENATE("PX392=",$BE$159), CONCATENATE("DS004=",$B$151), "Fill=B")</f>
        <v>#N/A Connection</v>
      </c>
      <c r="BF164" t="str">
        <f ca="1">_xll.BDP($B$10,$C$10,CONCATENATE("PX391=", $BF$158), CONCATENATE("PX392=",$BF$159), CONCATENATE("DS004=",$B$151), "Fill=B")</f>
        <v>#N/A Connection</v>
      </c>
      <c r="BG164" t="str">
        <f ca="1">_xll.BDP($B$10,$C$10,CONCATENATE("PX391=", $BG$158), CONCATENATE("PX392=",$BG$159), CONCATENATE("DS004=",$B$151), "Fill=B")</f>
        <v>#N/A Connection</v>
      </c>
      <c r="BH164" t="str">
        <f ca="1">_xll.BDP($B$10,$C$10,CONCATENATE("PX391=", $BH$158), CONCATENATE("PX392=",$BH$159), CONCATENATE("DS004=",$B$151), "Fill=B")</f>
        <v>#N/A Connection</v>
      </c>
      <c r="BI164" t="str">
        <f ca="1">_xll.BDP($B$10,$C$10,CONCATENATE("PX391=", $BI$158), CONCATENATE("PX392=",$BI$159), CONCATENATE("DS004=",$B$151), "Fill=B")</f>
        <v>#N/A Connection</v>
      </c>
      <c r="BJ164" t="str">
        <f ca="1">_xll.BDP($B$10,$C$10,CONCATENATE("PX391=", $BJ$158), CONCATENATE("PX392=",$BJ$159), CONCATENATE("DS004=",$B$151), "Fill=B")</f>
        <v>#N/A Connection</v>
      </c>
      <c r="BK164" t="str">
        <f ca="1">_xll.BDP($B$10,$C$10,CONCATENATE("PX391=", $BK$158), CONCATENATE("PX392=",$BK$159), CONCATENATE("DS004=",$B$151), "Fill=B")</f>
        <v>#N/A Connection</v>
      </c>
      <c r="BL164" t="str">
        <f ca="1">_xll.BDP($B$10,$C$10,CONCATENATE("PX391=", $BL$158), CONCATENATE("PX392=",$BL$159), CONCATENATE("DS004=",$B$151), "Fill=B")</f>
        <v>#N/A Connection</v>
      </c>
      <c r="BM164" t="str">
        <f ca="1">_xll.BDP($B$10,$C$10,CONCATENATE("PX391=", $BM$158), CONCATENATE("PX392=",$BM$159), CONCATENATE("DS004=",$B$151), "Fill=B")</f>
        <v>#N/A Connection</v>
      </c>
      <c r="BN164" t="str">
        <f>""</f>
        <v/>
      </c>
      <c r="BO164" t="str">
        <f>""</f>
        <v/>
      </c>
      <c r="BP164" t="str">
        <f>""</f>
        <v/>
      </c>
      <c r="BQ164" t="str">
        <f>""</f>
        <v/>
      </c>
      <c r="BR164" t="str">
        <f>""</f>
        <v/>
      </c>
      <c r="BS164" t="str">
        <f>""</f>
        <v/>
      </c>
      <c r="BT164" t="str">
        <f>""</f>
        <v/>
      </c>
      <c r="BU164" t="str">
        <f>""</f>
        <v/>
      </c>
      <c r="BV164" t="str">
        <f>""</f>
        <v/>
      </c>
      <c r="BW164" t="str">
        <f>""</f>
        <v/>
      </c>
      <c r="BX164" t="str">
        <f>""</f>
        <v/>
      </c>
      <c r="BY164" t="str">
        <f>""</f>
        <v/>
      </c>
      <c r="BZ164" t="str">
        <f>""</f>
        <v/>
      </c>
      <c r="CA164" t="str">
        <f>""</f>
        <v/>
      </c>
      <c r="CB164" t="str">
        <f>""</f>
        <v/>
      </c>
      <c r="CC164" t="str">
        <f>""</f>
        <v/>
      </c>
      <c r="CD164" t="str">
        <f>""</f>
        <v/>
      </c>
      <c r="CE164" t="str">
        <f>""</f>
        <v/>
      </c>
      <c r="CF164" t="str">
        <f>""</f>
        <v/>
      </c>
      <c r="CG164" t="str">
        <f>""</f>
        <v/>
      </c>
      <c r="CH164" t="str">
        <f>""</f>
        <v/>
      </c>
      <c r="CI164" t="str">
        <f>""</f>
        <v/>
      </c>
      <c r="CJ164" t="str">
        <f>""</f>
        <v/>
      </c>
      <c r="CK164" t="str">
        <f>""</f>
        <v/>
      </c>
      <c r="CL164" t="str">
        <f>""</f>
        <v/>
      </c>
      <c r="CM164" t="str">
        <f>""</f>
        <v/>
      </c>
      <c r="CN164" t="str">
        <f>""</f>
        <v/>
      </c>
      <c r="CO164" t="str">
        <f>""</f>
        <v/>
      </c>
      <c r="CP164" t="str">
        <f>""</f>
        <v/>
      </c>
      <c r="CQ164" t="str">
        <f>""</f>
        <v/>
      </c>
      <c r="CR164" t="str">
        <f>""</f>
        <v/>
      </c>
      <c r="CS164" t="str">
        <f>""</f>
        <v/>
      </c>
      <c r="CT164" t="str">
        <f>""</f>
        <v/>
      </c>
      <c r="CU164" t="str">
        <f>""</f>
        <v/>
      </c>
      <c r="CV164" t="str">
        <f>""</f>
        <v/>
      </c>
      <c r="CW164" t="str">
        <f>""</f>
        <v/>
      </c>
      <c r="CX164" t="str">
        <f>""</f>
        <v/>
      </c>
      <c r="CY164" t="str">
        <f>""</f>
        <v/>
      </c>
      <c r="CZ164" t="str">
        <f>""</f>
        <v/>
      </c>
      <c r="DA164" t="str">
        <f>""</f>
        <v/>
      </c>
      <c r="DB164" t="str">
        <f>""</f>
        <v/>
      </c>
      <c r="DC164" t="str">
        <f>""</f>
        <v/>
      </c>
      <c r="DD164" t="str">
        <f>""</f>
        <v/>
      </c>
      <c r="DE164" t="str">
        <f>""</f>
        <v/>
      </c>
      <c r="DF164" t="str">
        <f>""</f>
        <v/>
      </c>
      <c r="DG164" t="str">
        <f>""</f>
        <v/>
      </c>
      <c r="DH164" t="str">
        <f>""</f>
        <v/>
      </c>
      <c r="DI164" t="str">
        <f>""</f>
        <v/>
      </c>
      <c r="DJ164" t="str">
        <f>""</f>
        <v/>
      </c>
      <c r="DK164" t="str">
        <f>""</f>
        <v/>
      </c>
      <c r="DL164" t="str">
        <f>""</f>
        <v/>
      </c>
      <c r="DM164" t="str">
        <f>""</f>
        <v/>
      </c>
      <c r="DN164" t="str">
        <f>""</f>
        <v/>
      </c>
      <c r="DO164" t="str">
        <f>""</f>
        <v/>
      </c>
      <c r="DP164" t="str">
        <f>""</f>
        <v/>
      </c>
      <c r="DQ164" t="str">
        <f>""</f>
        <v/>
      </c>
      <c r="DR164" t="str">
        <f>""</f>
        <v/>
      </c>
      <c r="DS164" t="str">
        <f>""</f>
        <v/>
      </c>
      <c r="DT164" t="str">
        <f>""</f>
        <v/>
      </c>
      <c r="DU164" t="str">
        <f>""</f>
        <v/>
      </c>
    </row>
    <row r="165" spans="1:125" x14ac:dyDescent="0.25">
      <c r="A165" t="str">
        <f>$A$11</f>
        <v xml:space="preserve">            India Muliti Purpose Vehicle</v>
      </c>
      <c r="B165" t="str">
        <f>$B$11</f>
        <v>INVSDMPV Index</v>
      </c>
      <c r="C165" t="str">
        <f>$C$11</f>
        <v>PX385</v>
      </c>
      <c r="D165" t="str">
        <f>$D$11</f>
        <v>INTERVAL_SUM</v>
      </c>
      <c r="E165" t="str">
        <f>$E$11</f>
        <v>Dynamic</v>
      </c>
      <c r="F165" t="str">
        <f ca="1">_xll.BDP($B$11,$C$11,CONCATENATE("PX391=", $F$158), CONCATENATE("PX392=",$F$159), CONCATENATE("DS004=",$B$151), "Fill=B")</f>
        <v>#N/A Connection</v>
      </c>
      <c r="G165" t="str">
        <f ca="1">_xll.BDP($B$11,$C$11,CONCATENATE("PX391=", $G$158), CONCATENATE("PX392=",$G$159), CONCATENATE("DS004=",$B$151), "Fill=B")</f>
        <v>#N/A Connection</v>
      </c>
      <c r="H165" t="str">
        <f ca="1">_xll.BDP($B$11,$C$11,CONCATENATE("PX391=", $H$158), CONCATENATE("PX392=",$H$159), CONCATENATE("DS004=",$B$151), "Fill=B")</f>
        <v>#N/A Connection</v>
      </c>
      <c r="I165" t="str">
        <f ca="1">_xll.BDP($B$11,$C$11,CONCATENATE("PX391=", $I$158), CONCATENATE("PX392=",$I$159), CONCATENATE("DS004=",$B$151), "Fill=B")</f>
        <v>#N/A Connection</v>
      </c>
      <c r="J165" t="str">
        <f ca="1">_xll.BDP($B$11,$C$11,CONCATENATE("PX391=", $J$158), CONCATENATE("PX392=",$J$159), CONCATENATE("DS004=",$B$151), "Fill=B")</f>
        <v>#N/A Connection</v>
      </c>
      <c r="K165" t="str">
        <f ca="1">_xll.BDP($B$11,$C$11,CONCATENATE("PX391=", $K$158), CONCATENATE("PX392=",$K$159), CONCATENATE("DS004=",$B$151), "Fill=B")</f>
        <v>#N/A Connection</v>
      </c>
      <c r="L165" t="str">
        <f ca="1">_xll.BDP($B$11,$C$11,CONCATENATE("PX391=", $L$158), CONCATENATE("PX392=",$L$159), CONCATENATE("DS004=",$B$151), "Fill=B")</f>
        <v>#N/A Connection</v>
      </c>
      <c r="M165" t="str">
        <f ca="1">_xll.BDP($B$11,$C$11,CONCATENATE("PX391=", $M$158), CONCATENATE("PX392=",$M$159), CONCATENATE("DS004=",$B$151), "Fill=B")</f>
        <v>#N/A Connection</v>
      </c>
      <c r="N165" t="str">
        <f ca="1">_xll.BDP($B$11,$C$11,CONCATENATE("PX391=", $N$158), CONCATENATE("PX392=",$N$159), CONCATENATE("DS004=",$B$151), "Fill=B")</f>
        <v>#N/A Connection</v>
      </c>
      <c r="O165" t="str">
        <f ca="1">_xll.BDP($B$11,$C$11,CONCATENATE("PX391=", $O$158), CONCATENATE("PX392=",$O$159), CONCATENATE("DS004=",$B$151), "Fill=B")</f>
        <v>#N/A Connection</v>
      </c>
      <c r="P165" t="str">
        <f ca="1">_xll.BDP($B$11,$C$11,CONCATENATE("PX391=", $P$158), CONCATENATE("PX392=",$P$159), CONCATENATE("DS004=",$B$151), "Fill=B")</f>
        <v>#N/A Connection</v>
      </c>
      <c r="Q165" t="str">
        <f ca="1">_xll.BDP($B$11,$C$11,CONCATENATE("PX391=", $Q$158), CONCATENATE("PX392=",$Q$159), CONCATENATE("DS004=",$B$151), "Fill=B")</f>
        <v>#N/A Connection</v>
      </c>
      <c r="R165" t="str">
        <f ca="1">_xll.BDP($B$11,$C$11,CONCATENATE("PX391=", $R$158), CONCATENATE("PX392=",$R$159), CONCATENATE("DS004=",$B$151), "Fill=B")</f>
        <v>#N/A Connection</v>
      </c>
      <c r="S165" t="str">
        <f ca="1">_xll.BDP($B$11,$C$11,CONCATENATE("PX391=", $S$158), CONCATENATE("PX392=",$S$159), CONCATENATE("DS004=",$B$151), "Fill=B")</f>
        <v>#N/A Connection</v>
      </c>
      <c r="T165" t="str">
        <f ca="1">_xll.BDP($B$11,$C$11,CONCATENATE("PX391=", $T$158), CONCATENATE("PX392=",$T$159), CONCATENATE("DS004=",$B$151), "Fill=B")</f>
        <v>#N/A Connection</v>
      </c>
      <c r="U165" t="str">
        <f ca="1">_xll.BDP($B$11,$C$11,CONCATENATE("PX391=", $U$158), CONCATENATE("PX392=",$U$159), CONCATENATE("DS004=",$B$151), "Fill=B")</f>
        <v>#N/A Connection</v>
      </c>
      <c r="V165" t="str">
        <f ca="1">_xll.BDP($B$11,$C$11,CONCATENATE("PX391=", $V$158), CONCATENATE("PX392=",$V$159), CONCATENATE("DS004=",$B$151), "Fill=B")</f>
        <v>#N/A Connection</v>
      </c>
      <c r="W165" t="str">
        <f ca="1">_xll.BDP($B$11,$C$11,CONCATENATE("PX391=", $W$158), CONCATENATE("PX392=",$W$159), CONCATENATE("DS004=",$B$151), "Fill=B")</f>
        <v>#N/A Connection</v>
      </c>
      <c r="X165" t="str">
        <f ca="1">_xll.BDP($B$11,$C$11,CONCATENATE("PX391=", $X$158), CONCATENATE("PX392=",$X$159), CONCATENATE("DS004=",$B$151), "Fill=B")</f>
        <v>#N/A Connection</v>
      </c>
      <c r="Y165" t="str">
        <f ca="1">_xll.BDP($B$11,$C$11,CONCATENATE("PX391=", $Y$158), CONCATENATE("PX392=",$Y$159), CONCATENATE("DS004=",$B$151), "Fill=B")</f>
        <v>#N/A Connection</v>
      </c>
      <c r="Z165" t="str">
        <f ca="1">_xll.BDP($B$11,$C$11,CONCATENATE("PX391=", $Z$158), CONCATENATE("PX392=",$Z$159), CONCATENATE("DS004=",$B$151), "Fill=B")</f>
        <v>#N/A Connection</v>
      </c>
      <c r="AA165" t="str">
        <f ca="1">_xll.BDP($B$11,$C$11,CONCATENATE("PX391=", $AA$158), CONCATENATE("PX392=",$AA$159), CONCATENATE("DS004=",$B$151), "Fill=B")</f>
        <v>#N/A Connection</v>
      </c>
      <c r="AB165" t="str">
        <f ca="1">_xll.BDP($B$11,$C$11,CONCATENATE("PX391=", $AB$158), CONCATENATE("PX392=",$AB$159), CONCATENATE("DS004=",$B$151), "Fill=B")</f>
        <v>#N/A Connection</v>
      </c>
      <c r="AC165" t="str">
        <f ca="1">_xll.BDP($B$11,$C$11,CONCATENATE("PX391=", $AC$158), CONCATENATE("PX392=",$AC$159), CONCATENATE("DS004=",$B$151), "Fill=B")</f>
        <v>#N/A Connection</v>
      </c>
      <c r="AD165" t="str">
        <f ca="1">_xll.BDP($B$11,$C$11,CONCATENATE("PX391=", $AD$158), CONCATENATE("PX392=",$AD$159), CONCATENATE("DS004=",$B$151), "Fill=B")</f>
        <v>#N/A Connection</v>
      </c>
      <c r="AE165" t="str">
        <f ca="1">_xll.BDP($B$11,$C$11,CONCATENATE("PX391=", $AE$158), CONCATENATE("PX392=",$AE$159), CONCATENATE("DS004=",$B$151), "Fill=B")</f>
        <v>#N/A Connection</v>
      </c>
      <c r="AF165" t="str">
        <f ca="1">_xll.BDP($B$11,$C$11,CONCATENATE("PX391=", $AF$158), CONCATENATE("PX392=",$AF$159), CONCATENATE("DS004=",$B$151), "Fill=B")</f>
        <v>#N/A Connection</v>
      </c>
      <c r="AG165" t="str">
        <f ca="1">_xll.BDP($B$11,$C$11,CONCATENATE("PX391=", $AG$158), CONCATENATE("PX392=",$AG$159), CONCATENATE("DS004=",$B$151), "Fill=B")</f>
        <v>#N/A Connection</v>
      </c>
      <c r="AH165" t="str">
        <f ca="1">_xll.BDP($B$11,$C$11,CONCATENATE("PX391=", $AH$158), CONCATENATE("PX392=",$AH$159), CONCATENATE("DS004=",$B$151), "Fill=B")</f>
        <v>#N/A Connection</v>
      </c>
      <c r="AI165" t="str">
        <f ca="1">_xll.BDP($B$11,$C$11,CONCATENATE("PX391=", $AI$158), CONCATENATE("PX392=",$AI$159), CONCATENATE("DS004=",$B$151), "Fill=B")</f>
        <v>#N/A Connection</v>
      </c>
      <c r="AJ165" t="str">
        <f ca="1">_xll.BDP($B$11,$C$11,CONCATENATE("PX391=", $AJ$158), CONCATENATE("PX392=",$AJ$159), CONCATENATE("DS004=",$B$151), "Fill=B")</f>
        <v>#N/A Connection</v>
      </c>
      <c r="AK165" t="str">
        <f ca="1">_xll.BDP($B$11,$C$11,CONCATENATE("PX391=", $AK$158), CONCATENATE("PX392=",$AK$159), CONCATENATE("DS004=",$B$151), "Fill=B")</f>
        <v>#N/A Connection</v>
      </c>
      <c r="AL165" t="str">
        <f ca="1">_xll.BDP($B$11,$C$11,CONCATENATE("PX391=", $AL$158), CONCATENATE("PX392=",$AL$159), CONCATENATE("DS004=",$B$151), "Fill=B")</f>
        <v>#N/A Connection</v>
      </c>
      <c r="AM165" t="str">
        <f ca="1">_xll.BDP($B$11,$C$11,CONCATENATE("PX391=", $AM$158), CONCATENATE("PX392=",$AM$159), CONCATENATE("DS004=",$B$151), "Fill=B")</f>
        <v>#N/A Connection</v>
      </c>
      <c r="AN165" t="str">
        <f ca="1">_xll.BDP($B$11,$C$11,CONCATENATE("PX391=", $AN$158), CONCATENATE("PX392=",$AN$159), CONCATENATE("DS004=",$B$151), "Fill=B")</f>
        <v>#N/A Connection</v>
      </c>
      <c r="AO165" t="str">
        <f ca="1">_xll.BDP($B$11,$C$11,CONCATENATE("PX391=", $AO$158), CONCATENATE("PX392=",$AO$159), CONCATENATE("DS004=",$B$151), "Fill=B")</f>
        <v>#N/A Connection</v>
      </c>
      <c r="AP165" t="str">
        <f ca="1">_xll.BDP($B$11,$C$11,CONCATENATE("PX391=", $AP$158), CONCATENATE("PX392=",$AP$159), CONCATENATE("DS004=",$B$151), "Fill=B")</f>
        <v>#N/A Connection</v>
      </c>
      <c r="AQ165" t="str">
        <f ca="1">_xll.BDP($B$11,$C$11,CONCATENATE("PX391=", $AQ$158), CONCATENATE("PX392=",$AQ$159), CONCATENATE("DS004=",$B$151), "Fill=B")</f>
        <v>#N/A Connection</v>
      </c>
      <c r="AR165" t="str">
        <f ca="1">_xll.BDP($B$11,$C$11,CONCATENATE("PX391=", $AR$158), CONCATENATE("PX392=",$AR$159), CONCATENATE("DS004=",$B$151), "Fill=B")</f>
        <v>#N/A Connection</v>
      </c>
      <c r="AS165" t="str">
        <f ca="1">_xll.BDP($B$11,$C$11,CONCATENATE("PX391=", $AS$158), CONCATENATE("PX392=",$AS$159), CONCATENATE("DS004=",$B$151), "Fill=B")</f>
        <v>#N/A Connection</v>
      </c>
      <c r="AT165" t="str">
        <f ca="1">_xll.BDP($B$11,$C$11,CONCATENATE("PX391=", $AT$158), CONCATENATE("PX392=",$AT$159), CONCATENATE("DS004=",$B$151), "Fill=B")</f>
        <v>#N/A Connection</v>
      </c>
      <c r="AU165" t="str">
        <f ca="1">_xll.BDP($B$11,$C$11,CONCATENATE("PX391=", $AU$158), CONCATENATE("PX392=",$AU$159), CONCATENATE("DS004=",$B$151), "Fill=B")</f>
        <v>#N/A Connection</v>
      </c>
      <c r="AV165" t="str">
        <f ca="1">_xll.BDP($B$11,$C$11,CONCATENATE("PX391=", $AV$158), CONCATENATE("PX392=",$AV$159), CONCATENATE("DS004=",$B$151), "Fill=B")</f>
        <v>#N/A Connection</v>
      </c>
      <c r="AW165" t="str">
        <f ca="1">_xll.BDP($B$11,$C$11,CONCATENATE("PX391=", $AW$158), CONCATENATE("PX392=",$AW$159), CONCATENATE("DS004=",$B$151), "Fill=B")</f>
        <v>#N/A Connection</v>
      </c>
      <c r="AX165" t="str">
        <f ca="1">_xll.BDP($B$11,$C$11,CONCATENATE("PX391=", $AX$158), CONCATENATE("PX392=",$AX$159), CONCATENATE("DS004=",$B$151), "Fill=B")</f>
        <v>#N/A Connection</v>
      </c>
      <c r="AY165" t="str">
        <f ca="1">_xll.BDP($B$11,$C$11,CONCATENATE("PX391=", $AY$158), CONCATENATE("PX392=",$AY$159), CONCATENATE("DS004=",$B$151), "Fill=B")</f>
        <v>#N/A Connection</v>
      </c>
      <c r="AZ165" t="str">
        <f ca="1">_xll.BDP($B$11,$C$11,CONCATENATE("PX391=", $AZ$158), CONCATENATE("PX392=",$AZ$159), CONCATENATE("DS004=",$B$151), "Fill=B")</f>
        <v>#N/A Connection</v>
      </c>
      <c r="BA165" t="str">
        <f ca="1">_xll.BDP($B$11,$C$11,CONCATENATE("PX391=", $BA$158), CONCATENATE("PX392=",$BA$159), CONCATENATE("DS004=",$B$151), "Fill=B")</f>
        <v>#N/A Connection</v>
      </c>
      <c r="BB165" t="str">
        <f ca="1">_xll.BDP($B$11,$C$11,CONCATENATE("PX391=", $BB$158), CONCATENATE("PX392=",$BB$159), CONCATENATE("DS004=",$B$151), "Fill=B")</f>
        <v>#N/A Connection</v>
      </c>
      <c r="BC165" t="str">
        <f ca="1">_xll.BDP($B$11,$C$11,CONCATENATE("PX391=", $BC$158), CONCATENATE("PX392=",$BC$159), CONCATENATE("DS004=",$B$151), "Fill=B")</f>
        <v>#N/A Connection</v>
      </c>
      <c r="BD165" t="str">
        <f ca="1">_xll.BDP($B$11,$C$11,CONCATENATE("PX391=", $BD$158), CONCATENATE("PX392=",$BD$159), CONCATENATE("DS004=",$B$151), "Fill=B")</f>
        <v>#N/A Connection</v>
      </c>
      <c r="BE165" t="str">
        <f ca="1">_xll.BDP($B$11,$C$11,CONCATENATE("PX391=", $BE$158), CONCATENATE("PX392=",$BE$159), CONCATENATE("DS004=",$B$151), "Fill=B")</f>
        <v>#N/A Connection</v>
      </c>
      <c r="BF165" t="str">
        <f ca="1">_xll.BDP($B$11,$C$11,CONCATENATE("PX391=", $BF$158), CONCATENATE("PX392=",$BF$159), CONCATENATE("DS004=",$B$151), "Fill=B")</f>
        <v>#N/A Connection</v>
      </c>
      <c r="BG165" t="str">
        <f ca="1">_xll.BDP($B$11,$C$11,CONCATENATE("PX391=", $BG$158), CONCATENATE("PX392=",$BG$159), CONCATENATE("DS004=",$B$151), "Fill=B")</f>
        <v>#N/A Connection</v>
      </c>
      <c r="BH165" t="str">
        <f ca="1">_xll.BDP($B$11,$C$11,CONCATENATE("PX391=", $BH$158), CONCATENATE("PX392=",$BH$159), CONCATENATE("DS004=",$B$151), "Fill=B")</f>
        <v>#N/A Connection</v>
      </c>
      <c r="BI165" t="str">
        <f ca="1">_xll.BDP($B$11,$C$11,CONCATENATE("PX391=", $BI$158), CONCATENATE("PX392=",$BI$159), CONCATENATE("DS004=",$B$151), "Fill=B")</f>
        <v>#N/A Connection</v>
      </c>
      <c r="BJ165" t="str">
        <f ca="1">_xll.BDP($B$11,$C$11,CONCATENATE("PX391=", $BJ$158), CONCATENATE("PX392=",$BJ$159), CONCATENATE("DS004=",$B$151), "Fill=B")</f>
        <v>#N/A Connection</v>
      </c>
      <c r="BK165" t="str">
        <f ca="1">_xll.BDP($B$11,$C$11,CONCATENATE("PX391=", $BK$158), CONCATENATE("PX392=",$BK$159), CONCATENATE("DS004=",$B$151), "Fill=B")</f>
        <v>#N/A Connection</v>
      </c>
      <c r="BL165" t="str">
        <f ca="1">_xll.BDP($B$11,$C$11,CONCATENATE("PX391=", $BL$158), CONCATENATE("PX392=",$BL$159), CONCATENATE("DS004=",$B$151), "Fill=B")</f>
        <v>#N/A Connection</v>
      </c>
      <c r="BM165" t="str">
        <f ca="1">_xll.BDP($B$11,$C$11,CONCATENATE("PX391=", $BM$158), CONCATENATE("PX392=",$BM$159), CONCATENATE("DS004=",$B$151), "Fill=B")</f>
        <v>#N/A Connection</v>
      </c>
      <c r="BN165" t="str">
        <f>""</f>
        <v/>
      </c>
      <c r="BO165" t="str">
        <f>""</f>
        <v/>
      </c>
      <c r="BP165" t="str">
        <f>""</f>
        <v/>
      </c>
      <c r="BQ165" t="str">
        <f>""</f>
        <v/>
      </c>
      <c r="BR165" t="str">
        <f>""</f>
        <v/>
      </c>
      <c r="BS165" t="str">
        <f>""</f>
        <v/>
      </c>
      <c r="BT165" t="str">
        <f>""</f>
        <v/>
      </c>
      <c r="BU165" t="str">
        <f>""</f>
        <v/>
      </c>
      <c r="BV165" t="str">
        <f>""</f>
        <v/>
      </c>
      <c r="BW165" t="str">
        <f>""</f>
        <v/>
      </c>
      <c r="BX165" t="str">
        <f>""</f>
        <v/>
      </c>
      <c r="BY165" t="str">
        <f>""</f>
        <v/>
      </c>
      <c r="BZ165" t="str">
        <f>""</f>
        <v/>
      </c>
      <c r="CA165" t="str">
        <f>""</f>
        <v/>
      </c>
      <c r="CB165" t="str">
        <f>""</f>
        <v/>
      </c>
      <c r="CC165" t="str">
        <f>""</f>
        <v/>
      </c>
      <c r="CD165" t="str">
        <f>""</f>
        <v/>
      </c>
      <c r="CE165" t="str">
        <f>""</f>
        <v/>
      </c>
      <c r="CF165" t="str">
        <f>""</f>
        <v/>
      </c>
      <c r="CG165" t="str">
        <f>""</f>
        <v/>
      </c>
      <c r="CH165" t="str">
        <f>""</f>
        <v/>
      </c>
      <c r="CI165" t="str">
        <f>""</f>
        <v/>
      </c>
      <c r="CJ165" t="str">
        <f>""</f>
        <v/>
      </c>
      <c r="CK165" t="str">
        <f>""</f>
        <v/>
      </c>
      <c r="CL165" t="str">
        <f>""</f>
        <v/>
      </c>
      <c r="CM165" t="str">
        <f>""</f>
        <v/>
      </c>
      <c r="CN165" t="str">
        <f>""</f>
        <v/>
      </c>
      <c r="CO165" t="str">
        <f>""</f>
        <v/>
      </c>
      <c r="CP165" t="str">
        <f>""</f>
        <v/>
      </c>
      <c r="CQ165" t="str">
        <f>""</f>
        <v/>
      </c>
      <c r="CR165" t="str">
        <f>""</f>
        <v/>
      </c>
      <c r="CS165" t="str">
        <f>""</f>
        <v/>
      </c>
      <c r="CT165" t="str">
        <f>""</f>
        <v/>
      </c>
      <c r="CU165" t="str">
        <f>""</f>
        <v/>
      </c>
      <c r="CV165" t="str">
        <f>""</f>
        <v/>
      </c>
      <c r="CW165" t="str">
        <f>""</f>
        <v/>
      </c>
      <c r="CX165" t="str">
        <f>""</f>
        <v/>
      </c>
      <c r="CY165" t="str">
        <f>""</f>
        <v/>
      </c>
      <c r="CZ165" t="str">
        <f>""</f>
        <v/>
      </c>
      <c r="DA165" t="str">
        <f>""</f>
        <v/>
      </c>
      <c r="DB165" t="str">
        <f>""</f>
        <v/>
      </c>
      <c r="DC165" t="str">
        <f>""</f>
        <v/>
      </c>
      <c r="DD165" t="str">
        <f>""</f>
        <v/>
      </c>
      <c r="DE165" t="str">
        <f>""</f>
        <v/>
      </c>
      <c r="DF165" t="str">
        <f>""</f>
        <v/>
      </c>
      <c r="DG165" t="str">
        <f>""</f>
        <v/>
      </c>
      <c r="DH165" t="str">
        <f>""</f>
        <v/>
      </c>
      <c r="DI165" t="str">
        <f>""</f>
        <v/>
      </c>
      <c r="DJ165" t="str">
        <f>""</f>
        <v/>
      </c>
      <c r="DK165" t="str">
        <f>""</f>
        <v/>
      </c>
      <c r="DL165" t="str">
        <f>""</f>
        <v/>
      </c>
      <c r="DM165" t="str">
        <f>""</f>
        <v/>
      </c>
      <c r="DN165" t="str">
        <f>""</f>
        <v/>
      </c>
      <c r="DO165" t="str">
        <f>""</f>
        <v/>
      </c>
      <c r="DP165" t="str">
        <f>""</f>
        <v/>
      </c>
      <c r="DQ165" t="str">
        <f>""</f>
        <v/>
      </c>
      <c r="DR165" t="str">
        <f>""</f>
        <v/>
      </c>
      <c r="DS165" t="str">
        <f>""</f>
        <v/>
      </c>
      <c r="DT165" t="str">
        <f>""</f>
        <v/>
      </c>
      <c r="DU165" t="str">
        <f>""</f>
        <v/>
      </c>
    </row>
    <row r="166" spans="1:125" x14ac:dyDescent="0.25">
      <c r="A166" t="str">
        <f>$A$12</f>
        <v xml:space="preserve">        Indonesia</v>
      </c>
      <c r="B166" t="str">
        <f>$B$12</f>
        <v>IDVHCLOC Index</v>
      </c>
      <c r="C166" t="str">
        <f>$C$12</f>
        <v>PX385</v>
      </c>
      <c r="D166" t="str">
        <f>$D$12</f>
        <v>INTERVAL_SUM</v>
      </c>
      <c r="E166" t="str">
        <f>$E$12</f>
        <v>Dynamic</v>
      </c>
      <c r="F166" t="str">
        <f ca="1">_xll.BDP($B$12,$C$12,CONCATENATE("PX391=", $F$158), CONCATENATE("PX392=",$F$159), CONCATENATE("DS004=",$B$151), "Fill=B")</f>
        <v>#N/A Connection</v>
      </c>
      <c r="G166" t="str">
        <f ca="1">_xll.BDP($B$12,$C$12,CONCATENATE("PX391=", $G$158), CONCATENATE("PX392=",$G$159), CONCATENATE("DS004=",$B$151), "Fill=B")</f>
        <v>#N/A Connection</v>
      </c>
      <c r="H166" t="str">
        <f ca="1">_xll.BDP($B$12,$C$12,CONCATENATE("PX391=", $H$158), CONCATENATE("PX392=",$H$159), CONCATENATE("DS004=",$B$151), "Fill=B")</f>
        <v>#N/A Connection</v>
      </c>
      <c r="I166" t="str">
        <f ca="1">_xll.BDP($B$12,$C$12,CONCATENATE("PX391=", $I$158), CONCATENATE("PX392=",$I$159), CONCATENATE("DS004=",$B$151), "Fill=B")</f>
        <v>#N/A Connection</v>
      </c>
      <c r="J166" t="str">
        <f ca="1">_xll.BDP($B$12,$C$12,CONCATENATE("PX391=", $J$158), CONCATENATE("PX392=",$J$159), CONCATENATE("DS004=",$B$151), "Fill=B")</f>
        <v>#N/A Connection</v>
      </c>
      <c r="K166" t="str">
        <f ca="1">_xll.BDP($B$12,$C$12,CONCATENATE("PX391=", $K$158), CONCATENATE("PX392=",$K$159), CONCATENATE("DS004=",$B$151), "Fill=B")</f>
        <v>#N/A Connection</v>
      </c>
      <c r="L166" t="str">
        <f ca="1">_xll.BDP($B$12,$C$12,CONCATENATE("PX391=", $L$158), CONCATENATE("PX392=",$L$159), CONCATENATE("DS004=",$B$151), "Fill=B")</f>
        <v>#N/A Connection</v>
      </c>
      <c r="M166" t="str">
        <f ca="1">_xll.BDP($B$12,$C$12,CONCATENATE("PX391=", $M$158), CONCATENATE("PX392=",$M$159), CONCATENATE("DS004=",$B$151), "Fill=B")</f>
        <v>#N/A Connection</v>
      </c>
      <c r="N166" t="str">
        <f ca="1">_xll.BDP($B$12,$C$12,CONCATENATE("PX391=", $N$158), CONCATENATE("PX392=",$N$159), CONCATENATE("DS004=",$B$151), "Fill=B")</f>
        <v>#N/A Connection</v>
      </c>
      <c r="O166" t="str">
        <f ca="1">_xll.BDP($B$12,$C$12,CONCATENATE("PX391=", $O$158), CONCATENATE("PX392=",$O$159), CONCATENATE("DS004=",$B$151), "Fill=B")</f>
        <v>#N/A Connection</v>
      </c>
      <c r="P166" t="str">
        <f ca="1">_xll.BDP($B$12,$C$12,CONCATENATE("PX391=", $P$158), CONCATENATE("PX392=",$P$159), CONCATENATE("DS004=",$B$151), "Fill=B")</f>
        <v>#N/A Connection</v>
      </c>
      <c r="Q166" t="str">
        <f ca="1">_xll.BDP($B$12,$C$12,CONCATENATE("PX391=", $Q$158), CONCATENATE("PX392=",$Q$159), CONCATENATE("DS004=",$B$151), "Fill=B")</f>
        <v>#N/A Connection</v>
      </c>
      <c r="R166" t="str">
        <f ca="1">_xll.BDP($B$12,$C$12,CONCATENATE("PX391=", $R$158), CONCATENATE("PX392=",$R$159), CONCATENATE("DS004=",$B$151), "Fill=B")</f>
        <v>#N/A Connection</v>
      </c>
      <c r="S166" t="str">
        <f ca="1">_xll.BDP($B$12,$C$12,CONCATENATE("PX391=", $S$158), CONCATENATE("PX392=",$S$159), CONCATENATE("DS004=",$B$151), "Fill=B")</f>
        <v>#N/A Connection</v>
      </c>
      <c r="T166" t="str">
        <f ca="1">_xll.BDP($B$12,$C$12,CONCATENATE("PX391=", $T$158), CONCATENATE("PX392=",$T$159), CONCATENATE("DS004=",$B$151), "Fill=B")</f>
        <v>#N/A Connection</v>
      </c>
      <c r="U166" t="str">
        <f ca="1">_xll.BDP($B$12,$C$12,CONCATENATE("PX391=", $U$158), CONCATENATE("PX392=",$U$159), CONCATENATE("DS004=",$B$151), "Fill=B")</f>
        <v>#N/A Connection</v>
      </c>
      <c r="V166" t="str">
        <f ca="1">_xll.BDP($B$12,$C$12,CONCATENATE("PX391=", $V$158), CONCATENATE("PX392=",$V$159), CONCATENATE("DS004=",$B$151), "Fill=B")</f>
        <v>#N/A Connection</v>
      </c>
      <c r="W166" t="str">
        <f ca="1">_xll.BDP($B$12,$C$12,CONCATENATE("PX391=", $W$158), CONCATENATE("PX392=",$W$159), CONCATENATE("DS004=",$B$151), "Fill=B")</f>
        <v>#N/A Connection</v>
      </c>
      <c r="X166" t="str">
        <f ca="1">_xll.BDP($B$12,$C$12,CONCATENATE("PX391=", $X$158), CONCATENATE("PX392=",$X$159), CONCATENATE("DS004=",$B$151), "Fill=B")</f>
        <v>#N/A Connection</v>
      </c>
      <c r="Y166" t="str">
        <f ca="1">_xll.BDP($B$12,$C$12,CONCATENATE("PX391=", $Y$158), CONCATENATE("PX392=",$Y$159), CONCATENATE("DS004=",$B$151), "Fill=B")</f>
        <v>#N/A Connection</v>
      </c>
      <c r="Z166" t="str">
        <f ca="1">_xll.BDP($B$12,$C$12,CONCATENATE("PX391=", $Z$158), CONCATENATE("PX392=",$Z$159), CONCATENATE("DS004=",$B$151), "Fill=B")</f>
        <v>#N/A Connection</v>
      </c>
      <c r="AA166" t="str">
        <f ca="1">_xll.BDP($B$12,$C$12,CONCATENATE("PX391=", $AA$158), CONCATENATE("PX392=",$AA$159), CONCATENATE("DS004=",$B$151), "Fill=B")</f>
        <v>#N/A Connection</v>
      </c>
      <c r="AB166" t="str">
        <f ca="1">_xll.BDP($B$12,$C$12,CONCATENATE("PX391=", $AB$158), CONCATENATE("PX392=",$AB$159), CONCATENATE("DS004=",$B$151), "Fill=B")</f>
        <v>#N/A Connection</v>
      </c>
      <c r="AC166" t="str">
        <f ca="1">_xll.BDP($B$12,$C$12,CONCATENATE("PX391=", $AC$158), CONCATENATE("PX392=",$AC$159), CONCATENATE("DS004=",$B$151), "Fill=B")</f>
        <v>#N/A Connection</v>
      </c>
      <c r="AD166" t="str">
        <f ca="1">_xll.BDP($B$12,$C$12,CONCATENATE("PX391=", $AD$158), CONCATENATE("PX392=",$AD$159), CONCATENATE("DS004=",$B$151), "Fill=B")</f>
        <v>#N/A Connection</v>
      </c>
      <c r="AE166" t="str">
        <f ca="1">_xll.BDP($B$12,$C$12,CONCATENATE("PX391=", $AE$158), CONCATENATE("PX392=",$AE$159), CONCATENATE("DS004=",$B$151), "Fill=B")</f>
        <v>#N/A Connection</v>
      </c>
      <c r="AF166" t="str">
        <f ca="1">_xll.BDP($B$12,$C$12,CONCATENATE("PX391=", $AF$158), CONCATENATE("PX392=",$AF$159), CONCATENATE("DS004=",$B$151), "Fill=B")</f>
        <v>#N/A Connection</v>
      </c>
      <c r="AG166" t="str">
        <f ca="1">_xll.BDP($B$12,$C$12,CONCATENATE("PX391=", $AG$158), CONCATENATE("PX392=",$AG$159), CONCATENATE("DS004=",$B$151), "Fill=B")</f>
        <v>#N/A Connection</v>
      </c>
      <c r="AH166" t="str">
        <f ca="1">_xll.BDP($B$12,$C$12,CONCATENATE("PX391=", $AH$158), CONCATENATE("PX392=",$AH$159), CONCATENATE("DS004=",$B$151), "Fill=B")</f>
        <v>#N/A Connection</v>
      </c>
      <c r="AI166" t="str">
        <f ca="1">_xll.BDP($B$12,$C$12,CONCATENATE("PX391=", $AI$158), CONCATENATE("PX392=",$AI$159), CONCATENATE("DS004=",$B$151), "Fill=B")</f>
        <v>#N/A Connection</v>
      </c>
      <c r="AJ166" t="str">
        <f ca="1">_xll.BDP($B$12,$C$12,CONCATENATE("PX391=", $AJ$158), CONCATENATE("PX392=",$AJ$159), CONCATENATE("DS004=",$B$151), "Fill=B")</f>
        <v>#N/A Connection</v>
      </c>
      <c r="AK166" t="str">
        <f ca="1">_xll.BDP($B$12,$C$12,CONCATENATE("PX391=", $AK$158), CONCATENATE("PX392=",$AK$159), CONCATENATE("DS004=",$B$151), "Fill=B")</f>
        <v>#N/A Connection</v>
      </c>
      <c r="AL166" t="str">
        <f ca="1">_xll.BDP($B$12,$C$12,CONCATENATE("PX391=", $AL$158), CONCATENATE("PX392=",$AL$159), CONCATENATE("DS004=",$B$151), "Fill=B")</f>
        <v>#N/A Connection</v>
      </c>
      <c r="AM166" t="str">
        <f ca="1">_xll.BDP($B$12,$C$12,CONCATENATE("PX391=", $AM$158), CONCATENATE("PX392=",$AM$159), CONCATENATE("DS004=",$B$151), "Fill=B")</f>
        <v>#N/A Connection</v>
      </c>
      <c r="AN166" t="str">
        <f ca="1">_xll.BDP($B$12,$C$12,CONCATENATE("PX391=", $AN$158), CONCATENATE("PX392=",$AN$159), CONCATENATE("DS004=",$B$151), "Fill=B")</f>
        <v>#N/A Connection</v>
      </c>
      <c r="AO166" t="str">
        <f ca="1">_xll.BDP($B$12,$C$12,CONCATENATE("PX391=", $AO$158), CONCATENATE("PX392=",$AO$159), CONCATENATE("DS004=",$B$151), "Fill=B")</f>
        <v>#N/A Connection</v>
      </c>
      <c r="AP166" t="str">
        <f ca="1">_xll.BDP($B$12,$C$12,CONCATENATE("PX391=", $AP$158), CONCATENATE("PX392=",$AP$159), CONCATENATE("DS004=",$B$151), "Fill=B")</f>
        <v>#N/A Connection</v>
      </c>
      <c r="AQ166" t="str">
        <f ca="1">_xll.BDP($B$12,$C$12,CONCATENATE("PX391=", $AQ$158), CONCATENATE("PX392=",$AQ$159), CONCATENATE("DS004=",$B$151), "Fill=B")</f>
        <v>#N/A Connection</v>
      </c>
      <c r="AR166" t="str">
        <f ca="1">_xll.BDP($B$12,$C$12,CONCATENATE("PX391=", $AR$158), CONCATENATE("PX392=",$AR$159), CONCATENATE("DS004=",$B$151), "Fill=B")</f>
        <v>#N/A Connection</v>
      </c>
      <c r="AS166" t="str">
        <f ca="1">_xll.BDP($B$12,$C$12,CONCATENATE("PX391=", $AS$158), CONCATENATE("PX392=",$AS$159), CONCATENATE("DS004=",$B$151), "Fill=B")</f>
        <v>#N/A Connection</v>
      </c>
      <c r="AT166" t="str">
        <f ca="1">_xll.BDP($B$12,$C$12,CONCATENATE("PX391=", $AT$158), CONCATENATE("PX392=",$AT$159), CONCATENATE("DS004=",$B$151), "Fill=B")</f>
        <v>#N/A Connection</v>
      </c>
      <c r="AU166" t="str">
        <f ca="1">_xll.BDP($B$12,$C$12,CONCATENATE("PX391=", $AU$158), CONCATENATE("PX392=",$AU$159), CONCATENATE("DS004=",$B$151), "Fill=B")</f>
        <v>#N/A Connection</v>
      </c>
      <c r="AV166" t="str">
        <f ca="1">_xll.BDP($B$12,$C$12,CONCATENATE("PX391=", $AV$158), CONCATENATE("PX392=",$AV$159), CONCATENATE("DS004=",$B$151), "Fill=B")</f>
        <v>#N/A Connection</v>
      </c>
      <c r="AW166" t="str">
        <f ca="1">_xll.BDP($B$12,$C$12,CONCATENATE("PX391=", $AW$158), CONCATENATE("PX392=",$AW$159), CONCATENATE("DS004=",$B$151), "Fill=B")</f>
        <v>#N/A Connection</v>
      </c>
      <c r="AX166" t="str">
        <f ca="1">_xll.BDP($B$12,$C$12,CONCATENATE("PX391=", $AX$158), CONCATENATE("PX392=",$AX$159), CONCATENATE("DS004=",$B$151), "Fill=B")</f>
        <v>#N/A Connection</v>
      </c>
      <c r="AY166" t="str">
        <f ca="1">_xll.BDP($B$12,$C$12,CONCATENATE("PX391=", $AY$158), CONCATENATE("PX392=",$AY$159), CONCATENATE("DS004=",$B$151), "Fill=B")</f>
        <v>#N/A Connection</v>
      </c>
      <c r="AZ166" t="str">
        <f ca="1">_xll.BDP($B$12,$C$12,CONCATENATE("PX391=", $AZ$158), CONCATENATE("PX392=",$AZ$159), CONCATENATE("DS004=",$B$151), "Fill=B")</f>
        <v>#N/A Connection</v>
      </c>
      <c r="BA166" t="str">
        <f ca="1">_xll.BDP($B$12,$C$12,CONCATENATE("PX391=", $BA$158), CONCATENATE("PX392=",$BA$159), CONCATENATE("DS004=",$B$151), "Fill=B")</f>
        <v>#N/A Connection</v>
      </c>
      <c r="BB166" t="str">
        <f ca="1">_xll.BDP($B$12,$C$12,CONCATENATE("PX391=", $BB$158), CONCATENATE("PX392=",$BB$159), CONCATENATE("DS004=",$B$151), "Fill=B")</f>
        <v>#N/A Connection</v>
      </c>
      <c r="BC166" t="str">
        <f ca="1">_xll.BDP($B$12,$C$12,CONCATENATE("PX391=", $BC$158), CONCATENATE("PX392=",$BC$159), CONCATENATE("DS004=",$B$151), "Fill=B")</f>
        <v>#N/A Connection</v>
      </c>
      <c r="BD166" t="str">
        <f ca="1">_xll.BDP($B$12,$C$12,CONCATENATE("PX391=", $BD$158), CONCATENATE("PX392=",$BD$159), CONCATENATE("DS004=",$B$151), "Fill=B")</f>
        <v>#N/A Connection</v>
      </c>
      <c r="BE166" t="str">
        <f ca="1">_xll.BDP($B$12,$C$12,CONCATENATE("PX391=", $BE$158), CONCATENATE("PX392=",$BE$159), CONCATENATE("DS004=",$B$151), "Fill=B")</f>
        <v>#N/A Connection</v>
      </c>
      <c r="BF166" t="str">
        <f ca="1">_xll.BDP($B$12,$C$12,CONCATENATE("PX391=", $BF$158), CONCATENATE("PX392=",$BF$159), CONCATENATE("DS004=",$B$151), "Fill=B")</f>
        <v>#N/A Connection</v>
      </c>
      <c r="BG166" t="str">
        <f ca="1">_xll.BDP($B$12,$C$12,CONCATENATE("PX391=", $BG$158), CONCATENATE("PX392=",$BG$159), CONCATENATE("DS004=",$B$151), "Fill=B")</f>
        <v>#N/A Connection</v>
      </c>
      <c r="BH166" t="str">
        <f ca="1">_xll.BDP($B$12,$C$12,CONCATENATE("PX391=", $BH$158), CONCATENATE("PX392=",$BH$159), CONCATENATE("DS004=",$B$151), "Fill=B")</f>
        <v>#N/A Connection</v>
      </c>
      <c r="BI166" t="str">
        <f ca="1">_xll.BDP($B$12,$C$12,CONCATENATE("PX391=", $BI$158), CONCATENATE("PX392=",$BI$159), CONCATENATE("DS004=",$B$151), "Fill=B")</f>
        <v>#N/A Connection</v>
      </c>
      <c r="BJ166" t="str">
        <f ca="1">_xll.BDP($B$12,$C$12,CONCATENATE("PX391=", $BJ$158), CONCATENATE("PX392=",$BJ$159), CONCATENATE("DS004=",$B$151), "Fill=B")</f>
        <v>#N/A Connection</v>
      </c>
      <c r="BK166" t="str">
        <f ca="1">_xll.BDP($B$12,$C$12,CONCATENATE("PX391=", $BK$158), CONCATENATE("PX392=",$BK$159), CONCATENATE("DS004=",$B$151), "Fill=B")</f>
        <v>#N/A Connection</v>
      </c>
      <c r="BL166" t="str">
        <f ca="1">_xll.BDP($B$12,$C$12,CONCATENATE("PX391=", $BL$158), CONCATENATE("PX392=",$BL$159), CONCATENATE("DS004=",$B$151), "Fill=B")</f>
        <v>#N/A Connection</v>
      </c>
      <c r="BM166" t="str">
        <f ca="1">_xll.BDP($B$12,$C$12,CONCATENATE("PX391=", $BM$158), CONCATENATE("PX392=",$BM$159), CONCATENATE("DS004=",$B$151), "Fill=B")</f>
        <v>#N/A Connection</v>
      </c>
      <c r="BN166" t="str">
        <f>""</f>
        <v/>
      </c>
      <c r="BO166" t="str">
        <f>""</f>
        <v/>
      </c>
      <c r="BP166" t="str">
        <f>""</f>
        <v/>
      </c>
      <c r="BQ166" t="str">
        <f>""</f>
        <v/>
      </c>
      <c r="BR166" t="str">
        <f>""</f>
        <v/>
      </c>
      <c r="BS166" t="str">
        <f>""</f>
        <v/>
      </c>
      <c r="BT166" t="str">
        <f>""</f>
        <v/>
      </c>
      <c r="BU166" t="str">
        <f>""</f>
        <v/>
      </c>
      <c r="BV166" t="str">
        <f>""</f>
        <v/>
      </c>
      <c r="BW166" t="str">
        <f>""</f>
        <v/>
      </c>
      <c r="BX166" t="str">
        <f>""</f>
        <v/>
      </c>
      <c r="BY166" t="str">
        <f>""</f>
        <v/>
      </c>
      <c r="BZ166" t="str">
        <f>""</f>
        <v/>
      </c>
      <c r="CA166" t="str">
        <f>""</f>
        <v/>
      </c>
      <c r="CB166" t="str">
        <f>""</f>
        <v/>
      </c>
      <c r="CC166" t="str">
        <f>""</f>
        <v/>
      </c>
      <c r="CD166" t="str">
        <f>""</f>
        <v/>
      </c>
      <c r="CE166" t="str">
        <f>""</f>
        <v/>
      </c>
      <c r="CF166" t="str">
        <f>""</f>
        <v/>
      </c>
      <c r="CG166" t="str">
        <f>""</f>
        <v/>
      </c>
      <c r="CH166" t="str">
        <f>""</f>
        <v/>
      </c>
      <c r="CI166" t="str">
        <f>""</f>
        <v/>
      </c>
      <c r="CJ166" t="str">
        <f>""</f>
        <v/>
      </c>
      <c r="CK166" t="str">
        <f>""</f>
        <v/>
      </c>
      <c r="CL166" t="str">
        <f>""</f>
        <v/>
      </c>
      <c r="CM166" t="str">
        <f>""</f>
        <v/>
      </c>
      <c r="CN166" t="str">
        <f>""</f>
        <v/>
      </c>
      <c r="CO166" t="str">
        <f>""</f>
        <v/>
      </c>
      <c r="CP166" t="str">
        <f>""</f>
        <v/>
      </c>
      <c r="CQ166" t="str">
        <f>""</f>
        <v/>
      </c>
      <c r="CR166" t="str">
        <f>""</f>
        <v/>
      </c>
      <c r="CS166" t="str">
        <f>""</f>
        <v/>
      </c>
      <c r="CT166" t="str">
        <f>""</f>
        <v/>
      </c>
      <c r="CU166" t="str">
        <f>""</f>
        <v/>
      </c>
      <c r="CV166" t="str">
        <f>""</f>
        <v/>
      </c>
      <c r="CW166" t="str">
        <f>""</f>
        <v/>
      </c>
      <c r="CX166" t="str">
        <f>""</f>
        <v/>
      </c>
      <c r="CY166" t="str">
        <f>""</f>
        <v/>
      </c>
      <c r="CZ166" t="str">
        <f>""</f>
        <v/>
      </c>
      <c r="DA166" t="str">
        <f>""</f>
        <v/>
      </c>
      <c r="DB166" t="str">
        <f>""</f>
        <v/>
      </c>
      <c r="DC166" t="str">
        <f>""</f>
        <v/>
      </c>
      <c r="DD166" t="str">
        <f>""</f>
        <v/>
      </c>
      <c r="DE166" t="str">
        <f>""</f>
        <v/>
      </c>
      <c r="DF166" t="str">
        <f>""</f>
        <v/>
      </c>
      <c r="DG166" t="str">
        <f>""</f>
        <v/>
      </c>
      <c r="DH166" t="str">
        <f>""</f>
        <v/>
      </c>
      <c r="DI166" t="str">
        <f>""</f>
        <v/>
      </c>
      <c r="DJ166" t="str">
        <f>""</f>
        <v/>
      </c>
      <c r="DK166" t="str">
        <f>""</f>
        <v/>
      </c>
      <c r="DL166" t="str">
        <f>""</f>
        <v/>
      </c>
      <c r="DM166" t="str">
        <f>""</f>
        <v/>
      </c>
      <c r="DN166" t="str">
        <f>""</f>
        <v/>
      </c>
      <c r="DO166" t="str">
        <f>""</f>
        <v/>
      </c>
      <c r="DP166" t="str">
        <f>""</f>
        <v/>
      </c>
      <c r="DQ166" t="str">
        <f>""</f>
        <v/>
      </c>
      <c r="DR166" t="str">
        <f>""</f>
        <v/>
      </c>
      <c r="DS166" t="str">
        <f>""</f>
        <v/>
      </c>
      <c r="DT166" t="str">
        <f>""</f>
        <v/>
      </c>
      <c r="DU166" t="str">
        <f>""</f>
        <v/>
      </c>
    </row>
    <row r="167" spans="1:125" x14ac:dyDescent="0.25">
      <c r="A167" t="str">
        <f>$A$13</f>
        <v xml:space="preserve">        Japan</v>
      </c>
      <c r="B167" t="str">
        <f>$B$13</f>
        <v>JNVTTOTL Index</v>
      </c>
      <c r="C167" t="str">
        <f>$C$13</f>
        <v>PX385</v>
      </c>
      <c r="D167" t="str">
        <f>$D$13</f>
        <v>INTERVAL_SUM</v>
      </c>
      <c r="E167" t="str">
        <f>$E$13</f>
        <v>Dynamic</v>
      </c>
      <c r="F167" t="str">
        <f ca="1">_xll.BDP($B$13,$C$13,CONCATENATE("PX391=", $F$158), CONCATENATE("PX392=",$F$159), CONCATENATE("DS004=",$B$151), "Fill=B")</f>
        <v>#N/A Connection</v>
      </c>
      <c r="G167" t="str">
        <f ca="1">_xll.BDP($B$13,$C$13,CONCATENATE("PX391=", $G$158), CONCATENATE("PX392=",$G$159), CONCATENATE("DS004=",$B$151), "Fill=B")</f>
        <v>#N/A Connection</v>
      </c>
      <c r="H167" t="str">
        <f ca="1">_xll.BDP($B$13,$C$13,CONCATENATE("PX391=", $H$158), CONCATENATE("PX392=",$H$159), CONCATENATE("DS004=",$B$151), "Fill=B")</f>
        <v>#N/A Connection</v>
      </c>
      <c r="I167" t="str">
        <f ca="1">_xll.BDP($B$13,$C$13,CONCATENATE("PX391=", $I$158), CONCATENATE("PX392=",$I$159), CONCATENATE("DS004=",$B$151), "Fill=B")</f>
        <v>#N/A Connection</v>
      </c>
      <c r="J167" t="str">
        <f ca="1">_xll.BDP($B$13,$C$13,CONCATENATE("PX391=", $J$158), CONCATENATE("PX392=",$J$159), CONCATENATE("DS004=",$B$151), "Fill=B")</f>
        <v>#N/A Connection</v>
      </c>
      <c r="K167" t="str">
        <f ca="1">_xll.BDP($B$13,$C$13,CONCATENATE("PX391=", $K$158), CONCATENATE("PX392=",$K$159), CONCATENATE("DS004=",$B$151), "Fill=B")</f>
        <v>#N/A Connection</v>
      </c>
      <c r="L167" t="str">
        <f ca="1">_xll.BDP($B$13,$C$13,CONCATENATE("PX391=", $L$158), CONCATENATE("PX392=",$L$159), CONCATENATE("DS004=",$B$151), "Fill=B")</f>
        <v>#N/A Connection</v>
      </c>
      <c r="M167" t="str">
        <f ca="1">_xll.BDP($B$13,$C$13,CONCATENATE("PX391=", $M$158), CONCATENATE("PX392=",$M$159), CONCATENATE("DS004=",$B$151), "Fill=B")</f>
        <v>#N/A Connection</v>
      </c>
      <c r="N167" t="str">
        <f ca="1">_xll.BDP($B$13,$C$13,CONCATENATE("PX391=", $N$158), CONCATENATE("PX392=",$N$159), CONCATENATE("DS004=",$B$151), "Fill=B")</f>
        <v>#N/A Connection</v>
      </c>
      <c r="O167" t="str">
        <f ca="1">_xll.BDP($B$13,$C$13,CONCATENATE("PX391=", $O$158), CONCATENATE("PX392=",$O$159), CONCATENATE("DS004=",$B$151), "Fill=B")</f>
        <v>#N/A Connection</v>
      </c>
      <c r="P167" t="str">
        <f ca="1">_xll.BDP($B$13,$C$13,CONCATENATE("PX391=", $P$158), CONCATENATE("PX392=",$P$159), CONCATENATE("DS004=",$B$151), "Fill=B")</f>
        <v>#N/A Connection</v>
      </c>
      <c r="Q167" t="str">
        <f ca="1">_xll.BDP($B$13,$C$13,CONCATENATE("PX391=", $Q$158), CONCATENATE("PX392=",$Q$159), CONCATENATE("DS004=",$B$151), "Fill=B")</f>
        <v>#N/A Connection</v>
      </c>
      <c r="R167" t="str">
        <f ca="1">_xll.BDP($B$13,$C$13,CONCATENATE("PX391=", $R$158), CONCATENATE("PX392=",$R$159), CONCATENATE("DS004=",$B$151), "Fill=B")</f>
        <v>#N/A Connection</v>
      </c>
      <c r="S167" t="str">
        <f ca="1">_xll.BDP($B$13,$C$13,CONCATENATE("PX391=", $S$158), CONCATENATE("PX392=",$S$159), CONCATENATE("DS004=",$B$151), "Fill=B")</f>
        <v>#N/A Connection</v>
      </c>
      <c r="T167" t="str">
        <f ca="1">_xll.BDP($B$13,$C$13,CONCATENATE("PX391=", $T$158), CONCATENATE("PX392=",$T$159), CONCATENATE("DS004=",$B$151), "Fill=B")</f>
        <v>#N/A Connection</v>
      </c>
      <c r="U167" t="str">
        <f ca="1">_xll.BDP($B$13,$C$13,CONCATENATE("PX391=", $U$158), CONCATENATE("PX392=",$U$159), CONCATENATE("DS004=",$B$151), "Fill=B")</f>
        <v>#N/A Connection</v>
      </c>
      <c r="V167" t="str">
        <f ca="1">_xll.BDP($B$13,$C$13,CONCATENATE("PX391=", $V$158), CONCATENATE("PX392=",$V$159), CONCATENATE("DS004=",$B$151), "Fill=B")</f>
        <v>#N/A Connection</v>
      </c>
      <c r="W167" t="str">
        <f ca="1">_xll.BDP($B$13,$C$13,CONCATENATE("PX391=", $W$158), CONCATENATE("PX392=",$W$159), CONCATENATE("DS004=",$B$151), "Fill=B")</f>
        <v>#N/A Connection</v>
      </c>
      <c r="X167" t="str">
        <f ca="1">_xll.BDP($B$13,$C$13,CONCATENATE("PX391=", $X$158), CONCATENATE("PX392=",$X$159), CONCATENATE("DS004=",$B$151), "Fill=B")</f>
        <v>#N/A Connection</v>
      </c>
      <c r="Y167" t="str">
        <f ca="1">_xll.BDP($B$13,$C$13,CONCATENATE("PX391=", $Y$158), CONCATENATE("PX392=",$Y$159), CONCATENATE("DS004=",$B$151), "Fill=B")</f>
        <v>#N/A Connection</v>
      </c>
      <c r="Z167" t="str">
        <f ca="1">_xll.BDP($B$13,$C$13,CONCATENATE("PX391=", $Z$158), CONCATENATE("PX392=",$Z$159), CONCATENATE("DS004=",$B$151), "Fill=B")</f>
        <v>#N/A Connection</v>
      </c>
      <c r="AA167" t="str">
        <f ca="1">_xll.BDP($B$13,$C$13,CONCATENATE("PX391=", $AA$158), CONCATENATE("PX392=",$AA$159), CONCATENATE("DS004=",$B$151), "Fill=B")</f>
        <v>#N/A Connection</v>
      </c>
      <c r="AB167" t="str">
        <f ca="1">_xll.BDP($B$13,$C$13,CONCATENATE("PX391=", $AB$158), CONCATENATE("PX392=",$AB$159), CONCATENATE("DS004=",$B$151), "Fill=B")</f>
        <v>#N/A Connection</v>
      </c>
      <c r="AC167" t="str">
        <f ca="1">_xll.BDP($B$13,$C$13,CONCATENATE("PX391=", $AC$158), CONCATENATE("PX392=",$AC$159), CONCATENATE("DS004=",$B$151), "Fill=B")</f>
        <v>#N/A Connection</v>
      </c>
      <c r="AD167" t="str">
        <f ca="1">_xll.BDP($B$13,$C$13,CONCATENATE("PX391=", $AD$158), CONCATENATE("PX392=",$AD$159), CONCATENATE("DS004=",$B$151), "Fill=B")</f>
        <v>#N/A Connection</v>
      </c>
      <c r="AE167" t="str">
        <f ca="1">_xll.BDP($B$13,$C$13,CONCATENATE("PX391=", $AE$158), CONCATENATE("PX392=",$AE$159), CONCATENATE("DS004=",$B$151), "Fill=B")</f>
        <v>#N/A Connection</v>
      </c>
      <c r="AF167" t="str">
        <f ca="1">_xll.BDP($B$13,$C$13,CONCATENATE("PX391=", $AF$158), CONCATENATE("PX392=",$AF$159), CONCATENATE("DS004=",$B$151), "Fill=B")</f>
        <v>#N/A Connection</v>
      </c>
      <c r="AG167" t="str">
        <f ca="1">_xll.BDP($B$13,$C$13,CONCATENATE("PX391=", $AG$158), CONCATENATE("PX392=",$AG$159), CONCATENATE("DS004=",$B$151), "Fill=B")</f>
        <v>#N/A Connection</v>
      </c>
      <c r="AH167" t="str">
        <f ca="1">_xll.BDP($B$13,$C$13,CONCATENATE("PX391=", $AH$158), CONCATENATE("PX392=",$AH$159), CONCATENATE("DS004=",$B$151), "Fill=B")</f>
        <v>#N/A Connection</v>
      </c>
      <c r="AI167" t="str">
        <f ca="1">_xll.BDP($B$13,$C$13,CONCATENATE("PX391=", $AI$158), CONCATENATE("PX392=",$AI$159), CONCATENATE("DS004=",$B$151), "Fill=B")</f>
        <v>#N/A Connection</v>
      </c>
      <c r="AJ167" t="str">
        <f ca="1">_xll.BDP($B$13,$C$13,CONCATENATE("PX391=", $AJ$158), CONCATENATE("PX392=",$AJ$159), CONCATENATE("DS004=",$B$151), "Fill=B")</f>
        <v>#N/A Connection</v>
      </c>
      <c r="AK167" t="str">
        <f ca="1">_xll.BDP($B$13,$C$13,CONCATENATE("PX391=", $AK$158), CONCATENATE("PX392=",$AK$159), CONCATENATE("DS004=",$B$151), "Fill=B")</f>
        <v>#N/A Connection</v>
      </c>
      <c r="AL167" t="str">
        <f ca="1">_xll.BDP($B$13,$C$13,CONCATENATE("PX391=", $AL$158), CONCATENATE("PX392=",$AL$159), CONCATENATE("DS004=",$B$151), "Fill=B")</f>
        <v>#N/A Connection</v>
      </c>
      <c r="AM167" t="str">
        <f ca="1">_xll.BDP($B$13,$C$13,CONCATENATE("PX391=", $AM$158), CONCATENATE("PX392=",$AM$159), CONCATENATE("DS004=",$B$151), "Fill=B")</f>
        <v>#N/A Connection</v>
      </c>
      <c r="AN167" t="str">
        <f ca="1">_xll.BDP($B$13,$C$13,CONCATENATE("PX391=", $AN$158), CONCATENATE("PX392=",$AN$159), CONCATENATE("DS004=",$B$151), "Fill=B")</f>
        <v>#N/A Connection</v>
      </c>
      <c r="AO167" t="str">
        <f ca="1">_xll.BDP($B$13,$C$13,CONCATENATE("PX391=", $AO$158), CONCATENATE("PX392=",$AO$159), CONCATENATE("DS004=",$B$151), "Fill=B")</f>
        <v>#N/A Connection</v>
      </c>
      <c r="AP167" t="str">
        <f ca="1">_xll.BDP($B$13,$C$13,CONCATENATE("PX391=", $AP$158), CONCATENATE("PX392=",$AP$159), CONCATENATE("DS004=",$B$151), "Fill=B")</f>
        <v>#N/A Connection</v>
      </c>
      <c r="AQ167" t="str">
        <f ca="1">_xll.BDP($B$13,$C$13,CONCATENATE("PX391=", $AQ$158), CONCATENATE("PX392=",$AQ$159), CONCATENATE("DS004=",$B$151), "Fill=B")</f>
        <v>#N/A Connection</v>
      </c>
      <c r="AR167" t="str">
        <f ca="1">_xll.BDP($B$13,$C$13,CONCATENATE("PX391=", $AR$158), CONCATENATE("PX392=",$AR$159), CONCATENATE("DS004=",$B$151), "Fill=B")</f>
        <v>#N/A Connection</v>
      </c>
      <c r="AS167" t="str">
        <f ca="1">_xll.BDP($B$13,$C$13,CONCATENATE("PX391=", $AS$158), CONCATENATE("PX392=",$AS$159), CONCATENATE("DS004=",$B$151), "Fill=B")</f>
        <v>#N/A Connection</v>
      </c>
      <c r="AT167" t="str">
        <f ca="1">_xll.BDP($B$13,$C$13,CONCATENATE("PX391=", $AT$158), CONCATENATE("PX392=",$AT$159), CONCATENATE("DS004=",$B$151), "Fill=B")</f>
        <v>#N/A Connection</v>
      </c>
      <c r="AU167" t="str">
        <f ca="1">_xll.BDP($B$13,$C$13,CONCATENATE("PX391=", $AU$158), CONCATENATE("PX392=",$AU$159), CONCATENATE("DS004=",$B$151), "Fill=B")</f>
        <v>#N/A Connection</v>
      </c>
      <c r="AV167" t="str">
        <f ca="1">_xll.BDP($B$13,$C$13,CONCATENATE("PX391=", $AV$158), CONCATENATE("PX392=",$AV$159), CONCATENATE("DS004=",$B$151), "Fill=B")</f>
        <v>#N/A Connection</v>
      </c>
      <c r="AW167" t="str">
        <f ca="1">_xll.BDP($B$13,$C$13,CONCATENATE("PX391=", $AW$158), CONCATENATE("PX392=",$AW$159), CONCATENATE("DS004=",$B$151), "Fill=B")</f>
        <v>#N/A Connection</v>
      </c>
      <c r="AX167" t="str">
        <f ca="1">_xll.BDP($B$13,$C$13,CONCATENATE("PX391=", $AX$158), CONCATENATE("PX392=",$AX$159), CONCATENATE("DS004=",$B$151), "Fill=B")</f>
        <v>#N/A Connection</v>
      </c>
      <c r="AY167" t="str">
        <f ca="1">_xll.BDP($B$13,$C$13,CONCATENATE("PX391=", $AY$158), CONCATENATE("PX392=",$AY$159), CONCATENATE("DS004=",$B$151), "Fill=B")</f>
        <v>#N/A Connection</v>
      </c>
      <c r="AZ167" t="str">
        <f ca="1">_xll.BDP($B$13,$C$13,CONCATENATE("PX391=", $AZ$158), CONCATENATE("PX392=",$AZ$159), CONCATENATE("DS004=",$B$151), "Fill=B")</f>
        <v>#N/A Connection</v>
      </c>
      <c r="BA167" t="str">
        <f ca="1">_xll.BDP($B$13,$C$13,CONCATENATE("PX391=", $BA$158), CONCATENATE("PX392=",$BA$159), CONCATENATE("DS004=",$B$151), "Fill=B")</f>
        <v>#N/A Connection</v>
      </c>
      <c r="BB167" t="str">
        <f ca="1">_xll.BDP($B$13,$C$13,CONCATENATE("PX391=", $BB$158), CONCATENATE("PX392=",$BB$159), CONCATENATE("DS004=",$B$151), "Fill=B")</f>
        <v>#N/A Connection</v>
      </c>
      <c r="BC167" t="str">
        <f ca="1">_xll.BDP($B$13,$C$13,CONCATENATE("PX391=", $BC$158), CONCATENATE("PX392=",$BC$159), CONCATENATE("DS004=",$B$151), "Fill=B")</f>
        <v>#N/A Connection</v>
      </c>
      <c r="BD167" t="str">
        <f ca="1">_xll.BDP($B$13,$C$13,CONCATENATE("PX391=", $BD$158), CONCATENATE("PX392=",$BD$159), CONCATENATE("DS004=",$B$151), "Fill=B")</f>
        <v>#N/A Connection</v>
      </c>
      <c r="BE167" t="str">
        <f ca="1">_xll.BDP($B$13,$C$13,CONCATENATE("PX391=", $BE$158), CONCATENATE("PX392=",$BE$159), CONCATENATE("DS004=",$B$151), "Fill=B")</f>
        <v>#N/A Connection</v>
      </c>
      <c r="BF167" t="str">
        <f ca="1">_xll.BDP($B$13,$C$13,CONCATENATE("PX391=", $BF$158), CONCATENATE("PX392=",$BF$159), CONCATENATE("DS004=",$B$151), "Fill=B")</f>
        <v>#N/A Connection</v>
      </c>
      <c r="BG167" t="str">
        <f ca="1">_xll.BDP($B$13,$C$13,CONCATENATE("PX391=", $BG$158), CONCATENATE("PX392=",$BG$159), CONCATENATE("DS004=",$B$151), "Fill=B")</f>
        <v>#N/A Connection</v>
      </c>
      <c r="BH167" t="str">
        <f ca="1">_xll.BDP($B$13,$C$13,CONCATENATE("PX391=", $BH$158), CONCATENATE("PX392=",$BH$159), CONCATENATE("DS004=",$B$151), "Fill=B")</f>
        <v>#N/A Connection</v>
      </c>
      <c r="BI167" t="str">
        <f ca="1">_xll.BDP($B$13,$C$13,CONCATENATE("PX391=", $BI$158), CONCATENATE("PX392=",$BI$159), CONCATENATE("DS004=",$B$151), "Fill=B")</f>
        <v>#N/A Connection</v>
      </c>
      <c r="BJ167" t="str">
        <f ca="1">_xll.BDP($B$13,$C$13,CONCATENATE("PX391=", $BJ$158), CONCATENATE("PX392=",$BJ$159), CONCATENATE("DS004=",$B$151), "Fill=B")</f>
        <v>#N/A Connection</v>
      </c>
      <c r="BK167" t="str">
        <f ca="1">_xll.BDP($B$13,$C$13,CONCATENATE("PX391=", $BK$158), CONCATENATE("PX392=",$BK$159), CONCATENATE("DS004=",$B$151), "Fill=B")</f>
        <v>#N/A Connection</v>
      </c>
      <c r="BL167" t="str">
        <f ca="1">_xll.BDP($B$13,$C$13,CONCATENATE("PX391=", $BL$158), CONCATENATE("PX392=",$BL$159), CONCATENATE("DS004=",$B$151), "Fill=B")</f>
        <v>#N/A Connection</v>
      </c>
      <c r="BM167" t="str">
        <f ca="1">_xll.BDP($B$13,$C$13,CONCATENATE("PX391=", $BM$158), CONCATENATE("PX392=",$BM$159), CONCATENATE("DS004=",$B$151), "Fill=B")</f>
        <v>#N/A Connection</v>
      </c>
      <c r="BN167" t="str">
        <f>""</f>
        <v/>
      </c>
      <c r="BO167" t="str">
        <f>""</f>
        <v/>
      </c>
      <c r="BP167" t="str">
        <f>""</f>
        <v/>
      </c>
      <c r="BQ167" t="str">
        <f>""</f>
        <v/>
      </c>
      <c r="BR167" t="str">
        <f>""</f>
        <v/>
      </c>
      <c r="BS167" t="str">
        <f>""</f>
        <v/>
      </c>
      <c r="BT167" t="str">
        <f>""</f>
        <v/>
      </c>
      <c r="BU167" t="str">
        <f>""</f>
        <v/>
      </c>
      <c r="BV167" t="str">
        <f>""</f>
        <v/>
      </c>
      <c r="BW167" t="str">
        <f>""</f>
        <v/>
      </c>
      <c r="BX167" t="str">
        <f>""</f>
        <v/>
      </c>
      <c r="BY167" t="str">
        <f>""</f>
        <v/>
      </c>
      <c r="BZ167" t="str">
        <f>""</f>
        <v/>
      </c>
      <c r="CA167" t="str">
        <f>""</f>
        <v/>
      </c>
      <c r="CB167" t="str">
        <f>""</f>
        <v/>
      </c>
      <c r="CC167" t="str">
        <f>""</f>
        <v/>
      </c>
      <c r="CD167" t="str">
        <f>""</f>
        <v/>
      </c>
      <c r="CE167" t="str">
        <f>""</f>
        <v/>
      </c>
      <c r="CF167" t="str">
        <f>""</f>
        <v/>
      </c>
      <c r="CG167" t="str">
        <f>""</f>
        <v/>
      </c>
      <c r="CH167" t="str">
        <f>""</f>
        <v/>
      </c>
      <c r="CI167" t="str">
        <f>""</f>
        <v/>
      </c>
      <c r="CJ167" t="str">
        <f>""</f>
        <v/>
      </c>
      <c r="CK167" t="str">
        <f>""</f>
        <v/>
      </c>
      <c r="CL167" t="str">
        <f>""</f>
        <v/>
      </c>
      <c r="CM167" t="str">
        <f>""</f>
        <v/>
      </c>
      <c r="CN167" t="str">
        <f>""</f>
        <v/>
      </c>
      <c r="CO167" t="str">
        <f>""</f>
        <v/>
      </c>
      <c r="CP167" t="str">
        <f>""</f>
        <v/>
      </c>
      <c r="CQ167" t="str">
        <f>""</f>
        <v/>
      </c>
      <c r="CR167" t="str">
        <f>""</f>
        <v/>
      </c>
      <c r="CS167" t="str">
        <f>""</f>
        <v/>
      </c>
      <c r="CT167" t="str">
        <f>""</f>
        <v/>
      </c>
      <c r="CU167" t="str">
        <f>""</f>
        <v/>
      </c>
      <c r="CV167" t="str">
        <f>""</f>
        <v/>
      </c>
      <c r="CW167" t="str">
        <f>""</f>
        <v/>
      </c>
      <c r="CX167" t="str">
        <f>""</f>
        <v/>
      </c>
      <c r="CY167" t="str">
        <f>""</f>
        <v/>
      </c>
      <c r="CZ167" t="str">
        <f>""</f>
        <v/>
      </c>
      <c r="DA167" t="str">
        <f>""</f>
        <v/>
      </c>
      <c r="DB167" t="str">
        <f>""</f>
        <v/>
      </c>
      <c r="DC167" t="str">
        <f>""</f>
        <v/>
      </c>
      <c r="DD167" t="str">
        <f>""</f>
        <v/>
      </c>
      <c r="DE167" t="str">
        <f>""</f>
        <v/>
      </c>
      <c r="DF167" t="str">
        <f>""</f>
        <v/>
      </c>
      <c r="DG167" t="str">
        <f>""</f>
        <v/>
      </c>
      <c r="DH167" t="str">
        <f>""</f>
        <v/>
      </c>
      <c r="DI167" t="str">
        <f>""</f>
        <v/>
      </c>
      <c r="DJ167" t="str">
        <f>""</f>
        <v/>
      </c>
      <c r="DK167" t="str">
        <f>""</f>
        <v/>
      </c>
      <c r="DL167" t="str">
        <f>""</f>
        <v/>
      </c>
      <c r="DM167" t="str">
        <f>""</f>
        <v/>
      </c>
      <c r="DN167" t="str">
        <f>""</f>
        <v/>
      </c>
      <c r="DO167" t="str">
        <f>""</f>
        <v/>
      </c>
      <c r="DP167" t="str">
        <f>""</f>
        <v/>
      </c>
      <c r="DQ167" t="str">
        <f>""</f>
        <v/>
      </c>
      <c r="DR167" t="str">
        <f>""</f>
        <v/>
      </c>
      <c r="DS167" t="str">
        <f>""</f>
        <v/>
      </c>
      <c r="DT167" t="str">
        <f>""</f>
        <v/>
      </c>
      <c r="DU167" t="str">
        <f>""</f>
        <v/>
      </c>
    </row>
    <row r="168" spans="1:125" x14ac:dyDescent="0.25">
      <c r="A168" t="str">
        <f>$A$14</f>
        <v xml:space="preserve">        Malaysia</v>
      </c>
      <c r="B168" t="str">
        <f>$B$14</f>
        <v>MAVSTTL Index</v>
      </c>
      <c r="C168" t="str">
        <f>$C$14</f>
        <v>PX385</v>
      </c>
      <c r="D168" t="str">
        <f>$D$14</f>
        <v>INTERVAL_SUM</v>
      </c>
      <c r="E168" t="str">
        <f>$E$14</f>
        <v>Dynamic</v>
      </c>
      <c r="F168" t="str">
        <f ca="1">_xll.BDP($B$14,$C$14,CONCATENATE("PX391=", $F$158), CONCATENATE("PX392=",$F$159), CONCATENATE("DS004=",$B$151), "Fill=B")</f>
        <v>#N/A Connection</v>
      </c>
      <c r="G168" t="str">
        <f ca="1">_xll.BDP($B$14,$C$14,CONCATENATE("PX391=", $G$158), CONCATENATE("PX392=",$G$159), CONCATENATE("DS004=",$B$151), "Fill=B")</f>
        <v>#N/A Connection</v>
      </c>
      <c r="H168" t="str">
        <f ca="1">_xll.BDP($B$14,$C$14,CONCATENATE("PX391=", $H$158), CONCATENATE("PX392=",$H$159), CONCATENATE("DS004=",$B$151), "Fill=B")</f>
        <v>#N/A Connection</v>
      </c>
      <c r="I168" t="str">
        <f ca="1">_xll.BDP($B$14,$C$14,CONCATENATE("PX391=", $I$158), CONCATENATE("PX392=",$I$159), CONCATENATE("DS004=",$B$151), "Fill=B")</f>
        <v>#N/A Connection</v>
      </c>
      <c r="J168" t="str">
        <f ca="1">_xll.BDP($B$14,$C$14,CONCATENATE("PX391=", $J$158), CONCATENATE("PX392=",$J$159), CONCATENATE("DS004=",$B$151), "Fill=B")</f>
        <v>#N/A Connection</v>
      </c>
      <c r="K168" t="str">
        <f ca="1">_xll.BDP($B$14,$C$14,CONCATENATE("PX391=", $K$158), CONCATENATE("PX392=",$K$159), CONCATENATE("DS004=",$B$151), "Fill=B")</f>
        <v>#N/A Connection</v>
      </c>
      <c r="L168" t="str">
        <f ca="1">_xll.BDP($B$14,$C$14,CONCATENATE("PX391=", $L$158), CONCATENATE("PX392=",$L$159), CONCATENATE("DS004=",$B$151), "Fill=B")</f>
        <v>#N/A Connection</v>
      </c>
      <c r="M168" t="str">
        <f ca="1">_xll.BDP($B$14,$C$14,CONCATENATE("PX391=", $M$158), CONCATENATE("PX392=",$M$159), CONCATENATE("DS004=",$B$151), "Fill=B")</f>
        <v>#N/A Connection</v>
      </c>
      <c r="N168" t="str">
        <f ca="1">_xll.BDP($B$14,$C$14,CONCATENATE("PX391=", $N$158), CONCATENATE("PX392=",$N$159), CONCATENATE("DS004=",$B$151), "Fill=B")</f>
        <v>#N/A Connection</v>
      </c>
      <c r="O168" t="str">
        <f ca="1">_xll.BDP($B$14,$C$14,CONCATENATE("PX391=", $O$158), CONCATENATE("PX392=",$O$159), CONCATENATE("DS004=",$B$151), "Fill=B")</f>
        <v>#N/A Connection</v>
      </c>
      <c r="P168" t="str">
        <f ca="1">_xll.BDP($B$14,$C$14,CONCATENATE("PX391=", $P$158), CONCATENATE("PX392=",$P$159), CONCATENATE("DS004=",$B$151), "Fill=B")</f>
        <v>#N/A Connection</v>
      </c>
      <c r="Q168" t="str">
        <f ca="1">_xll.BDP($B$14,$C$14,CONCATENATE("PX391=", $Q$158), CONCATENATE("PX392=",$Q$159), CONCATENATE("DS004=",$B$151), "Fill=B")</f>
        <v>#N/A Connection</v>
      </c>
      <c r="R168" t="str">
        <f ca="1">_xll.BDP($B$14,$C$14,CONCATENATE("PX391=", $R$158), CONCATENATE("PX392=",$R$159), CONCATENATE("DS004=",$B$151), "Fill=B")</f>
        <v>#N/A Connection</v>
      </c>
      <c r="S168" t="str">
        <f ca="1">_xll.BDP($B$14,$C$14,CONCATENATE("PX391=", $S$158), CONCATENATE("PX392=",$S$159), CONCATENATE("DS004=",$B$151), "Fill=B")</f>
        <v>#N/A Connection</v>
      </c>
      <c r="T168" t="str">
        <f ca="1">_xll.BDP($B$14,$C$14,CONCATENATE("PX391=", $T$158), CONCATENATE("PX392=",$T$159), CONCATENATE("DS004=",$B$151), "Fill=B")</f>
        <v>#N/A Connection</v>
      </c>
      <c r="U168" t="str">
        <f ca="1">_xll.BDP($B$14,$C$14,CONCATENATE("PX391=", $U$158), CONCATENATE("PX392=",$U$159), CONCATENATE("DS004=",$B$151), "Fill=B")</f>
        <v>#N/A Connection</v>
      </c>
      <c r="V168" t="str">
        <f ca="1">_xll.BDP($B$14,$C$14,CONCATENATE("PX391=", $V$158), CONCATENATE("PX392=",$V$159), CONCATENATE("DS004=",$B$151), "Fill=B")</f>
        <v>#N/A Connection</v>
      </c>
      <c r="W168" t="str">
        <f ca="1">_xll.BDP($B$14,$C$14,CONCATENATE("PX391=", $W$158), CONCATENATE("PX392=",$W$159), CONCATENATE("DS004=",$B$151), "Fill=B")</f>
        <v>#N/A Connection</v>
      </c>
      <c r="X168" t="str">
        <f ca="1">_xll.BDP($B$14,$C$14,CONCATENATE("PX391=", $X$158), CONCATENATE("PX392=",$X$159), CONCATENATE("DS004=",$B$151), "Fill=B")</f>
        <v>#N/A Connection</v>
      </c>
      <c r="Y168" t="str">
        <f ca="1">_xll.BDP($B$14,$C$14,CONCATENATE("PX391=", $Y$158), CONCATENATE("PX392=",$Y$159), CONCATENATE("DS004=",$B$151), "Fill=B")</f>
        <v>#N/A Connection</v>
      </c>
      <c r="Z168" t="str">
        <f ca="1">_xll.BDP($B$14,$C$14,CONCATENATE("PX391=", $Z$158), CONCATENATE("PX392=",$Z$159), CONCATENATE("DS004=",$B$151), "Fill=B")</f>
        <v>#N/A Connection</v>
      </c>
      <c r="AA168" t="str">
        <f ca="1">_xll.BDP($B$14,$C$14,CONCATENATE("PX391=", $AA$158), CONCATENATE("PX392=",$AA$159), CONCATENATE("DS004=",$B$151), "Fill=B")</f>
        <v>#N/A Connection</v>
      </c>
      <c r="AB168" t="str">
        <f ca="1">_xll.BDP($B$14,$C$14,CONCATENATE("PX391=", $AB$158), CONCATENATE("PX392=",$AB$159), CONCATENATE("DS004=",$B$151), "Fill=B")</f>
        <v>#N/A Connection</v>
      </c>
      <c r="AC168" t="str">
        <f ca="1">_xll.BDP($B$14,$C$14,CONCATENATE("PX391=", $AC$158), CONCATENATE("PX392=",$AC$159), CONCATENATE("DS004=",$B$151), "Fill=B")</f>
        <v>#N/A Connection</v>
      </c>
      <c r="AD168" t="str">
        <f ca="1">_xll.BDP($B$14,$C$14,CONCATENATE("PX391=", $AD$158), CONCATENATE("PX392=",$AD$159), CONCATENATE("DS004=",$B$151), "Fill=B")</f>
        <v>#N/A Connection</v>
      </c>
      <c r="AE168" t="str">
        <f ca="1">_xll.BDP($B$14,$C$14,CONCATENATE("PX391=", $AE$158), CONCATENATE("PX392=",$AE$159), CONCATENATE("DS004=",$B$151), "Fill=B")</f>
        <v>#N/A Connection</v>
      </c>
      <c r="AF168" t="str">
        <f ca="1">_xll.BDP($B$14,$C$14,CONCATENATE("PX391=", $AF$158), CONCATENATE("PX392=",$AF$159), CONCATENATE("DS004=",$B$151), "Fill=B")</f>
        <v>#N/A Connection</v>
      </c>
      <c r="AG168" t="str">
        <f ca="1">_xll.BDP($B$14,$C$14,CONCATENATE("PX391=", $AG$158), CONCATENATE("PX392=",$AG$159), CONCATENATE("DS004=",$B$151), "Fill=B")</f>
        <v>#N/A Connection</v>
      </c>
      <c r="AH168" t="str">
        <f ca="1">_xll.BDP($B$14,$C$14,CONCATENATE("PX391=", $AH$158), CONCATENATE("PX392=",$AH$159), CONCATENATE("DS004=",$B$151), "Fill=B")</f>
        <v>#N/A Connection</v>
      </c>
      <c r="AI168" t="str">
        <f ca="1">_xll.BDP($B$14,$C$14,CONCATENATE("PX391=", $AI$158), CONCATENATE("PX392=",$AI$159), CONCATENATE("DS004=",$B$151), "Fill=B")</f>
        <v>#N/A Connection</v>
      </c>
      <c r="AJ168" t="str">
        <f ca="1">_xll.BDP($B$14,$C$14,CONCATENATE("PX391=", $AJ$158), CONCATENATE("PX392=",$AJ$159), CONCATENATE("DS004=",$B$151), "Fill=B")</f>
        <v>#N/A Connection</v>
      </c>
      <c r="AK168" t="str">
        <f ca="1">_xll.BDP($B$14,$C$14,CONCATENATE("PX391=", $AK$158), CONCATENATE("PX392=",$AK$159), CONCATENATE("DS004=",$B$151), "Fill=B")</f>
        <v>#N/A Connection</v>
      </c>
      <c r="AL168" t="str">
        <f ca="1">_xll.BDP($B$14,$C$14,CONCATENATE("PX391=", $AL$158), CONCATENATE("PX392=",$AL$159), CONCATENATE("DS004=",$B$151), "Fill=B")</f>
        <v>#N/A Connection</v>
      </c>
      <c r="AM168" t="str">
        <f ca="1">_xll.BDP($B$14,$C$14,CONCATENATE("PX391=", $AM$158), CONCATENATE("PX392=",$AM$159), CONCATENATE("DS004=",$B$151), "Fill=B")</f>
        <v>#N/A Connection</v>
      </c>
      <c r="AN168" t="str">
        <f ca="1">_xll.BDP($B$14,$C$14,CONCATENATE("PX391=", $AN$158), CONCATENATE("PX392=",$AN$159), CONCATENATE("DS004=",$B$151), "Fill=B")</f>
        <v>#N/A Connection</v>
      </c>
      <c r="AO168" t="str">
        <f ca="1">_xll.BDP($B$14,$C$14,CONCATENATE("PX391=", $AO$158), CONCATENATE("PX392=",$AO$159), CONCATENATE("DS004=",$B$151), "Fill=B")</f>
        <v>#N/A Connection</v>
      </c>
      <c r="AP168" t="str">
        <f ca="1">_xll.BDP($B$14,$C$14,CONCATENATE("PX391=", $AP$158), CONCATENATE("PX392=",$AP$159), CONCATENATE("DS004=",$B$151), "Fill=B")</f>
        <v>#N/A Connection</v>
      </c>
      <c r="AQ168" t="str">
        <f ca="1">_xll.BDP($B$14,$C$14,CONCATENATE("PX391=", $AQ$158), CONCATENATE("PX392=",$AQ$159), CONCATENATE("DS004=",$B$151), "Fill=B")</f>
        <v>#N/A Connection</v>
      </c>
      <c r="AR168" t="str">
        <f ca="1">_xll.BDP($B$14,$C$14,CONCATENATE("PX391=", $AR$158), CONCATENATE("PX392=",$AR$159), CONCATENATE("DS004=",$B$151), "Fill=B")</f>
        <v>#N/A Connection</v>
      </c>
      <c r="AS168" t="str">
        <f ca="1">_xll.BDP($B$14,$C$14,CONCATENATE("PX391=", $AS$158), CONCATENATE("PX392=",$AS$159), CONCATENATE("DS004=",$B$151), "Fill=B")</f>
        <v>#N/A Connection</v>
      </c>
      <c r="AT168" t="str">
        <f ca="1">_xll.BDP($B$14,$C$14,CONCATENATE("PX391=", $AT$158), CONCATENATE("PX392=",$AT$159), CONCATENATE("DS004=",$B$151), "Fill=B")</f>
        <v>#N/A Connection</v>
      </c>
      <c r="AU168" t="str">
        <f ca="1">_xll.BDP($B$14,$C$14,CONCATENATE("PX391=", $AU$158), CONCATENATE("PX392=",$AU$159), CONCATENATE("DS004=",$B$151), "Fill=B")</f>
        <v>#N/A Connection</v>
      </c>
      <c r="AV168" t="str">
        <f ca="1">_xll.BDP($B$14,$C$14,CONCATENATE("PX391=", $AV$158), CONCATENATE("PX392=",$AV$159), CONCATENATE("DS004=",$B$151), "Fill=B")</f>
        <v>#N/A Connection</v>
      </c>
      <c r="AW168" t="str">
        <f ca="1">_xll.BDP($B$14,$C$14,CONCATENATE("PX391=", $AW$158), CONCATENATE("PX392=",$AW$159), CONCATENATE("DS004=",$B$151), "Fill=B")</f>
        <v>#N/A Connection</v>
      </c>
      <c r="AX168" t="str">
        <f ca="1">_xll.BDP($B$14,$C$14,CONCATENATE("PX391=", $AX$158), CONCATENATE("PX392=",$AX$159), CONCATENATE("DS004=",$B$151), "Fill=B")</f>
        <v>#N/A Connection</v>
      </c>
      <c r="AY168" t="str">
        <f ca="1">_xll.BDP($B$14,$C$14,CONCATENATE("PX391=", $AY$158), CONCATENATE("PX392=",$AY$159), CONCATENATE("DS004=",$B$151), "Fill=B")</f>
        <v>#N/A Connection</v>
      </c>
      <c r="AZ168" t="str">
        <f ca="1">_xll.BDP($B$14,$C$14,CONCATENATE("PX391=", $AZ$158), CONCATENATE("PX392=",$AZ$159), CONCATENATE("DS004=",$B$151), "Fill=B")</f>
        <v>#N/A Connection</v>
      </c>
      <c r="BA168" t="str">
        <f ca="1">_xll.BDP($B$14,$C$14,CONCATENATE("PX391=", $BA$158), CONCATENATE("PX392=",$BA$159), CONCATENATE("DS004=",$B$151), "Fill=B")</f>
        <v>#N/A Connection</v>
      </c>
      <c r="BB168" t="str">
        <f ca="1">_xll.BDP($B$14,$C$14,CONCATENATE("PX391=", $BB$158), CONCATENATE("PX392=",$BB$159), CONCATENATE("DS004=",$B$151), "Fill=B")</f>
        <v>#N/A Connection</v>
      </c>
      <c r="BC168" t="str">
        <f ca="1">_xll.BDP($B$14,$C$14,CONCATENATE("PX391=", $BC$158), CONCATENATE("PX392=",$BC$159), CONCATENATE("DS004=",$B$151), "Fill=B")</f>
        <v>#N/A Connection</v>
      </c>
      <c r="BD168" t="str">
        <f ca="1">_xll.BDP($B$14,$C$14,CONCATENATE("PX391=", $BD$158), CONCATENATE("PX392=",$BD$159), CONCATENATE("DS004=",$B$151), "Fill=B")</f>
        <v>#N/A Connection</v>
      </c>
      <c r="BE168" t="str">
        <f ca="1">_xll.BDP($B$14,$C$14,CONCATENATE("PX391=", $BE$158), CONCATENATE("PX392=",$BE$159), CONCATENATE("DS004=",$B$151), "Fill=B")</f>
        <v>#N/A Connection</v>
      </c>
      <c r="BF168" t="str">
        <f ca="1">_xll.BDP($B$14,$C$14,CONCATENATE("PX391=", $BF$158), CONCATENATE("PX392=",$BF$159), CONCATENATE("DS004=",$B$151), "Fill=B")</f>
        <v>#N/A Connection</v>
      </c>
      <c r="BG168" t="str">
        <f ca="1">_xll.BDP($B$14,$C$14,CONCATENATE("PX391=", $BG$158), CONCATENATE("PX392=",$BG$159), CONCATENATE("DS004=",$B$151), "Fill=B")</f>
        <v>#N/A Connection</v>
      </c>
      <c r="BH168" t="str">
        <f ca="1">_xll.BDP($B$14,$C$14,CONCATENATE("PX391=", $BH$158), CONCATENATE("PX392=",$BH$159), CONCATENATE("DS004=",$B$151), "Fill=B")</f>
        <v>#N/A Connection</v>
      </c>
      <c r="BI168" t="str">
        <f ca="1">_xll.BDP($B$14,$C$14,CONCATENATE("PX391=", $BI$158), CONCATENATE("PX392=",$BI$159), CONCATENATE("DS004=",$B$151), "Fill=B")</f>
        <v>#N/A Connection</v>
      </c>
      <c r="BJ168" t="str">
        <f ca="1">_xll.BDP($B$14,$C$14,CONCATENATE("PX391=", $BJ$158), CONCATENATE("PX392=",$BJ$159), CONCATENATE("DS004=",$B$151), "Fill=B")</f>
        <v>#N/A Connection</v>
      </c>
      <c r="BK168" t="str">
        <f ca="1">_xll.BDP($B$14,$C$14,CONCATENATE("PX391=", $BK$158), CONCATENATE("PX392=",$BK$159), CONCATENATE("DS004=",$B$151), "Fill=B")</f>
        <v>#N/A Connection</v>
      </c>
      <c r="BL168" t="str">
        <f ca="1">_xll.BDP($B$14,$C$14,CONCATENATE("PX391=", $BL$158), CONCATENATE("PX392=",$BL$159), CONCATENATE("DS004=",$B$151), "Fill=B")</f>
        <v>#N/A Connection</v>
      </c>
      <c r="BM168" t="str">
        <f ca="1">_xll.BDP($B$14,$C$14,CONCATENATE("PX391=", $BM$158), CONCATENATE("PX392=",$BM$159), CONCATENATE("DS004=",$B$151), "Fill=B")</f>
        <v>#N/A Connection</v>
      </c>
      <c r="BN168" t="str">
        <f>""</f>
        <v/>
      </c>
      <c r="BO168" t="str">
        <f>""</f>
        <v/>
      </c>
      <c r="BP168" t="str">
        <f>""</f>
        <v/>
      </c>
      <c r="BQ168" t="str">
        <f>""</f>
        <v/>
      </c>
      <c r="BR168" t="str">
        <f>""</f>
        <v/>
      </c>
      <c r="BS168" t="str">
        <f>""</f>
        <v/>
      </c>
      <c r="BT168" t="str">
        <f>""</f>
        <v/>
      </c>
      <c r="BU168" t="str">
        <f>""</f>
        <v/>
      </c>
      <c r="BV168" t="str">
        <f>""</f>
        <v/>
      </c>
      <c r="BW168" t="str">
        <f>""</f>
        <v/>
      </c>
      <c r="BX168" t="str">
        <f>""</f>
        <v/>
      </c>
      <c r="BY168" t="str">
        <f>""</f>
        <v/>
      </c>
      <c r="BZ168" t="str">
        <f>""</f>
        <v/>
      </c>
      <c r="CA168" t="str">
        <f>""</f>
        <v/>
      </c>
      <c r="CB168" t="str">
        <f>""</f>
        <v/>
      </c>
      <c r="CC168" t="str">
        <f>""</f>
        <v/>
      </c>
      <c r="CD168" t="str">
        <f>""</f>
        <v/>
      </c>
      <c r="CE168" t="str">
        <f>""</f>
        <v/>
      </c>
      <c r="CF168" t="str">
        <f>""</f>
        <v/>
      </c>
      <c r="CG168" t="str">
        <f>""</f>
        <v/>
      </c>
      <c r="CH168" t="str">
        <f>""</f>
        <v/>
      </c>
      <c r="CI168" t="str">
        <f>""</f>
        <v/>
      </c>
      <c r="CJ168" t="str">
        <f>""</f>
        <v/>
      </c>
      <c r="CK168" t="str">
        <f>""</f>
        <v/>
      </c>
      <c r="CL168" t="str">
        <f>""</f>
        <v/>
      </c>
      <c r="CM168" t="str">
        <f>""</f>
        <v/>
      </c>
      <c r="CN168" t="str">
        <f>""</f>
        <v/>
      </c>
      <c r="CO168" t="str">
        <f>""</f>
        <v/>
      </c>
      <c r="CP168" t="str">
        <f>""</f>
        <v/>
      </c>
      <c r="CQ168" t="str">
        <f>""</f>
        <v/>
      </c>
      <c r="CR168" t="str">
        <f>""</f>
        <v/>
      </c>
      <c r="CS168" t="str">
        <f>""</f>
        <v/>
      </c>
      <c r="CT168" t="str">
        <f>""</f>
        <v/>
      </c>
      <c r="CU168" t="str">
        <f>""</f>
        <v/>
      </c>
      <c r="CV168" t="str">
        <f>""</f>
        <v/>
      </c>
      <c r="CW168" t="str">
        <f>""</f>
        <v/>
      </c>
      <c r="CX168" t="str">
        <f>""</f>
        <v/>
      </c>
      <c r="CY168" t="str">
        <f>""</f>
        <v/>
      </c>
      <c r="CZ168" t="str">
        <f>""</f>
        <v/>
      </c>
      <c r="DA168" t="str">
        <f>""</f>
        <v/>
      </c>
      <c r="DB168" t="str">
        <f>""</f>
        <v/>
      </c>
      <c r="DC168" t="str">
        <f>""</f>
        <v/>
      </c>
      <c r="DD168" t="str">
        <f>""</f>
        <v/>
      </c>
      <c r="DE168" t="str">
        <f>""</f>
        <v/>
      </c>
      <c r="DF168" t="str">
        <f>""</f>
        <v/>
      </c>
      <c r="DG168" t="str">
        <f>""</f>
        <v/>
      </c>
      <c r="DH168" t="str">
        <f>""</f>
        <v/>
      </c>
      <c r="DI168" t="str">
        <f>""</f>
        <v/>
      </c>
      <c r="DJ168" t="str">
        <f>""</f>
        <v/>
      </c>
      <c r="DK168" t="str">
        <f>""</f>
        <v/>
      </c>
      <c r="DL168" t="str">
        <f>""</f>
        <v/>
      </c>
      <c r="DM168" t="str">
        <f>""</f>
        <v/>
      </c>
      <c r="DN168" t="str">
        <f>""</f>
        <v/>
      </c>
      <c r="DO168" t="str">
        <f>""</f>
        <v/>
      </c>
      <c r="DP168" t="str">
        <f>""</f>
        <v/>
      </c>
      <c r="DQ168" t="str">
        <f>""</f>
        <v/>
      </c>
      <c r="DR168" t="str">
        <f>""</f>
        <v/>
      </c>
      <c r="DS168" t="str">
        <f>""</f>
        <v/>
      </c>
      <c r="DT168" t="str">
        <f>""</f>
        <v/>
      </c>
      <c r="DU168" t="str">
        <f>""</f>
        <v/>
      </c>
    </row>
    <row r="169" spans="1:125" x14ac:dyDescent="0.25">
      <c r="A169" t="str">
        <f>$A$15</f>
        <v xml:space="preserve">        Pakistan</v>
      </c>
      <c r="B169" t="str">
        <f>$B$15</f>
        <v>PAVSCAR Index</v>
      </c>
      <c r="C169" t="str">
        <f>$C$15</f>
        <v>PX385</v>
      </c>
      <c r="D169" t="str">
        <f>$D$15</f>
        <v>INTERVAL_SUM</v>
      </c>
      <c r="E169" t="str">
        <f>$E$15</f>
        <v>Dynamic</v>
      </c>
      <c r="F169" t="str">
        <f ca="1">_xll.BDP($B$15,$C$15,CONCATENATE("PX391=", $F$158), CONCATENATE("PX392=",$F$159), CONCATENATE("DS004=",$B$151), "Fill=B")</f>
        <v>#N/A Connection</v>
      </c>
      <c r="G169" t="str">
        <f ca="1">_xll.BDP($B$15,$C$15,CONCATENATE("PX391=", $G$158), CONCATENATE("PX392=",$G$159), CONCATENATE("DS004=",$B$151), "Fill=B")</f>
        <v>#N/A Connection</v>
      </c>
      <c r="H169" t="str">
        <f ca="1">_xll.BDP($B$15,$C$15,CONCATENATE("PX391=", $H$158), CONCATENATE("PX392=",$H$159), CONCATENATE("DS004=",$B$151), "Fill=B")</f>
        <v>#N/A Connection</v>
      </c>
      <c r="I169" t="str">
        <f ca="1">_xll.BDP($B$15,$C$15,CONCATENATE("PX391=", $I$158), CONCATENATE("PX392=",$I$159), CONCATENATE("DS004=",$B$151), "Fill=B")</f>
        <v>#N/A Connection</v>
      </c>
      <c r="J169" t="str">
        <f ca="1">_xll.BDP($B$15,$C$15,CONCATENATE("PX391=", $J$158), CONCATENATE("PX392=",$J$159), CONCATENATE("DS004=",$B$151), "Fill=B")</f>
        <v>#N/A Connection</v>
      </c>
      <c r="K169" t="str">
        <f ca="1">_xll.BDP($B$15,$C$15,CONCATENATE("PX391=", $K$158), CONCATENATE("PX392=",$K$159), CONCATENATE("DS004=",$B$151), "Fill=B")</f>
        <v>#N/A Connection</v>
      </c>
      <c r="L169" t="str">
        <f ca="1">_xll.BDP($B$15,$C$15,CONCATENATE("PX391=", $L$158), CONCATENATE("PX392=",$L$159), CONCATENATE("DS004=",$B$151), "Fill=B")</f>
        <v>#N/A Connection</v>
      </c>
      <c r="M169" t="str">
        <f ca="1">_xll.BDP($B$15,$C$15,CONCATENATE("PX391=", $M$158), CONCATENATE("PX392=",$M$159), CONCATENATE("DS004=",$B$151), "Fill=B")</f>
        <v>#N/A Connection</v>
      </c>
      <c r="N169" t="str">
        <f ca="1">_xll.BDP($B$15,$C$15,CONCATENATE("PX391=", $N$158), CONCATENATE("PX392=",$N$159), CONCATENATE("DS004=",$B$151), "Fill=B")</f>
        <v>#N/A Connection</v>
      </c>
      <c r="O169" t="str">
        <f ca="1">_xll.BDP($B$15,$C$15,CONCATENATE("PX391=", $O$158), CONCATENATE("PX392=",$O$159), CONCATENATE("DS004=",$B$151), "Fill=B")</f>
        <v>#N/A Connection</v>
      </c>
      <c r="P169" t="str">
        <f ca="1">_xll.BDP($B$15,$C$15,CONCATENATE("PX391=", $P$158), CONCATENATE("PX392=",$P$159), CONCATENATE("DS004=",$B$151), "Fill=B")</f>
        <v>#N/A Connection</v>
      </c>
      <c r="Q169" t="str">
        <f ca="1">_xll.BDP($B$15,$C$15,CONCATENATE("PX391=", $Q$158), CONCATENATE("PX392=",$Q$159), CONCATENATE("DS004=",$B$151), "Fill=B")</f>
        <v>#N/A Connection</v>
      </c>
      <c r="R169" t="str">
        <f ca="1">_xll.BDP($B$15,$C$15,CONCATENATE("PX391=", $R$158), CONCATENATE("PX392=",$R$159), CONCATENATE("DS004=",$B$151), "Fill=B")</f>
        <v>#N/A Connection</v>
      </c>
      <c r="S169" t="str">
        <f ca="1">_xll.BDP($B$15,$C$15,CONCATENATE("PX391=", $S$158), CONCATENATE("PX392=",$S$159), CONCATENATE("DS004=",$B$151), "Fill=B")</f>
        <v>#N/A Connection</v>
      </c>
      <c r="T169" t="str">
        <f ca="1">_xll.BDP($B$15,$C$15,CONCATENATE("PX391=", $T$158), CONCATENATE("PX392=",$T$159), CONCATENATE("DS004=",$B$151), "Fill=B")</f>
        <v>#N/A Connection</v>
      </c>
      <c r="U169" t="str">
        <f ca="1">_xll.BDP($B$15,$C$15,CONCATENATE("PX391=", $U$158), CONCATENATE("PX392=",$U$159), CONCATENATE("DS004=",$B$151), "Fill=B")</f>
        <v>#N/A Connection</v>
      </c>
      <c r="V169" t="str">
        <f ca="1">_xll.BDP($B$15,$C$15,CONCATENATE("PX391=", $V$158), CONCATENATE("PX392=",$V$159), CONCATENATE("DS004=",$B$151), "Fill=B")</f>
        <v>#N/A Connection</v>
      </c>
      <c r="W169" t="str">
        <f ca="1">_xll.BDP($B$15,$C$15,CONCATENATE("PX391=", $W$158), CONCATENATE("PX392=",$W$159), CONCATENATE("DS004=",$B$151), "Fill=B")</f>
        <v>#N/A Connection</v>
      </c>
      <c r="X169" t="str">
        <f ca="1">_xll.BDP($B$15,$C$15,CONCATENATE("PX391=", $X$158), CONCATENATE("PX392=",$X$159), CONCATENATE("DS004=",$B$151), "Fill=B")</f>
        <v>#N/A Connection</v>
      </c>
      <c r="Y169" t="str">
        <f ca="1">_xll.BDP($B$15,$C$15,CONCATENATE("PX391=", $Y$158), CONCATENATE("PX392=",$Y$159), CONCATENATE("DS004=",$B$151), "Fill=B")</f>
        <v>#N/A Connection</v>
      </c>
      <c r="Z169" t="str">
        <f ca="1">_xll.BDP($B$15,$C$15,CONCATENATE("PX391=", $Z$158), CONCATENATE("PX392=",$Z$159), CONCATENATE("DS004=",$B$151), "Fill=B")</f>
        <v>#N/A Connection</v>
      </c>
      <c r="AA169" t="str">
        <f ca="1">_xll.BDP($B$15,$C$15,CONCATENATE("PX391=", $AA$158), CONCATENATE("PX392=",$AA$159), CONCATENATE("DS004=",$B$151), "Fill=B")</f>
        <v>#N/A Connection</v>
      </c>
      <c r="AB169" t="str">
        <f ca="1">_xll.BDP($B$15,$C$15,CONCATENATE("PX391=", $AB$158), CONCATENATE("PX392=",$AB$159), CONCATENATE("DS004=",$B$151), "Fill=B")</f>
        <v>#N/A Connection</v>
      </c>
      <c r="AC169" t="str">
        <f ca="1">_xll.BDP($B$15,$C$15,CONCATENATE("PX391=", $AC$158), CONCATENATE("PX392=",$AC$159), CONCATENATE("DS004=",$B$151), "Fill=B")</f>
        <v>#N/A Connection</v>
      </c>
      <c r="AD169" t="str">
        <f ca="1">_xll.BDP($B$15,$C$15,CONCATENATE("PX391=", $AD$158), CONCATENATE("PX392=",$AD$159), CONCATENATE("DS004=",$B$151), "Fill=B")</f>
        <v>#N/A Connection</v>
      </c>
      <c r="AE169" t="str">
        <f ca="1">_xll.BDP($B$15,$C$15,CONCATENATE("PX391=", $AE$158), CONCATENATE("PX392=",$AE$159), CONCATENATE("DS004=",$B$151), "Fill=B")</f>
        <v>#N/A Connection</v>
      </c>
      <c r="AF169" t="str">
        <f ca="1">_xll.BDP($B$15,$C$15,CONCATENATE("PX391=", $AF$158), CONCATENATE("PX392=",$AF$159), CONCATENATE("DS004=",$B$151), "Fill=B")</f>
        <v>#N/A Connection</v>
      </c>
      <c r="AG169" t="str">
        <f ca="1">_xll.BDP($B$15,$C$15,CONCATENATE("PX391=", $AG$158), CONCATENATE("PX392=",$AG$159), CONCATENATE("DS004=",$B$151), "Fill=B")</f>
        <v>#N/A Connection</v>
      </c>
      <c r="AH169" t="str">
        <f ca="1">_xll.BDP($B$15,$C$15,CONCATENATE("PX391=", $AH$158), CONCATENATE("PX392=",$AH$159), CONCATENATE("DS004=",$B$151), "Fill=B")</f>
        <v>#N/A Connection</v>
      </c>
      <c r="AI169" t="str">
        <f ca="1">_xll.BDP($B$15,$C$15,CONCATENATE("PX391=", $AI$158), CONCATENATE("PX392=",$AI$159), CONCATENATE("DS004=",$B$151), "Fill=B")</f>
        <v>#N/A Connection</v>
      </c>
      <c r="AJ169" t="str">
        <f ca="1">_xll.BDP($B$15,$C$15,CONCATENATE("PX391=", $AJ$158), CONCATENATE("PX392=",$AJ$159), CONCATENATE("DS004=",$B$151), "Fill=B")</f>
        <v>#N/A Connection</v>
      </c>
      <c r="AK169" t="str">
        <f ca="1">_xll.BDP($B$15,$C$15,CONCATENATE("PX391=", $AK$158), CONCATENATE("PX392=",$AK$159), CONCATENATE("DS004=",$B$151), "Fill=B")</f>
        <v>#N/A Connection</v>
      </c>
      <c r="AL169" t="str">
        <f ca="1">_xll.BDP($B$15,$C$15,CONCATENATE("PX391=", $AL$158), CONCATENATE("PX392=",$AL$159), CONCATENATE("DS004=",$B$151), "Fill=B")</f>
        <v>#N/A Connection</v>
      </c>
      <c r="AM169" t="str">
        <f ca="1">_xll.BDP($B$15,$C$15,CONCATENATE("PX391=", $AM$158), CONCATENATE("PX392=",$AM$159), CONCATENATE("DS004=",$B$151), "Fill=B")</f>
        <v>#N/A Connection</v>
      </c>
      <c r="AN169" t="str">
        <f ca="1">_xll.BDP($B$15,$C$15,CONCATENATE("PX391=", $AN$158), CONCATENATE("PX392=",$AN$159), CONCATENATE("DS004=",$B$151), "Fill=B")</f>
        <v>#N/A Connection</v>
      </c>
      <c r="AO169" t="str">
        <f ca="1">_xll.BDP($B$15,$C$15,CONCATENATE("PX391=", $AO$158), CONCATENATE("PX392=",$AO$159), CONCATENATE("DS004=",$B$151), "Fill=B")</f>
        <v>#N/A Connection</v>
      </c>
      <c r="AP169" t="str">
        <f ca="1">_xll.BDP($B$15,$C$15,CONCATENATE("PX391=", $AP$158), CONCATENATE("PX392=",$AP$159), CONCATENATE("DS004=",$B$151), "Fill=B")</f>
        <v>#N/A Connection</v>
      </c>
      <c r="AQ169" t="str">
        <f ca="1">_xll.BDP($B$15,$C$15,CONCATENATE("PX391=", $AQ$158), CONCATENATE("PX392=",$AQ$159), CONCATENATE("DS004=",$B$151), "Fill=B")</f>
        <v>#N/A Connection</v>
      </c>
      <c r="AR169" t="str">
        <f ca="1">_xll.BDP($B$15,$C$15,CONCATENATE("PX391=", $AR$158), CONCATENATE("PX392=",$AR$159), CONCATENATE("DS004=",$B$151), "Fill=B")</f>
        <v>#N/A Connection</v>
      </c>
      <c r="AS169" t="str">
        <f ca="1">_xll.BDP($B$15,$C$15,CONCATENATE("PX391=", $AS$158), CONCATENATE("PX392=",$AS$159), CONCATENATE("DS004=",$B$151), "Fill=B")</f>
        <v>#N/A Connection</v>
      </c>
      <c r="AT169" t="str">
        <f ca="1">_xll.BDP($B$15,$C$15,CONCATENATE("PX391=", $AT$158), CONCATENATE("PX392=",$AT$159), CONCATENATE("DS004=",$B$151), "Fill=B")</f>
        <v>#N/A Connection</v>
      </c>
      <c r="AU169" t="str">
        <f ca="1">_xll.BDP($B$15,$C$15,CONCATENATE("PX391=", $AU$158), CONCATENATE("PX392=",$AU$159), CONCATENATE("DS004=",$B$151), "Fill=B")</f>
        <v>#N/A Connection</v>
      </c>
      <c r="AV169" t="str">
        <f ca="1">_xll.BDP($B$15,$C$15,CONCATENATE("PX391=", $AV$158), CONCATENATE("PX392=",$AV$159), CONCATENATE("DS004=",$B$151), "Fill=B")</f>
        <v>#N/A Connection</v>
      </c>
      <c r="AW169" t="str">
        <f ca="1">_xll.BDP($B$15,$C$15,CONCATENATE("PX391=", $AW$158), CONCATENATE("PX392=",$AW$159), CONCATENATE("DS004=",$B$151), "Fill=B")</f>
        <v>#N/A Connection</v>
      </c>
      <c r="AX169" t="str">
        <f ca="1">_xll.BDP($B$15,$C$15,CONCATENATE("PX391=", $AX$158), CONCATENATE("PX392=",$AX$159), CONCATENATE("DS004=",$B$151), "Fill=B")</f>
        <v>#N/A Connection</v>
      </c>
      <c r="AY169" t="str">
        <f ca="1">_xll.BDP($B$15,$C$15,CONCATENATE("PX391=", $AY$158), CONCATENATE("PX392=",$AY$159), CONCATENATE("DS004=",$B$151), "Fill=B")</f>
        <v>#N/A Connection</v>
      </c>
      <c r="AZ169" t="str">
        <f ca="1">_xll.BDP($B$15,$C$15,CONCATENATE("PX391=", $AZ$158), CONCATENATE("PX392=",$AZ$159), CONCATENATE("DS004=",$B$151), "Fill=B")</f>
        <v>#N/A Connection</v>
      </c>
      <c r="BA169" t="str">
        <f ca="1">_xll.BDP($B$15,$C$15,CONCATENATE("PX391=", $BA$158), CONCATENATE("PX392=",$BA$159), CONCATENATE("DS004=",$B$151), "Fill=B")</f>
        <v>#N/A Connection</v>
      </c>
      <c r="BB169" t="str">
        <f ca="1">_xll.BDP($B$15,$C$15,CONCATENATE("PX391=", $BB$158), CONCATENATE("PX392=",$BB$159), CONCATENATE("DS004=",$B$151), "Fill=B")</f>
        <v>#N/A Connection</v>
      </c>
      <c r="BC169" t="str">
        <f ca="1">_xll.BDP($B$15,$C$15,CONCATENATE("PX391=", $BC$158), CONCATENATE("PX392=",$BC$159), CONCATENATE("DS004=",$B$151), "Fill=B")</f>
        <v>#N/A Connection</v>
      </c>
      <c r="BD169" t="str">
        <f ca="1">_xll.BDP($B$15,$C$15,CONCATENATE("PX391=", $BD$158), CONCATENATE("PX392=",$BD$159), CONCATENATE("DS004=",$B$151), "Fill=B")</f>
        <v>#N/A Connection</v>
      </c>
      <c r="BE169" t="str">
        <f ca="1">_xll.BDP($B$15,$C$15,CONCATENATE("PX391=", $BE$158), CONCATENATE("PX392=",$BE$159), CONCATENATE("DS004=",$B$151), "Fill=B")</f>
        <v>#N/A Connection</v>
      </c>
      <c r="BF169" t="str">
        <f ca="1">_xll.BDP($B$15,$C$15,CONCATENATE("PX391=", $BF$158), CONCATENATE("PX392=",$BF$159), CONCATENATE("DS004=",$B$151), "Fill=B")</f>
        <v>#N/A Connection</v>
      </c>
      <c r="BG169" t="str">
        <f ca="1">_xll.BDP($B$15,$C$15,CONCATENATE("PX391=", $BG$158), CONCATENATE("PX392=",$BG$159), CONCATENATE("DS004=",$B$151), "Fill=B")</f>
        <v>#N/A Connection</v>
      </c>
      <c r="BH169" t="str">
        <f ca="1">_xll.BDP($B$15,$C$15,CONCATENATE("PX391=", $BH$158), CONCATENATE("PX392=",$BH$159), CONCATENATE("DS004=",$B$151), "Fill=B")</f>
        <v>#N/A Connection</v>
      </c>
      <c r="BI169" t="str">
        <f ca="1">_xll.BDP($B$15,$C$15,CONCATENATE("PX391=", $BI$158), CONCATENATE("PX392=",$BI$159), CONCATENATE("DS004=",$B$151), "Fill=B")</f>
        <v>#N/A Connection</v>
      </c>
      <c r="BJ169" t="str">
        <f ca="1">_xll.BDP($B$15,$C$15,CONCATENATE("PX391=", $BJ$158), CONCATENATE("PX392=",$BJ$159), CONCATENATE("DS004=",$B$151), "Fill=B")</f>
        <v>#N/A Connection</v>
      </c>
      <c r="BK169" t="str">
        <f ca="1">_xll.BDP($B$15,$C$15,CONCATENATE("PX391=", $BK$158), CONCATENATE("PX392=",$BK$159), CONCATENATE("DS004=",$B$151), "Fill=B")</f>
        <v>#N/A Connection</v>
      </c>
      <c r="BL169" t="str">
        <f ca="1">_xll.BDP($B$15,$C$15,CONCATENATE("PX391=", $BL$158), CONCATENATE("PX392=",$BL$159), CONCATENATE("DS004=",$B$151), "Fill=B")</f>
        <v>#N/A Connection</v>
      </c>
      <c r="BM169" t="str">
        <f ca="1">_xll.BDP($B$15,$C$15,CONCATENATE("PX391=", $BM$158), CONCATENATE("PX392=",$BM$159), CONCATENATE("DS004=",$B$151), "Fill=B")</f>
        <v>#N/A Connection</v>
      </c>
      <c r="BN169" t="str">
        <f>""</f>
        <v/>
      </c>
      <c r="BO169" t="str">
        <f>""</f>
        <v/>
      </c>
      <c r="BP169" t="str">
        <f>""</f>
        <v/>
      </c>
      <c r="BQ169" t="str">
        <f>""</f>
        <v/>
      </c>
      <c r="BR169" t="str">
        <f>""</f>
        <v/>
      </c>
      <c r="BS169" t="str">
        <f>""</f>
        <v/>
      </c>
      <c r="BT169" t="str">
        <f>""</f>
        <v/>
      </c>
      <c r="BU169" t="str">
        <f>""</f>
        <v/>
      </c>
      <c r="BV169" t="str">
        <f>""</f>
        <v/>
      </c>
      <c r="BW169" t="str">
        <f>""</f>
        <v/>
      </c>
      <c r="BX169" t="str">
        <f>""</f>
        <v/>
      </c>
      <c r="BY169" t="str">
        <f>""</f>
        <v/>
      </c>
      <c r="BZ169" t="str">
        <f>""</f>
        <v/>
      </c>
      <c r="CA169" t="str">
        <f>""</f>
        <v/>
      </c>
      <c r="CB169" t="str">
        <f>""</f>
        <v/>
      </c>
      <c r="CC169" t="str">
        <f>""</f>
        <v/>
      </c>
      <c r="CD169" t="str">
        <f>""</f>
        <v/>
      </c>
      <c r="CE169" t="str">
        <f>""</f>
        <v/>
      </c>
      <c r="CF169" t="str">
        <f>""</f>
        <v/>
      </c>
      <c r="CG169" t="str">
        <f>""</f>
        <v/>
      </c>
      <c r="CH169" t="str">
        <f>""</f>
        <v/>
      </c>
      <c r="CI169" t="str">
        <f>""</f>
        <v/>
      </c>
      <c r="CJ169" t="str">
        <f>""</f>
        <v/>
      </c>
      <c r="CK169" t="str">
        <f>""</f>
        <v/>
      </c>
      <c r="CL169" t="str">
        <f>""</f>
        <v/>
      </c>
      <c r="CM169" t="str">
        <f>""</f>
        <v/>
      </c>
      <c r="CN169" t="str">
        <f>""</f>
        <v/>
      </c>
      <c r="CO169" t="str">
        <f>""</f>
        <v/>
      </c>
      <c r="CP169" t="str">
        <f>""</f>
        <v/>
      </c>
      <c r="CQ169" t="str">
        <f>""</f>
        <v/>
      </c>
      <c r="CR169" t="str">
        <f>""</f>
        <v/>
      </c>
      <c r="CS169" t="str">
        <f>""</f>
        <v/>
      </c>
      <c r="CT169" t="str">
        <f>""</f>
        <v/>
      </c>
      <c r="CU169" t="str">
        <f>""</f>
        <v/>
      </c>
      <c r="CV169" t="str">
        <f>""</f>
        <v/>
      </c>
      <c r="CW169" t="str">
        <f>""</f>
        <v/>
      </c>
      <c r="CX169" t="str">
        <f>""</f>
        <v/>
      </c>
      <c r="CY169" t="str">
        <f>""</f>
        <v/>
      </c>
      <c r="CZ169" t="str">
        <f>""</f>
        <v/>
      </c>
      <c r="DA169" t="str">
        <f>""</f>
        <v/>
      </c>
      <c r="DB169" t="str">
        <f>""</f>
        <v/>
      </c>
      <c r="DC169" t="str">
        <f>""</f>
        <v/>
      </c>
      <c r="DD169" t="str">
        <f>""</f>
        <v/>
      </c>
      <c r="DE169" t="str">
        <f>""</f>
        <v/>
      </c>
      <c r="DF169" t="str">
        <f>""</f>
        <v/>
      </c>
      <c r="DG169" t="str">
        <f>""</f>
        <v/>
      </c>
      <c r="DH169" t="str">
        <f>""</f>
        <v/>
      </c>
      <c r="DI169" t="str">
        <f>""</f>
        <v/>
      </c>
      <c r="DJ169" t="str">
        <f>""</f>
        <v/>
      </c>
      <c r="DK169" t="str">
        <f>""</f>
        <v/>
      </c>
      <c r="DL169" t="str">
        <f>""</f>
        <v/>
      </c>
      <c r="DM169" t="str">
        <f>""</f>
        <v/>
      </c>
      <c r="DN169" t="str">
        <f>""</f>
        <v/>
      </c>
      <c r="DO169" t="str">
        <f>""</f>
        <v/>
      </c>
      <c r="DP169" t="str">
        <f>""</f>
        <v/>
      </c>
      <c r="DQ169" t="str">
        <f>""</f>
        <v/>
      </c>
      <c r="DR169" t="str">
        <f>""</f>
        <v/>
      </c>
      <c r="DS169" t="str">
        <f>""</f>
        <v/>
      </c>
      <c r="DT169" t="str">
        <f>""</f>
        <v/>
      </c>
      <c r="DU169" t="str">
        <f>""</f>
        <v/>
      </c>
    </row>
    <row r="170" spans="1:125" x14ac:dyDescent="0.25">
      <c r="A170" t="str">
        <f>$A$16</f>
        <v xml:space="preserve">        Philippines</v>
      </c>
      <c r="B170" t="str">
        <f>$B$16</f>
        <v>PHCSTOTL Index</v>
      </c>
      <c r="C170" t="str">
        <f>$C$16</f>
        <v>PX385</v>
      </c>
      <c r="D170" t="str">
        <f>$D$16</f>
        <v>INTERVAL_SUM</v>
      </c>
      <c r="E170" t="str">
        <f>$E$16</f>
        <v>Dynamic</v>
      </c>
      <c r="F170" t="str">
        <f ca="1">_xll.BDP($B$16,$C$16,CONCATENATE("PX391=", $F$158), CONCATENATE("PX392=",$F$159), CONCATENATE("DS004=",$B$151), "Fill=B")</f>
        <v>#N/A Connection</v>
      </c>
      <c r="G170" t="str">
        <f ca="1">_xll.BDP($B$16,$C$16,CONCATENATE("PX391=", $G$158), CONCATENATE("PX392=",$G$159), CONCATENATE("DS004=",$B$151), "Fill=B")</f>
        <v>#N/A Connection</v>
      </c>
      <c r="H170" t="str">
        <f ca="1">_xll.BDP($B$16,$C$16,CONCATENATE("PX391=", $H$158), CONCATENATE("PX392=",$H$159), CONCATENATE("DS004=",$B$151), "Fill=B")</f>
        <v>#N/A Connection</v>
      </c>
      <c r="I170" t="str">
        <f ca="1">_xll.BDP($B$16,$C$16,CONCATENATE("PX391=", $I$158), CONCATENATE("PX392=",$I$159), CONCATENATE("DS004=",$B$151), "Fill=B")</f>
        <v>#N/A Connection</v>
      </c>
      <c r="J170" t="str">
        <f ca="1">_xll.BDP($B$16,$C$16,CONCATENATE("PX391=", $J$158), CONCATENATE("PX392=",$J$159), CONCATENATE("DS004=",$B$151), "Fill=B")</f>
        <v>#N/A Connection</v>
      </c>
      <c r="K170" t="str">
        <f ca="1">_xll.BDP($B$16,$C$16,CONCATENATE("PX391=", $K$158), CONCATENATE("PX392=",$K$159), CONCATENATE("DS004=",$B$151), "Fill=B")</f>
        <v>#N/A Connection</v>
      </c>
      <c r="L170" t="str">
        <f ca="1">_xll.BDP($B$16,$C$16,CONCATENATE("PX391=", $L$158), CONCATENATE("PX392=",$L$159), CONCATENATE("DS004=",$B$151), "Fill=B")</f>
        <v>#N/A Connection</v>
      </c>
      <c r="M170" t="str">
        <f ca="1">_xll.BDP($B$16,$C$16,CONCATENATE("PX391=", $M$158), CONCATENATE("PX392=",$M$159), CONCATENATE("DS004=",$B$151), "Fill=B")</f>
        <v>#N/A Connection</v>
      </c>
      <c r="N170" t="str">
        <f ca="1">_xll.BDP($B$16,$C$16,CONCATENATE("PX391=", $N$158), CONCATENATE("PX392=",$N$159), CONCATENATE("DS004=",$B$151), "Fill=B")</f>
        <v>#N/A Connection</v>
      </c>
      <c r="O170" t="str">
        <f ca="1">_xll.BDP($B$16,$C$16,CONCATENATE("PX391=", $O$158), CONCATENATE("PX392=",$O$159), CONCATENATE("DS004=",$B$151), "Fill=B")</f>
        <v>#N/A Connection</v>
      </c>
      <c r="P170" t="str">
        <f ca="1">_xll.BDP($B$16,$C$16,CONCATENATE("PX391=", $P$158), CONCATENATE("PX392=",$P$159), CONCATENATE("DS004=",$B$151), "Fill=B")</f>
        <v>#N/A Connection</v>
      </c>
      <c r="Q170" t="str">
        <f ca="1">_xll.BDP($B$16,$C$16,CONCATENATE("PX391=", $Q$158), CONCATENATE("PX392=",$Q$159), CONCATENATE("DS004=",$B$151), "Fill=B")</f>
        <v>#N/A Connection</v>
      </c>
      <c r="R170" t="str">
        <f ca="1">_xll.BDP($B$16,$C$16,CONCATENATE("PX391=", $R$158), CONCATENATE("PX392=",$R$159), CONCATENATE("DS004=",$B$151), "Fill=B")</f>
        <v>#N/A Connection</v>
      </c>
      <c r="S170" t="str">
        <f ca="1">_xll.BDP($B$16,$C$16,CONCATENATE("PX391=", $S$158), CONCATENATE("PX392=",$S$159), CONCATENATE("DS004=",$B$151), "Fill=B")</f>
        <v>#N/A Connection</v>
      </c>
      <c r="T170" t="str">
        <f ca="1">_xll.BDP($B$16,$C$16,CONCATENATE("PX391=", $T$158), CONCATENATE("PX392=",$T$159), CONCATENATE("DS004=",$B$151), "Fill=B")</f>
        <v>#N/A Connection</v>
      </c>
      <c r="U170" t="str">
        <f ca="1">_xll.BDP($B$16,$C$16,CONCATENATE("PX391=", $U$158), CONCATENATE("PX392=",$U$159), CONCATENATE("DS004=",$B$151), "Fill=B")</f>
        <v>#N/A Connection</v>
      </c>
      <c r="V170" t="str">
        <f ca="1">_xll.BDP($B$16,$C$16,CONCATENATE("PX391=", $V$158), CONCATENATE("PX392=",$V$159), CONCATENATE("DS004=",$B$151), "Fill=B")</f>
        <v>#N/A Connection</v>
      </c>
      <c r="W170" t="str">
        <f ca="1">_xll.BDP($B$16,$C$16,CONCATENATE("PX391=", $W$158), CONCATENATE("PX392=",$W$159), CONCATENATE("DS004=",$B$151), "Fill=B")</f>
        <v>#N/A Connection</v>
      </c>
      <c r="X170" t="str">
        <f ca="1">_xll.BDP($B$16,$C$16,CONCATENATE("PX391=", $X$158), CONCATENATE("PX392=",$X$159), CONCATENATE("DS004=",$B$151), "Fill=B")</f>
        <v>#N/A Connection</v>
      </c>
      <c r="Y170" t="str">
        <f ca="1">_xll.BDP($B$16,$C$16,CONCATENATE("PX391=", $Y$158), CONCATENATE("PX392=",$Y$159), CONCATENATE("DS004=",$B$151), "Fill=B")</f>
        <v>#N/A Connection</v>
      </c>
      <c r="Z170" t="str">
        <f ca="1">_xll.BDP($B$16,$C$16,CONCATENATE("PX391=", $Z$158), CONCATENATE("PX392=",$Z$159), CONCATENATE("DS004=",$B$151), "Fill=B")</f>
        <v>#N/A Connection</v>
      </c>
      <c r="AA170" t="str">
        <f ca="1">_xll.BDP($B$16,$C$16,CONCATENATE("PX391=", $AA$158), CONCATENATE("PX392=",$AA$159), CONCATENATE("DS004=",$B$151), "Fill=B")</f>
        <v>#N/A Connection</v>
      </c>
      <c r="AB170" t="str">
        <f ca="1">_xll.BDP($B$16,$C$16,CONCATENATE("PX391=", $AB$158), CONCATENATE("PX392=",$AB$159), CONCATENATE("DS004=",$B$151), "Fill=B")</f>
        <v>#N/A Connection</v>
      </c>
      <c r="AC170" t="str">
        <f ca="1">_xll.BDP($B$16,$C$16,CONCATENATE("PX391=", $AC$158), CONCATENATE("PX392=",$AC$159), CONCATENATE("DS004=",$B$151), "Fill=B")</f>
        <v>#N/A Connection</v>
      </c>
      <c r="AD170" t="str">
        <f ca="1">_xll.BDP($B$16,$C$16,CONCATENATE("PX391=", $AD$158), CONCATENATE("PX392=",$AD$159), CONCATENATE("DS004=",$B$151), "Fill=B")</f>
        <v>#N/A Connection</v>
      </c>
      <c r="AE170" t="str">
        <f ca="1">_xll.BDP($B$16,$C$16,CONCATENATE("PX391=", $AE$158), CONCATENATE("PX392=",$AE$159), CONCATENATE("DS004=",$B$151), "Fill=B")</f>
        <v>#N/A Connection</v>
      </c>
      <c r="AF170" t="str">
        <f ca="1">_xll.BDP($B$16,$C$16,CONCATENATE("PX391=", $AF$158), CONCATENATE("PX392=",$AF$159), CONCATENATE("DS004=",$B$151), "Fill=B")</f>
        <v>#N/A Connection</v>
      </c>
      <c r="AG170" t="str">
        <f ca="1">_xll.BDP($B$16,$C$16,CONCATENATE("PX391=", $AG$158), CONCATENATE("PX392=",$AG$159), CONCATENATE("DS004=",$B$151), "Fill=B")</f>
        <v>#N/A Connection</v>
      </c>
      <c r="AH170" t="str">
        <f ca="1">_xll.BDP($B$16,$C$16,CONCATENATE("PX391=", $AH$158), CONCATENATE("PX392=",$AH$159), CONCATENATE("DS004=",$B$151), "Fill=B")</f>
        <v>#N/A Connection</v>
      </c>
      <c r="AI170" t="str">
        <f ca="1">_xll.BDP($B$16,$C$16,CONCATENATE("PX391=", $AI$158), CONCATENATE("PX392=",$AI$159), CONCATENATE("DS004=",$B$151), "Fill=B")</f>
        <v>#N/A Connection</v>
      </c>
      <c r="AJ170" t="str">
        <f ca="1">_xll.BDP($B$16,$C$16,CONCATENATE("PX391=", $AJ$158), CONCATENATE("PX392=",$AJ$159), CONCATENATE("DS004=",$B$151), "Fill=B")</f>
        <v>#N/A Connection</v>
      </c>
      <c r="AK170" t="str">
        <f ca="1">_xll.BDP($B$16,$C$16,CONCATENATE("PX391=", $AK$158), CONCATENATE("PX392=",$AK$159), CONCATENATE("DS004=",$B$151), "Fill=B")</f>
        <v>#N/A Connection</v>
      </c>
      <c r="AL170" t="str">
        <f ca="1">_xll.BDP($B$16,$C$16,CONCATENATE("PX391=", $AL$158), CONCATENATE("PX392=",$AL$159), CONCATENATE("DS004=",$B$151), "Fill=B")</f>
        <v>#N/A Connection</v>
      </c>
      <c r="AM170" t="str">
        <f ca="1">_xll.BDP($B$16,$C$16,CONCATENATE("PX391=", $AM$158), CONCATENATE("PX392=",$AM$159), CONCATENATE("DS004=",$B$151), "Fill=B")</f>
        <v>#N/A Connection</v>
      </c>
      <c r="AN170" t="str">
        <f ca="1">_xll.BDP($B$16,$C$16,CONCATENATE("PX391=", $AN$158), CONCATENATE("PX392=",$AN$159), CONCATENATE("DS004=",$B$151), "Fill=B")</f>
        <v>#N/A Connection</v>
      </c>
      <c r="AO170" t="str">
        <f ca="1">_xll.BDP($B$16,$C$16,CONCATENATE("PX391=", $AO$158), CONCATENATE("PX392=",$AO$159), CONCATENATE("DS004=",$B$151), "Fill=B")</f>
        <v>#N/A Connection</v>
      </c>
      <c r="AP170" t="str">
        <f ca="1">_xll.BDP($B$16,$C$16,CONCATENATE("PX391=", $AP$158), CONCATENATE("PX392=",$AP$159), CONCATENATE("DS004=",$B$151), "Fill=B")</f>
        <v>#N/A Connection</v>
      </c>
      <c r="AQ170" t="str">
        <f ca="1">_xll.BDP($B$16,$C$16,CONCATENATE("PX391=", $AQ$158), CONCATENATE("PX392=",$AQ$159), CONCATENATE("DS004=",$B$151), "Fill=B")</f>
        <v>#N/A Connection</v>
      </c>
      <c r="AR170" t="str">
        <f ca="1">_xll.BDP($B$16,$C$16,CONCATENATE("PX391=", $AR$158), CONCATENATE("PX392=",$AR$159), CONCATENATE("DS004=",$B$151), "Fill=B")</f>
        <v>#N/A Connection</v>
      </c>
      <c r="AS170" t="str">
        <f ca="1">_xll.BDP($B$16,$C$16,CONCATENATE("PX391=", $AS$158), CONCATENATE("PX392=",$AS$159), CONCATENATE("DS004=",$B$151), "Fill=B")</f>
        <v>#N/A Connection</v>
      </c>
      <c r="AT170" t="str">
        <f ca="1">_xll.BDP($B$16,$C$16,CONCATENATE("PX391=", $AT$158), CONCATENATE("PX392=",$AT$159), CONCATENATE("DS004=",$B$151), "Fill=B")</f>
        <v>#N/A Connection</v>
      </c>
      <c r="AU170" t="str">
        <f ca="1">_xll.BDP($B$16,$C$16,CONCATENATE("PX391=", $AU$158), CONCATENATE("PX392=",$AU$159), CONCATENATE("DS004=",$B$151), "Fill=B")</f>
        <v>#N/A Connection</v>
      </c>
      <c r="AV170" t="str">
        <f ca="1">_xll.BDP($B$16,$C$16,CONCATENATE("PX391=", $AV$158), CONCATENATE("PX392=",$AV$159), CONCATENATE("DS004=",$B$151), "Fill=B")</f>
        <v>#N/A Connection</v>
      </c>
      <c r="AW170" t="str">
        <f ca="1">_xll.BDP($B$16,$C$16,CONCATENATE("PX391=", $AW$158), CONCATENATE("PX392=",$AW$159), CONCATENATE("DS004=",$B$151), "Fill=B")</f>
        <v>#N/A Connection</v>
      </c>
      <c r="AX170" t="str">
        <f ca="1">_xll.BDP($B$16,$C$16,CONCATENATE("PX391=", $AX$158), CONCATENATE("PX392=",$AX$159), CONCATENATE("DS004=",$B$151), "Fill=B")</f>
        <v>#N/A Connection</v>
      </c>
      <c r="AY170" t="str">
        <f ca="1">_xll.BDP($B$16,$C$16,CONCATENATE("PX391=", $AY$158), CONCATENATE("PX392=",$AY$159), CONCATENATE("DS004=",$B$151), "Fill=B")</f>
        <v>#N/A Connection</v>
      </c>
      <c r="AZ170" t="str">
        <f ca="1">_xll.BDP($B$16,$C$16,CONCATENATE("PX391=", $AZ$158), CONCATENATE("PX392=",$AZ$159), CONCATENATE("DS004=",$B$151), "Fill=B")</f>
        <v>#N/A Connection</v>
      </c>
      <c r="BA170" t="str">
        <f ca="1">_xll.BDP($B$16,$C$16,CONCATENATE("PX391=", $BA$158), CONCATENATE("PX392=",$BA$159), CONCATENATE("DS004=",$B$151), "Fill=B")</f>
        <v>#N/A Connection</v>
      </c>
      <c r="BB170" t="str">
        <f ca="1">_xll.BDP($B$16,$C$16,CONCATENATE("PX391=", $BB$158), CONCATENATE("PX392=",$BB$159), CONCATENATE("DS004=",$B$151), "Fill=B")</f>
        <v>#N/A Connection</v>
      </c>
      <c r="BC170" t="str">
        <f ca="1">_xll.BDP($B$16,$C$16,CONCATENATE("PX391=", $BC$158), CONCATENATE("PX392=",$BC$159), CONCATENATE("DS004=",$B$151), "Fill=B")</f>
        <v>#N/A Connection</v>
      </c>
      <c r="BD170" t="str">
        <f ca="1">_xll.BDP($B$16,$C$16,CONCATENATE("PX391=", $BD$158), CONCATENATE("PX392=",$BD$159), CONCATENATE("DS004=",$B$151), "Fill=B")</f>
        <v>#N/A Connection</v>
      </c>
      <c r="BE170" t="str">
        <f ca="1">_xll.BDP($B$16,$C$16,CONCATENATE("PX391=", $BE$158), CONCATENATE("PX392=",$BE$159), CONCATENATE("DS004=",$B$151), "Fill=B")</f>
        <v>#N/A Connection</v>
      </c>
      <c r="BF170" t="str">
        <f ca="1">_xll.BDP($B$16,$C$16,CONCATENATE("PX391=", $BF$158), CONCATENATE("PX392=",$BF$159), CONCATENATE("DS004=",$B$151), "Fill=B")</f>
        <v>#N/A Connection</v>
      </c>
      <c r="BG170" t="str">
        <f ca="1">_xll.BDP($B$16,$C$16,CONCATENATE("PX391=", $BG$158), CONCATENATE("PX392=",$BG$159), CONCATENATE("DS004=",$B$151), "Fill=B")</f>
        <v>#N/A Connection</v>
      </c>
      <c r="BH170" t="str">
        <f ca="1">_xll.BDP($B$16,$C$16,CONCATENATE("PX391=", $BH$158), CONCATENATE("PX392=",$BH$159), CONCATENATE("DS004=",$B$151), "Fill=B")</f>
        <v>#N/A Connection</v>
      </c>
      <c r="BI170" t="str">
        <f ca="1">_xll.BDP($B$16,$C$16,CONCATENATE("PX391=", $BI$158), CONCATENATE("PX392=",$BI$159), CONCATENATE("DS004=",$B$151), "Fill=B")</f>
        <v>#N/A Connection</v>
      </c>
      <c r="BJ170" t="str">
        <f ca="1">_xll.BDP($B$16,$C$16,CONCATENATE("PX391=", $BJ$158), CONCATENATE("PX392=",$BJ$159), CONCATENATE("DS004=",$B$151), "Fill=B")</f>
        <v>#N/A Connection</v>
      </c>
      <c r="BK170" t="str">
        <f ca="1">_xll.BDP($B$16,$C$16,CONCATENATE("PX391=", $BK$158), CONCATENATE("PX392=",$BK$159), CONCATENATE("DS004=",$B$151), "Fill=B")</f>
        <v>#N/A Connection</v>
      </c>
      <c r="BL170" t="str">
        <f ca="1">_xll.BDP($B$16,$C$16,CONCATENATE("PX391=", $BL$158), CONCATENATE("PX392=",$BL$159), CONCATENATE("DS004=",$B$151), "Fill=B")</f>
        <v>#N/A Connection</v>
      </c>
      <c r="BM170" t="str">
        <f ca="1">_xll.BDP($B$16,$C$16,CONCATENATE("PX391=", $BM$158), CONCATENATE("PX392=",$BM$159), CONCATENATE("DS004=",$B$151), "Fill=B")</f>
        <v>#N/A Connection</v>
      </c>
      <c r="BN170" t="str">
        <f>""</f>
        <v/>
      </c>
      <c r="BO170" t="str">
        <f>""</f>
        <v/>
      </c>
      <c r="BP170" t="str">
        <f>""</f>
        <v/>
      </c>
      <c r="BQ170" t="str">
        <f>""</f>
        <v/>
      </c>
      <c r="BR170" t="str">
        <f>""</f>
        <v/>
      </c>
      <c r="BS170" t="str">
        <f>""</f>
        <v/>
      </c>
      <c r="BT170" t="str">
        <f>""</f>
        <v/>
      </c>
      <c r="BU170" t="str">
        <f>""</f>
        <v/>
      </c>
      <c r="BV170" t="str">
        <f>""</f>
        <v/>
      </c>
      <c r="BW170" t="str">
        <f>""</f>
        <v/>
      </c>
      <c r="BX170" t="str">
        <f>""</f>
        <v/>
      </c>
      <c r="BY170" t="str">
        <f>""</f>
        <v/>
      </c>
      <c r="BZ170" t="str">
        <f>""</f>
        <v/>
      </c>
      <c r="CA170" t="str">
        <f>""</f>
        <v/>
      </c>
      <c r="CB170" t="str">
        <f>""</f>
        <v/>
      </c>
      <c r="CC170" t="str">
        <f>""</f>
        <v/>
      </c>
      <c r="CD170" t="str">
        <f>""</f>
        <v/>
      </c>
      <c r="CE170" t="str">
        <f>""</f>
        <v/>
      </c>
      <c r="CF170" t="str">
        <f>""</f>
        <v/>
      </c>
      <c r="CG170" t="str">
        <f>""</f>
        <v/>
      </c>
      <c r="CH170" t="str">
        <f>""</f>
        <v/>
      </c>
      <c r="CI170" t="str">
        <f>""</f>
        <v/>
      </c>
      <c r="CJ170" t="str">
        <f>""</f>
        <v/>
      </c>
      <c r="CK170" t="str">
        <f>""</f>
        <v/>
      </c>
      <c r="CL170" t="str">
        <f>""</f>
        <v/>
      </c>
      <c r="CM170" t="str">
        <f>""</f>
        <v/>
      </c>
      <c r="CN170" t="str">
        <f>""</f>
        <v/>
      </c>
      <c r="CO170" t="str">
        <f>""</f>
        <v/>
      </c>
      <c r="CP170" t="str">
        <f>""</f>
        <v/>
      </c>
      <c r="CQ170" t="str">
        <f>""</f>
        <v/>
      </c>
      <c r="CR170" t="str">
        <f>""</f>
        <v/>
      </c>
      <c r="CS170" t="str">
        <f>""</f>
        <v/>
      </c>
      <c r="CT170" t="str">
        <f>""</f>
        <v/>
      </c>
      <c r="CU170" t="str">
        <f>""</f>
        <v/>
      </c>
      <c r="CV170" t="str">
        <f>""</f>
        <v/>
      </c>
      <c r="CW170" t="str">
        <f>""</f>
        <v/>
      </c>
      <c r="CX170" t="str">
        <f>""</f>
        <v/>
      </c>
      <c r="CY170" t="str">
        <f>""</f>
        <v/>
      </c>
      <c r="CZ170" t="str">
        <f>""</f>
        <v/>
      </c>
      <c r="DA170" t="str">
        <f>""</f>
        <v/>
      </c>
      <c r="DB170" t="str">
        <f>""</f>
        <v/>
      </c>
      <c r="DC170" t="str">
        <f>""</f>
        <v/>
      </c>
      <c r="DD170" t="str">
        <f>""</f>
        <v/>
      </c>
      <c r="DE170" t="str">
        <f>""</f>
        <v/>
      </c>
      <c r="DF170" t="str">
        <f>""</f>
        <v/>
      </c>
      <c r="DG170" t="str">
        <f>""</f>
        <v/>
      </c>
      <c r="DH170" t="str">
        <f>""</f>
        <v/>
      </c>
      <c r="DI170" t="str">
        <f>""</f>
        <v/>
      </c>
      <c r="DJ170" t="str">
        <f>""</f>
        <v/>
      </c>
      <c r="DK170" t="str">
        <f>""</f>
        <v/>
      </c>
      <c r="DL170" t="str">
        <f>""</f>
        <v/>
      </c>
      <c r="DM170" t="str">
        <f>""</f>
        <v/>
      </c>
      <c r="DN170" t="str">
        <f>""</f>
        <v/>
      </c>
      <c r="DO170" t="str">
        <f>""</f>
        <v/>
      </c>
      <c r="DP170" t="str">
        <f>""</f>
        <v/>
      </c>
      <c r="DQ170" t="str">
        <f>""</f>
        <v/>
      </c>
      <c r="DR170" t="str">
        <f>""</f>
        <v/>
      </c>
      <c r="DS170" t="str">
        <f>""</f>
        <v/>
      </c>
      <c r="DT170" t="str">
        <f>""</f>
        <v/>
      </c>
      <c r="DU170" t="str">
        <f>""</f>
        <v/>
      </c>
    </row>
    <row r="171" spans="1:125" x14ac:dyDescent="0.25">
      <c r="A171" t="str">
        <f>$A$17</f>
        <v xml:space="preserve">        South Korea</v>
      </c>
      <c r="B171" t="str">
        <f>$B$17</f>
        <v>AUTMKRVS Index</v>
      </c>
      <c r="C171" t="str">
        <f>$C$17</f>
        <v>PX385</v>
      </c>
      <c r="D171" t="str">
        <f>$D$17</f>
        <v>INTERVAL_SUM</v>
      </c>
      <c r="E171" t="str">
        <f>$E$17</f>
        <v>Dynamic</v>
      </c>
      <c r="F171" t="str">
        <f ca="1">_xll.BDP($B$17,$C$17,CONCATENATE("PX391=", $F$158), CONCATENATE("PX392=",$F$159), CONCATENATE("DS004=",$B$151), "Fill=B")</f>
        <v>#N/A Connection</v>
      </c>
      <c r="G171" t="str">
        <f ca="1">_xll.BDP($B$17,$C$17,CONCATENATE("PX391=", $G$158), CONCATENATE("PX392=",$G$159), CONCATENATE("DS004=",$B$151), "Fill=B")</f>
        <v>#N/A Connection</v>
      </c>
      <c r="H171" t="str">
        <f ca="1">_xll.BDP($B$17,$C$17,CONCATENATE("PX391=", $H$158), CONCATENATE("PX392=",$H$159), CONCATENATE("DS004=",$B$151), "Fill=B")</f>
        <v>#N/A Connection</v>
      </c>
      <c r="I171" t="str">
        <f ca="1">_xll.BDP($B$17,$C$17,CONCATENATE("PX391=", $I$158), CONCATENATE("PX392=",$I$159), CONCATENATE("DS004=",$B$151), "Fill=B")</f>
        <v>#N/A Connection</v>
      </c>
      <c r="J171" t="str">
        <f ca="1">_xll.BDP($B$17,$C$17,CONCATENATE("PX391=", $J$158), CONCATENATE("PX392=",$J$159), CONCATENATE("DS004=",$B$151), "Fill=B")</f>
        <v>#N/A Connection</v>
      </c>
      <c r="K171" t="str">
        <f ca="1">_xll.BDP($B$17,$C$17,CONCATENATE("PX391=", $K$158), CONCATENATE("PX392=",$K$159), CONCATENATE("DS004=",$B$151), "Fill=B")</f>
        <v>#N/A Connection</v>
      </c>
      <c r="L171" t="str">
        <f ca="1">_xll.BDP($B$17,$C$17,CONCATENATE("PX391=", $L$158), CONCATENATE("PX392=",$L$159), CONCATENATE("DS004=",$B$151), "Fill=B")</f>
        <v>#N/A Connection</v>
      </c>
      <c r="M171" t="str">
        <f ca="1">_xll.BDP($B$17,$C$17,CONCATENATE("PX391=", $M$158), CONCATENATE("PX392=",$M$159), CONCATENATE("DS004=",$B$151), "Fill=B")</f>
        <v>#N/A Connection</v>
      </c>
      <c r="N171" t="str">
        <f ca="1">_xll.BDP($B$17,$C$17,CONCATENATE("PX391=", $N$158), CONCATENATE("PX392=",$N$159), CONCATENATE("DS004=",$B$151), "Fill=B")</f>
        <v>#N/A Connection</v>
      </c>
      <c r="O171" t="str">
        <f ca="1">_xll.BDP($B$17,$C$17,CONCATENATE("PX391=", $O$158), CONCATENATE("PX392=",$O$159), CONCATENATE("DS004=",$B$151), "Fill=B")</f>
        <v>#N/A Connection</v>
      </c>
      <c r="P171" t="str">
        <f ca="1">_xll.BDP($B$17,$C$17,CONCATENATE("PX391=", $P$158), CONCATENATE("PX392=",$P$159), CONCATENATE("DS004=",$B$151), "Fill=B")</f>
        <v>#N/A Connection</v>
      </c>
      <c r="Q171" t="str">
        <f ca="1">_xll.BDP($B$17,$C$17,CONCATENATE("PX391=", $Q$158), CONCATENATE("PX392=",$Q$159), CONCATENATE("DS004=",$B$151), "Fill=B")</f>
        <v>#N/A Connection</v>
      </c>
      <c r="R171" t="str">
        <f ca="1">_xll.BDP($B$17,$C$17,CONCATENATE("PX391=", $R$158), CONCATENATE("PX392=",$R$159), CONCATENATE("DS004=",$B$151), "Fill=B")</f>
        <v>#N/A Connection</v>
      </c>
      <c r="S171" t="str">
        <f ca="1">_xll.BDP($B$17,$C$17,CONCATENATE("PX391=", $S$158), CONCATENATE("PX392=",$S$159), CONCATENATE("DS004=",$B$151), "Fill=B")</f>
        <v>#N/A Connection</v>
      </c>
      <c r="T171" t="str">
        <f ca="1">_xll.BDP($B$17,$C$17,CONCATENATE("PX391=", $T$158), CONCATENATE("PX392=",$T$159), CONCATENATE("DS004=",$B$151), "Fill=B")</f>
        <v>#N/A Connection</v>
      </c>
      <c r="U171" t="str">
        <f ca="1">_xll.BDP($B$17,$C$17,CONCATENATE("PX391=", $U$158), CONCATENATE("PX392=",$U$159), CONCATENATE("DS004=",$B$151), "Fill=B")</f>
        <v>#N/A Connection</v>
      </c>
      <c r="V171" t="str">
        <f ca="1">_xll.BDP($B$17,$C$17,CONCATENATE("PX391=", $V$158), CONCATENATE("PX392=",$V$159), CONCATENATE("DS004=",$B$151), "Fill=B")</f>
        <v>#N/A Connection</v>
      </c>
      <c r="W171" t="str">
        <f ca="1">_xll.BDP($B$17,$C$17,CONCATENATE("PX391=", $W$158), CONCATENATE("PX392=",$W$159), CONCATENATE("DS004=",$B$151), "Fill=B")</f>
        <v>#N/A Connection</v>
      </c>
      <c r="X171" t="str">
        <f ca="1">_xll.BDP($B$17,$C$17,CONCATENATE("PX391=", $X$158), CONCATENATE("PX392=",$X$159), CONCATENATE("DS004=",$B$151), "Fill=B")</f>
        <v>#N/A Connection</v>
      </c>
      <c r="Y171" t="str">
        <f ca="1">_xll.BDP($B$17,$C$17,CONCATENATE("PX391=", $Y$158), CONCATENATE("PX392=",$Y$159), CONCATENATE("DS004=",$B$151), "Fill=B")</f>
        <v>#N/A Connection</v>
      </c>
      <c r="Z171" t="str">
        <f ca="1">_xll.BDP($B$17,$C$17,CONCATENATE("PX391=", $Z$158), CONCATENATE("PX392=",$Z$159), CONCATENATE("DS004=",$B$151), "Fill=B")</f>
        <v>#N/A Connection</v>
      </c>
      <c r="AA171" t="str">
        <f ca="1">_xll.BDP($B$17,$C$17,CONCATENATE("PX391=", $AA$158), CONCATENATE("PX392=",$AA$159), CONCATENATE("DS004=",$B$151), "Fill=B")</f>
        <v>#N/A Connection</v>
      </c>
      <c r="AB171" t="str">
        <f ca="1">_xll.BDP($B$17,$C$17,CONCATENATE("PX391=", $AB$158), CONCATENATE("PX392=",$AB$159), CONCATENATE("DS004=",$B$151), "Fill=B")</f>
        <v>#N/A Connection</v>
      </c>
      <c r="AC171" t="str">
        <f ca="1">_xll.BDP($B$17,$C$17,CONCATENATE("PX391=", $AC$158), CONCATENATE("PX392=",$AC$159), CONCATENATE("DS004=",$B$151), "Fill=B")</f>
        <v>#N/A Connection</v>
      </c>
      <c r="AD171" t="str">
        <f ca="1">_xll.BDP($B$17,$C$17,CONCATENATE("PX391=", $AD$158), CONCATENATE("PX392=",$AD$159), CONCATENATE("DS004=",$B$151), "Fill=B")</f>
        <v>#N/A Connection</v>
      </c>
      <c r="AE171" t="str">
        <f ca="1">_xll.BDP($B$17,$C$17,CONCATENATE("PX391=", $AE$158), CONCATENATE("PX392=",$AE$159), CONCATENATE("DS004=",$B$151), "Fill=B")</f>
        <v>#N/A Connection</v>
      </c>
      <c r="AF171" t="str">
        <f ca="1">_xll.BDP($B$17,$C$17,CONCATENATE("PX391=", $AF$158), CONCATENATE("PX392=",$AF$159), CONCATENATE("DS004=",$B$151), "Fill=B")</f>
        <v>#N/A Connection</v>
      </c>
      <c r="AG171" t="str">
        <f ca="1">_xll.BDP($B$17,$C$17,CONCATENATE("PX391=", $AG$158), CONCATENATE("PX392=",$AG$159), CONCATENATE("DS004=",$B$151), "Fill=B")</f>
        <v>#N/A Connection</v>
      </c>
      <c r="AH171" t="str">
        <f ca="1">_xll.BDP($B$17,$C$17,CONCATENATE("PX391=", $AH$158), CONCATENATE("PX392=",$AH$159), CONCATENATE("DS004=",$B$151), "Fill=B")</f>
        <v>#N/A Connection</v>
      </c>
      <c r="AI171" t="str">
        <f ca="1">_xll.BDP($B$17,$C$17,CONCATENATE("PX391=", $AI$158), CONCATENATE("PX392=",$AI$159), CONCATENATE("DS004=",$B$151), "Fill=B")</f>
        <v>#N/A Connection</v>
      </c>
      <c r="AJ171" t="str">
        <f ca="1">_xll.BDP($B$17,$C$17,CONCATENATE("PX391=", $AJ$158), CONCATENATE("PX392=",$AJ$159), CONCATENATE("DS004=",$B$151), "Fill=B")</f>
        <v>#N/A Connection</v>
      </c>
      <c r="AK171" t="str">
        <f ca="1">_xll.BDP($B$17,$C$17,CONCATENATE("PX391=", $AK$158), CONCATENATE("PX392=",$AK$159), CONCATENATE("DS004=",$B$151), "Fill=B")</f>
        <v>#N/A Connection</v>
      </c>
      <c r="AL171" t="str">
        <f ca="1">_xll.BDP($B$17,$C$17,CONCATENATE("PX391=", $AL$158), CONCATENATE("PX392=",$AL$159), CONCATENATE("DS004=",$B$151), "Fill=B")</f>
        <v>#N/A Connection</v>
      </c>
      <c r="AM171" t="str">
        <f ca="1">_xll.BDP($B$17,$C$17,CONCATENATE("PX391=", $AM$158), CONCATENATE("PX392=",$AM$159), CONCATENATE("DS004=",$B$151), "Fill=B")</f>
        <v>#N/A Connection</v>
      </c>
      <c r="AN171" t="str">
        <f ca="1">_xll.BDP($B$17,$C$17,CONCATENATE("PX391=", $AN$158), CONCATENATE("PX392=",$AN$159), CONCATENATE("DS004=",$B$151), "Fill=B")</f>
        <v>#N/A Connection</v>
      </c>
      <c r="AO171" t="str">
        <f ca="1">_xll.BDP($B$17,$C$17,CONCATENATE("PX391=", $AO$158), CONCATENATE("PX392=",$AO$159), CONCATENATE("DS004=",$B$151), "Fill=B")</f>
        <v>#N/A Connection</v>
      </c>
      <c r="AP171" t="str">
        <f ca="1">_xll.BDP($B$17,$C$17,CONCATENATE("PX391=", $AP$158), CONCATENATE("PX392=",$AP$159), CONCATENATE("DS004=",$B$151), "Fill=B")</f>
        <v>#N/A Connection</v>
      </c>
      <c r="AQ171" t="str">
        <f ca="1">_xll.BDP($B$17,$C$17,CONCATENATE("PX391=", $AQ$158), CONCATENATE("PX392=",$AQ$159), CONCATENATE("DS004=",$B$151), "Fill=B")</f>
        <v>#N/A Connection</v>
      </c>
      <c r="AR171" t="str">
        <f ca="1">_xll.BDP($B$17,$C$17,CONCATENATE("PX391=", $AR$158), CONCATENATE("PX392=",$AR$159), CONCATENATE("DS004=",$B$151), "Fill=B")</f>
        <v>#N/A Connection</v>
      </c>
      <c r="AS171" t="str">
        <f ca="1">_xll.BDP($B$17,$C$17,CONCATENATE("PX391=", $AS$158), CONCATENATE("PX392=",$AS$159), CONCATENATE("DS004=",$B$151), "Fill=B")</f>
        <v>#N/A Connection</v>
      </c>
      <c r="AT171" t="str">
        <f ca="1">_xll.BDP($B$17,$C$17,CONCATENATE("PX391=", $AT$158), CONCATENATE("PX392=",$AT$159), CONCATENATE("DS004=",$B$151), "Fill=B")</f>
        <v>#N/A Connection</v>
      </c>
      <c r="AU171" t="str">
        <f ca="1">_xll.BDP($B$17,$C$17,CONCATENATE("PX391=", $AU$158), CONCATENATE("PX392=",$AU$159), CONCATENATE("DS004=",$B$151), "Fill=B")</f>
        <v>#N/A Connection</v>
      </c>
      <c r="AV171" t="str">
        <f ca="1">_xll.BDP($B$17,$C$17,CONCATENATE("PX391=", $AV$158), CONCATENATE("PX392=",$AV$159), CONCATENATE("DS004=",$B$151), "Fill=B")</f>
        <v>#N/A Connection</v>
      </c>
      <c r="AW171" t="str">
        <f ca="1">_xll.BDP($B$17,$C$17,CONCATENATE("PX391=", $AW$158), CONCATENATE("PX392=",$AW$159), CONCATENATE("DS004=",$B$151), "Fill=B")</f>
        <v>#N/A Connection</v>
      </c>
      <c r="AX171" t="str">
        <f ca="1">_xll.BDP($B$17,$C$17,CONCATENATE("PX391=", $AX$158), CONCATENATE("PX392=",$AX$159), CONCATENATE("DS004=",$B$151), "Fill=B")</f>
        <v>#N/A Connection</v>
      </c>
      <c r="AY171" t="str">
        <f ca="1">_xll.BDP($B$17,$C$17,CONCATENATE("PX391=", $AY$158), CONCATENATE("PX392=",$AY$159), CONCATENATE("DS004=",$B$151), "Fill=B")</f>
        <v>#N/A Connection</v>
      </c>
      <c r="AZ171" t="str">
        <f ca="1">_xll.BDP($B$17,$C$17,CONCATENATE("PX391=", $AZ$158), CONCATENATE("PX392=",$AZ$159), CONCATENATE("DS004=",$B$151), "Fill=B")</f>
        <v>#N/A Connection</v>
      </c>
      <c r="BA171" t="str">
        <f ca="1">_xll.BDP($B$17,$C$17,CONCATENATE("PX391=", $BA$158), CONCATENATE("PX392=",$BA$159), CONCATENATE("DS004=",$B$151), "Fill=B")</f>
        <v>#N/A Connection</v>
      </c>
      <c r="BB171" t="str">
        <f ca="1">_xll.BDP($B$17,$C$17,CONCATENATE("PX391=", $BB$158), CONCATENATE("PX392=",$BB$159), CONCATENATE("DS004=",$B$151), "Fill=B")</f>
        <v>#N/A Connection</v>
      </c>
      <c r="BC171" t="str">
        <f ca="1">_xll.BDP($B$17,$C$17,CONCATENATE("PX391=", $BC$158), CONCATENATE("PX392=",$BC$159), CONCATENATE("DS004=",$B$151), "Fill=B")</f>
        <v>#N/A Connection</v>
      </c>
      <c r="BD171" t="str">
        <f ca="1">_xll.BDP($B$17,$C$17,CONCATENATE("PX391=", $BD$158), CONCATENATE("PX392=",$BD$159), CONCATENATE("DS004=",$B$151), "Fill=B")</f>
        <v>#N/A Connection</v>
      </c>
      <c r="BE171" t="str">
        <f ca="1">_xll.BDP($B$17,$C$17,CONCATENATE("PX391=", $BE$158), CONCATENATE("PX392=",$BE$159), CONCATENATE("DS004=",$B$151), "Fill=B")</f>
        <v>#N/A Connection</v>
      </c>
      <c r="BF171" t="str">
        <f ca="1">_xll.BDP($B$17,$C$17,CONCATENATE("PX391=", $BF$158), CONCATENATE("PX392=",$BF$159), CONCATENATE("DS004=",$B$151), "Fill=B")</f>
        <v>#N/A Connection</v>
      </c>
      <c r="BG171" t="str">
        <f ca="1">_xll.BDP($B$17,$C$17,CONCATENATE("PX391=", $BG$158), CONCATENATE("PX392=",$BG$159), CONCATENATE("DS004=",$B$151), "Fill=B")</f>
        <v>#N/A Connection</v>
      </c>
      <c r="BH171" t="str">
        <f ca="1">_xll.BDP($B$17,$C$17,CONCATENATE("PX391=", $BH$158), CONCATENATE("PX392=",$BH$159), CONCATENATE("DS004=",$B$151), "Fill=B")</f>
        <v>#N/A Connection</v>
      </c>
      <c r="BI171" t="str">
        <f ca="1">_xll.BDP($B$17,$C$17,CONCATENATE("PX391=", $BI$158), CONCATENATE("PX392=",$BI$159), CONCATENATE("DS004=",$B$151), "Fill=B")</f>
        <v>#N/A Connection</v>
      </c>
      <c r="BJ171" t="str">
        <f ca="1">_xll.BDP($B$17,$C$17,CONCATENATE("PX391=", $BJ$158), CONCATENATE("PX392=",$BJ$159), CONCATENATE("DS004=",$B$151), "Fill=B")</f>
        <v>#N/A Connection</v>
      </c>
      <c r="BK171" t="str">
        <f ca="1">_xll.BDP($B$17,$C$17,CONCATENATE("PX391=", $BK$158), CONCATENATE("PX392=",$BK$159), CONCATENATE("DS004=",$B$151), "Fill=B")</f>
        <v>#N/A Connection</v>
      </c>
      <c r="BL171" t="str">
        <f ca="1">_xll.BDP($B$17,$C$17,CONCATENATE("PX391=", $BL$158), CONCATENATE("PX392=",$BL$159), CONCATENATE("DS004=",$B$151), "Fill=B")</f>
        <v>#N/A Connection</v>
      </c>
      <c r="BM171" t="str">
        <f ca="1">_xll.BDP($B$17,$C$17,CONCATENATE("PX391=", $BM$158), CONCATENATE("PX392=",$BM$159), CONCATENATE("DS004=",$B$151), "Fill=B")</f>
        <v>#N/A Connection</v>
      </c>
      <c r="BN171" t="str">
        <f>""</f>
        <v/>
      </c>
      <c r="BO171" t="str">
        <f>""</f>
        <v/>
      </c>
      <c r="BP171" t="str">
        <f>""</f>
        <v/>
      </c>
      <c r="BQ171" t="str">
        <f>""</f>
        <v/>
      </c>
      <c r="BR171" t="str">
        <f>""</f>
        <v/>
      </c>
      <c r="BS171" t="str">
        <f>""</f>
        <v/>
      </c>
      <c r="BT171" t="str">
        <f>""</f>
        <v/>
      </c>
      <c r="BU171" t="str">
        <f>""</f>
        <v/>
      </c>
      <c r="BV171" t="str">
        <f>""</f>
        <v/>
      </c>
      <c r="BW171" t="str">
        <f>""</f>
        <v/>
      </c>
      <c r="BX171" t="str">
        <f>""</f>
        <v/>
      </c>
      <c r="BY171" t="str">
        <f>""</f>
        <v/>
      </c>
      <c r="BZ171" t="str">
        <f>""</f>
        <v/>
      </c>
      <c r="CA171" t="str">
        <f>""</f>
        <v/>
      </c>
      <c r="CB171" t="str">
        <f>""</f>
        <v/>
      </c>
      <c r="CC171" t="str">
        <f>""</f>
        <v/>
      </c>
      <c r="CD171" t="str">
        <f>""</f>
        <v/>
      </c>
      <c r="CE171" t="str">
        <f>""</f>
        <v/>
      </c>
      <c r="CF171" t="str">
        <f>""</f>
        <v/>
      </c>
      <c r="CG171" t="str">
        <f>""</f>
        <v/>
      </c>
      <c r="CH171" t="str">
        <f>""</f>
        <v/>
      </c>
      <c r="CI171" t="str">
        <f>""</f>
        <v/>
      </c>
      <c r="CJ171" t="str">
        <f>""</f>
        <v/>
      </c>
      <c r="CK171" t="str">
        <f>""</f>
        <v/>
      </c>
      <c r="CL171" t="str">
        <f>""</f>
        <v/>
      </c>
      <c r="CM171" t="str">
        <f>""</f>
        <v/>
      </c>
      <c r="CN171" t="str">
        <f>""</f>
        <v/>
      </c>
      <c r="CO171" t="str">
        <f>""</f>
        <v/>
      </c>
      <c r="CP171" t="str">
        <f>""</f>
        <v/>
      </c>
      <c r="CQ171" t="str">
        <f>""</f>
        <v/>
      </c>
      <c r="CR171" t="str">
        <f>""</f>
        <v/>
      </c>
      <c r="CS171" t="str">
        <f>""</f>
        <v/>
      </c>
      <c r="CT171" t="str">
        <f>""</f>
        <v/>
      </c>
      <c r="CU171" t="str">
        <f>""</f>
        <v/>
      </c>
      <c r="CV171" t="str">
        <f>""</f>
        <v/>
      </c>
      <c r="CW171" t="str">
        <f>""</f>
        <v/>
      </c>
      <c r="CX171" t="str">
        <f>""</f>
        <v/>
      </c>
      <c r="CY171" t="str">
        <f>""</f>
        <v/>
      </c>
      <c r="CZ171" t="str">
        <f>""</f>
        <v/>
      </c>
      <c r="DA171" t="str">
        <f>""</f>
        <v/>
      </c>
      <c r="DB171" t="str">
        <f>""</f>
        <v/>
      </c>
      <c r="DC171" t="str">
        <f>""</f>
        <v/>
      </c>
      <c r="DD171" t="str">
        <f>""</f>
        <v/>
      </c>
      <c r="DE171" t="str">
        <f>""</f>
        <v/>
      </c>
      <c r="DF171" t="str">
        <f>""</f>
        <v/>
      </c>
      <c r="DG171" t="str">
        <f>""</f>
        <v/>
      </c>
      <c r="DH171" t="str">
        <f>""</f>
        <v/>
      </c>
      <c r="DI171" t="str">
        <f>""</f>
        <v/>
      </c>
      <c r="DJ171" t="str">
        <f>""</f>
        <v/>
      </c>
      <c r="DK171" t="str">
        <f>""</f>
        <v/>
      </c>
      <c r="DL171" t="str">
        <f>""</f>
        <v/>
      </c>
      <c r="DM171" t="str">
        <f>""</f>
        <v/>
      </c>
      <c r="DN171" t="str">
        <f>""</f>
        <v/>
      </c>
      <c r="DO171" t="str">
        <f>""</f>
        <v/>
      </c>
      <c r="DP171" t="str">
        <f>""</f>
        <v/>
      </c>
      <c r="DQ171" t="str">
        <f>""</f>
        <v/>
      </c>
      <c r="DR171" t="str">
        <f>""</f>
        <v/>
      </c>
      <c r="DS171" t="str">
        <f>""</f>
        <v/>
      </c>
      <c r="DT171" t="str">
        <f>""</f>
        <v/>
      </c>
      <c r="DU171" t="str">
        <f>""</f>
        <v/>
      </c>
    </row>
    <row r="172" spans="1:125" x14ac:dyDescent="0.25">
      <c r="A172" t="str">
        <f>$A$18</f>
        <v xml:space="preserve">        Singapore</v>
      </c>
      <c r="B172" t="str">
        <f>$B$18</f>
        <v>SINVHR Index</v>
      </c>
      <c r="C172" t="str">
        <f>$C$18</f>
        <v>PX385</v>
      </c>
      <c r="D172" t="str">
        <f>$D$18</f>
        <v>INTERVAL_SUM</v>
      </c>
      <c r="E172" t="str">
        <f>$E$18</f>
        <v>Dynamic</v>
      </c>
      <c r="F172" t="str">
        <f ca="1">_xll.BDP($B$18,$C$18,CONCATENATE("PX391=", $F$158), CONCATENATE("PX392=",$F$159), CONCATENATE("DS004=",$B$151), "Fill=B")</f>
        <v>#N/A Connection</v>
      </c>
      <c r="G172" t="str">
        <f ca="1">_xll.BDP($B$18,$C$18,CONCATENATE("PX391=", $G$158), CONCATENATE("PX392=",$G$159), CONCATENATE("DS004=",$B$151), "Fill=B")</f>
        <v>#N/A Connection</v>
      </c>
      <c r="H172" t="str">
        <f ca="1">_xll.BDP($B$18,$C$18,CONCATENATE("PX391=", $H$158), CONCATENATE("PX392=",$H$159), CONCATENATE("DS004=",$B$151), "Fill=B")</f>
        <v>#N/A Connection</v>
      </c>
      <c r="I172" t="str">
        <f ca="1">_xll.BDP($B$18,$C$18,CONCATENATE("PX391=", $I$158), CONCATENATE("PX392=",$I$159), CONCATENATE("DS004=",$B$151), "Fill=B")</f>
        <v>#N/A Connection</v>
      </c>
      <c r="J172" t="str">
        <f ca="1">_xll.BDP($B$18,$C$18,CONCATENATE("PX391=", $J$158), CONCATENATE("PX392=",$J$159), CONCATENATE("DS004=",$B$151), "Fill=B")</f>
        <v>#N/A Connection</v>
      </c>
      <c r="K172" t="str">
        <f ca="1">_xll.BDP($B$18,$C$18,CONCATENATE("PX391=", $K$158), CONCATENATE("PX392=",$K$159), CONCATENATE("DS004=",$B$151), "Fill=B")</f>
        <v>#N/A Connection</v>
      </c>
      <c r="L172" t="str">
        <f ca="1">_xll.BDP($B$18,$C$18,CONCATENATE("PX391=", $L$158), CONCATENATE("PX392=",$L$159), CONCATENATE("DS004=",$B$151), "Fill=B")</f>
        <v>#N/A Connection</v>
      </c>
      <c r="M172" t="str">
        <f ca="1">_xll.BDP($B$18,$C$18,CONCATENATE("PX391=", $M$158), CONCATENATE("PX392=",$M$159), CONCATENATE("DS004=",$B$151), "Fill=B")</f>
        <v>#N/A Connection</v>
      </c>
      <c r="N172" t="str">
        <f ca="1">_xll.BDP($B$18,$C$18,CONCATENATE("PX391=", $N$158), CONCATENATE("PX392=",$N$159), CONCATENATE("DS004=",$B$151), "Fill=B")</f>
        <v>#N/A Connection</v>
      </c>
      <c r="O172" t="str">
        <f ca="1">_xll.BDP($B$18,$C$18,CONCATENATE("PX391=", $O$158), CONCATENATE("PX392=",$O$159), CONCATENATE("DS004=",$B$151), "Fill=B")</f>
        <v>#N/A Connection</v>
      </c>
      <c r="P172" t="str">
        <f ca="1">_xll.BDP($B$18,$C$18,CONCATENATE("PX391=", $P$158), CONCATENATE("PX392=",$P$159), CONCATENATE("DS004=",$B$151), "Fill=B")</f>
        <v>#N/A Connection</v>
      </c>
      <c r="Q172" t="str">
        <f ca="1">_xll.BDP($B$18,$C$18,CONCATENATE("PX391=", $Q$158), CONCATENATE("PX392=",$Q$159), CONCATENATE("DS004=",$B$151), "Fill=B")</f>
        <v>#N/A Connection</v>
      </c>
      <c r="R172" t="str">
        <f ca="1">_xll.BDP($B$18,$C$18,CONCATENATE("PX391=", $R$158), CONCATENATE("PX392=",$R$159), CONCATENATE("DS004=",$B$151), "Fill=B")</f>
        <v>#N/A Connection</v>
      </c>
      <c r="S172" t="str">
        <f ca="1">_xll.BDP($B$18,$C$18,CONCATENATE("PX391=", $S$158), CONCATENATE("PX392=",$S$159), CONCATENATE("DS004=",$B$151), "Fill=B")</f>
        <v>#N/A Connection</v>
      </c>
      <c r="T172" t="str">
        <f ca="1">_xll.BDP($B$18,$C$18,CONCATENATE("PX391=", $T$158), CONCATENATE("PX392=",$T$159), CONCATENATE("DS004=",$B$151), "Fill=B")</f>
        <v>#N/A Connection</v>
      </c>
      <c r="U172" t="str">
        <f ca="1">_xll.BDP($B$18,$C$18,CONCATENATE("PX391=", $U$158), CONCATENATE("PX392=",$U$159), CONCATENATE("DS004=",$B$151), "Fill=B")</f>
        <v>#N/A Connection</v>
      </c>
      <c r="V172" t="str">
        <f ca="1">_xll.BDP($B$18,$C$18,CONCATENATE("PX391=", $V$158), CONCATENATE("PX392=",$V$159), CONCATENATE("DS004=",$B$151), "Fill=B")</f>
        <v>#N/A Connection</v>
      </c>
      <c r="W172" t="str">
        <f ca="1">_xll.BDP($B$18,$C$18,CONCATENATE("PX391=", $W$158), CONCATENATE("PX392=",$W$159), CONCATENATE("DS004=",$B$151), "Fill=B")</f>
        <v>#N/A Connection</v>
      </c>
      <c r="X172" t="str">
        <f ca="1">_xll.BDP($B$18,$C$18,CONCATENATE("PX391=", $X$158), CONCATENATE("PX392=",$X$159), CONCATENATE("DS004=",$B$151), "Fill=B")</f>
        <v>#N/A Connection</v>
      </c>
      <c r="Y172" t="str">
        <f ca="1">_xll.BDP($B$18,$C$18,CONCATENATE("PX391=", $Y$158), CONCATENATE("PX392=",$Y$159), CONCATENATE("DS004=",$B$151), "Fill=B")</f>
        <v>#N/A Connection</v>
      </c>
      <c r="Z172" t="str">
        <f ca="1">_xll.BDP($B$18,$C$18,CONCATENATE("PX391=", $Z$158), CONCATENATE("PX392=",$Z$159), CONCATENATE("DS004=",$B$151), "Fill=B")</f>
        <v>#N/A Connection</v>
      </c>
      <c r="AA172" t="str">
        <f ca="1">_xll.BDP($B$18,$C$18,CONCATENATE("PX391=", $AA$158), CONCATENATE("PX392=",$AA$159), CONCATENATE("DS004=",$B$151), "Fill=B")</f>
        <v>#N/A Connection</v>
      </c>
      <c r="AB172" t="str">
        <f ca="1">_xll.BDP($B$18,$C$18,CONCATENATE("PX391=", $AB$158), CONCATENATE("PX392=",$AB$159), CONCATENATE("DS004=",$B$151), "Fill=B")</f>
        <v>#N/A Connection</v>
      </c>
      <c r="AC172" t="str">
        <f ca="1">_xll.BDP($B$18,$C$18,CONCATENATE("PX391=", $AC$158), CONCATENATE("PX392=",$AC$159), CONCATENATE("DS004=",$B$151), "Fill=B")</f>
        <v>#N/A Connection</v>
      </c>
      <c r="AD172" t="str">
        <f ca="1">_xll.BDP($B$18,$C$18,CONCATENATE("PX391=", $AD$158), CONCATENATE("PX392=",$AD$159), CONCATENATE("DS004=",$B$151), "Fill=B")</f>
        <v>#N/A Connection</v>
      </c>
      <c r="AE172" t="str">
        <f ca="1">_xll.BDP($B$18,$C$18,CONCATENATE("PX391=", $AE$158), CONCATENATE("PX392=",$AE$159), CONCATENATE("DS004=",$B$151), "Fill=B")</f>
        <v>#N/A Connection</v>
      </c>
      <c r="AF172" t="str">
        <f ca="1">_xll.BDP($B$18,$C$18,CONCATENATE("PX391=", $AF$158), CONCATENATE("PX392=",$AF$159), CONCATENATE("DS004=",$B$151), "Fill=B")</f>
        <v>#N/A Connection</v>
      </c>
      <c r="AG172" t="str">
        <f ca="1">_xll.BDP($B$18,$C$18,CONCATENATE("PX391=", $AG$158), CONCATENATE("PX392=",$AG$159), CONCATENATE("DS004=",$B$151), "Fill=B")</f>
        <v>#N/A Connection</v>
      </c>
      <c r="AH172" t="str">
        <f ca="1">_xll.BDP($B$18,$C$18,CONCATENATE("PX391=", $AH$158), CONCATENATE("PX392=",$AH$159), CONCATENATE("DS004=",$B$151), "Fill=B")</f>
        <v>#N/A Connection</v>
      </c>
      <c r="AI172" t="str">
        <f ca="1">_xll.BDP($B$18,$C$18,CONCATENATE("PX391=", $AI$158), CONCATENATE("PX392=",$AI$159), CONCATENATE("DS004=",$B$151), "Fill=B")</f>
        <v>#N/A Connection</v>
      </c>
      <c r="AJ172" t="str">
        <f ca="1">_xll.BDP($B$18,$C$18,CONCATENATE("PX391=", $AJ$158), CONCATENATE("PX392=",$AJ$159), CONCATENATE("DS004=",$B$151), "Fill=B")</f>
        <v>#N/A Connection</v>
      </c>
      <c r="AK172" t="str">
        <f ca="1">_xll.BDP($B$18,$C$18,CONCATENATE("PX391=", $AK$158), CONCATENATE("PX392=",$AK$159), CONCATENATE("DS004=",$B$151), "Fill=B")</f>
        <v>#N/A Connection</v>
      </c>
      <c r="AL172" t="str">
        <f ca="1">_xll.BDP($B$18,$C$18,CONCATENATE("PX391=", $AL$158), CONCATENATE("PX392=",$AL$159), CONCATENATE("DS004=",$B$151), "Fill=B")</f>
        <v>#N/A Connection</v>
      </c>
      <c r="AM172" t="str">
        <f ca="1">_xll.BDP($B$18,$C$18,CONCATENATE("PX391=", $AM$158), CONCATENATE("PX392=",$AM$159), CONCATENATE("DS004=",$B$151), "Fill=B")</f>
        <v>#N/A Connection</v>
      </c>
      <c r="AN172" t="str">
        <f ca="1">_xll.BDP($B$18,$C$18,CONCATENATE("PX391=", $AN$158), CONCATENATE("PX392=",$AN$159), CONCATENATE("DS004=",$B$151), "Fill=B")</f>
        <v>#N/A Connection</v>
      </c>
      <c r="AO172" t="str">
        <f ca="1">_xll.BDP($B$18,$C$18,CONCATENATE("PX391=", $AO$158), CONCATENATE("PX392=",$AO$159), CONCATENATE("DS004=",$B$151), "Fill=B")</f>
        <v>#N/A Connection</v>
      </c>
      <c r="AP172" t="str">
        <f ca="1">_xll.BDP($B$18,$C$18,CONCATENATE("PX391=", $AP$158), CONCATENATE("PX392=",$AP$159), CONCATENATE("DS004=",$B$151), "Fill=B")</f>
        <v>#N/A Connection</v>
      </c>
      <c r="AQ172" t="str">
        <f ca="1">_xll.BDP($B$18,$C$18,CONCATENATE("PX391=", $AQ$158), CONCATENATE("PX392=",$AQ$159), CONCATENATE("DS004=",$B$151), "Fill=B")</f>
        <v>#N/A Connection</v>
      </c>
      <c r="AR172" t="str">
        <f ca="1">_xll.BDP($B$18,$C$18,CONCATENATE("PX391=", $AR$158), CONCATENATE("PX392=",$AR$159), CONCATENATE("DS004=",$B$151), "Fill=B")</f>
        <v>#N/A Connection</v>
      </c>
      <c r="AS172" t="str">
        <f ca="1">_xll.BDP($B$18,$C$18,CONCATENATE("PX391=", $AS$158), CONCATENATE("PX392=",$AS$159), CONCATENATE("DS004=",$B$151), "Fill=B")</f>
        <v>#N/A Connection</v>
      </c>
      <c r="AT172" t="str">
        <f ca="1">_xll.BDP($B$18,$C$18,CONCATENATE("PX391=", $AT$158), CONCATENATE("PX392=",$AT$159), CONCATENATE("DS004=",$B$151), "Fill=B")</f>
        <v>#N/A Connection</v>
      </c>
      <c r="AU172" t="str">
        <f ca="1">_xll.BDP($B$18,$C$18,CONCATENATE("PX391=", $AU$158), CONCATENATE("PX392=",$AU$159), CONCATENATE("DS004=",$B$151), "Fill=B")</f>
        <v>#N/A Connection</v>
      </c>
      <c r="AV172" t="str">
        <f ca="1">_xll.BDP($B$18,$C$18,CONCATENATE("PX391=", $AV$158), CONCATENATE("PX392=",$AV$159), CONCATENATE("DS004=",$B$151), "Fill=B")</f>
        <v>#N/A Connection</v>
      </c>
      <c r="AW172" t="str">
        <f ca="1">_xll.BDP($B$18,$C$18,CONCATENATE("PX391=", $AW$158), CONCATENATE("PX392=",$AW$159), CONCATENATE("DS004=",$B$151), "Fill=B")</f>
        <v>#N/A Connection</v>
      </c>
      <c r="AX172" t="str">
        <f ca="1">_xll.BDP($B$18,$C$18,CONCATENATE("PX391=", $AX$158), CONCATENATE("PX392=",$AX$159), CONCATENATE("DS004=",$B$151), "Fill=B")</f>
        <v>#N/A Connection</v>
      </c>
      <c r="AY172" t="str">
        <f ca="1">_xll.BDP($B$18,$C$18,CONCATENATE("PX391=", $AY$158), CONCATENATE("PX392=",$AY$159), CONCATENATE("DS004=",$B$151), "Fill=B")</f>
        <v>#N/A Connection</v>
      </c>
      <c r="AZ172" t="str">
        <f ca="1">_xll.BDP($B$18,$C$18,CONCATENATE("PX391=", $AZ$158), CONCATENATE("PX392=",$AZ$159), CONCATENATE("DS004=",$B$151), "Fill=B")</f>
        <v>#N/A Connection</v>
      </c>
      <c r="BA172" t="str">
        <f ca="1">_xll.BDP($B$18,$C$18,CONCATENATE("PX391=", $BA$158), CONCATENATE("PX392=",$BA$159), CONCATENATE("DS004=",$B$151), "Fill=B")</f>
        <v>#N/A Connection</v>
      </c>
      <c r="BB172" t="str">
        <f ca="1">_xll.BDP($B$18,$C$18,CONCATENATE("PX391=", $BB$158), CONCATENATE("PX392=",$BB$159), CONCATENATE("DS004=",$B$151), "Fill=B")</f>
        <v>#N/A Connection</v>
      </c>
      <c r="BC172" t="str">
        <f ca="1">_xll.BDP($B$18,$C$18,CONCATENATE("PX391=", $BC$158), CONCATENATE("PX392=",$BC$159), CONCATENATE("DS004=",$B$151), "Fill=B")</f>
        <v>#N/A Connection</v>
      </c>
      <c r="BD172" t="str">
        <f ca="1">_xll.BDP($B$18,$C$18,CONCATENATE("PX391=", $BD$158), CONCATENATE("PX392=",$BD$159), CONCATENATE("DS004=",$B$151), "Fill=B")</f>
        <v>#N/A Connection</v>
      </c>
      <c r="BE172" t="str">
        <f ca="1">_xll.BDP($B$18,$C$18,CONCATENATE("PX391=", $BE$158), CONCATENATE("PX392=",$BE$159), CONCATENATE("DS004=",$B$151), "Fill=B")</f>
        <v>#N/A Connection</v>
      </c>
      <c r="BF172" t="str">
        <f ca="1">_xll.BDP($B$18,$C$18,CONCATENATE("PX391=", $BF$158), CONCATENATE("PX392=",$BF$159), CONCATENATE("DS004=",$B$151), "Fill=B")</f>
        <v>#N/A Connection</v>
      </c>
      <c r="BG172" t="str">
        <f ca="1">_xll.BDP($B$18,$C$18,CONCATENATE("PX391=", $BG$158), CONCATENATE("PX392=",$BG$159), CONCATENATE("DS004=",$B$151), "Fill=B")</f>
        <v>#N/A Connection</v>
      </c>
      <c r="BH172" t="str">
        <f ca="1">_xll.BDP($B$18,$C$18,CONCATENATE("PX391=", $BH$158), CONCATENATE("PX392=",$BH$159), CONCATENATE("DS004=",$B$151), "Fill=B")</f>
        <v>#N/A Connection</v>
      </c>
      <c r="BI172" t="str">
        <f ca="1">_xll.BDP($B$18,$C$18,CONCATENATE("PX391=", $BI$158), CONCATENATE("PX392=",$BI$159), CONCATENATE("DS004=",$B$151), "Fill=B")</f>
        <v>#N/A Connection</v>
      </c>
      <c r="BJ172" t="str">
        <f ca="1">_xll.BDP($B$18,$C$18,CONCATENATE("PX391=", $BJ$158), CONCATENATE("PX392=",$BJ$159), CONCATENATE("DS004=",$B$151), "Fill=B")</f>
        <v>#N/A Connection</v>
      </c>
      <c r="BK172" t="str">
        <f ca="1">_xll.BDP($B$18,$C$18,CONCATENATE("PX391=", $BK$158), CONCATENATE("PX392=",$BK$159), CONCATENATE("DS004=",$B$151), "Fill=B")</f>
        <v>#N/A Connection</v>
      </c>
      <c r="BL172" t="str">
        <f ca="1">_xll.BDP($B$18,$C$18,CONCATENATE("PX391=", $BL$158), CONCATENATE("PX392=",$BL$159), CONCATENATE("DS004=",$B$151), "Fill=B")</f>
        <v>#N/A Connection</v>
      </c>
      <c r="BM172" t="str">
        <f ca="1">_xll.BDP($B$18,$C$18,CONCATENATE("PX391=", $BM$158), CONCATENATE("PX392=",$BM$159), CONCATENATE("DS004=",$B$151), "Fill=B")</f>
        <v>#N/A Connection</v>
      </c>
      <c r="BN172" t="str">
        <f>""</f>
        <v/>
      </c>
      <c r="BO172" t="str">
        <f>""</f>
        <v/>
      </c>
      <c r="BP172" t="str">
        <f>""</f>
        <v/>
      </c>
      <c r="BQ172" t="str">
        <f>""</f>
        <v/>
      </c>
      <c r="BR172" t="str">
        <f>""</f>
        <v/>
      </c>
      <c r="BS172" t="str">
        <f>""</f>
        <v/>
      </c>
      <c r="BT172" t="str">
        <f>""</f>
        <v/>
      </c>
      <c r="BU172" t="str">
        <f>""</f>
        <v/>
      </c>
      <c r="BV172" t="str">
        <f>""</f>
        <v/>
      </c>
      <c r="BW172" t="str">
        <f>""</f>
        <v/>
      </c>
      <c r="BX172" t="str">
        <f>""</f>
        <v/>
      </c>
      <c r="BY172" t="str">
        <f>""</f>
        <v/>
      </c>
      <c r="BZ172" t="str">
        <f>""</f>
        <v/>
      </c>
      <c r="CA172" t="str">
        <f>""</f>
        <v/>
      </c>
      <c r="CB172" t="str">
        <f>""</f>
        <v/>
      </c>
      <c r="CC172" t="str">
        <f>""</f>
        <v/>
      </c>
      <c r="CD172" t="str">
        <f>""</f>
        <v/>
      </c>
      <c r="CE172" t="str">
        <f>""</f>
        <v/>
      </c>
      <c r="CF172" t="str">
        <f>""</f>
        <v/>
      </c>
      <c r="CG172" t="str">
        <f>""</f>
        <v/>
      </c>
      <c r="CH172" t="str">
        <f>""</f>
        <v/>
      </c>
      <c r="CI172" t="str">
        <f>""</f>
        <v/>
      </c>
      <c r="CJ172" t="str">
        <f>""</f>
        <v/>
      </c>
      <c r="CK172" t="str">
        <f>""</f>
        <v/>
      </c>
      <c r="CL172" t="str">
        <f>""</f>
        <v/>
      </c>
      <c r="CM172" t="str">
        <f>""</f>
        <v/>
      </c>
      <c r="CN172" t="str">
        <f>""</f>
        <v/>
      </c>
      <c r="CO172" t="str">
        <f>""</f>
        <v/>
      </c>
      <c r="CP172" t="str">
        <f>""</f>
        <v/>
      </c>
      <c r="CQ172" t="str">
        <f>""</f>
        <v/>
      </c>
      <c r="CR172" t="str">
        <f>""</f>
        <v/>
      </c>
      <c r="CS172" t="str">
        <f>""</f>
        <v/>
      </c>
      <c r="CT172" t="str">
        <f>""</f>
        <v/>
      </c>
      <c r="CU172" t="str">
        <f>""</f>
        <v/>
      </c>
      <c r="CV172" t="str">
        <f>""</f>
        <v/>
      </c>
      <c r="CW172" t="str">
        <f>""</f>
        <v/>
      </c>
      <c r="CX172" t="str">
        <f>""</f>
        <v/>
      </c>
      <c r="CY172" t="str">
        <f>""</f>
        <v/>
      </c>
      <c r="CZ172" t="str">
        <f>""</f>
        <v/>
      </c>
      <c r="DA172" t="str">
        <f>""</f>
        <v/>
      </c>
      <c r="DB172" t="str">
        <f>""</f>
        <v/>
      </c>
      <c r="DC172" t="str">
        <f>""</f>
        <v/>
      </c>
      <c r="DD172" t="str">
        <f>""</f>
        <v/>
      </c>
      <c r="DE172" t="str">
        <f>""</f>
        <v/>
      </c>
      <c r="DF172" t="str">
        <f>""</f>
        <v/>
      </c>
      <c r="DG172" t="str">
        <f>""</f>
        <v/>
      </c>
      <c r="DH172" t="str">
        <f>""</f>
        <v/>
      </c>
      <c r="DI172" t="str">
        <f>""</f>
        <v/>
      </c>
      <c r="DJ172" t="str">
        <f>""</f>
        <v/>
      </c>
      <c r="DK172" t="str">
        <f>""</f>
        <v/>
      </c>
      <c r="DL172" t="str">
        <f>""</f>
        <v/>
      </c>
      <c r="DM172" t="str">
        <f>""</f>
        <v/>
      </c>
      <c r="DN172" t="str">
        <f>""</f>
        <v/>
      </c>
      <c r="DO172" t="str">
        <f>""</f>
        <v/>
      </c>
      <c r="DP172" t="str">
        <f>""</f>
        <v/>
      </c>
      <c r="DQ172" t="str">
        <f>""</f>
        <v/>
      </c>
      <c r="DR172" t="str">
        <f>""</f>
        <v/>
      </c>
      <c r="DS172" t="str">
        <f>""</f>
        <v/>
      </c>
      <c r="DT172" t="str">
        <f>""</f>
        <v/>
      </c>
      <c r="DU172" t="str">
        <f>""</f>
        <v/>
      </c>
    </row>
    <row r="173" spans="1:125" x14ac:dyDescent="0.25">
      <c r="A173" t="str">
        <f>$A$19</f>
        <v xml:space="preserve">        Taiwan</v>
      </c>
      <c r="B173" t="str">
        <f>$B$19</f>
        <v>TWVSDOM Index</v>
      </c>
      <c r="C173" t="str">
        <f>$C$19</f>
        <v>PX385</v>
      </c>
      <c r="D173" t="str">
        <f>$D$19</f>
        <v>INTERVAL_SUM</v>
      </c>
      <c r="E173" t="str">
        <f>$E$19</f>
        <v>Dynamic</v>
      </c>
      <c r="F173" t="str">
        <f ca="1">_xll.BDP($B$19,$C$19,CONCATENATE("PX391=", $F$158), CONCATENATE("PX392=",$F$159), CONCATENATE("DS004=",$B$151), "Fill=B")</f>
        <v>#N/A Connection</v>
      </c>
      <c r="G173" t="str">
        <f ca="1">_xll.BDP($B$19,$C$19,CONCATENATE("PX391=", $G$158), CONCATENATE("PX392=",$G$159), CONCATENATE("DS004=",$B$151), "Fill=B")</f>
        <v>#N/A Connection</v>
      </c>
      <c r="H173" t="str">
        <f ca="1">_xll.BDP($B$19,$C$19,CONCATENATE("PX391=", $H$158), CONCATENATE("PX392=",$H$159), CONCATENATE("DS004=",$B$151), "Fill=B")</f>
        <v>#N/A Connection</v>
      </c>
      <c r="I173" t="str">
        <f ca="1">_xll.BDP($B$19,$C$19,CONCATENATE("PX391=", $I$158), CONCATENATE("PX392=",$I$159), CONCATENATE("DS004=",$B$151), "Fill=B")</f>
        <v>#N/A Connection</v>
      </c>
      <c r="J173" t="str">
        <f ca="1">_xll.BDP($B$19,$C$19,CONCATENATE("PX391=", $J$158), CONCATENATE("PX392=",$J$159), CONCATENATE("DS004=",$B$151), "Fill=B")</f>
        <v>#N/A Connection</v>
      </c>
      <c r="K173" t="str">
        <f ca="1">_xll.BDP($B$19,$C$19,CONCATENATE("PX391=", $K$158), CONCATENATE("PX392=",$K$159), CONCATENATE("DS004=",$B$151), "Fill=B")</f>
        <v>#N/A Connection</v>
      </c>
      <c r="L173" t="str">
        <f ca="1">_xll.BDP($B$19,$C$19,CONCATENATE("PX391=", $L$158), CONCATENATE("PX392=",$L$159), CONCATENATE("DS004=",$B$151), "Fill=B")</f>
        <v>#N/A Connection</v>
      </c>
      <c r="M173" t="str">
        <f ca="1">_xll.BDP($B$19,$C$19,CONCATENATE("PX391=", $M$158), CONCATENATE("PX392=",$M$159), CONCATENATE("DS004=",$B$151), "Fill=B")</f>
        <v>#N/A Connection</v>
      </c>
      <c r="N173" t="str">
        <f ca="1">_xll.BDP($B$19,$C$19,CONCATENATE("PX391=", $N$158), CONCATENATE("PX392=",$N$159), CONCATENATE("DS004=",$B$151), "Fill=B")</f>
        <v>#N/A Connection</v>
      </c>
      <c r="O173" t="str">
        <f ca="1">_xll.BDP($B$19,$C$19,CONCATENATE("PX391=", $O$158), CONCATENATE("PX392=",$O$159), CONCATENATE("DS004=",$B$151), "Fill=B")</f>
        <v>#N/A Connection</v>
      </c>
      <c r="P173" t="str">
        <f ca="1">_xll.BDP($B$19,$C$19,CONCATENATE("PX391=", $P$158), CONCATENATE("PX392=",$P$159), CONCATENATE("DS004=",$B$151), "Fill=B")</f>
        <v>#N/A Connection</v>
      </c>
      <c r="Q173" t="str">
        <f ca="1">_xll.BDP($B$19,$C$19,CONCATENATE("PX391=", $Q$158), CONCATENATE("PX392=",$Q$159), CONCATENATE("DS004=",$B$151), "Fill=B")</f>
        <v>#N/A Connection</v>
      </c>
      <c r="R173" t="str">
        <f ca="1">_xll.BDP($B$19,$C$19,CONCATENATE("PX391=", $R$158), CONCATENATE("PX392=",$R$159), CONCATENATE("DS004=",$B$151), "Fill=B")</f>
        <v>#N/A Connection</v>
      </c>
      <c r="S173" t="str">
        <f ca="1">_xll.BDP($B$19,$C$19,CONCATENATE("PX391=", $S$158), CONCATENATE("PX392=",$S$159), CONCATENATE("DS004=",$B$151), "Fill=B")</f>
        <v>#N/A Connection</v>
      </c>
      <c r="T173" t="str">
        <f ca="1">_xll.BDP($B$19,$C$19,CONCATENATE("PX391=", $T$158), CONCATENATE("PX392=",$T$159), CONCATENATE("DS004=",$B$151), "Fill=B")</f>
        <v>#N/A Connection</v>
      </c>
      <c r="U173" t="str">
        <f ca="1">_xll.BDP($B$19,$C$19,CONCATENATE("PX391=", $U$158), CONCATENATE("PX392=",$U$159), CONCATENATE("DS004=",$B$151), "Fill=B")</f>
        <v>#N/A Connection</v>
      </c>
      <c r="V173" t="str">
        <f ca="1">_xll.BDP($B$19,$C$19,CONCATENATE("PX391=", $V$158), CONCATENATE("PX392=",$V$159), CONCATENATE("DS004=",$B$151), "Fill=B")</f>
        <v>#N/A Connection</v>
      </c>
      <c r="W173" t="str">
        <f ca="1">_xll.BDP($B$19,$C$19,CONCATENATE("PX391=", $W$158), CONCATENATE("PX392=",$W$159), CONCATENATE("DS004=",$B$151), "Fill=B")</f>
        <v>#N/A Connection</v>
      </c>
      <c r="X173" t="str">
        <f ca="1">_xll.BDP($B$19,$C$19,CONCATENATE("PX391=", $X$158), CONCATENATE("PX392=",$X$159), CONCATENATE("DS004=",$B$151), "Fill=B")</f>
        <v>#N/A Connection</v>
      </c>
      <c r="Y173" t="str">
        <f ca="1">_xll.BDP($B$19,$C$19,CONCATENATE("PX391=", $Y$158), CONCATENATE("PX392=",$Y$159), CONCATENATE("DS004=",$B$151), "Fill=B")</f>
        <v>#N/A Connection</v>
      </c>
      <c r="Z173" t="str">
        <f ca="1">_xll.BDP($B$19,$C$19,CONCATENATE("PX391=", $Z$158), CONCATENATE("PX392=",$Z$159), CONCATENATE("DS004=",$B$151), "Fill=B")</f>
        <v>#N/A Connection</v>
      </c>
      <c r="AA173" t="str">
        <f ca="1">_xll.BDP($B$19,$C$19,CONCATENATE("PX391=", $AA$158), CONCATENATE("PX392=",$AA$159), CONCATENATE("DS004=",$B$151), "Fill=B")</f>
        <v>#N/A Connection</v>
      </c>
      <c r="AB173" t="str">
        <f ca="1">_xll.BDP($B$19,$C$19,CONCATENATE("PX391=", $AB$158), CONCATENATE("PX392=",$AB$159), CONCATENATE("DS004=",$B$151), "Fill=B")</f>
        <v>#N/A Connection</v>
      </c>
      <c r="AC173" t="str">
        <f ca="1">_xll.BDP($B$19,$C$19,CONCATENATE("PX391=", $AC$158), CONCATENATE("PX392=",$AC$159), CONCATENATE("DS004=",$B$151), "Fill=B")</f>
        <v>#N/A Connection</v>
      </c>
      <c r="AD173" t="str">
        <f ca="1">_xll.BDP($B$19,$C$19,CONCATENATE("PX391=", $AD$158), CONCATENATE("PX392=",$AD$159), CONCATENATE("DS004=",$B$151), "Fill=B")</f>
        <v>#N/A Connection</v>
      </c>
      <c r="AE173" t="str">
        <f ca="1">_xll.BDP($B$19,$C$19,CONCATENATE("PX391=", $AE$158), CONCATENATE("PX392=",$AE$159), CONCATENATE("DS004=",$B$151), "Fill=B")</f>
        <v>#N/A Connection</v>
      </c>
      <c r="AF173" t="str">
        <f ca="1">_xll.BDP($B$19,$C$19,CONCATENATE("PX391=", $AF$158), CONCATENATE("PX392=",$AF$159), CONCATENATE("DS004=",$B$151), "Fill=B")</f>
        <v>#N/A Connection</v>
      </c>
      <c r="AG173" t="str">
        <f ca="1">_xll.BDP($B$19,$C$19,CONCATENATE("PX391=", $AG$158), CONCATENATE("PX392=",$AG$159), CONCATENATE("DS004=",$B$151), "Fill=B")</f>
        <v>#N/A Connection</v>
      </c>
      <c r="AH173" t="str">
        <f ca="1">_xll.BDP($B$19,$C$19,CONCATENATE("PX391=", $AH$158), CONCATENATE("PX392=",$AH$159), CONCATENATE("DS004=",$B$151), "Fill=B")</f>
        <v>#N/A Connection</v>
      </c>
      <c r="AI173" t="str">
        <f ca="1">_xll.BDP($B$19,$C$19,CONCATENATE("PX391=", $AI$158), CONCATENATE("PX392=",$AI$159), CONCATENATE("DS004=",$B$151), "Fill=B")</f>
        <v>#N/A Connection</v>
      </c>
      <c r="AJ173" t="str">
        <f ca="1">_xll.BDP($B$19,$C$19,CONCATENATE("PX391=", $AJ$158), CONCATENATE("PX392=",$AJ$159), CONCATENATE("DS004=",$B$151), "Fill=B")</f>
        <v>#N/A Connection</v>
      </c>
      <c r="AK173" t="str">
        <f ca="1">_xll.BDP($B$19,$C$19,CONCATENATE("PX391=", $AK$158), CONCATENATE("PX392=",$AK$159), CONCATENATE("DS004=",$B$151), "Fill=B")</f>
        <v>#N/A Connection</v>
      </c>
      <c r="AL173" t="str">
        <f ca="1">_xll.BDP($B$19,$C$19,CONCATENATE("PX391=", $AL$158), CONCATENATE("PX392=",$AL$159), CONCATENATE("DS004=",$B$151), "Fill=B")</f>
        <v>#N/A Connection</v>
      </c>
      <c r="AM173" t="str">
        <f ca="1">_xll.BDP($B$19,$C$19,CONCATENATE("PX391=", $AM$158), CONCATENATE("PX392=",$AM$159), CONCATENATE("DS004=",$B$151), "Fill=B")</f>
        <v>#N/A Connection</v>
      </c>
      <c r="AN173" t="str">
        <f ca="1">_xll.BDP($B$19,$C$19,CONCATENATE("PX391=", $AN$158), CONCATENATE("PX392=",$AN$159), CONCATENATE("DS004=",$B$151), "Fill=B")</f>
        <v>#N/A Connection</v>
      </c>
      <c r="AO173" t="str">
        <f ca="1">_xll.BDP($B$19,$C$19,CONCATENATE("PX391=", $AO$158), CONCATENATE("PX392=",$AO$159), CONCATENATE("DS004=",$B$151), "Fill=B")</f>
        <v>#N/A Connection</v>
      </c>
      <c r="AP173" t="str">
        <f ca="1">_xll.BDP($B$19,$C$19,CONCATENATE("PX391=", $AP$158), CONCATENATE("PX392=",$AP$159), CONCATENATE("DS004=",$B$151), "Fill=B")</f>
        <v>#N/A Connection</v>
      </c>
      <c r="AQ173" t="str">
        <f ca="1">_xll.BDP($B$19,$C$19,CONCATENATE("PX391=", $AQ$158), CONCATENATE("PX392=",$AQ$159), CONCATENATE("DS004=",$B$151), "Fill=B")</f>
        <v>#N/A Connection</v>
      </c>
      <c r="AR173" t="str">
        <f ca="1">_xll.BDP($B$19,$C$19,CONCATENATE("PX391=", $AR$158), CONCATENATE("PX392=",$AR$159), CONCATENATE("DS004=",$B$151), "Fill=B")</f>
        <v>#N/A Connection</v>
      </c>
      <c r="AS173" t="str">
        <f ca="1">_xll.BDP($B$19,$C$19,CONCATENATE("PX391=", $AS$158), CONCATENATE("PX392=",$AS$159), CONCATENATE("DS004=",$B$151), "Fill=B")</f>
        <v>#N/A Connection</v>
      </c>
      <c r="AT173" t="str">
        <f ca="1">_xll.BDP($B$19,$C$19,CONCATENATE("PX391=", $AT$158), CONCATENATE("PX392=",$AT$159), CONCATENATE("DS004=",$B$151), "Fill=B")</f>
        <v>#N/A Connection</v>
      </c>
      <c r="AU173" t="str">
        <f ca="1">_xll.BDP($B$19,$C$19,CONCATENATE("PX391=", $AU$158), CONCATENATE("PX392=",$AU$159), CONCATENATE("DS004=",$B$151), "Fill=B")</f>
        <v>#N/A Connection</v>
      </c>
      <c r="AV173" t="str">
        <f ca="1">_xll.BDP($B$19,$C$19,CONCATENATE("PX391=", $AV$158), CONCATENATE("PX392=",$AV$159), CONCATENATE("DS004=",$B$151), "Fill=B")</f>
        <v>#N/A Connection</v>
      </c>
      <c r="AW173" t="str">
        <f ca="1">_xll.BDP($B$19,$C$19,CONCATENATE("PX391=", $AW$158), CONCATENATE("PX392=",$AW$159), CONCATENATE("DS004=",$B$151), "Fill=B")</f>
        <v>#N/A Connection</v>
      </c>
      <c r="AX173" t="str">
        <f ca="1">_xll.BDP($B$19,$C$19,CONCATENATE("PX391=", $AX$158), CONCATENATE("PX392=",$AX$159), CONCATENATE("DS004=",$B$151), "Fill=B")</f>
        <v>#N/A Connection</v>
      </c>
      <c r="AY173" t="str">
        <f ca="1">_xll.BDP($B$19,$C$19,CONCATENATE("PX391=", $AY$158), CONCATENATE("PX392=",$AY$159), CONCATENATE("DS004=",$B$151), "Fill=B")</f>
        <v>#N/A Connection</v>
      </c>
      <c r="AZ173" t="str">
        <f ca="1">_xll.BDP($B$19,$C$19,CONCATENATE("PX391=", $AZ$158), CONCATENATE("PX392=",$AZ$159), CONCATENATE("DS004=",$B$151), "Fill=B")</f>
        <v>#N/A Connection</v>
      </c>
      <c r="BA173" t="str">
        <f ca="1">_xll.BDP($B$19,$C$19,CONCATENATE("PX391=", $BA$158), CONCATENATE("PX392=",$BA$159), CONCATENATE("DS004=",$B$151), "Fill=B")</f>
        <v>#N/A Connection</v>
      </c>
      <c r="BB173" t="str">
        <f ca="1">_xll.BDP($B$19,$C$19,CONCATENATE("PX391=", $BB$158), CONCATENATE("PX392=",$BB$159), CONCATENATE("DS004=",$B$151), "Fill=B")</f>
        <v>#N/A Connection</v>
      </c>
      <c r="BC173" t="str">
        <f ca="1">_xll.BDP($B$19,$C$19,CONCATENATE("PX391=", $BC$158), CONCATENATE("PX392=",$BC$159), CONCATENATE("DS004=",$B$151), "Fill=B")</f>
        <v>#N/A Connection</v>
      </c>
      <c r="BD173" t="str">
        <f ca="1">_xll.BDP($B$19,$C$19,CONCATENATE("PX391=", $BD$158), CONCATENATE("PX392=",$BD$159), CONCATENATE("DS004=",$B$151), "Fill=B")</f>
        <v>#N/A Connection</v>
      </c>
      <c r="BE173" t="str">
        <f ca="1">_xll.BDP($B$19,$C$19,CONCATENATE("PX391=", $BE$158), CONCATENATE("PX392=",$BE$159), CONCATENATE("DS004=",$B$151), "Fill=B")</f>
        <v>#N/A Connection</v>
      </c>
      <c r="BF173" t="str">
        <f ca="1">_xll.BDP($B$19,$C$19,CONCATENATE("PX391=", $BF$158), CONCATENATE("PX392=",$BF$159), CONCATENATE("DS004=",$B$151), "Fill=B")</f>
        <v>#N/A Connection</v>
      </c>
      <c r="BG173" t="str">
        <f ca="1">_xll.BDP($B$19,$C$19,CONCATENATE("PX391=", $BG$158), CONCATENATE("PX392=",$BG$159), CONCATENATE("DS004=",$B$151), "Fill=B")</f>
        <v>#N/A Connection</v>
      </c>
      <c r="BH173" t="str">
        <f ca="1">_xll.BDP($B$19,$C$19,CONCATENATE("PX391=", $BH$158), CONCATENATE("PX392=",$BH$159), CONCATENATE("DS004=",$B$151), "Fill=B")</f>
        <v>#N/A Connection</v>
      </c>
      <c r="BI173" t="str">
        <f ca="1">_xll.BDP($B$19,$C$19,CONCATENATE("PX391=", $BI$158), CONCATENATE("PX392=",$BI$159), CONCATENATE("DS004=",$B$151), "Fill=B")</f>
        <v>#N/A Connection</v>
      </c>
      <c r="BJ173" t="str">
        <f ca="1">_xll.BDP($B$19,$C$19,CONCATENATE("PX391=", $BJ$158), CONCATENATE("PX392=",$BJ$159), CONCATENATE("DS004=",$B$151), "Fill=B")</f>
        <v>#N/A Connection</v>
      </c>
      <c r="BK173" t="str">
        <f ca="1">_xll.BDP($B$19,$C$19,CONCATENATE("PX391=", $BK$158), CONCATENATE("PX392=",$BK$159), CONCATENATE("DS004=",$B$151), "Fill=B")</f>
        <v>#N/A Connection</v>
      </c>
      <c r="BL173" t="str">
        <f ca="1">_xll.BDP($B$19,$C$19,CONCATENATE("PX391=", $BL$158), CONCATENATE("PX392=",$BL$159), CONCATENATE("DS004=",$B$151), "Fill=B")</f>
        <v>#N/A Connection</v>
      </c>
      <c r="BM173" t="str">
        <f ca="1">_xll.BDP($B$19,$C$19,CONCATENATE("PX391=", $BM$158), CONCATENATE("PX392=",$BM$159), CONCATENATE("DS004=",$B$151), "Fill=B")</f>
        <v>#N/A Connection</v>
      </c>
      <c r="BN173" t="str">
        <f>""</f>
        <v/>
      </c>
      <c r="BO173" t="str">
        <f>""</f>
        <v/>
      </c>
      <c r="BP173" t="str">
        <f>""</f>
        <v/>
      </c>
      <c r="BQ173" t="str">
        <f>""</f>
        <v/>
      </c>
      <c r="BR173" t="str">
        <f>""</f>
        <v/>
      </c>
      <c r="BS173" t="str">
        <f>""</f>
        <v/>
      </c>
      <c r="BT173" t="str">
        <f>""</f>
        <v/>
      </c>
      <c r="BU173" t="str">
        <f>""</f>
        <v/>
      </c>
      <c r="BV173" t="str">
        <f>""</f>
        <v/>
      </c>
      <c r="BW173" t="str">
        <f>""</f>
        <v/>
      </c>
      <c r="BX173" t="str">
        <f>""</f>
        <v/>
      </c>
      <c r="BY173" t="str">
        <f>""</f>
        <v/>
      </c>
      <c r="BZ173" t="str">
        <f>""</f>
        <v/>
      </c>
      <c r="CA173" t="str">
        <f>""</f>
        <v/>
      </c>
      <c r="CB173" t="str">
        <f>""</f>
        <v/>
      </c>
      <c r="CC173" t="str">
        <f>""</f>
        <v/>
      </c>
      <c r="CD173" t="str">
        <f>""</f>
        <v/>
      </c>
      <c r="CE173" t="str">
        <f>""</f>
        <v/>
      </c>
      <c r="CF173" t="str">
        <f>""</f>
        <v/>
      </c>
      <c r="CG173" t="str">
        <f>""</f>
        <v/>
      </c>
      <c r="CH173" t="str">
        <f>""</f>
        <v/>
      </c>
      <c r="CI173" t="str">
        <f>""</f>
        <v/>
      </c>
      <c r="CJ173" t="str">
        <f>""</f>
        <v/>
      </c>
      <c r="CK173" t="str">
        <f>""</f>
        <v/>
      </c>
      <c r="CL173" t="str">
        <f>""</f>
        <v/>
      </c>
      <c r="CM173" t="str">
        <f>""</f>
        <v/>
      </c>
      <c r="CN173" t="str">
        <f>""</f>
        <v/>
      </c>
      <c r="CO173" t="str">
        <f>""</f>
        <v/>
      </c>
      <c r="CP173" t="str">
        <f>""</f>
        <v/>
      </c>
      <c r="CQ173" t="str">
        <f>""</f>
        <v/>
      </c>
      <c r="CR173" t="str">
        <f>""</f>
        <v/>
      </c>
      <c r="CS173" t="str">
        <f>""</f>
        <v/>
      </c>
      <c r="CT173" t="str">
        <f>""</f>
        <v/>
      </c>
      <c r="CU173" t="str">
        <f>""</f>
        <v/>
      </c>
      <c r="CV173" t="str">
        <f>""</f>
        <v/>
      </c>
      <c r="CW173" t="str">
        <f>""</f>
        <v/>
      </c>
      <c r="CX173" t="str">
        <f>""</f>
        <v/>
      </c>
      <c r="CY173" t="str">
        <f>""</f>
        <v/>
      </c>
      <c r="CZ173" t="str">
        <f>""</f>
        <v/>
      </c>
      <c r="DA173" t="str">
        <f>""</f>
        <v/>
      </c>
      <c r="DB173" t="str">
        <f>""</f>
        <v/>
      </c>
      <c r="DC173" t="str">
        <f>""</f>
        <v/>
      </c>
      <c r="DD173" t="str">
        <f>""</f>
        <v/>
      </c>
      <c r="DE173" t="str">
        <f>""</f>
        <v/>
      </c>
      <c r="DF173" t="str">
        <f>""</f>
        <v/>
      </c>
      <c r="DG173" t="str">
        <f>""</f>
        <v/>
      </c>
      <c r="DH173" t="str">
        <f>""</f>
        <v/>
      </c>
      <c r="DI173" t="str">
        <f>""</f>
        <v/>
      </c>
      <c r="DJ173" t="str">
        <f>""</f>
        <v/>
      </c>
      <c r="DK173" t="str">
        <f>""</f>
        <v/>
      </c>
      <c r="DL173" t="str">
        <f>""</f>
        <v/>
      </c>
      <c r="DM173" t="str">
        <f>""</f>
        <v/>
      </c>
      <c r="DN173" t="str">
        <f>""</f>
        <v/>
      </c>
      <c r="DO173" t="str">
        <f>""</f>
        <v/>
      </c>
      <c r="DP173" t="str">
        <f>""</f>
        <v/>
      </c>
      <c r="DQ173" t="str">
        <f>""</f>
        <v/>
      </c>
      <c r="DR173" t="str">
        <f>""</f>
        <v/>
      </c>
      <c r="DS173" t="str">
        <f>""</f>
        <v/>
      </c>
      <c r="DT173" t="str">
        <f>""</f>
        <v/>
      </c>
      <c r="DU173" t="str">
        <f>""</f>
        <v/>
      </c>
    </row>
    <row r="174" spans="1:125" x14ac:dyDescent="0.25">
      <c r="A174" t="str">
        <f>$A$20</f>
        <v xml:space="preserve">        Thailand</v>
      </c>
      <c r="B174" t="str">
        <f>$B$20</f>
        <v>THVHSCAR Index</v>
      </c>
      <c r="C174" t="str">
        <f>$C$20</f>
        <v>PX385</v>
      </c>
      <c r="D174" t="str">
        <f>$D$20</f>
        <v>INTERVAL_SUM</v>
      </c>
      <c r="E174" t="str">
        <f>$E$20</f>
        <v>Dynamic</v>
      </c>
      <c r="F174" t="str">
        <f ca="1">_xll.BDP($B$20,$C$20,CONCATENATE("PX391=", $F$158), CONCATENATE("PX392=",$F$159), CONCATENATE("DS004=",$B$151), "Fill=B")</f>
        <v>#N/A Connection</v>
      </c>
      <c r="G174" t="str">
        <f ca="1">_xll.BDP($B$20,$C$20,CONCATENATE("PX391=", $G$158), CONCATENATE("PX392=",$G$159), CONCATENATE("DS004=",$B$151), "Fill=B")</f>
        <v>#N/A Connection</v>
      </c>
      <c r="H174" t="str">
        <f ca="1">_xll.BDP($B$20,$C$20,CONCATENATE("PX391=", $H$158), CONCATENATE("PX392=",$H$159), CONCATENATE("DS004=",$B$151), "Fill=B")</f>
        <v>#N/A Connection</v>
      </c>
      <c r="I174" t="str">
        <f ca="1">_xll.BDP($B$20,$C$20,CONCATENATE("PX391=", $I$158), CONCATENATE("PX392=",$I$159), CONCATENATE("DS004=",$B$151), "Fill=B")</f>
        <v>#N/A Connection</v>
      </c>
      <c r="J174" t="str">
        <f ca="1">_xll.BDP($B$20,$C$20,CONCATENATE("PX391=", $J$158), CONCATENATE("PX392=",$J$159), CONCATENATE("DS004=",$B$151), "Fill=B")</f>
        <v>#N/A Connection</v>
      </c>
      <c r="K174" t="str">
        <f ca="1">_xll.BDP($B$20,$C$20,CONCATENATE("PX391=", $K$158), CONCATENATE("PX392=",$K$159), CONCATENATE("DS004=",$B$151), "Fill=B")</f>
        <v>#N/A Connection</v>
      </c>
      <c r="L174" t="str">
        <f ca="1">_xll.BDP($B$20,$C$20,CONCATENATE("PX391=", $L$158), CONCATENATE("PX392=",$L$159), CONCATENATE("DS004=",$B$151), "Fill=B")</f>
        <v>#N/A Connection</v>
      </c>
      <c r="M174" t="str">
        <f ca="1">_xll.BDP($B$20,$C$20,CONCATENATE("PX391=", $M$158), CONCATENATE("PX392=",$M$159), CONCATENATE("DS004=",$B$151), "Fill=B")</f>
        <v>#N/A Connection</v>
      </c>
      <c r="N174" t="str">
        <f ca="1">_xll.BDP($B$20,$C$20,CONCATENATE("PX391=", $N$158), CONCATENATE("PX392=",$N$159), CONCATENATE("DS004=",$B$151), "Fill=B")</f>
        <v>#N/A Connection</v>
      </c>
      <c r="O174" t="str">
        <f ca="1">_xll.BDP($B$20,$C$20,CONCATENATE("PX391=", $O$158), CONCATENATE("PX392=",$O$159), CONCATENATE("DS004=",$B$151), "Fill=B")</f>
        <v>#N/A Connection</v>
      </c>
      <c r="P174" t="str">
        <f ca="1">_xll.BDP($B$20,$C$20,CONCATENATE("PX391=", $P$158), CONCATENATE("PX392=",$P$159), CONCATENATE("DS004=",$B$151), "Fill=B")</f>
        <v>#N/A Connection</v>
      </c>
      <c r="Q174" t="str">
        <f ca="1">_xll.BDP($B$20,$C$20,CONCATENATE("PX391=", $Q$158), CONCATENATE("PX392=",$Q$159), CONCATENATE("DS004=",$B$151), "Fill=B")</f>
        <v>#N/A Connection</v>
      </c>
      <c r="R174" t="str">
        <f ca="1">_xll.BDP($B$20,$C$20,CONCATENATE("PX391=", $R$158), CONCATENATE("PX392=",$R$159), CONCATENATE("DS004=",$B$151), "Fill=B")</f>
        <v>#N/A Connection</v>
      </c>
      <c r="S174" t="str">
        <f ca="1">_xll.BDP($B$20,$C$20,CONCATENATE("PX391=", $S$158), CONCATENATE("PX392=",$S$159), CONCATENATE("DS004=",$B$151), "Fill=B")</f>
        <v>#N/A Connection</v>
      </c>
      <c r="T174" t="str">
        <f ca="1">_xll.BDP($B$20,$C$20,CONCATENATE("PX391=", $T$158), CONCATENATE("PX392=",$T$159), CONCATENATE("DS004=",$B$151), "Fill=B")</f>
        <v>#N/A Connection</v>
      </c>
      <c r="U174" t="str">
        <f ca="1">_xll.BDP($B$20,$C$20,CONCATENATE("PX391=", $U$158), CONCATENATE("PX392=",$U$159), CONCATENATE("DS004=",$B$151), "Fill=B")</f>
        <v>#N/A Connection</v>
      </c>
      <c r="V174" t="str">
        <f ca="1">_xll.BDP($B$20,$C$20,CONCATENATE("PX391=", $V$158), CONCATENATE("PX392=",$V$159), CONCATENATE("DS004=",$B$151), "Fill=B")</f>
        <v>#N/A Connection</v>
      </c>
      <c r="W174" t="str">
        <f ca="1">_xll.BDP($B$20,$C$20,CONCATENATE("PX391=", $W$158), CONCATENATE("PX392=",$W$159), CONCATENATE("DS004=",$B$151), "Fill=B")</f>
        <v>#N/A Connection</v>
      </c>
      <c r="X174" t="str">
        <f ca="1">_xll.BDP($B$20,$C$20,CONCATENATE("PX391=", $X$158), CONCATENATE("PX392=",$X$159), CONCATENATE("DS004=",$B$151), "Fill=B")</f>
        <v>#N/A Connection</v>
      </c>
      <c r="Y174" t="str">
        <f ca="1">_xll.BDP($B$20,$C$20,CONCATENATE("PX391=", $Y$158), CONCATENATE("PX392=",$Y$159), CONCATENATE("DS004=",$B$151), "Fill=B")</f>
        <v>#N/A Connection</v>
      </c>
      <c r="Z174" t="str">
        <f ca="1">_xll.BDP($B$20,$C$20,CONCATENATE("PX391=", $Z$158), CONCATENATE("PX392=",$Z$159), CONCATENATE("DS004=",$B$151), "Fill=B")</f>
        <v>#N/A Connection</v>
      </c>
      <c r="AA174" t="str">
        <f ca="1">_xll.BDP($B$20,$C$20,CONCATENATE("PX391=", $AA$158), CONCATENATE("PX392=",$AA$159), CONCATENATE("DS004=",$B$151), "Fill=B")</f>
        <v>#N/A Connection</v>
      </c>
      <c r="AB174" t="str">
        <f ca="1">_xll.BDP($B$20,$C$20,CONCATENATE("PX391=", $AB$158), CONCATENATE("PX392=",$AB$159), CONCATENATE("DS004=",$B$151), "Fill=B")</f>
        <v>#N/A Connection</v>
      </c>
      <c r="AC174" t="str">
        <f ca="1">_xll.BDP($B$20,$C$20,CONCATENATE("PX391=", $AC$158), CONCATENATE("PX392=",$AC$159), CONCATENATE("DS004=",$B$151), "Fill=B")</f>
        <v>#N/A Connection</v>
      </c>
      <c r="AD174" t="str">
        <f ca="1">_xll.BDP($B$20,$C$20,CONCATENATE("PX391=", $AD$158), CONCATENATE("PX392=",$AD$159), CONCATENATE("DS004=",$B$151), "Fill=B")</f>
        <v>#N/A Connection</v>
      </c>
      <c r="AE174" t="str">
        <f ca="1">_xll.BDP($B$20,$C$20,CONCATENATE("PX391=", $AE$158), CONCATENATE("PX392=",$AE$159), CONCATENATE("DS004=",$B$151), "Fill=B")</f>
        <v>#N/A Connection</v>
      </c>
      <c r="AF174" t="str">
        <f ca="1">_xll.BDP($B$20,$C$20,CONCATENATE("PX391=", $AF$158), CONCATENATE("PX392=",$AF$159), CONCATENATE("DS004=",$B$151), "Fill=B")</f>
        <v>#N/A Connection</v>
      </c>
      <c r="AG174" t="str">
        <f ca="1">_xll.BDP($B$20,$C$20,CONCATENATE("PX391=", $AG$158), CONCATENATE("PX392=",$AG$159), CONCATENATE("DS004=",$B$151), "Fill=B")</f>
        <v>#N/A Connection</v>
      </c>
      <c r="AH174" t="str">
        <f ca="1">_xll.BDP($B$20,$C$20,CONCATENATE("PX391=", $AH$158), CONCATENATE("PX392=",$AH$159), CONCATENATE("DS004=",$B$151), "Fill=B")</f>
        <v>#N/A Connection</v>
      </c>
      <c r="AI174" t="str">
        <f ca="1">_xll.BDP($B$20,$C$20,CONCATENATE("PX391=", $AI$158), CONCATENATE("PX392=",$AI$159), CONCATENATE("DS004=",$B$151), "Fill=B")</f>
        <v>#N/A Connection</v>
      </c>
      <c r="AJ174" t="str">
        <f ca="1">_xll.BDP($B$20,$C$20,CONCATENATE("PX391=", $AJ$158), CONCATENATE("PX392=",$AJ$159), CONCATENATE("DS004=",$B$151), "Fill=B")</f>
        <v>#N/A Connection</v>
      </c>
      <c r="AK174" t="str">
        <f ca="1">_xll.BDP($B$20,$C$20,CONCATENATE("PX391=", $AK$158), CONCATENATE("PX392=",$AK$159), CONCATENATE("DS004=",$B$151), "Fill=B")</f>
        <v>#N/A Connection</v>
      </c>
      <c r="AL174" t="str">
        <f ca="1">_xll.BDP($B$20,$C$20,CONCATENATE("PX391=", $AL$158), CONCATENATE("PX392=",$AL$159), CONCATENATE("DS004=",$B$151), "Fill=B")</f>
        <v>#N/A Connection</v>
      </c>
      <c r="AM174" t="str">
        <f ca="1">_xll.BDP($B$20,$C$20,CONCATENATE("PX391=", $AM$158), CONCATENATE("PX392=",$AM$159), CONCATENATE("DS004=",$B$151), "Fill=B")</f>
        <v>#N/A Connection</v>
      </c>
      <c r="AN174" t="str">
        <f ca="1">_xll.BDP($B$20,$C$20,CONCATENATE("PX391=", $AN$158), CONCATENATE("PX392=",$AN$159), CONCATENATE("DS004=",$B$151), "Fill=B")</f>
        <v>#N/A Connection</v>
      </c>
      <c r="AO174" t="str">
        <f ca="1">_xll.BDP($B$20,$C$20,CONCATENATE("PX391=", $AO$158), CONCATENATE("PX392=",$AO$159), CONCATENATE("DS004=",$B$151), "Fill=B")</f>
        <v>#N/A Connection</v>
      </c>
      <c r="AP174" t="str">
        <f ca="1">_xll.BDP($B$20,$C$20,CONCATENATE("PX391=", $AP$158), CONCATENATE("PX392=",$AP$159), CONCATENATE("DS004=",$B$151), "Fill=B")</f>
        <v>#N/A Connection</v>
      </c>
      <c r="AQ174" t="str">
        <f ca="1">_xll.BDP($B$20,$C$20,CONCATENATE("PX391=", $AQ$158), CONCATENATE("PX392=",$AQ$159), CONCATENATE("DS004=",$B$151), "Fill=B")</f>
        <v>#N/A Connection</v>
      </c>
      <c r="AR174" t="str">
        <f ca="1">_xll.BDP($B$20,$C$20,CONCATENATE("PX391=", $AR$158), CONCATENATE("PX392=",$AR$159), CONCATENATE("DS004=",$B$151), "Fill=B")</f>
        <v>#N/A Connection</v>
      </c>
      <c r="AS174" t="str">
        <f ca="1">_xll.BDP($B$20,$C$20,CONCATENATE("PX391=", $AS$158), CONCATENATE("PX392=",$AS$159), CONCATENATE("DS004=",$B$151), "Fill=B")</f>
        <v>#N/A Connection</v>
      </c>
      <c r="AT174" t="str">
        <f ca="1">_xll.BDP($B$20,$C$20,CONCATENATE("PX391=", $AT$158), CONCATENATE("PX392=",$AT$159), CONCATENATE("DS004=",$B$151), "Fill=B")</f>
        <v>#N/A Connection</v>
      </c>
      <c r="AU174" t="str">
        <f ca="1">_xll.BDP($B$20,$C$20,CONCATENATE("PX391=", $AU$158), CONCATENATE("PX392=",$AU$159), CONCATENATE("DS004=",$B$151), "Fill=B")</f>
        <v>#N/A Connection</v>
      </c>
      <c r="AV174" t="str">
        <f ca="1">_xll.BDP($B$20,$C$20,CONCATENATE("PX391=", $AV$158), CONCATENATE("PX392=",$AV$159), CONCATENATE("DS004=",$B$151), "Fill=B")</f>
        <v>#N/A Connection</v>
      </c>
      <c r="AW174" t="str">
        <f ca="1">_xll.BDP($B$20,$C$20,CONCATENATE("PX391=", $AW$158), CONCATENATE("PX392=",$AW$159), CONCATENATE("DS004=",$B$151), "Fill=B")</f>
        <v>#N/A Connection</v>
      </c>
      <c r="AX174" t="str">
        <f ca="1">_xll.BDP($B$20,$C$20,CONCATENATE("PX391=", $AX$158), CONCATENATE("PX392=",$AX$159), CONCATENATE("DS004=",$B$151), "Fill=B")</f>
        <v>#N/A Connection</v>
      </c>
      <c r="AY174" t="str">
        <f ca="1">_xll.BDP($B$20,$C$20,CONCATENATE("PX391=", $AY$158), CONCATENATE("PX392=",$AY$159), CONCATENATE("DS004=",$B$151), "Fill=B")</f>
        <v>#N/A Connection</v>
      </c>
      <c r="AZ174" t="str">
        <f ca="1">_xll.BDP($B$20,$C$20,CONCATENATE("PX391=", $AZ$158), CONCATENATE("PX392=",$AZ$159), CONCATENATE("DS004=",$B$151), "Fill=B")</f>
        <v>#N/A Connection</v>
      </c>
      <c r="BA174" t="str">
        <f ca="1">_xll.BDP($B$20,$C$20,CONCATENATE("PX391=", $BA$158), CONCATENATE("PX392=",$BA$159), CONCATENATE("DS004=",$B$151), "Fill=B")</f>
        <v>#N/A Connection</v>
      </c>
      <c r="BB174" t="str">
        <f ca="1">_xll.BDP($B$20,$C$20,CONCATENATE("PX391=", $BB$158), CONCATENATE("PX392=",$BB$159), CONCATENATE("DS004=",$B$151), "Fill=B")</f>
        <v>#N/A Connection</v>
      </c>
      <c r="BC174" t="str">
        <f ca="1">_xll.BDP($B$20,$C$20,CONCATENATE("PX391=", $BC$158), CONCATENATE("PX392=",$BC$159), CONCATENATE("DS004=",$B$151), "Fill=B")</f>
        <v>#N/A Connection</v>
      </c>
      <c r="BD174" t="str">
        <f ca="1">_xll.BDP($B$20,$C$20,CONCATENATE("PX391=", $BD$158), CONCATENATE("PX392=",$BD$159), CONCATENATE("DS004=",$B$151), "Fill=B")</f>
        <v>#N/A Connection</v>
      </c>
      <c r="BE174" t="str">
        <f ca="1">_xll.BDP($B$20,$C$20,CONCATENATE("PX391=", $BE$158), CONCATENATE("PX392=",$BE$159), CONCATENATE("DS004=",$B$151), "Fill=B")</f>
        <v>#N/A Connection</v>
      </c>
      <c r="BF174" t="str">
        <f ca="1">_xll.BDP($B$20,$C$20,CONCATENATE("PX391=", $BF$158), CONCATENATE("PX392=",$BF$159), CONCATENATE("DS004=",$B$151), "Fill=B")</f>
        <v>#N/A Connection</v>
      </c>
      <c r="BG174" t="str">
        <f ca="1">_xll.BDP($B$20,$C$20,CONCATENATE("PX391=", $BG$158), CONCATENATE("PX392=",$BG$159), CONCATENATE("DS004=",$B$151), "Fill=B")</f>
        <v>#N/A Connection</v>
      </c>
      <c r="BH174" t="str">
        <f ca="1">_xll.BDP($B$20,$C$20,CONCATENATE("PX391=", $BH$158), CONCATENATE("PX392=",$BH$159), CONCATENATE("DS004=",$B$151), "Fill=B")</f>
        <v>#N/A Connection</v>
      </c>
      <c r="BI174" t="str">
        <f ca="1">_xll.BDP($B$20,$C$20,CONCATENATE("PX391=", $BI$158), CONCATENATE("PX392=",$BI$159), CONCATENATE("DS004=",$B$151), "Fill=B")</f>
        <v>#N/A Connection</v>
      </c>
      <c r="BJ174" t="str">
        <f ca="1">_xll.BDP($B$20,$C$20,CONCATENATE("PX391=", $BJ$158), CONCATENATE("PX392=",$BJ$159), CONCATENATE("DS004=",$B$151), "Fill=B")</f>
        <v>#N/A Connection</v>
      </c>
      <c r="BK174" t="str">
        <f ca="1">_xll.BDP($B$20,$C$20,CONCATENATE("PX391=", $BK$158), CONCATENATE("PX392=",$BK$159), CONCATENATE("DS004=",$B$151), "Fill=B")</f>
        <v>#N/A Connection</v>
      </c>
      <c r="BL174" t="str">
        <f ca="1">_xll.BDP($B$20,$C$20,CONCATENATE("PX391=", $BL$158), CONCATENATE("PX392=",$BL$159), CONCATENATE("DS004=",$B$151), "Fill=B")</f>
        <v>#N/A Connection</v>
      </c>
      <c r="BM174" t="str">
        <f ca="1">_xll.BDP($B$20,$C$20,CONCATENATE("PX391=", $BM$158), CONCATENATE("PX392=",$BM$159), CONCATENATE("DS004=",$B$151), "Fill=B")</f>
        <v>#N/A Connection</v>
      </c>
      <c r="BN174" t="str">
        <f>""</f>
        <v/>
      </c>
      <c r="BO174" t="str">
        <f>""</f>
        <v/>
      </c>
      <c r="BP174" t="str">
        <f>""</f>
        <v/>
      </c>
      <c r="BQ174" t="str">
        <f>""</f>
        <v/>
      </c>
      <c r="BR174" t="str">
        <f>""</f>
        <v/>
      </c>
      <c r="BS174" t="str">
        <f>""</f>
        <v/>
      </c>
      <c r="BT174" t="str">
        <f>""</f>
        <v/>
      </c>
      <c r="BU174" t="str">
        <f>""</f>
        <v/>
      </c>
      <c r="BV174" t="str">
        <f>""</f>
        <v/>
      </c>
      <c r="BW174" t="str">
        <f>""</f>
        <v/>
      </c>
      <c r="BX174" t="str">
        <f>""</f>
        <v/>
      </c>
      <c r="BY174" t="str">
        <f>""</f>
        <v/>
      </c>
      <c r="BZ174" t="str">
        <f>""</f>
        <v/>
      </c>
      <c r="CA174" t="str">
        <f>""</f>
        <v/>
      </c>
      <c r="CB174" t="str">
        <f>""</f>
        <v/>
      </c>
      <c r="CC174" t="str">
        <f>""</f>
        <v/>
      </c>
      <c r="CD174" t="str">
        <f>""</f>
        <v/>
      </c>
      <c r="CE174" t="str">
        <f>""</f>
        <v/>
      </c>
      <c r="CF174" t="str">
        <f>""</f>
        <v/>
      </c>
      <c r="CG174" t="str">
        <f>""</f>
        <v/>
      </c>
      <c r="CH174" t="str">
        <f>""</f>
        <v/>
      </c>
      <c r="CI174" t="str">
        <f>""</f>
        <v/>
      </c>
      <c r="CJ174" t="str">
        <f>""</f>
        <v/>
      </c>
      <c r="CK174" t="str">
        <f>""</f>
        <v/>
      </c>
      <c r="CL174" t="str">
        <f>""</f>
        <v/>
      </c>
      <c r="CM174" t="str">
        <f>""</f>
        <v/>
      </c>
      <c r="CN174" t="str">
        <f>""</f>
        <v/>
      </c>
      <c r="CO174" t="str">
        <f>""</f>
        <v/>
      </c>
      <c r="CP174" t="str">
        <f>""</f>
        <v/>
      </c>
      <c r="CQ174" t="str">
        <f>""</f>
        <v/>
      </c>
      <c r="CR174" t="str">
        <f>""</f>
        <v/>
      </c>
      <c r="CS174" t="str">
        <f>""</f>
        <v/>
      </c>
      <c r="CT174" t="str">
        <f>""</f>
        <v/>
      </c>
      <c r="CU174" t="str">
        <f>""</f>
        <v/>
      </c>
      <c r="CV174" t="str">
        <f>""</f>
        <v/>
      </c>
      <c r="CW174" t="str">
        <f>""</f>
        <v/>
      </c>
      <c r="CX174" t="str">
        <f>""</f>
        <v/>
      </c>
      <c r="CY174" t="str">
        <f>""</f>
        <v/>
      </c>
      <c r="CZ174" t="str">
        <f>""</f>
        <v/>
      </c>
      <c r="DA174" t="str">
        <f>""</f>
        <v/>
      </c>
      <c r="DB174" t="str">
        <f>""</f>
        <v/>
      </c>
      <c r="DC174" t="str">
        <f>""</f>
        <v/>
      </c>
      <c r="DD174" t="str">
        <f>""</f>
        <v/>
      </c>
      <c r="DE174" t="str">
        <f>""</f>
        <v/>
      </c>
      <c r="DF174" t="str">
        <f>""</f>
        <v/>
      </c>
      <c r="DG174" t="str">
        <f>""</f>
        <v/>
      </c>
      <c r="DH174" t="str">
        <f>""</f>
        <v/>
      </c>
      <c r="DI174" t="str">
        <f>""</f>
        <v/>
      </c>
      <c r="DJ174" t="str">
        <f>""</f>
        <v/>
      </c>
      <c r="DK174" t="str">
        <f>""</f>
        <v/>
      </c>
      <c r="DL174" t="str">
        <f>""</f>
        <v/>
      </c>
      <c r="DM174" t="str">
        <f>""</f>
        <v/>
      </c>
      <c r="DN174" t="str">
        <f>""</f>
        <v/>
      </c>
      <c r="DO174" t="str">
        <f>""</f>
        <v/>
      </c>
      <c r="DP174" t="str">
        <f>""</f>
        <v/>
      </c>
      <c r="DQ174" t="str">
        <f>""</f>
        <v/>
      </c>
      <c r="DR174" t="str">
        <f>""</f>
        <v/>
      </c>
      <c r="DS174" t="str">
        <f>""</f>
        <v/>
      </c>
      <c r="DT174" t="str">
        <f>""</f>
        <v/>
      </c>
      <c r="DU174" t="str">
        <f>""</f>
        <v/>
      </c>
    </row>
    <row r="175" spans="1:125" x14ac:dyDescent="0.25">
      <c r="A175" t="str">
        <f>$A$21</f>
        <v xml:space="preserve">        Vietnam</v>
      </c>
      <c r="B175" t="str">
        <f>$B$21</f>
        <v>AUTMVTVS Index</v>
      </c>
      <c r="C175" t="str">
        <f>$C$21</f>
        <v>PX385</v>
      </c>
      <c r="D175" t="str">
        <f>$D$21</f>
        <v>INTERVAL_SUM</v>
      </c>
      <c r="E175" t="str">
        <f>$E$21</f>
        <v>Dynamic</v>
      </c>
      <c r="F175" t="str">
        <f ca="1">_xll.BDP($B$21,$C$21,CONCATENATE("PX391=", $F$158), CONCATENATE("PX392=",$F$159), CONCATENATE("DS004=",$B$151), "Fill=B")</f>
        <v>#N/A Connection</v>
      </c>
      <c r="G175" t="str">
        <f ca="1">_xll.BDP($B$21,$C$21,CONCATENATE("PX391=", $G$158), CONCATENATE("PX392=",$G$159), CONCATENATE("DS004=",$B$151), "Fill=B")</f>
        <v>#N/A Connection</v>
      </c>
      <c r="H175" t="str">
        <f ca="1">_xll.BDP($B$21,$C$21,CONCATENATE("PX391=", $H$158), CONCATENATE("PX392=",$H$159), CONCATENATE("DS004=",$B$151), "Fill=B")</f>
        <v>#N/A Connection</v>
      </c>
      <c r="I175" t="str">
        <f ca="1">_xll.BDP($B$21,$C$21,CONCATENATE("PX391=", $I$158), CONCATENATE("PX392=",$I$159), CONCATENATE("DS004=",$B$151), "Fill=B")</f>
        <v>#N/A Connection</v>
      </c>
      <c r="J175" t="str">
        <f ca="1">_xll.BDP($B$21,$C$21,CONCATENATE("PX391=", $J$158), CONCATENATE("PX392=",$J$159), CONCATENATE("DS004=",$B$151), "Fill=B")</f>
        <v>#N/A Connection</v>
      </c>
      <c r="K175" t="str">
        <f ca="1">_xll.BDP($B$21,$C$21,CONCATENATE("PX391=", $K$158), CONCATENATE("PX392=",$K$159), CONCATENATE("DS004=",$B$151), "Fill=B")</f>
        <v>#N/A Connection</v>
      </c>
      <c r="L175" t="str">
        <f ca="1">_xll.BDP($B$21,$C$21,CONCATENATE("PX391=", $L$158), CONCATENATE("PX392=",$L$159), CONCATENATE("DS004=",$B$151), "Fill=B")</f>
        <v>#N/A Connection</v>
      </c>
      <c r="M175" t="str">
        <f ca="1">_xll.BDP($B$21,$C$21,CONCATENATE("PX391=", $M$158), CONCATENATE("PX392=",$M$159), CONCATENATE("DS004=",$B$151), "Fill=B")</f>
        <v>#N/A Connection</v>
      </c>
      <c r="N175" t="str">
        <f ca="1">_xll.BDP($B$21,$C$21,CONCATENATE("PX391=", $N$158), CONCATENATE("PX392=",$N$159), CONCATENATE("DS004=",$B$151), "Fill=B")</f>
        <v>#N/A Connection</v>
      </c>
      <c r="O175" t="str">
        <f ca="1">_xll.BDP($B$21,$C$21,CONCATENATE("PX391=", $O$158), CONCATENATE("PX392=",$O$159), CONCATENATE("DS004=",$B$151), "Fill=B")</f>
        <v>#N/A Connection</v>
      </c>
      <c r="P175" t="str">
        <f ca="1">_xll.BDP($B$21,$C$21,CONCATENATE("PX391=", $P$158), CONCATENATE("PX392=",$P$159), CONCATENATE("DS004=",$B$151), "Fill=B")</f>
        <v>#N/A Connection</v>
      </c>
      <c r="Q175" t="str">
        <f ca="1">_xll.BDP($B$21,$C$21,CONCATENATE("PX391=", $Q$158), CONCATENATE("PX392=",$Q$159), CONCATENATE("DS004=",$B$151), "Fill=B")</f>
        <v>#N/A Connection</v>
      </c>
      <c r="R175" t="str">
        <f ca="1">_xll.BDP($B$21,$C$21,CONCATENATE("PX391=", $R$158), CONCATENATE("PX392=",$R$159), CONCATENATE("DS004=",$B$151), "Fill=B")</f>
        <v>#N/A Connection</v>
      </c>
      <c r="S175" t="str">
        <f ca="1">_xll.BDP($B$21,$C$21,CONCATENATE("PX391=", $S$158), CONCATENATE("PX392=",$S$159), CONCATENATE("DS004=",$B$151), "Fill=B")</f>
        <v>#N/A Connection</v>
      </c>
      <c r="T175" t="str">
        <f ca="1">_xll.BDP($B$21,$C$21,CONCATENATE("PX391=", $T$158), CONCATENATE("PX392=",$T$159), CONCATENATE("DS004=",$B$151), "Fill=B")</f>
        <v>#N/A Connection</v>
      </c>
      <c r="U175" t="str">
        <f ca="1">_xll.BDP($B$21,$C$21,CONCATENATE("PX391=", $U$158), CONCATENATE("PX392=",$U$159), CONCATENATE("DS004=",$B$151), "Fill=B")</f>
        <v>#N/A Connection</v>
      </c>
      <c r="V175" t="str">
        <f ca="1">_xll.BDP($B$21,$C$21,CONCATENATE("PX391=", $V$158), CONCATENATE("PX392=",$V$159), CONCATENATE("DS004=",$B$151), "Fill=B")</f>
        <v>#N/A Connection</v>
      </c>
      <c r="W175" t="str">
        <f ca="1">_xll.BDP($B$21,$C$21,CONCATENATE("PX391=", $W$158), CONCATENATE("PX392=",$W$159), CONCATENATE("DS004=",$B$151), "Fill=B")</f>
        <v>#N/A Connection</v>
      </c>
      <c r="X175" t="str">
        <f ca="1">_xll.BDP($B$21,$C$21,CONCATENATE("PX391=", $X$158), CONCATENATE("PX392=",$X$159), CONCATENATE("DS004=",$B$151), "Fill=B")</f>
        <v>#N/A Connection</v>
      </c>
      <c r="Y175" t="str">
        <f ca="1">_xll.BDP($B$21,$C$21,CONCATENATE("PX391=", $Y$158), CONCATENATE("PX392=",$Y$159), CONCATENATE("DS004=",$B$151), "Fill=B")</f>
        <v>#N/A Connection</v>
      </c>
      <c r="Z175" t="str">
        <f ca="1">_xll.BDP($B$21,$C$21,CONCATENATE("PX391=", $Z$158), CONCATENATE("PX392=",$Z$159), CONCATENATE("DS004=",$B$151), "Fill=B")</f>
        <v>#N/A Connection</v>
      </c>
      <c r="AA175" t="str">
        <f ca="1">_xll.BDP($B$21,$C$21,CONCATENATE("PX391=", $AA$158), CONCATENATE("PX392=",$AA$159), CONCATENATE("DS004=",$B$151), "Fill=B")</f>
        <v>#N/A Connection</v>
      </c>
      <c r="AB175" t="str">
        <f ca="1">_xll.BDP($B$21,$C$21,CONCATENATE("PX391=", $AB$158), CONCATENATE("PX392=",$AB$159), CONCATENATE("DS004=",$B$151), "Fill=B")</f>
        <v>#N/A Connection</v>
      </c>
      <c r="AC175" t="str">
        <f ca="1">_xll.BDP($B$21,$C$21,CONCATENATE("PX391=", $AC$158), CONCATENATE("PX392=",$AC$159), CONCATENATE("DS004=",$B$151), "Fill=B")</f>
        <v>#N/A Connection</v>
      </c>
      <c r="AD175" t="str">
        <f ca="1">_xll.BDP($B$21,$C$21,CONCATENATE("PX391=", $AD$158), CONCATENATE("PX392=",$AD$159), CONCATENATE("DS004=",$B$151), "Fill=B")</f>
        <v>#N/A Connection</v>
      </c>
      <c r="AE175" t="str">
        <f ca="1">_xll.BDP($B$21,$C$21,CONCATENATE("PX391=", $AE$158), CONCATENATE("PX392=",$AE$159), CONCATENATE("DS004=",$B$151), "Fill=B")</f>
        <v>#N/A Connection</v>
      </c>
      <c r="AF175" t="str">
        <f ca="1">_xll.BDP($B$21,$C$21,CONCATENATE("PX391=", $AF$158), CONCATENATE("PX392=",$AF$159), CONCATENATE("DS004=",$B$151), "Fill=B")</f>
        <v>#N/A Connection</v>
      </c>
      <c r="AG175" t="str">
        <f ca="1">_xll.BDP($B$21,$C$21,CONCATENATE("PX391=", $AG$158), CONCATENATE("PX392=",$AG$159), CONCATENATE("DS004=",$B$151), "Fill=B")</f>
        <v>#N/A Connection</v>
      </c>
      <c r="AH175" t="str">
        <f ca="1">_xll.BDP($B$21,$C$21,CONCATENATE("PX391=", $AH$158), CONCATENATE("PX392=",$AH$159), CONCATENATE("DS004=",$B$151), "Fill=B")</f>
        <v>#N/A Connection</v>
      </c>
      <c r="AI175" t="str">
        <f ca="1">_xll.BDP($B$21,$C$21,CONCATENATE("PX391=", $AI$158), CONCATENATE("PX392=",$AI$159), CONCATENATE("DS004=",$B$151), "Fill=B")</f>
        <v>#N/A Connection</v>
      </c>
      <c r="AJ175" t="str">
        <f ca="1">_xll.BDP($B$21,$C$21,CONCATENATE("PX391=", $AJ$158), CONCATENATE("PX392=",$AJ$159), CONCATENATE("DS004=",$B$151), "Fill=B")</f>
        <v>#N/A Connection</v>
      </c>
      <c r="AK175" t="str">
        <f ca="1">_xll.BDP($B$21,$C$21,CONCATENATE("PX391=", $AK$158), CONCATENATE("PX392=",$AK$159), CONCATENATE("DS004=",$B$151), "Fill=B")</f>
        <v>#N/A Connection</v>
      </c>
      <c r="AL175" t="str">
        <f ca="1">_xll.BDP($B$21,$C$21,CONCATENATE("PX391=", $AL$158), CONCATENATE("PX392=",$AL$159), CONCATENATE("DS004=",$B$151), "Fill=B")</f>
        <v>#N/A Connection</v>
      </c>
      <c r="AM175" t="str">
        <f ca="1">_xll.BDP($B$21,$C$21,CONCATENATE("PX391=", $AM$158), CONCATENATE("PX392=",$AM$159), CONCATENATE("DS004=",$B$151), "Fill=B")</f>
        <v>#N/A Connection</v>
      </c>
      <c r="AN175" t="str">
        <f ca="1">_xll.BDP($B$21,$C$21,CONCATENATE("PX391=", $AN$158), CONCATENATE("PX392=",$AN$159), CONCATENATE("DS004=",$B$151), "Fill=B")</f>
        <v>#N/A Connection</v>
      </c>
      <c r="AO175" t="str">
        <f ca="1">_xll.BDP($B$21,$C$21,CONCATENATE("PX391=", $AO$158), CONCATENATE("PX392=",$AO$159), CONCATENATE("DS004=",$B$151), "Fill=B")</f>
        <v>#N/A Connection</v>
      </c>
      <c r="AP175" t="str">
        <f ca="1">_xll.BDP($B$21,$C$21,CONCATENATE("PX391=", $AP$158), CONCATENATE("PX392=",$AP$159), CONCATENATE("DS004=",$B$151), "Fill=B")</f>
        <v>#N/A Connection</v>
      </c>
      <c r="AQ175" t="str">
        <f ca="1">_xll.BDP($B$21,$C$21,CONCATENATE("PX391=", $AQ$158), CONCATENATE("PX392=",$AQ$159), CONCATENATE("DS004=",$B$151), "Fill=B")</f>
        <v>#N/A Connection</v>
      </c>
      <c r="AR175" t="str">
        <f ca="1">_xll.BDP($B$21,$C$21,CONCATENATE("PX391=", $AR$158), CONCATENATE("PX392=",$AR$159), CONCATENATE("DS004=",$B$151), "Fill=B")</f>
        <v>#N/A Connection</v>
      </c>
      <c r="AS175" t="str">
        <f ca="1">_xll.BDP($B$21,$C$21,CONCATENATE("PX391=", $AS$158), CONCATENATE("PX392=",$AS$159), CONCATENATE("DS004=",$B$151), "Fill=B")</f>
        <v>#N/A Connection</v>
      </c>
      <c r="AT175" t="str">
        <f ca="1">_xll.BDP($B$21,$C$21,CONCATENATE("PX391=", $AT$158), CONCATENATE("PX392=",$AT$159), CONCATENATE("DS004=",$B$151), "Fill=B")</f>
        <v>#N/A Connection</v>
      </c>
      <c r="AU175" t="str">
        <f ca="1">_xll.BDP($B$21,$C$21,CONCATENATE("PX391=", $AU$158), CONCATENATE("PX392=",$AU$159), CONCATENATE("DS004=",$B$151), "Fill=B")</f>
        <v>#N/A Connection</v>
      </c>
      <c r="AV175" t="str">
        <f ca="1">_xll.BDP($B$21,$C$21,CONCATENATE("PX391=", $AV$158), CONCATENATE("PX392=",$AV$159), CONCATENATE("DS004=",$B$151), "Fill=B")</f>
        <v>#N/A Connection</v>
      </c>
      <c r="AW175" t="str">
        <f ca="1">_xll.BDP($B$21,$C$21,CONCATENATE("PX391=", $AW$158), CONCATENATE("PX392=",$AW$159), CONCATENATE("DS004=",$B$151), "Fill=B")</f>
        <v>#N/A Connection</v>
      </c>
      <c r="AX175" t="str">
        <f ca="1">_xll.BDP($B$21,$C$21,CONCATENATE("PX391=", $AX$158), CONCATENATE("PX392=",$AX$159), CONCATENATE("DS004=",$B$151), "Fill=B")</f>
        <v>#N/A Connection</v>
      </c>
      <c r="AY175" t="str">
        <f ca="1">_xll.BDP($B$21,$C$21,CONCATENATE("PX391=", $AY$158), CONCATENATE("PX392=",$AY$159), CONCATENATE("DS004=",$B$151), "Fill=B")</f>
        <v>#N/A Connection</v>
      </c>
      <c r="AZ175" t="str">
        <f ca="1">_xll.BDP($B$21,$C$21,CONCATENATE("PX391=", $AZ$158), CONCATENATE("PX392=",$AZ$159), CONCATENATE("DS004=",$B$151), "Fill=B")</f>
        <v>#N/A Connection</v>
      </c>
      <c r="BA175" t="str">
        <f ca="1">_xll.BDP($B$21,$C$21,CONCATENATE("PX391=", $BA$158), CONCATENATE("PX392=",$BA$159), CONCATENATE("DS004=",$B$151), "Fill=B")</f>
        <v>#N/A Connection</v>
      </c>
      <c r="BB175" t="str">
        <f ca="1">_xll.BDP($B$21,$C$21,CONCATENATE("PX391=", $BB$158), CONCATENATE("PX392=",$BB$159), CONCATENATE("DS004=",$B$151), "Fill=B")</f>
        <v>#N/A Connection</v>
      </c>
      <c r="BC175" t="str">
        <f ca="1">_xll.BDP($B$21,$C$21,CONCATENATE("PX391=", $BC$158), CONCATENATE("PX392=",$BC$159), CONCATENATE("DS004=",$B$151), "Fill=B")</f>
        <v>#N/A Connection</v>
      </c>
      <c r="BD175" t="str">
        <f ca="1">_xll.BDP($B$21,$C$21,CONCATENATE("PX391=", $BD$158), CONCATENATE("PX392=",$BD$159), CONCATENATE("DS004=",$B$151), "Fill=B")</f>
        <v>#N/A Connection</v>
      </c>
      <c r="BE175" t="str">
        <f ca="1">_xll.BDP($B$21,$C$21,CONCATENATE("PX391=", $BE$158), CONCATENATE("PX392=",$BE$159), CONCATENATE("DS004=",$B$151), "Fill=B")</f>
        <v>#N/A Connection</v>
      </c>
      <c r="BF175" t="str">
        <f ca="1">_xll.BDP($B$21,$C$21,CONCATENATE("PX391=", $BF$158), CONCATENATE("PX392=",$BF$159), CONCATENATE("DS004=",$B$151), "Fill=B")</f>
        <v>#N/A Connection</v>
      </c>
      <c r="BG175" t="str">
        <f ca="1">_xll.BDP($B$21,$C$21,CONCATENATE("PX391=", $BG$158), CONCATENATE("PX392=",$BG$159), CONCATENATE("DS004=",$B$151), "Fill=B")</f>
        <v>#N/A Connection</v>
      </c>
      <c r="BH175" t="str">
        <f ca="1">_xll.BDP($B$21,$C$21,CONCATENATE("PX391=", $BH$158), CONCATENATE("PX392=",$BH$159), CONCATENATE("DS004=",$B$151), "Fill=B")</f>
        <v>#N/A Connection</v>
      </c>
      <c r="BI175" t="str">
        <f ca="1">_xll.BDP($B$21,$C$21,CONCATENATE("PX391=", $BI$158), CONCATENATE("PX392=",$BI$159), CONCATENATE("DS004=",$B$151), "Fill=B")</f>
        <v>#N/A Connection</v>
      </c>
      <c r="BJ175" t="str">
        <f ca="1">_xll.BDP($B$21,$C$21,CONCATENATE("PX391=", $BJ$158), CONCATENATE("PX392=",$BJ$159), CONCATENATE("DS004=",$B$151), "Fill=B")</f>
        <v>#N/A Connection</v>
      </c>
      <c r="BK175" t="str">
        <f ca="1">_xll.BDP($B$21,$C$21,CONCATENATE("PX391=", $BK$158), CONCATENATE("PX392=",$BK$159), CONCATENATE("DS004=",$B$151), "Fill=B")</f>
        <v>#N/A Connection</v>
      </c>
      <c r="BL175" t="str">
        <f ca="1">_xll.BDP($B$21,$C$21,CONCATENATE("PX391=", $BL$158), CONCATENATE("PX392=",$BL$159), CONCATENATE("DS004=",$B$151), "Fill=B")</f>
        <v>#N/A Connection</v>
      </c>
      <c r="BM175" t="str">
        <f ca="1">_xll.BDP($B$21,$C$21,CONCATENATE("PX391=", $BM$158), CONCATENATE("PX392=",$BM$159), CONCATENATE("DS004=",$B$151), "Fill=B")</f>
        <v>#N/A Connection</v>
      </c>
      <c r="BN175" t="str">
        <f>""</f>
        <v/>
      </c>
      <c r="BO175" t="str">
        <f>""</f>
        <v/>
      </c>
      <c r="BP175" t="str">
        <f>""</f>
        <v/>
      </c>
      <c r="BQ175" t="str">
        <f>""</f>
        <v/>
      </c>
      <c r="BR175" t="str">
        <f>""</f>
        <v/>
      </c>
      <c r="BS175" t="str">
        <f>""</f>
        <v/>
      </c>
      <c r="BT175" t="str">
        <f>""</f>
        <v/>
      </c>
      <c r="BU175" t="str">
        <f>""</f>
        <v/>
      </c>
      <c r="BV175" t="str">
        <f>""</f>
        <v/>
      </c>
      <c r="BW175" t="str">
        <f>""</f>
        <v/>
      </c>
      <c r="BX175" t="str">
        <f>""</f>
        <v/>
      </c>
      <c r="BY175" t="str">
        <f>""</f>
        <v/>
      </c>
      <c r="BZ175" t="str">
        <f>""</f>
        <v/>
      </c>
      <c r="CA175" t="str">
        <f>""</f>
        <v/>
      </c>
      <c r="CB175" t="str">
        <f>""</f>
        <v/>
      </c>
      <c r="CC175" t="str">
        <f>""</f>
        <v/>
      </c>
      <c r="CD175" t="str">
        <f>""</f>
        <v/>
      </c>
      <c r="CE175" t="str">
        <f>""</f>
        <v/>
      </c>
      <c r="CF175" t="str">
        <f>""</f>
        <v/>
      </c>
      <c r="CG175" t="str">
        <f>""</f>
        <v/>
      </c>
      <c r="CH175" t="str">
        <f>""</f>
        <v/>
      </c>
      <c r="CI175" t="str">
        <f>""</f>
        <v/>
      </c>
      <c r="CJ175" t="str">
        <f>""</f>
        <v/>
      </c>
      <c r="CK175" t="str">
        <f>""</f>
        <v/>
      </c>
      <c r="CL175" t="str">
        <f>""</f>
        <v/>
      </c>
      <c r="CM175" t="str">
        <f>""</f>
        <v/>
      </c>
      <c r="CN175" t="str">
        <f>""</f>
        <v/>
      </c>
      <c r="CO175" t="str">
        <f>""</f>
        <v/>
      </c>
      <c r="CP175" t="str">
        <f>""</f>
        <v/>
      </c>
      <c r="CQ175" t="str">
        <f>""</f>
        <v/>
      </c>
      <c r="CR175" t="str">
        <f>""</f>
        <v/>
      </c>
      <c r="CS175" t="str">
        <f>""</f>
        <v/>
      </c>
      <c r="CT175" t="str">
        <f>""</f>
        <v/>
      </c>
      <c r="CU175" t="str">
        <f>""</f>
        <v/>
      </c>
      <c r="CV175" t="str">
        <f>""</f>
        <v/>
      </c>
      <c r="CW175" t="str">
        <f>""</f>
        <v/>
      </c>
      <c r="CX175" t="str">
        <f>""</f>
        <v/>
      </c>
      <c r="CY175" t="str">
        <f>""</f>
        <v/>
      </c>
      <c r="CZ175" t="str">
        <f>""</f>
        <v/>
      </c>
      <c r="DA175" t="str">
        <f>""</f>
        <v/>
      </c>
      <c r="DB175" t="str">
        <f>""</f>
        <v/>
      </c>
      <c r="DC175" t="str">
        <f>""</f>
        <v/>
      </c>
      <c r="DD175" t="str">
        <f>""</f>
        <v/>
      </c>
      <c r="DE175" t="str">
        <f>""</f>
        <v/>
      </c>
      <c r="DF175" t="str">
        <f>""</f>
        <v/>
      </c>
      <c r="DG175" t="str">
        <f>""</f>
        <v/>
      </c>
      <c r="DH175" t="str">
        <f>""</f>
        <v/>
      </c>
      <c r="DI175" t="str">
        <f>""</f>
        <v/>
      </c>
      <c r="DJ175" t="str">
        <f>""</f>
        <v/>
      </c>
      <c r="DK175" t="str">
        <f>""</f>
        <v/>
      </c>
      <c r="DL175" t="str">
        <f>""</f>
        <v/>
      </c>
      <c r="DM175" t="str">
        <f>""</f>
        <v/>
      </c>
      <c r="DN175" t="str">
        <f>""</f>
        <v/>
      </c>
      <c r="DO175" t="str">
        <f>""</f>
        <v/>
      </c>
      <c r="DP175" t="str">
        <f>""</f>
        <v/>
      </c>
      <c r="DQ175" t="str">
        <f>""</f>
        <v/>
      </c>
      <c r="DR175" t="str">
        <f>""</f>
        <v/>
      </c>
      <c r="DS175" t="str">
        <f>""</f>
        <v/>
      </c>
      <c r="DT175" t="str">
        <f>""</f>
        <v/>
      </c>
      <c r="DU175" t="str">
        <f>""</f>
        <v/>
      </c>
    </row>
    <row r="176" spans="1:125" x14ac:dyDescent="0.25">
      <c r="A176" t="str">
        <f>$A$24</f>
        <v xml:space="preserve">            Austria</v>
      </c>
      <c r="B176" t="str">
        <f>$B$24</f>
        <v>WCARATI Index</v>
      </c>
      <c r="C176" t="str">
        <f>$C$24</f>
        <v>PX385</v>
      </c>
      <c r="D176" t="str">
        <f>$D$24</f>
        <v>INTERVAL_SUM</v>
      </c>
      <c r="E176" t="str">
        <f>$E$24</f>
        <v>Dynamic</v>
      </c>
      <c r="F176" t="str">
        <f ca="1">_xll.BDP($B$24,$C$24,CONCATENATE("PX391=", $F$158), CONCATENATE("PX392=",$F$159), CONCATENATE("DS004=",$B$151), "Fill=B")</f>
        <v>#N/A Connection</v>
      </c>
      <c r="G176" t="str">
        <f ca="1">_xll.BDP($B$24,$C$24,CONCATENATE("PX391=", $G$158), CONCATENATE("PX392=",$G$159), CONCATENATE("DS004=",$B$151), "Fill=B")</f>
        <v>#N/A Connection</v>
      </c>
      <c r="H176" t="str">
        <f ca="1">_xll.BDP($B$24,$C$24,CONCATENATE("PX391=", $H$158), CONCATENATE("PX392=",$H$159), CONCATENATE("DS004=",$B$151), "Fill=B")</f>
        <v>#N/A Connection</v>
      </c>
      <c r="I176" t="str">
        <f ca="1">_xll.BDP($B$24,$C$24,CONCATENATE("PX391=", $I$158), CONCATENATE("PX392=",$I$159), CONCATENATE("DS004=",$B$151), "Fill=B")</f>
        <v>#N/A Connection</v>
      </c>
      <c r="J176" t="str">
        <f ca="1">_xll.BDP($B$24,$C$24,CONCATENATE("PX391=", $J$158), CONCATENATE("PX392=",$J$159), CONCATENATE("DS004=",$B$151), "Fill=B")</f>
        <v>#N/A Connection</v>
      </c>
      <c r="K176" t="str">
        <f ca="1">_xll.BDP($B$24,$C$24,CONCATENATE("PX391=", $K$158), CONCATENATE("PX392=",$K$159), CONCATENATE("DS004=",$B$151), "Fill=B")</f>
        <v>#N/A Connection</v>
      </c>
      <c r="L176" t="str">
        <f ca="1">_xll.BDP($B$24,$C$24,CONCATENATE("PX391=", $L$158), CONCATENATE("PX392=",$L$159), CONCATENATE("DS004=",$B$151), "Fill=B")</f>
        <v>#N/A Connection</v>
      </c>
      <c r="M176" t="str">
        <f ca="1">_xll.BDP($B$24,$C$24,CONCATENATE("PX391=", $M$158), CONCATENATE("PX392=",$M$159), CONCATENATE("DS004=",$B$151), "Fill=B")</f>
        <v>#N/A Connection</v>
      </c>
      <c r="N176" t="str">
        <f ca="1">_xll.BDP($B$24,$C$24,CONCATENATE("PX391=", $N$158), CONCATENATE("PX392=",$N$159), CONCATENATE("DS004=",$B$151), "Fill=B")</f>
        <v>#N/A Connection</v>
      </c>
      <c r="O176" t="str">
        <f ca="1">_xll.BDP($B$24,$C$24,CONCATENATE("PX391=", $O$158), CONCATENATE("PX392=",$O$159), CONCATENATE("DS004=",$B$151), "Fill=B")</f>
        <v>#N/A Connection</v>
      </c>
      <c r="P176" t="str">
        <f ca="1">_xll.BDP($B$24,$C$24,CONCATENATE("PX391=", $P$158), CONCATENATE("PX392=",$P$159), CONCATENATE("DS004=",$B$151), "Fill=B")</f>
        <v>#N/A Connection</v>
      </c>
      <c r="Q176" t="str">
        <f ca="1">_xll.BDP($B$24,$C$24,CONCATENATE("PX391=", $Q$158), CONCATENATE("PX392=",$Q$159), CONCATENATE("DS004=",$B$151), "Fill=B")</f>
        <v>#N/A Connection</v>
      </c>
      <c r="R176" t="str">
        <f ca="1">_xll.BDP($B$24,$C$24,CONCATENATE("PX391=", $R$158), CONCATENATE("PX392=",$R$159), CONCATENATE("DS004=",$B$151), "Fill=B")</f>
        <v>#N/A Connection</v>
      </c>
      <c r="S176" t="str">
        <f ca="1">_xll.BDP($B$24,$C$24,CONCATENATE("PX391=", $S$158), CONCATENATE("PX392=",$S$159), CONCATENATE("DS004=",$B$151), "Fill=B")</f>
        <v>#N/A Connection</v>
      </c>
      <c r="T176" t="str">
        <f ca="1">_xll.BDP($B$24,$C$24,CONCATENATE("PX391=", $T$158), CONCATENATE("PX392=",$T$159), CONCATENATE("DS004=",$B$151), "Fill=B")</f>
        <v>#N/A Connection</v>
      </c>
      <c r="U176" t="str">
        <f ca="1">_xll.BDP($B$24,$C$24,CONCATENATE("PX391=", $U$158), CONCATENATE("PX392=",$U$159), CONCATENATE("DS004=",$B$151), "Fill=B")</f>
        <v>#N/A Connection</v>
      </c>
      <c r="V176" t="str">
        <f ca="1">_xll.BDP($B$24,$C$24,CONCATENATE("PX391=", $V$158), CONCATENATE("PX392=",$V$159), CONCATENATE("DS004=",$B$151), "Fill=B")</f>
        <v>#N/A Connection</v>
      </c>
      <c r="W176" t="str">
        <f ca="1">_xll.BDP($B$24,$C$24,CONCATENATE("PX391=", $W$158), CONCATENATE("PX392=",$W$159), CONCATENATE("DS004=",$B$151), "Fill=B")</f>
        <v>#N/A Connection</v>
      </c>
      <c r="X176" t="str">
        <f ca="1">_xll.BDP($B$24,$C$24,CONCATENATE("PX391=", $X$158), CONCATENATE("PX392=",$X$159), CONCATENATE("DS004=",$B$151), "Fill=B")</f>
        <v>#N/A Connection</v>
      </c>
      <c r="Y176" t="str">
        <f ca="1">_xll.BDP($B$24,$C$24,CONCATENATE("PX391=", $Y$158), CONCATENATE("PX392=",$Y$159), CONCATENATE("DS004=",$B$151), "Fill=B")</f>
        <v>#N/A Connection</v>
      </c>
      <c r="Z176" t="str">
        <f ca="1">_xll.BDP($B$24,$C$24,CONCATENATE("PX391=", $Z$158), CONCATENATE("PX392=",$Z$159), CONCATENATE("DS004=",$B$151), "Fill=B")</f>
        <v>#N/A Connection</v>
      </c>
      <c r="AA176" t="str">
        <f ca="1">_xll.BDP($B$24,$C$24,CONCATENATE("PX391=", $AA$158), CONCATENATE("PX392=",$AA$159), CONCATENATE("DS004=",$B$151), "Fill=B")</f>
        <v>#N/A Connection</v>
      </c>
      <c r="AB176" t="str">
        <f ca="1">_xll.BDP($B$24,$C$24,CONCATENATE("PX391=", $AB$158), CONCATENATE("PX392=",$AB$159), CONCATENATE("DS004=",$B$151), "Fill=B")</f>
        <v>#N/A Connection</v>
      </c>
      <c r="AC176" t="str">
        <f ca="1">_xll.BDP($B$24,$C$24,CONCATENATE("PX391=", $AC$158), CONCATENATE("PX392=",$AC$159), CONCATENATE("DS004=",$B$151), "Fill=B")</f>
        <v>#N/A Connection</v>
      </c>
      <c r="AD176" t="str">
        <f ca="1">_xll.BDP($B$24,$C$24,CONCATENATE("PX391=", $AD$158), CONCATENATE("PX392=",$AD$159), CONCATENATE("DS004=",$B$151), "Fill=B")</f>
        <v>#N/A Connection</v>
      </c>
      <c r="AE176" t="str">
        <f ca="1">_xll.BDP($B$24,$C$24,CONCATENATE("PX391=", $AE$158), CONCATENATE("PX392=",$AE$159), CONCATENATE("DS004=",$B$151), "Fill=B")</f>
        <v>#N/A Connection</v>
      </c>
      <c r="AF176" t="str">
        <f ca="1">_xll.BDP($B$24,$C$24,CONCATENATE("PX391=", $AF$158), CONCATENATE("PX392=",$AF$159), CONCATENATE("DS004=",$B$151), "Fill=B")</f>
        <v>#N/A Connection</v>
      </c>
      <c r="AG176" t="str">
        <f ca="1">_xll.BDP($B$24,$C$24,CONCATENATE("PX391=", $AG$158), CONCATENATE("PX392=",$AG$159), CONCATENATE("DS004=",$B$151), "Fill=B")</f>
        <v>#N/A Connection</v>
      </c>
      <c r="AH176" t="str">
        <f ca="1">_xll.BDP($B$24,$C$24,CONCATENATE("PX391=", $AH$158), CONCATENATE("PX392=",$AH$159), CONCATENATE("DS004=",$B$151), "Fill=B")</f>
        <v>#N/A Connection</v>
      </c>
      <c r="AI176" t="str">
        <f ca="1">_xll.BDP($B$24,$C$24,CONCATENATE("PX391=", $AI$158), CONCATENATE("PX392=",$AI$159), CONCATENATE("DS004=",$B$151), "Fill=B")</f>
        <v>#N/A Connection</v>
      </c>
      <c r="AJ176" t="str">
        <f ca="1">_xll.BDP($B$24,$C$24,CONCATENATE("PX391=", $AJ$158), CONCATENATE("PX392=",$AJ$159), CONCATENATE("DS004=",$B$151), "Fill=B")</f>
        <v>#N/A Connection</v>
      </c>
      <c r="AK176" t="str">
        <f ca="1">_xll.BDP($B$24,$C$24,CONCATENATE("PX391=", $AK$158), CONCATENATE("PX392=",$AK$159), CONCATENATE("DS004=",$B$151), "Fill=B")</f>
        <v>#N/A Connection</v>
      </c>
      <c r="AL176" t="str">
        <f ca="1">_xll.BDP($B$24,$C$24,CONCATENATE("PX391=", $AL$158), CONCATENATE("PX392=",$AL$159), CONCATENATE("DS004=",$B$151), "Fill=B")</f>
        <v>#N/A Connection</v>
      </c>
      <c r="AM176" t="str">
        <f ca="1">_xll.BDP($B$24,$C$24,CONCATENATE("PX391=", $AM$158), CONCATENATE("PX392=",$AM$159), CONCATENATE("DS004=",$B$151), "Fill=B")</f>
        <v>#N/A Connection</v>
      </c>
      <c r="AN176" t="str">
        <f ca="1">_xll.BDP($B$24,$C$24,CONCATENATE("PX391=", $AN$158), CONCATENATE("PX392=",$AN$159), CONCATENATE("DS004=",$B$151), "Fill=B")</f>
        <v>#N/A Connection</v>
      </c>
      <c r="AO176" t="str">
        <f ca="1">_xll.BDP($B$24,$C$24,CONCATENATE("PX391=", $AO$158), CONCATENATE("PX392=",$AO$159), CONCATENATE("DS004=",$B$151), "Fill=B")</f>
        <v>#N/A Connection</v>
      </c>
      <c r="AP176" t="str">
        <f ca="1">_xll.BDP($B$24,$C$24,CONCATENATE("PX391=", $AP$158), CONCATENATE("PX392=",$AP$159), CONCATENATE("DS004=",$B$151), "Fill=B")</f>
        <v>#N/A Connection</v>
      </c>
      <c r="AQ176" t="str">
        <f ca="1">_xll.BDP($B$24,$C$24,CONCATENATE("PX391=", $AQ$158), CONCATENATE("PX392=",$AQ$159), CONCATENATE("DS004=",$B$151), "Fill=B")</f>
        <v>#N/A Connection</v>
      </c>
      <c r="AR176" t="str">
        <f ca="1">_xll.BDP($B$24,$C$24,CONCATENATE("PX391=", $AR$158), CONCATENATE("PX392=",$AR$159), CONCATENATE("DS004=",$B$151), "Fill=B")</f>
        <v>#N/A Connection</v>
      </c>
      <c r="AS176" t="str">
        <f ca="1">_xll.BDP($B$24,$C$24,CONCATENATE("PX391=", $AS$158), CONCATENATE("PX392=",$AS$159), CONCATENATE("DS004=",$B$151), "Fill=B")</f>
        <v>#N/A Connection</v>
      </c>
      <c r="AT176" t="str">
        <f ca="1">_xll.BDP($B$24,$C$24,CONCATENATE("PX391=", $AT$158), CONCATENATE("PX392=",$AT$159), CONCATENATE("DS004=",$B$151), "Fill=B")</f>
        <v>#N/A Connection</v>
      </c>
      <c r="AU176" t="str">
        <f ca="1">_xll.BDP($B$24,$C$24,CONCATENATE("PX391=", $AU$158), CONCATENATE("PX392=",$AU$159), CONCATENATE("DS004=",$B$151), "Fill=B")</f>
        <v>#N/A Connection</v>
      </c>
      <c r="AV176" t="str">
        <f ca="1">_xll.BDP($B$24,$C$24,CONCATENATE("PX391=", $AV$158), CONCATENATE("PX392=",$AV$159), CONCATENATE("DS004=",$B$151), "Fill=B")</f>
        <v>#N/A Connection</v>
      </c>
      <c r="AW176" t="str">
        <f ca="1">_xll.BDP($B$24,$C$24,CONCATENATE("PX391=", $AW$158), CONCATENATE("PX392=",$AW$159), CONCATENATE("DS004=",$B$151), "Fill=B")</f>
        <v>#N/A Connection</v>
      </c>
      <c r="AX176" t="str">
        <f ca="1">_xll.BDP($B$24,$C$24,CONCATENATE("PX391=", $AX$158), CONCATENATE("PX392=",$AX$159), CONCATENATE("DS004=",$B$151), "Fill=B")</f>
        <v>#N/A Connection</v>
      </c>
      <c r="AY176" t="str">
        <f ca="1">_xll.BDP($B$24,$C$24,CONCATENATE("PX391=", $AY$158), CONCATENATE("PX392=",$AY$159), CONCATENATE("DS004=",$B$151), "Fill=B")</f>
        <v>#N/A Connection</v>
      </c>
      <c r="AZ176" t="str">
        <f ca="1">_xll.BDP($B$24,$C$24,CONCATENATE("PX391=", $AZ$158), CONCATENATE("PX392=",$AZ$159), CONCATENATE("DS004=",$B$151), "Fill=B")</f>
        <v>#N/A Connection</v>
      </c>
      <c r="BA176" t="str">
        <f ca="1">_xll.BDP($B$24,$C$24,CONCATENATE("PX391=", $BA$158), CONCATENATE("PX392=",$BA$159), CONCATENATE("DS004=",$B$151), "Fill=B")</f>
        <v>#N/A Connection</v>
      </c>
      <c r="BB176" t="str">
        <f ca="1">_xll.BDP($B$24,$C$24,CONCATENATE("PX391=", $BB$158), CONCATENATE("PX392=",$BB$159), CONCATENATE("DS004=",$B$151), "Fill=B")</f>
        <v>#N/A Connection</v>
      </c>
      <c r="BC176" t="str">
        <f ca="1">_xll.BDP($B$24,$C$24,CONCATENATE("PX391=", $BC$158), CONCATENATE("PX392=",$BC$159), CONCATENATE("DS004=",$B$151), "Fill=B")</f>
        <v>#N/A Connection</v>
      </c>
      <c r="BD176" t="str">
        <f ca="1">_xll.BDP($B$24,$C$24,CONCATENATE("PX391=", $BD$158), CONCATENATE("PX392=",$BD$159), CONCATENATE("DS004=",$B$151), "Fill=B")</f>
        <v>#N/A Connection</v>
      </c>
      <c r="BE176" t="str">
        <f ca="1">_xll.BDP($B$24,$C$24,CONCATENATE("PX391=", $BE$158), CONCATENATE("PX392=",$BE$159), CONCATENATE("DS004=",$B$151), "Fill=B")</f>
        <v>#N/A Connection</v>
      </c>
      <c r="BF176" t="str">
        <f ca="1">_xll.BDP($B$24,$C$24,CONCATENATE("PX391=", $BF$158), CONCATENATE("PX392=",$BF$159), CONCATENATE("DS004=",$B$151), "Fill=B")</f>
        <v>#N/A Connection</v>
      </c>
      <c r="BG176" t="str">
        <f ca="1">_xll.BDP($B$24,$C$24,CONCATENATE("PX391=", $BG$158), CONCATENATE("PX392=",$BG$159), CONCATENATE("DS004=",$B$151), "Fill=B")</f>
        <v>#N/A Connection</v>
      </c>
      <c r="BH176" t="str">
        <f ca="1">_xll.BDP($B$24,$C$24,CONCATENATE("PX391=", $BH$158), CONCATENATE("PX392=",$BH$159), CONCATENATE("DS004=",$B$151), "Fill=B")</f>
        <v>#N/A Connection</v>
      </c>
      <c r="BI176" t="str">
        <f ca="1">_xll.BDP($B$24,$C$24,CONCATENATE("PX391=", $BI$158), CONCATENATE("PX392=",$BI$159), CONCATENATE("DS004=",$B$151), "Fill=B")</f>
        <v>#N/A Connection</v>
      </c>
      <c r="BJ176" t="str">
        <f ca="1">_xll.BDP($B$24,$C$24,CONCATENATE("PX391=", $BJ$158), CONCATENATE("PX392=",$BJ$159), CONCATENATE("DS004=",$B$151), "Fill=B")</f>
        <v>#N/A Connection</v>
      </c>
      <c r="BK176" t="str">
        <f ca="1">_xll.BDP($B$24,$C$24,CONCATENATE("PX391=", $BK$158), CONCATENATE("PX392=",$BK$159), CONCATENATE("DS004=",$B$151), "Fill=B")</f>
        <v>#N/A Connection</v>
      </c>
      <c r="BL176" t="str">
        <f ca="1">_xll.BDP($B$24,$C$24,CONCATENATE("PX391=", $BL$158), CONCATENATE("PX392=",$BL$159), CONCATENATE("DS004=",$B$151), "Fill=B")</f>
        <v>#N/A Connection</v>
      </c>
      <c r="BM176" t="str">
        <f ca="1">_xll.BDP($B$24,$C$24,CONCATENATE("PX391=", $BM$158), CONCATENATE("PX392=",$BM$159), CONCATENATE("DS004=",$B$151), "Fill=B")</f>
        <v>#N/A Connection</v>
      </c>
      <c r="BN176" t="str">
        <f>""</f>
        <v/>
      </c>
      <c r="BO176" t="str">
        <f>""</f>
        <v/>
      </c>
      <c r="BP176" t="str">
        <f>""</f>
        <v/>
      </c>
      <c r="BQ176" t="str">
        <f>""</f>
        <v/>
      </c>
      <c r="BR176" t="str">
        <f>""</f>
        <v/>
      </c>
      <c r="BS176" t="str">
        <f>""</f>
        <v/>
      </c>
      <c r="BT176" t="str">
        <f>""</f>
        <v/>
      </c>
      <c r="BU176" t="str">
        <f>""</f>
        <v/>
      </c>
      <c r="BV176" t="str">
        <f>""</f>
        <v/>
      </c>
      <c r="BW176" t="str">
        <f>""</f>
        <v/>
      </c>
      <c r="BX176" t="str">
        <f>""</f>
        <v/>
      </c>
      <c r="BY176" t="str">
        <f>""</f>
        <v/>
      </c>
      <c r="BZ176" t="str">
        <f>""</f>
        <v/>
      </c>
      <c r="CA176" t="str">
        <f>""</f>
        <v/>
      </c>
      <c r="CB176" t="str">
        <f>""</f>
        <v/>
      </c>
      <c r="CC176" t="str">
        <f>""</f>
        <v/>
      </c>
      <c r="CD176" t="str">
        <f>""</f>
        <v/>
      </c>
      <c r="CE176" t="str">
        <f>""</f>
        <v/>
      </c>
      <c r="CF176" t="str">
        <f>""</f>
        <v/>
      </c>
      <c r="CG176" t="str">
        <f>""</f>
        <v/>
      </c>
      <c r="CH176" t="str">
        <f>""</f>
        <v/>
      </c>
      <c r="CI176" t="str">
        <f>""</f>
        <v/>
      </c>
      <c r="CJ176" t="str">
        <f>""</f>
        <v/>
      </c>
      <c r="CK176" t="str">
        <f>""</f>
        <v/>
      </c>
      <c r="CL176" t="str">
        <f>""</f>
        <v/>
      </c>
      <c r="CM176" t="str">
        <f>""</f>
        <v/>
      </c>
      <c r="CN176" t="str">
        <f>""</f>
        <v/>
      </c>
      <c r="CO176" t="str">
        <f>""</f>
        <v/>
      </c>
      <c r="CP176" t="str">
        <f>""</f>
        <v/>
      </c>
      <c r="CQ176" t="str">
        <f>""</f>
        <v/>
      </c>
      <c r="CR176" t="str">
        <f>""</f>
        <v/>
      </c>
      <c r="CS176" t="str">
        <f>""</f>
        <v/>
      </c>
      <c r="CT176" t="str">
        <f>""</f>
        <v/>
      </c>
      <c r="CU176" t="str">
        <f>""</f>
        <v/>
      </c>
      <c r="CV176" t="str">
        <f>""</f>
        <v/>
      </c>
      <c r="CW176" t="str">
        <f>""</f>
        <v/>
      </c>
      <c r="CX176" t="str">
        <f>""</f>
        <v/>
      </c>
      <c r="CY176" t="str">
        <f>""</f>
        <v/>
      </c>
      <c r="CZ176" t="str">
        <f>""</f>
        <v/>
      </c>
      <c r="DA176" t="str">
        <f>""</f>
        <v/>
      </c>
      <c r="DB176" t="str">
        <f>""</f>
        <v/>
      </c>
      <c r="DC176" t="str">
        <f>""</f>
        <v/>
      </c>
      <c r="DD176" t="str">
        <f>""</f>
        <v/>
      </c>
      <c r="DE176" t="str">
        <f>""</f>
        <v/>
      </c>
      <c r="DF176" t="str">
        <f>""</f>
        <v/>
      </c>
      <c r="DG176" t="str">
        <f>""</f>
        <v/>
      </c>
      <c r="DH176" t="str">
        <f>""</f>
        <v/>
      </c>
      <c r="DI176" t="str">
        <f>""</f>
        <v/>
      </c>
      <c r="DJ176" t="str">
        <f>""</f>
        <v/>
      </c>
      <c r="DK176" t="str">
        <f>""</f>
        <v/>
      </c>
      <c r="DL176" t="str">
        <f>""</f>
        <v/>
      </c>
      <c r="DM176" t="str">
        <f>""</f>
        <v/>
      </c>
      <c r="DN176" t="str">
        <f>""</f>
        <v/>
      </c>
      <c r="DO176" t="str">
        <f>""</f>
        <v/>
      </c>
      <c r="DP176" t="str">
        <f>""</f>
        <v/>
      </c>
      <c r="DQ176" t="str">
        <f>""</f>
        <v/>
      </c>
      <c r="DR176" t="str">
        <f>""</f>
        <v/>
      </c>
      <c r="DS176" t="str">
        <f>""</f>
        <v/>
      </c>
      <c r="DT176" t="str">
        <f>""</f>
        <v/>
      </c>
      <c r="DU176" t="str">
        <f>""</f>
        <v/>
      </c>
    </row>
    <row r="177" spans="1:125" x14ac:dyDescent="0.25">
      <c r="A177" t="str">
        <f>$A$25</f>
        <v xml:space="preserve">            Belgium</v>
      </c>
      <c r="B177" t="str">
        <f>$B$25</f>
        <v>WCARBEI Index</v>
      </c>
      <c r="C177" t="str">
        <f>$C$25</f>
        <v>PX385</v>
      </c>
      <c r="D177" t="str">
        <f>$D$25</f>
        <v>INTERVAL_SUM</v>
      </c>
      <c r="E177" t="str">
        <f>$E$25</f>
        <v>Dynamic</v>
      </c>
      <c r="F177" t="str">
        <f ca="1">_xll.BDP($B$25,$C$25,CONCATENATE("PX391=", $F$158), CONCATENATE("PX392=",$F$159), CONCATENATE("DS004=",$B$151), "Fill=B")</f>
        <v>#N/A Connection</v>
      </c>
      <c r="G177" t="str">
        <f ca="1">_xll.BDP($B$25,$C$25,CONCATENATE("PX391=", $G$158), CONCATENATE("PX392=",$G$159), CONCATENATE("DS004=",$B$151), "Fill=B")</f>
        <v>#N/A Connection</v>
      </c>
      <c r="H177" t="str">
        <f ca="1">_xll.BDP($B$25,$C$25,CONCATENATE("PX391=", $H$158), CONCATENATE("PX392=",$H$159), CONCATENATE("DS004=",$B$151), "Fill=B")</f>
        <v>#N/A Connection</v>
      </c>
      <c r="I177" t="str">
        <f ca="1">_xll.BDP($B$25,$C$25,CONCATENATE("PX391=", $I$158), CONCATENATE("PX392=",$I$159), CONCATENATE("DS004=",$B$151), "Fill=B")</f>
        <v>#N/A Connection</v>
      </c>
      <c r="J177" t="str">
        <f ca="1">_xll.BDP($B$25,$C$25,CONCATENATE("PX391=", $J$158), CONCATENATE("PX392=",$J$159), CONCATENATE("DS004=",$B$151), "Fill=B")</f>
        <v>#N/A Connection</v>
      </c>
      <c r="K177" t="str">
        <f ca="1">_xll.BDP($B$25,$C$25,CONCATENATE("PX391=", $K$158), CONCATENATE("PX392=",$K$159), CONCATENATE("DS004=",$B$151), "Fill=B")</f>
        <v>#N/A Connection</v>
      </c>
      <c r="L177" t="str">
        <f ca="1">_xll.BDP($B$25,$C$25,CONCATENATE("PX391=", $L$158), CONCATENATE("PX392=",$L$159), CONCATENATE("DS004=",$B$151), "Fill=B")</f>
        <v>#N/A Connection</v>
      </c>
      <c r="M177" t="str">
        <f ca="1">_xll.BDP($B$25,$C$25,CONCATENATE("PX391=", $M$158), CONCATENATE("PX392=",$M$159), CONCATENATE("DS004=",$B$151), "Fill=B")</f>
        <v>#N/A Connection</v>
      </c>
      <c r="N177" t="str">
        <f ca="1">_xll.BDP($B$25,$C$25,CONCATENATE("PX391=", $N$158), CONCATENATE("PX392=",$N$159), CONCATENATE("DS004=",$B$151), "Fill=B")</f>
        <v>#N/A Connection</v>
      </c>
      <c r="O177" t="str">
        <f ca="1">_xll.BDP($B$25,$C$25,CONCATENATE("PX391=", $O$158), CONCATENATE("PX392=",$O$159), CONCATENATE("DS004=",$B$151), "Fill=B")</f>
        <v>#N/A Connection</v>
      </c>
      <c r="P177" t="str">
        <f ca="1">_xll.BDP($B$25,$C$25,CONCATENATE("PX391=", $P$158), CONCATENATE("PX392=",$P$159), CONCATENATE("DS004=",$B$151), "Fill=B")</f>
        <v>#N/A Connection</v>
      </c>
      <c r="Q177" t="str">
        <f ca="1">_xll.BDP($B$25,$C$25,CONCATENATE("PX391=", $Q$158), CONCATENATE("PX392=",$Q$159), CONCATENATE("DS004=",$B$151), "Fill=B")</f>
        <v>#N/A Connection</v>
      </c>
      <c r="R177" t="str">
        <f ca="1">_xll.BDP($B$25,$C$25,CONCATENATE("PX391=", $R$158), CONCATENATE("PX392=",$R$159), CONCATENATE("DS004=",$B$151), "Fill=B")</f>
        <v>#N/A Connection</v>
      </c>
      <c r="S177" t="str">
        <f ca="1">_xll.BDP($B$25,$C$25,CONCATENATE("PX391=", $S$158), CONCATENATE("PX392=",$S$159), CONCATENATE("DS004=",$B$151), "Fill=B")</f>
        <v>#N/A Connection</v>
      </c>
      <c r="T177" t="str">
        <f ca="1">_xll.BDP($B$25,$C$25,CONCATENATE("PX391=", $T$158), CONCATENATE("PX392=",$T$159), CONCATENATE("DS004=",$B$151), "Fill=B")</f>
        <v>#N/A Connection</v>
      </c>
      <c r="U177" t="str">
        <f ca="1">_xll.BDP($B$25,$C$25,CONCATENATE("PX391=", $U$158), CONCATENATE("PX392=",$U$159), CONCATENATE("DS004=",$B$151), "Fill=B")</f>
        <v>#N/A Connection</v>
      </c>
      <c r="V177" t="str">
        <f ca="1">_xll.BDP($B$25,$C$25,CONCATENATE("PX391=", $V$158), CONCATENATE("PX392=",$V$159), CONCATENATE("DS004=",$B$151), "Fill=B")</f>
        <v>#N/A Connection</v>
      </c>
      <c r="W177" t="str">
        <f ca="1">_xll.BDP($B$25,$C$25,CONCATENATE("PX391=", $W$158), CONCATENATE("PX392=",$W$159), CONCATENATE("DS004=",$B$151), "Fill=B")</f>
        <v>#N/A Connection</v>
      </c>
      <c r="X177" t="str">
        <f ca="1">_xll.BDP($B$25,$C$25,CONCATENATE("PX391=", $X$158), CONCATENATE("PX392=",$X$159), CONCATENATE("DS004=",$B$151), "Fill=B")</f>
        <v>#N/A Connection</v>
      </c>
      <c r="Y177" t="str">
        <f ca="1">_xll.BDP($B$25,$C$25,CONCATENATE("PX391=", $Y$158), CONCATENATE("PX392=",$Y$159), CONCATENATE("DS004=",$B$151), "Fill=B")</f>
        <v>#N/A Connection</v>
      </c>
      <c r="Z177" t="str">
        <f ca="1">_xll.BDP($B$25,$C$25,CONCATENATE("PX391=", $Z$158), CONCATENATE("PX392=",$Z$159), CONCATENATE("DS004=",$B$151), "Fill=B")</f>
        <v>#N/A Connection</v>
      </c>
      <c r="AA177" t="str">
        <f ca="1">_xll.BDP($B$25,$C$25,CONCATENATE("PX391=", $AA$158), CONCATENATE("PX392=",$AA$159), CONCATENATE("DS004=",$B$151), "Fill=B")</f>
        <v>#N/A Connection</v>
      </c>
      <c r="AB177" t="str">
        <f ca="1">_xll.BDP($B$25,$C$25,CONCATENATE("PX391=", $AB$158), CONCATENATE("PX392=",$AB$159), CONCATENATE("DS004=",$B$151), "Fill=B")</f>
        <v>#N/A Connection</v>
      </c>
      <c r="AC177" t="str">
        <f ca="1">_xll.BDP($B$25,$C$25,CONCATENATE("PX391=", $AC$158), CONCATENATE("PX392=",$AC$159), CONCATENATE("DS004=",$B$151), "Fill=B")</f>
        <v>#N/A Connection</v>
      </c>
      <c r="AD177" t="str">
        <f ca="1">_xll.BDP($B$25,$C$25,CONCATENATE("PX391=", $AD$158), CONCATENATE("PX392=",$AD$159), CONCATENATE("DS004=",$B$151), "Fill=B")</f>
        <v>#N/A Connection</v>
      </c>
      <c r="AE177" t="str">
        <f ca="1">_xll.BDP($B$25,$C$25,CONCATENATE("PX391=", $AE$158), CONCATENATE("PX392=",$AE$159), CONCATENATE("DS004=",$B$151), "Fill=B")</f>
        <v>#N/A Connection</v>
      </c>
      <c r="AF177" t="str">
        <f ca="1">_xll.BDP($B$25,$C$25,CONCATENATE("PX391=", $AF$158), CONCATENATE("PX392=",$AF$159), CONCATENATE("DS004=",$B$151), "Fill=B")</f>
        <v>#N/A Connection</v>
      </c>
      <c r="AG177" t="str">
        <f ca="1">_xll.BDP($B$25,$C$25,CONCATENATE("PX391=", $AG$158), CONCATENATE("PX392=",$AG$159), CONCATENATE("DS004=",$B$151), "Fill=B")</f>
        <v>#N/A Connection</v>
      </c>
      <c r="AH177" t="str">
        <f ca="1">_xll.BDP($B$25,$C$25,CONCATENATE("PX391=", $AH$158), CONCATENATE("PX392=",$AH$159), CONCATENATE("DS004=",$B$151), "Fill=B")</f>
        <v>#N/A Connection</v>
      </c>
      <c r="AI177" t="str">
        <f ca="1">_xll.BDP($B$25,$C$25,CONCATENATE("PX391=", $AI$158), CONCATENATE("PX392=",$AI$159), CONCATENATE("DS004=",$B$151), "Fill=B")</f>
        <v>#N/A Connection</v>
      </c>
      <c r="AJ177" t="str">
        <f ca="1">_xll.BDP($B$25,$C$25,CONCATENATE("PX391=", $AJ$158), CONCATENATE("PX392=",$AJ$159), CONCATENATE("DS004=",$B$151), "Fill=B")</f>
        <v>#N/A Connection</v>
      </c>
      <c r="AK177" t="str">
        <f ca="1">_xll.BDP($B$25,$C$25,CONCATENATE("PX391=", $AK$158), CONCATENATE("PX392=",$AK$159), CONCATENATE("DS004=",$B$151), "Fill=B")</f>
        <v>#N/A Connection</v>
      </c>
      <c r="AL177" t="str">
        <f ca="1">_xll.BDP($B$25,$C$25,CONCATENATE("PX391=", $AL$158), CONCATENATE("PX392=",$AL$159), CONCATENATE("DS004=",$B$151), "Fill=B")</f>
        <v>#N/A Connection</v>
      </c>
      <c r="AM177" t="str">
        <f ca="1">_xll.BDP($B$25,$C$25,CONCATENATE("PX391=", $AM$158), CONCATENATE("PX392=",$AM$159), CONCATENATE("DS004=",$B$151), "Fill=B")</f>
        <v>#N/A Connection</v>
      </c>
      <c r="AN177" t="str">
        <f ca="1">_xll.BDP($B$25,$C$25,CONCATENATE("PX391=", $AN$158), CONCATENATE("PX392=",$AN$159), CONCATENATE("DS004=",$B$151), "Fill=B")</f>
        <v>#N/A Connection</v>
      </c>
      <c r="AO177" t="str">
        <f ca="1">_xll.BDP($B$25,$C$25,CONCATENATE("PX391=", $AO$158), CONCATENATE("PX392=",$AO$159), CONCATENATE("DS004=",$B$151), "Fill=B")</f>
        <v>#N/A Connection</v>
      </c>
      <c r="AP177" t="str">
        <f ca="1">_xll.BDP($B$25,$C$25,CONCATENATE("PX391=", $AP$158), CONCATENATE("PX392=",$AP$159), CONCATENATE("DS004=",$B$151), "Fill=B")</f>
        <v>#N/A Connection</v>
      </c>
      <c r="AQ177" t="str">
        <f ca="1">_xll.BDP($B$25,$C$25,CONCATENATE("PX391=", $AQ$158), CONCATENATE("PX392=",$AQ$159), CONCATENATE("DS004=",$B$151), "Fill=B")</f>
        <v>#N/A Connection</v>
      </c>
      <c r="AR177" t="str">
        <f ca="1">_xll.BDP($B$25,$C$25,CONCATENATE("PX391=", $AR$158), CONCATENATE("PX392=",$AR$159), CONCATENATE("DS004=",$B$151), "Fill=B")</f>
        <v>#N/A Connection</v>
      </c>
      <c r="AS177" t="str">
        <f ca="1">_xll.BDP($B$25,$C$25,CONCATENATE("PX391=", $AS$158), CONCATENATE("PX392=",$AS$159), CONCATENATE("DS004=",$B$151), "Fill=B")</f>
        <v>#N/A Connection</v>
      </c>
      <c r="AT177" t="str">
        <f ca="1">_xll.BDP($B$25,$C$25,CONCATENATE("PX391=", $AT$158), CONCATENATE("PX392=",$AT$159), CONCATENATE("DS004=",$B$151), "Fill=B")</f>
        <v>#N/A Connection</v>
      </c>
      <c r="AU177" t="str">
        <f ca="1">_xll.BDP($B$25,$C$25,CONCATENATE("PX391=", $AU$158), CONCATENATE("PX392=",$AU$159), CONCATENATE("DS004=",$B$151), "Fill=B")</f>
        <v>#N/A Connection</v>
      </c>
      <c r="AV177" t="str">
        <f ca="1">_xll.BDP($B$25,$C$25,CONCATENATE("PX391=", $AV$158), CONCATENATE("PX392=",$AV$159), CONCATENATE("DS004=",$B$151), "Fill=B")</f>
        <v>#N/A Connection</v>
      </c>
      <c r="AW177" t="str">
        <f ca="1">_xll.BDP($B$25,$C$25,CONCATENATE("PX391=", $AW$158), CONCATENATE("PX392=",$AW$159), CONCATENATE("DS004=",$B$151), "Fill=B")</f>
        <v>#N/A Connection</v>
      </c>
      <c r="AX177" t="str">
        <f ca="1">_xll.BDP($B$25,$C$25,CONCATENATE("PX391=", $AX$158), CONCATENATE("PX392=",$AX$159), CONCATENATE("DS004=",$B$151), "Fill=B")</f>
        <v>#N/A Connection</v>
      </c>
      <c r="AY177" t="str">
        <f ca="1">_xll.BDP($B$25,$C$25,CONCATENATE("PX391=", $AY$158), CONCATENATE("PX392=",$AY$159), CONCATENATE("DS004=",$B$151), "Fill=B")</f>
        <v>#N/A Connection</v>
      </c>
      <c r="AZ177" t="str">
        <f ca="1">_xll.BDP($B$25,$C$25,CONCATENATE("PX391=", $AZ$158), CONCATENATE("PX392=",$AZ$159), CONCATENATE("DS004=",$B$151), "Fill=B")</f>
        <v>#N/A Connection</v>
      </c>
      <c r="BA177" t="str">
        <f ca="1">_xll.BDP($B$25,$C$25,CONCATENATE("PX391=", $BA$158), CONCATENATE("PX392=",$BA$159), CONCATENATE("DS004=",$B$151), "Fill=B")</f>
        <v>#N/A Connection</v>
      </c>
      <c r="BB177" t="str">
        <f ca="1">_xll.BDP($B$25,$C$25,CONCATENATE("PX391=", $BB$158), CONCATENATE("PX392=",$BB$159), CONCATENATE("DS004=",$B$151), "Fill=B")</f>
        <v>#N/A Connection</v>
      </c>
      <c r="BC177" t="str">
        <f ca="1">_xll.BDP($B$25,$C$25,CONCATENATE("PX391=", $BC$158), CONCATENATE("PX392=",$BC$159), CONCATENATE("DS004=",$B$151), "Fill=B")</f>
        <v>#N/A Connection</v>
      </c>
      <c r="BD177" t="str">
        <f ca="1">_xll.BDP($B$25,$C$25,CONCATENATE("PX391=", $BD$158), CONCATENATE("PX392=",$BD$159), CONCATENATE("DS004=",$B$151), "Fill=B")</f>
        <v>#N/A Connection</v>
      </c>
      <c r="BE177" t="str">
        <f ca="1">_xll.BDP($B$25,$C$25,CONCATENATE("PX391=", $BE$158), CONCATENATE("PX392=",$BE$159), CONCATENATE("DS004=",$B$151), "Fill=B")</f>
        <v>#N/A Connection</v>
      </c>
      <c r="BF177" t="str">
        <f ca="1">_xll.BDP($B$25,$C$25,CONCATENATE("PX391=", $BF$158), CONCATENATE("PX392=",$BF$159), CONCATENATE("DS004=",$B$151), "Fill=B")</f>
        <v>#N/A Connection</v>
      </c>
      <c r="BG177" t="str">
        <f ca="1">_xll.BDP($B$25,$C$25,CONCATENATE("PX391=", $BG$158), CONCATENATE("PX392=",$BG$159), CONCATENATE("DS004=",$B$151), "Fill=B")</f>
        <v>#N/A Connection</v>
      </c>
      <c r="BH177" t="str">
        <f ca="1">_xll.BDP($B$25,$C$25,CONCATENATE("PX391=", $BH$158), CONCATENATE("PX392=",$BH$159), CONCATENATE("DS004=",$B$151), "Fill=B")</f>
        <v>#N/A Connection</v>
      </c>
      <c r="BI177" t="str">
        <f ca="1">_xll.BDP($B$25,$C$25,CONCATENATE("PX391=", $BI$158), CONCATENATE("PX392=",$BI$159), CONCATENATE("DS004=",$B$151), "Fill=B")</f>
        <v>#N/A Connection</v>
      </c>
      <c r="BJ177" t="str">
        <f ca="1">_xll.BDP($B$25,$C$25,CONCATENATE("PX391=", $BJ$158), CONCATENATE("PX392=",$BJ$159), CONCATENATE("DS004=",$B$151), "Fill=B")</f>
        <v>#N/A Connection</v>
      </c>
      <c r="BK177" t="str">
        <f ca="1">_xll.BDP($B$25,$C$25,CONCATENATE("PX391=", $BK$158), CONCATENATE("PX392=",$BK$159), CONCATENATE("DS004=",$B$151), "Fill=B")</f>
        <v>#N/A Connection</v>
      </c>
      <c r="BL177" t="str">
        <f ca="1">_xll.BDP($B$25,$C$25,CONCATENATE("PX391=", $BL$158), CONCATENATE("PX392=",$BL$159), CONCATENATE("DS004=",$B$151), "Fill=B")</f>
        <v>#N/A Connection</v>
      </c>
      <c r="BM177" t="str">
        <f ca="1">_xll.BDP($B$25,$C$25,CONCATENATE("PX391=", $BM$158), CONCATENATE("PX392=",$BM$159), CONCATENATE("DS004=",$B$151), "Fill=B")</f>
        <v>#N/A Connection</v>
      </c>
      <c r="BN177" t="str">
        <f>""</f>
        <v/>
      </c>
      <c r="BO177" t="str">
        <f>""</f>
        <v/>
      </c>
      <c r="BP177" t="str">
        <f>""</f>
        <v/>
      </c>
      <c r="BQ177" t="str">
        <f>""</f>
        <v/>
      </c>
      <c r="BR177" t="str">
        <f>""</f>
        <v/>
      </c>
      <c r="BS177" t="str">
        <f>""</f>
        <v/>
      </c>
      <c r="BT177" t="str">
        <f>""</f>
        <v/>
      </c>
      <c r="BU177" t="str">
        <f>""</f>
        <v/>
      </c>
      <c r="BV177" t="str">
        <f>""</f>
        <v/>
      </c>
      <c r="BW177" t="str">
        <f>""</f>
        <v/>
      </c>
      <c r="BX177" t="str">
        <f>""</f>
        <v/>
      </c>
      <c r="BY177" t="str">
        <f>""</f>
        <v/>
      </c>
      <c r="BZ177" t="str">
        <f>""</f>
        <v/>
      </c>
      <c r="CA177" t="str">
        <f>""</f>
        <v/>
      </c>
      <c r="CB177" t="str">
        <f>""</f>
        <v/>
      </c>
      <c r="CC177" t="str">
        <f>""</f>
        <v/>
      </c>
      <c r="CD177" t="str">
        <f>""</f>
        <v/>
      </c>
      <c r="CE177" t="str">
        <f>""</f>
        <v/>
      </c>
      <c r="CF177" t="str">
        <f>""</f>
        <v/>
      </c>
      <c r="CG177" t="str">
        <f>""</f>
        <v/>
      </c>
      <c r="CH177" t="str">
        <f>""</f>
        <v/>
      </c>
      <c r="CI177" t="str">
        <f>""</f>
        <v/>
      </c>
      <c r="CJ177" t="str">
        <f>""</f>
        <v/>
      </c>
      <c r="CK177" t="str">
        <f>""</f>
        <v/>
      </c>
      <c r="CL177" t="str">
        <f>""</f>
        <v/>
      </c>
      <c r="CM177" t="str">
        <f>""</f>
        <v/>
      </c>
      <c r="CN177" t="str">
        <f>""</f>
        <v/>
      </c>
      <c r="CO177" t="str">
        <f>""</f>
        <v/>
      </c>
      <c r="CP177" t="str">
        <f>""</f>
        <v/>
      </c>
      <c r="CQ177" t="str">
        <f>""</f>
        <v/>
      </c>
      <c r="CR177" t="str">
        <f>""</f>
        <v/>
      </c>
      <c r="CS177" t="str">
        <f>""</f>
        <v/>
      </c>
      <c r="CT177" t="str">
        <f>""</f>
        <v/>
      </c>
      <c r="CU177" t="str">
        <f>""</f>
        <v/>
      </c>
      <c r="CV177" t="str">
        <f>""</f>
        <v/>
      </c>
      <c r="CW177" t="str">
        <f>""</f>
        <v/>
      </c>
      <c r="CX177" t="str">
        <f>""</f>
        <v/>
      </c>
      <c r="CY177" t="str">
        <f>""</f>
        <v/>
      </c>
      <c r="CZ177" t="str">
        <f>""</f>
        <v/>
      </c>
      <c r="DA177" t="str">
        <f>""</f>
        <v/>
      </c>
      <c r="DB177" t="str">
        <f>""</f>
        <v/>
      </c>
      <c r="DC177" t="str">
        <f>""</f>
        <v/>
      </c>
      <c r="DD177" t="str">
        <f>""</f>
        <v/>
      </c>
      <c r="DE177" t="str">
        <f>""</f>
        <v/>
      </c>
      <c r="DF177" t="str">
        <f>""</f>
        <v/>
      </c>
      <c r="DG177" t="str">
        <f>""</f>
        <v/>
      </c>
      <c r="DH177" t="str">
        <f>""</f>
        <v/>
      </c>
      <c r="DI177" t="str">
        <f>""</f>
        <v/>
      </c>
      <c r="DJ177" t="str">
        <f>""</f>
        <v/>
      </c>
      <c r="DK177" t="str">
        <f>""</f>
        <v/>
      </c>
      <c r="DL177" t="str">
        <f>""</f>
        <v/>
      </c>
      <c r="DM177" t="str">
        <f>""</f>
        <v/>
      </c>
      <c r="DN177" t="str">
        <f>""</f>
        <v/>
      </c>
      <c r="DO177" t="str">
        <f>""</f>
        <v/>
      </c>
      <c r="DP177" t="str">
        <f>""</f>
        <v/>
      </c>
      <c r="DQ177" t="str">
        <f>""</f>
        <v/>
      </c>
      <c r="DR177" t="str">
        <f>""</f>
        <v/>
      </c>
      <c r="DS177" t="str">
        <f>""</f>
        <v/>
      </c>
      <c r="DT177" t="str">
        <f>""</f>
        <v/>
      </c>
      <c r="DU177" t="str">
        <f>""</f>
        <v/>
      </c>
    </row>
    <row r="178" spans="1:125" x14ac:dyDescent="0.25">
      <c r="A178" t="str">
        <f>$A$26</f>
        <v xml:space="preserve">            Cyprus</v>
      </c>
      <c r="B178" t="str">
        <f>$B$26</f>
        <v>WCARCYI Index</v>
      </c>
      <c r="C178" t="str">
        <f>$C$26</f>
        <v>PX385</v>
      </c>
      <c r="D178" t="str">
        <f>$D$26</f>
        <v>INTERVAL_SUM</v>
      </c>
      <c r="E178" t="str">
        <f>$E$26</f>
        <v>Dynamic</v>
      </c>
      <c r="F178" t="str">
        <f ca="1">_xll.BDP($B$26,$C$26,CONCATENATE("PX391=", $F$158), CONCATENATE("PX392=",$F$159), CONCATENATE("DS004=",$B$151), "Fill=B")</f>
        <v>#N/A Connection</v>
      </c>
      <c r="G178" t="str">
        <f ca="1">_xll.BDP($B$26,$C$26,CONCATENATE("PX391=", $G$158), CONCATENATE("PX392=",$G$159), CONCATENATE("DS004=",$B$151), "Fill=B")</f>
        <v>#N/A Connection</v>
      </c>
      <c r="H178" t="str">
        <f ca="1">_xll.BDP($B$26,$C$26,CONCATENATE("PX391=", $H$158), CONCATENATE("PX392=",$H$159), CONCATENATE("DS004=",$B$151), "Fill=B")</f>
        <v>#N/A Connection</v>
      </c>
      <c r="I178" t="str">
        <f ca="1">_xll.BDP($B$26,$C$26,CONCATENATE("PX391=", $I$158), CONCATENATE("PX392=",$I$159), CONCATENATE("DS004=",$B$151), "Fill=B")</f>
        <v>#N/A Connection</v>
      </c>
      <c r="J178" t="str">
        <f ca="1">_xll.BDP($B$26,$C$26,CONCATENATE("PX391=", $J$158), CONCATENATE("PX392=",$J$159), CONCATENATE("DS004=",$B$151), "Fill=B")</f>
        <v>#N/A Connection</v>
      </c>
      <c r="K178" t="str">
        <f ca="1">_xll.BDP($B$26,$C$26,CONCATENATE("PX391=", $K$158), CONCATENATE("PX392=",$K$159), CONCATENATE("DS004=",$B$151), "Fill=B")</f>
        <v>#N/A Connection</v>
      </c>
      <c r="L178" t="str">
        <f ca="1">_xll.BDP($B$26,$C$26,CONCATENATE("PX391=", $L$158), CONCATENATE("PX392=",$L$159), CONCATENATE("DS004=",$B$151), "Fill=B")</f>
        <v>#N/A Connection</v>
      </c>
      <c r="M178" t="str">
        <f ca="1">_xll.BDP($B$26,$C$26,CONCATENATE("PX391=", $M$158), CONCATENATE("PX392=",$M$159), CONCATENATE("DS004=",$B$151), "Fill=B")</f>
        <v>#N/A Connection</v>
      </c>
      <c r="N178" t="str">
        <f ca="1">_xll.BDP($B$26,$C$26,CONCATENATE("PX391=", $N$158), CONCATENATE("PX392=",$N$159), CONCATENATE("DS004=",$B$151), "Fill=B")</f>
        <v>#N/A Connection</v>
      </c>
      <c r="O178" t="str">
        <f ca="1">_xll.BDP($B$26,$C$26,CONCATENATE("PX391=", $O$158), CONCATENATE("PX392=",$O$159), CONCATENATE("DS004=",$B$151), "Fill=B")</f>
        <v>#N/A Connection</v>
      </c>
      <c r="P178" t="str">
        <f ca="1">_xll.BDP($B$26,$C$26,CONCATENATE("PX391=", $P$158), CONCATENATE("PX392=",$P$159), CONCATENATE("DS004=",$B$151), "Fill=B")</f>
        <v>#N/A Connection</v>
      </c>
      <c r="Q178" t="str">
        <f ca="1">_xll.BDP($B$26,$C$26,CONCATENATE("PX391=", $Q$158), CONCATENATE("PX392=",$Q$159), CONCATENATE("DS004=",$B$151), "Fill=B")</f>
        <v>#N/A Connection</v>
      </c>
      <c r="R178" t="str">
        <f ca="1">_xll.BDP($B$26,$C$26,CONCATENATE("PX391=", $R$158), CONCATENATE("PX392=",$R$159), CONCATENATE("DS004=",$B$151), "Fill=B")</f>
        <v>#N/A Connection</v>
      </c>
      <c r="S178" t="str">
        <f ca="1">_xll.BDP($B$26,$C$26,CONCATENATE("PX391=", $S$158), CONCATENATE("PX392=",$S$159), CONCATENATE("DS004=",$B$151), "Fill=B")</f>
        <v>#N/A Connection</v>
      </c>
      <c r="T178" t="str">
        <f ca="1">_xll.BDP($B$26,$C$26,CONCATENATE("PX391=", $T$158), CONCATENATE("PX392=",$T$159), CONCATENATE("DS004=",$B$151), "Fill=B")</f>
        <v>#N/A Connection</v>
      </c>
      <c r="U178" t="str">
        <f ca="1">_xll.BDP($B$26,$C$26,CONCATENATE("PX391=", $U$158), CONCATENATE("PX392=",$U$159), CONCATENATE("DS004=",$B$151), "Fill=B")</f>
        <v>#N/A Connection</v>
      </c>
      <c r="V178" t="str">
        <f ca="1">_xll.BDP($B$26,$C$26,CONCATENATE("PX391=", $V$158), CONCATENATE("PX392=",$V$159), CONCATENATE("DS004=",$B$151), "Fill=B")</f>
        <v>#N/A Connection</v>
      </c>
      <c r="W178" t="str">
        <f ca="1">_xll.BDP($B$26,$C$26,CONCATENATE("PX391=", $W$158), CONCATENATE("PX392=",$W$159), CONCATENATE("DS004=",$B$151), "Fill=B")</f>
        <v>#N/A Connection</v>
      </c>
      <c r="X178" t="str">
        <f ca="1">_xll.BDP($B$26,$C$26,CONCATENATE("PX391=", $X$158), CONCATENATE("PX392=",$X$159), CONCATENATE("DS004=",$B$151), "Fill=B")</f>
        <v>#N/A Connection</v>
      </c>
      <c r="Y178" t="str">
        <f ca="1">_xll.BDP($B$26,$C$26,CONCATENATE("PX391=", $Y$158), CONCATENATE("PX392=",$Y$159), CONCATENATE("DS004=",$B$151), "Fill=B")</f>
        <v>#N/A Connection</v>
      </c>
      <c r="Z178" t="str">
        <f ca="1">_xll.BDP($B$26,$C$26,CONCATENATE("PX391=", $Z$158), CONCATENATE("PX392=",$Z$159), CONCATENATE("DS004=",$B$151), "Fill=B")</f>
        <v>#N/A Connection</v>
      </c>
      <c r="AA178" t="str">
        <f ca="1">_xll.BDP($B$26,$C$26,CONCATENATE("PX391=", $AA$158), CONCATENATE("PX392=",$AA$159), CONCATENATE("DS004=",$B$151), "Fill=B")</f>
        <v>#N/A Connection</v>
      </c>
      <c r="AB178" t="str">
        <f ca="1">_xll.BDP($B$26,$C$26,CONCATENATE("PX391=", $AB$158), CONCATENATE("PX392=",$AB$159), CONCATENATE("DS004=",$B$151), "Fill=B")</f>
        <v>#N/A Connection</v>
      </c>
      <c r="AC178" t="str">
        <f ca="1">_xll.BDP($B$26,$C$26,CONCATENATE("PX391=", $AC$158), CONCATENATE("PX392=",$AC$159), CONCATENATE("DS004=",$B$151), "Fill=B")</f>
        <v>#N/A Connection</v>
      </c>
      <c r="AD178" t="str">
        <f ca="1">_xll.BDP($B$26,$C$26,CONCATENATE("PX391=", $AD$158), CONCATENATE("PX392=",$AD$159), CONCATENATE("DS004=",$B$151), "Fill=B")</f>
        <v>#N/A Connection</v>
      </c>
      <c r="AE178" t="str">
        <f ca="1">_xll.BDP($B$26,$C$26,CONCATENATE("PX391=", $AE$158), CONCATENATE("PX392=",$AE$159), CONCATENATE("DS004=",$B$151), "Fill=B")</f>
        <v>#N/A Connection</v>
      </c>
      <c r="AF178" t="str">
        <f ca="1">_xll.BDP($B$26,$C$26,CONCATENATE("PX391=", $AF$158), CONCATENATE("PX392=",$AF$159), CONCATENATE("DS004=",$B$151), "Fill=B")</f>
        <v>#N/A Connection</v>
      </c>
      <c r="AG178" t="str">
        <f ca="1">_xll.BDP($B$26,$C$26,CONCATENATE("PX391=", $AG$158), CONCATENATE("PX392=",$AG$159), CONCATENATE("DS004=",$B$151), "Fill=B")</f>
        <v>#N/A Connection</v>
      </c>
      <c r="AH178" t="str">
        <f ca="1">_xll.BDP($B$26,$C$26,CONCATENATE("PX391=", $AH$158), CONCATENATE("PX392=",$AH$159), CONCATENATE("DS004=",$B$151), "Fill=B")</f>
        <v>#N/A Connection</v>
      </c>
      <c r="AI178" t="str">
        <f ca="1">_xll.BDP($B$26,$C$26,CONCATENATE("PX391=", $AI$158), CONCATENATE("PX392=",$AI$159), CONCATENATE("DS004=",$B$151), "Fill=B")</f>
        <v>#N/A Connection</v>
      </c>
      <c r="AJ178" t="str">
        <f ca="1">_xll.BDP($B$26,$C$26,CONCATENATE("PX391=", $AJ$158), CONCATENATE("PX392=",$AJ$159), CONCATENATE("DS004=",$B$151), "Fill=B")</f>
        <v>#N/A Connection</v>
      </c>
      <c r="AK178" t="str">
        <f ca="1">_xll.BDP($B$26,$C$26,CONCATENATE("PX391=", $AK$158), CONCATENATE("PX392=",$AK$159), CONCATENATE("DS004=",$B$151), "Fill=B")</f>
        <v>#N/A Connection</v>
      </c>
      <c r="AL178" t="str">
        <f ca="1">_xll.BDP($B$26,$C$26,CONCATENATE("PX391=", $AL$158), CONCATENATE("PX392=",$AL$159), CONCATENATE("DS004=",$B$151), "Fill=B")</f>
        <v>#N/A Connection</v>
      </c>
      <c r="AM178" t="str">
        <f ca="1">_xll.BDP($B$26,$C$26,CONCATENATE("PX391=", $AM$158), CONCATENATE("PX392=",$AM$159), CONCATENATE("DS004=",$B$151), "Fill=B")</f>
        <v>#N/A Connection</v>
      </c>
      <c r="AN178" t="str">
        <f ca="1">_xll.BDP($B$26,$C$26,CONCATENATE("PX391=", $AN$158), CONCATENATE("PX392=",$AN$159), CONCATENATE("DS004=",$B$151), "Fill=B")</f>
        <v>#N/A Connection</v>
      </c>
      <c r="AO178" t="str">
        <f ca="1">_xll.BDP($B$26,$C$26,CONCATENATE("PX391=", $AO$158), CONCATENATE("PX392=",$AO$159), CONCATENATE("DS004=",$B$151), "Fill=B")</f>
        <v>#N/A Connection</v>
      </c>
      <c r="AP178" t="str">
        <f ca="1">_xll.BDP($B$26,$C$26,CONCATENATE("PX391=", $AP$158), CONCATENATE("PX392=",$AP$159), CONCATENATE("DS004=",$B$151), "Fill=B")</f>
        <v>#N/A Connection</v>
      </c>
      <c r="AQ178" t="str">
        <f ca="1">_xll.BDP($B$26,$C$26,CONCATENATE("PX391=", $AQ$158), CONCATENATE("PX392=",$AQ$159), CONCATENATE("DS004=",$B$151), "Fill=B")</f>
        <v>#N/A Connection</v>
      </c>
      <c r="AR178" t="str">
        <f ca="1">_xll.BDP($B$26,$C$26,CONCATENATE("PX391=", $AR$158), CONCATENATE("PX392=",$AR$159), CONCATENATE("DS004=",$B$151), "Fill=B")</f>
        <v>#N/A Connection</v>
      </c>
      <c r="AS178" t="str">
        <f ca="1">_xll.BDP($B$26,$C$26,CONCATENATE("PX391=", $AS$158), CONCATENATE("PX392=",$AS$159), CONCATENATE("DS004=",$B$151), "Fill=B")</f>
        <v>#N/A Connection</v>
      </c>
      <c r="AT178" t="str">
        <f ca="1">_xll.BDP($B$26,$C$26,CONCATENATE("PX391=", $AT$158), CONCATENATE("PX392=",$AT$159), CONCATENATE("DS004=",$B$151), "Fill=B")</f>
        <v>#N/A Connection</v>
      </c>
      <c r="AU178" t="str">
        <f ca="1">_xll.BDP($B$26,$C$26,CONCATENATE("PX391=", $AU$158), CONCATENATE("PX392=",$AU$159), CONCATENATE("DS004=",$B$151), "Fill=B")</f>
        <v>#N/A Connection</v>
      </c>
      <c r="AV178" t="str">
        <f ca="1">_xll.BDP($B$26,$C$26,CONCATENATE("PX391=", $AV$158), CONCATENATE("PX392=",$AV$159), CONCATENATE("DS004=",$B$151), "Fill=B")</f>
        <v>#N/A Connection</v>
      </c>
      <c r="AW178" t="str">
        <f ca="1">_xll.BDP($B$26,$C$26,CONCATENATE("PX391=", $AW$158), CONCATENATE("PX392=",$AW$159), CONCATENATE("DS004=",$B$151), "Fill=B")</f>
        <v>#N/A Connection</v>
      </c>
      <c r="AX178" t="str">
        <f ca="1">_xll.BDP($B$26,$C$26,CONCATENATE("PX391=", $AX$158), CONCATENATE("PX392=",$AX$159), CONCATENATE("DS004=",$B$151), "Fill=B")</f>
        <v>#N/A Connection</v>
      </c>
      <c r="AY178" t="str">
        <f ca="1">_xll.BDP($B$26,$C$26,CONCATENATE("PX391=", $AY$158), CONCATENATE("PX392=",$AY$159), CONCATENATE("DS004=",$B$151), "Fill=B")</f>
        <v>#N/A Connection</v>
      </c>
      <c r="AZ178" t="str">
        <f ca="1">_xll.BDP($B$26,$C$26,CONCATENATE("PX391=", $AZ$158), CONCATENATE("PX392=",$AZ$159), CONCATENATE("DS004=",$B$151), "Fill=B")</f>
        <v>#N/A Connection</v>
      </c>
      <c r="BA178" t="str">
        <f ca="1">_xll.BDP($B$26,$C$26,CONCATENATE("PX391=", $BA$158), CONCATENATE("PX392=",$BA$159), CONCATENATE("DS004=",$B$151), "Fill=B")</f>
        <v>#N/A Connection</v>
      </c>
      <c r="BB178" t="str">
        <f ca="1">_xll.BDP($B$26,$C$26,CONCATENATE("PX391=", $BB$158), CONCATENATE("PX392=",$BB$159), CONCATENATE("DS004=",$B$151), "Fill=B")</f>
        <v>#N/A Connection</v>
      </c>
      <c r="BC178" t="str">
        <f ca="1">_xll.BDP($B$26,$C$26,CONCATENATE("PX391=", $BC$158), CONCATENATE("PX392=",$BC$159), CONCATENATE("DS004=",$B$151), "Fill=B")</f>
        <v>#N/A Connection</v>
      </c>
      <c r="BD178" t="str">
        <f ca="1">_xll.BDP($B$26,$C$26,CONCATENATE("PX391=", $BD$158), CONCATENATE("PX392=",$BD$159), CONCATENATE("DS004=",$B$151), "Fill=B")</f>
        <v>#N/A Connection</v>
      </c>
      <c r="BE178" t="str">
        <f ca="1">_xll.BDP($B$26,$C$26,CONCATENATE("PX391=", $BE$158), CONCATENATE("PX392=",$BE$159), CONCATENATE("DS004=",$B$151), "Fill=B")</f>
        <v>#N/A Connection</v>
      </c>
      <c r="BF178" t="str">
        <f ca="1">_xll.BDP($B$26,$C$26,CONCATENATE("PX391=", $BF$158), CONCATENATE("PX392=",$BF$159), CONCATENATE("DS004=",$B$151), "Fill=B")</f>
        <v>#N/A Connection</v>
      </c>
      <c r="BG178" t="str">
        <f ca="1">_xll.BDP($B$26,$C$26,CONCATENATE("PX391=", $BG$158), CONCATENATE("PX392=",$BG$159), CONCATENATE("DS004=",$B$151), "Fill=B")</f>
        <v>#N/A Connection</v>
      </c>
      <c r="BH178" t="str">
        <f ca="1">_xll.BDP($B$26,$C$26,CONCATENATE("PX391=", $BH$158), CONCATENATE("PX392=",$BH$159), CONCATENATE("DS004=",$B$151), "Fill=B")</f>
        <v>#N/A Connection</v>
      </c>
      <c r="BI178" t="str">
        <f ca="1">_xll.BDP($B$26,$C$26,CONCATENATE("PX391=", $BI$158), CONCATENATE("PX392=",$BI$159), CONCATENATE("DS004=",$B$151), "Fill=B")</f>
        <v>#N/A Connection</v>
      </c>
      <c r="BJ178" t="str">
        <f ca="1">_xll.BDP($B$26,$C$26,CONCATENATE("PX391=", $BJ$158), CONCATENATE("PX392=",$BJ$159), CONCATENATE("DS004=",$B$151), "Fill=B")</f>
        <v>#N/A Connection</v>
      </c>
      <c r="BK178" t="str">
        <f ca="1">_xll.BDP($B$26,$C$26,CONCATENATE("PX391=", $BK$158), CONCATENATE("PX392=",$BK$159), CONCATENATE("DS004=",$B$151), "Fill=B")</f>
        <v>#N/A Connection</v>
      </c>
      <c r="BL178" t="str">
        <f ca="1">_xll.BDP($B$26,$C$26,CONCATENATE("PX391=", $BL$158), CONCATENATE("PX392=",$BL$159), CONCATENATE("DS004=",$B$151), "Fill=B")</f>
        <v>#N/A Connection</v>
      </c>
      <c r="BM178" t="str">
        <f ca="1">_xll.BDP($B$26,$C$26,CONCATENATE("PX391=", $BM$158), CONCATENATE("PX392=",$BM$159), CONCATENATE("DS004=",$B$151), "Fill=B")</f>
        <v>#N/A Connection</v>
      </c>
      <c r="BN178" t="str">
        <f>""</f>
        <v/>
      </c>
      <c r="BO178" t="str">
        <f>""</f>
        <v/>
      </c>
      <c r="BP178" t="str">
        <f>""</f>
        <v/>
      </c>
      <c r="BQ178" t="str">
        <f>""</f>
        <v/>
      </c>
      <c r="BR178" t="str">
        <f>""</f>
        <v/>
      </c>
      <c r="BS178" t="str">
        <f>""</f>
        <v/>
      </c>
      <c r="BT178" t="str">
        <f>""</f>
        <v/>
      </c>
      <c r="BU178" t="str">
        <f>""</f>
        <v/>
      </c>
      <c r="BV178" t="str">
        <f>""</f>
        <v/>
      </c>
      <c r="BW178" t="str">
        <f>""</f>
        <v/>
      </c>
      <c r="BX178" t="str">
        <f>""</f>
        <v/>
      </c>
      <c r="BY178" t="str">
        <f>""</f>
        <v/>
      </c>
      <c r="BZ178" t="str">
        <f>""</f>
        <v/>
      </c>
      <c r="CA178" t="str">
        <f>""</f>
        <v/>
      </c>
      <c r="CB178" t="str">
        <f>""</f>
        <v/>
      </c>
      <c r="CC178" t="str">
        <f>""</f>
        <v/>
      </c>
      <c r="CD178" t="str">
        <f>""</f>
        <v/>
      </c>
      <c r="CE178" t="str">
        <f>""</f>
        <v/>
      </c>
      <c r="CF178" t="str">
        <f>""</f>
        <v/>
      </c>
      <c r="CG178" t="str">
        <f>""</f>
        <v/>
      </c>
      <c r="CH178" t="str">
        <f>""</f>
        <v/>
      </c>
      <c r="CI178" t="str">
        <f>""</f>
        <v/>
      </c>
      <c r="CJ178" t="str">
        <f>""</f>
        <v/>
      </c>
      <c r="CK178" t="str">
        <f>""</f>
        <v/>
      </c>
      <c r="CL178" t="str">
        <f>""</f>
        <v/>
      </c>
      <c r="CM178" t="str">
        <f>""</f>
        <v/>
      </c>
      <c r="CN178" t="str">
        <f>""</f>
        <v/>
      </c>
      <c r="CO178" t="str">
        <f>""</f>
        <v/>
      </c>
      <c r="CP178" t="str">
        <f>""</f>
        <v/>
      </c>
      <c r="CQ178" t="str">
        <f>""</f>
        <v/>
      </c>
      <c r="CR178" t="str">
        <f>""</f>
        <v/>
      </c>
      <c r="CS178" t="str">
        <f>""</f>
        <v/>
      </c>
      <c r="CT178" t="str">
        <f>""</f>
        <v/>
      </c>
      <c r="CU178" t="str">
        <f>""</f>
        <v/>
      </c>
      <c r="CV178" t="str">
        <f>""</f>
        <v/>
      </c>
      <c r="CW178" t="str">
        <f>""</f>
        <v/>
      </c>
      <c r="CX178" t="str">
        <f>""</f>
        <v/>
      </c>
      <c r="CY178" t="str">
        <f>""</f>
        <v/>
      </c>
      <c r="CZ178" t="str">
        <f>""</f>
        <v/>
      </c>
      <c r="DA178" t="str">
        <f>""</f>
        <v/>
      </c>
      <c r="DB178" t="str">
        <f>""</f>
        <v/>
      </c>
      <c r="DC178" t="str">
        <f>""</f>
        <v/>
      </c>
      <c r="DD178" t="str">
        <f>""</f>
        <v/>
      </c>
      <c r="DE178" t="str">
        <f>""</f>
        <v/>
      </c>
      <c r="DF178" t="str">
        <f>""</f>
        <v/>
      </c>
      <c r="DG178" t="str">
        <f>""</f>
        <v/>
      </c>
      <c r="DH178" t="str">
        <f>""</f>
        <v/>
      </c>
      <c r="DI178" t="str">
        <f>""</f>
        <v/>
      </c>
      <c r="DJ178" t="str">
        <f>""</f>
        <v/>
      </c>
      <c r="DK178" t="str">
        <f>""</f>
        <v/>
      </c>
      <c r="DL178" t="str">
        <f>""</f>
        <v/>
      </c>
      <c r="DM178" t="str">
        <f>""</f>
        <v/>
      </c>
      <c r="DN178" t="str">
        <f>""</f>
        <v/>
      </c>
      <c r="DO178" t="str">
        <f>""</f>
        <v/>
      </c>
      <c r="DP178" t="str">
        <f>""</f>
        <v/>
      </c>
      <c r="DQ178" t="str">
        <f>""</f>
        <v/>
      </c>
      <c r="DR178" t="str">
        <f>""</f>
        <v/>
      </c>
      <c r="DS178" t="str">
        <f>""</f>
        <v/>
      </c>
      <c r="DT178" t="str">
        <f>""</f>
        <v/>
      </c>
      <c r="DU178" t="str">
        <f>""</f>
        <v/>
      </c>
    </row>
    <row r="179" spans="1:125" x14ac:dyDescent="0.25">
      <c r="A179" t="str">
        <f>$A$27</f>
        <v xml:space="preserve">            Denmark</v>
      </c>
      <c r="B179" t="str">
        <f>$B$27</f>
        <v>WCARDKI Index</v>
      </c>
      <c r="C179" t="str">
        <f>$C$27</f>
        <v>PX385</v>
      </c>
      <c r="D179" t="str">
        <f>$D$27</f>
        <v>INTERVAL_SUM</v>
      </c>
      <c r="E179" t="str">
        <f>$E$27</f>
        <v>Dynamic</v>
      </c>
      <c r="F179" t="str">
        <f ca="1">_xll.BDP($B$27,$C$27,CONCATENATE("PX391=", $F$158), CONCATENATE("PX392=",$F$159), CONCATENATE("DS004=",$B$151), "Fill=B")</f>
        <v>#N/A Connection</v>
      </c>
      <c r="G179" t="str">
        <f ca="1">_xll.BDP($B$27,$C$27,CONCATENATE("PX391=", $G$158), CONCATENATE("PX392=",$G$159), CONCATENATE("DS004=",$B$151), "Fill=B")</f>
        <v>#N/A Connection</v>
      </c>
      <c r="H179" t="str">
        <f ca="1">_xll.BDP($B$27,$C$27,CONCATENATE("PX391=", $H$158), CONCATENATE("PX392=",$H$159), CONCATENATE("DS004=",$B$151), "Fill=B")</f>
        <v>#N/A Connection</v>
      </c>
      <c r="I179" t="str">
        <f ca="1">_xll.BDP($B$27,$C$27,CONCATENATE("PX391=", $I$158), CONCATENATE("PX392=",$I$159), CONCATENATE("DS004=",$B$151), "Fill=B")</f>
        <v>#N/A Connection</v>
      </c>
      <c r="J179" t="str">
        <f ca="1">_xll.BDP($B$27,$C$27,CONCATENATE("PX391=", $J$158), CONCATENATE("PX392=",$J$159), CONCATENATE("DS004=",$B$151), "Fill=B")</f>
        <v>#N/A Connection</v>
      </c>
      <c r="K179" t="str">
        <f ca="1">_xll.BDP($B$27,$C$27,CONCATENATE("PX391=", $K$158), CONCATENATE("PX392=",$K$159), CONCATENATE("DS004=",$B$151), "Fill=B")</f>
        <v>#N/A Connection</v>
      </c>
      <c r="L179" t="str">
        <f ca="1">_xll.BDP($B$27,$C$27,CONCATENATE("PX391=", $L$158), CONCATENATE("PX392=",$L$159), CONCATENATE("DS004=",$B$151), "Fill=B")</f>
        <v>#N/A Connection</v>
      </c>
      <c r="M179" t="str">
        <f ca="1">_xll.BDP($B$27,$C$27,CONCATENATE("PX391=", $M$158), CONCATENATE("PX392=",$M$159), CONCATENATE("DS004=",$B$151), "Fill=B")</f>
        <v>#N/A Connection</v>
      </c>
      <c r="N179" t="str">
        <f ca="1">_xll.BDP($B$27,$C$27,CONCATENATE("PX391=", $N$158), CONCATENATE("PX392=",$N$159), CONCATENATE("DS004=",$B$151), "Fill=B")</f>
        <v>#N/A Connection</v>
      </c>
      <c r="O179" t="str">
        <f ca="1">_xll.BDP($B$27,$C$27,CONCATENATE("PX391=", $O$158), CONCATENATE("PX392=",$O$159), CONCATENATE("DS004=",$B$151), "Fill=B")</f>
        <v>#N/A Connection</v>
      </c>
      <c r="P179" t="str">
        <f ca="1">_xll.BDP($B$27,$C$27,CONCATENATE("PX391=", $P$158), CONCATENATE("PX392=",$P$159), CONCATENATE("DS004=",$B$151), "Fill=B")</f>
        <v>#N/A Connection</v>
      </c>
      <c r="Q179" t="str">
        <f ca="1">_xll.BDP($B$27,$C$27,CONCATENATE("PX391=", $Q$158), CONCATENATE("PX392=",$Q$159), CONCATENATE("DS004=",$B$151), "Fill=B")</f>
        <v>#N/A Connection</v>
      </c>
      <c r="R179" t="str">
        <f ca="1">_xll.BDP($B$27,$C$27,CONCATENATE("PX391=", $R$158), CONCATENATE("PX392=",$R$159), CONCATENATE("DS004=",$B$151), "Fill=B")</f>
        <v>#N/A Connection</v>
      </c>
      <c r="S179" t="str">
        <f ca="1">_xll.BDP($B$27,$C$27,CONCATENATE("PX391=", $S$158), CONCATENATE("PX392=",$S$159), CONCATENATE("DS004=",$B$151), "Fill=B")</f>
        <v>#N/A Connection</v>
      </c>
      <c r="T179" t="str">
        <f ca="1">_xll.BDP($B$27,$C$27,CONCATENATE("PX391=", $T$158), CONCATENATE("PX392=",$T$159), CONCATENATE("DS004=",$B$151), "Fill=B")</f>
        <v>#N/A Connection</v>
      </c>
      <c r="U179" t="str">
        <f ca="1">_xll.BDP($B$27,$C$27,CONCATENATE("PX391=", $U$158), CONCATENATE("PX392=",$U$159), CONCATENATE("DS004=",$B$151), "Fill=B")</f>
        <v>#N/A Connection</v>
      </c>
      <c r="V179" t="str">
        <f ca="1">_xll.BDP($B$27,$C$27,CONCATENATE("PX391=", $V$158), CONCATENATE("PX392=",$V$159), CONCATENATE("DS004=",$B$151), "Fill=B")</f>
        <v>#N/A Connection</v>
      </c>
      <c r="W179" t="str">
        <f ca="1">_xll.BDP($B$27,$C$27,CONCATENATE("PX391=", $W$158), CONCATENATE("PX392=",$W$159), CONCATENATE("DS004=",$B$151), "Fill=B")</f>
        <v>#N/A Connection</v>
      </c>
      <c r="X179" t="str">
        <f ca="1">_xll.BDP($B$27,$C$27,CONCATENATE("PX391=", $X$158), CONCATENATE("PX392=",$X$159), CONCATENATE("DS004=",$B$151), "Fill=B")</f>
        <v>#N/A Connection</v>
      </c>
      <c r="Y179" t="str">
        <f ca="1">_xll.BDP($B$27,$C$27,CONCATENATE("PX391=", $Y$158), CONCATENATE("PX392=",$Y$159), CONCATENATE("DS004=",$B$151), "Fill=B")</f>
        <v>#N/A Connection</v>
      </c>
      <c r="Z179" t="str">
        <f ca="1">_xll.BDP($B$27,$C$27,CONCATENATE("PX391=", $Z$158), CONCATENATE("PX392=",$Z$159), CONCATENATE("DS004=",$B$151), "Fill=B")</f>
        <v>#N/A Connection</v>
      </c>
      <c r="AA179" t="str">
        <f ca="1">_xll.BDP($B$27,$C$27,CONCATENATE("PX391=", $AA$158), CONCATENATE("PX392=",$AA$159), CONCATENATE("DS004=",$B$151), "Fill=B")</f>
        <v>#N/A Connection</v>
      </c>
      <c r="AB179" t="str">
        <f ca="1">_xll.BDP($B$27,$C$27,CONCATENATE("PX391=", $AB$158), CONCATENATE("PX392=",$AB$159), CONCATENATE("DS004=",$B$151), "Fill=B")</f>
        <v>#N/A Connection</v>
      </c>
      <c r="AC179" t="str">
        <f ca="1">_xll.BDP($B$27,$C$27,CONCATENATE("PX391=", $AC$158), CONCATENATE("PX392=",$AC$159), CONCATENATE("DS004=",$B$151), "Fill=B")</f>
        <v>#N/A Connection</v>
      </c>
      <c r="AD179" t="str">
        <f ca="1">_xll.BDP($B$27,$C$27,CONCATENATE("PX391=", $AD$158), CONCATENATE("PX392=",$AD$159), CONCATENATE("DS004=",$B$151), "Fill=B")</f>
        <v>#N/A Connection</v>
      </c>
      <c r="AE179" t="str">
        <f ca="1">_xll.BDP($B$27,$C$27,CONCATENATE("PX391=", $AE$158), CONCATENATE("PX392=",$AE$159), CONCATENATE("DS004=",$B$151), "Fill=B")</f>
        <v>#N/A Connection</v>
      </c>
      <c r="AF179" t="str">
        <f ca="1">_xll.BDP($B$27,$C$27,CONCATENATE("PX391=", $AF$158), CONCATENATE("PX392=",$AF$159), CONCATENATE("DS004=",$B$151), "Fill=B")</f>
        <v>#N/A Connection</v>
      </c>
      <c r="AG179" t="str">
        <f ca="1">_xll.BDP($B$27,$C$27,CONCATENATE("PX391=", $AG$158), CONCATENATE("PX392=",$AG$159), CONCATENATE("DS004=",$B$151), "Fill=B")</f>
        <v>#N/A Connection</v>
      </c>
      <c r="AH179" t="str">
        <f ca="1">_xll.BDP($B$27,$C$27,CONCATENATE("PX391=", $AH$158), CONCATENATE("PX392=",$AH$159), CONCATENATE("DS004=",$B$151), "Fill=B")</f>
        <v>#N/A Connection</v>
      </c>
      <c r="AI179" t="str">
        <f ca="1">_xll.BDP($B$27,$C$27,CONCATENATE("PX391=", $AI$158), CONCATENATE("PX392=",$AI$159), CONCATENATE("DS004=",$B$151), "Fill=B")</f>
        <v>#N/A Connection</v>
      </c>
      <c r="AJ179" t="str">
        <f ca="1">_xll.BDP($B$27,$C$27,CONCATENATE("PX391=", $AJ$158), CONCATENATE("PX392=",$AJ$159), CONCATENATE("DS004=",$B$151), "Fill=B")</f>
        <v>#N/A Connection</v>
      </c>
      <c r="AK179" t="str">
        <f ca="1">_xll.BDP($B$27,$C$27,CONCATENATE("PX391=", $AK$158), CONCATENATE("PX392=",$AK$159), CONCATENATE("DS004=",$B$151), "Fill=B")</f>
        <v>#N/A Connection</v>
      </c>
      <c r="AL179" t="str">
        <f ca="1">_xll.BDP($B$27,$C$27,CONCATENATE("PX391=", $AL$158), CONCATENATE("PX392=",$AL$159), CONCATENATE("DS004=",$B$151), "Fill=B")</f>
        <v>#N/A Connection</v>
      </c>
      <c r="AM179" t="str">
        <f ca="1">_xll.BDP($B$27,$C$27,CONCATENATE("PX391=", $AM$158), CONCATENATE("PX392=",$AM$159), CONCATENATE("DS004=",$B$151), "Fill=B")</f>
        <v>#N/A Connection</v>
      </c>
      <c r="AN179" t="str">
        <f ca="1">_xll.BDP($B$27,$C$27,CONCATENATE("PX391=", $AN$158), CONCATENATE("PX392=",$AN$159), CONCATENATE("DS004=",$B$151), "Fill=B")</f>
        <v>#N/A Connection</v>
      </c>
      <c r="AO179" t="str">
        <f ca="1">_xll.BDP($B$27,$C$27,CONCATENATE("PX391=", $AO$158), CONCATENATE("PX392=",$AO$159), CONCATENATE("DS004=",$B$151), "Fill=B")</f>
        <v>#N/A Connection</v>
      </c>
      <c r="AP179" t="str">
        <f ca="1">_xll.BDP($B$27,$C$27,CONCATENATE("PX391=", $AP$158), CONCATENATE("PX392=",$AP$159), CONCATENATE("DS004=",$B$151), "Fill=B")</f>
        <v>#N/A Connection</v>
      </c>
      <c r="AQ179" t="str">
        <f ca="1">_xll.BDP($B$27,$C$27,CONCATENATE("PX391=", $AQ$158), CONCATENATE("PX392=",$AQ$159), CONCATENATE("DS004=",$B$151), "Fill=B")</f>
        <v>#N/A Connection</v>
      </c>
      <c r="AR179" t="str">
        <f ca="1">_xll.BDP($B$27,$C$27,CONCATENATE("PX391=", $AR$158), CONCATENATE("PX392=",$AR$159), CONCATENATE("DS004=",$B$151), "Fill=B")</f>
        <v>#N/A Connection</v>
      </c>
      <c r="AS179" t="str">
        <f ca="1">_xll.BDP($B$27,$C$27,CONCATENATE("PX391=", $AS$158), CONCATENATE("PX392=",$AS$159), CONCATENATE("DS004=",$B$151), "Fill=B")</f>
        <v>#N/A Connection</v>
      </c>
      <c r="AT179" t="str">
        <f ca="1">_xll.BDP($B$27,$C$27,CONCATENATE("PX391=", $AT$158), CONCATENATE("PX392=",$AT$159), CONCATENATE("DS004=",$B$151), "Fill=B")</f>
        <v>#N/A Connection</v>
      </c>
      <c r="AU179" t="str">
        <f ca="1">_xll.BDP($B$27,$C$27,CONCATENATE("PX391=", $AU$158), CONCATENATE("PX392=",$AU$159), CONCATENATE("DS004=",$B$151), "Fill=B")</f>
        <v>#N/A Connection</v>
      </c>
      <c r="AV179" t="str">
        <f ca="1">_xll.BDP($B$27,$C$27,CONCATENATE("PX391=", $AV$158), CONCATENATE("PX392=",$AV$159), CONCATENATE("DS004=",$B$151), "Fill=B")</f>
        <v>#N/A Connection</v>
      </c>
      <c r="AW179" t="str">
        <f ca="1">_xll.BDP($B$27,$C$27,CONCATENATE("PX391=", $AW$158), CONCATENATE("PX392=",$AW$159), CONCATENATE("DS004=",$B$151), "Fill=B")</f>
        <v>#N/A Connection</v>
      </c>
      <c r="AX179" t="str">
        <f ca="1">_xll.BDP($B$27,$C$27,CONCATENATE("PX391=", $AX$158), CONCATENATE("PX392=",$AX$159), CONCATENATE("DS004=",$B$151), "Fill=B")</f>
        <v>#N/A Connection</v>
      </c>
      <c r="AY179" t="str">
        <f ca="1">_xll.BDP($B$27,$C$27,CONCATENATE("PX391=", $AY$158), CONCATENATE("PX392=",$AY$159), CONCATENATE("DS004=",$B$151), "Fill=B")</f>
        <v>#N/A Connection</v>
      </c>
      <c r="AZ179" t="str">
        <f ca="1">_xll.BDP($B$27,$C$27,CONCATENATE("PX391=", $AZ$158), CONCATENATE("PX392=",$AZ$159), CONCATENATE("DS004=",$B$151), "Fill=B")</f>
        <v>#N/A Connection</v>
      </c>
      <c r="BA179" t="str">
        <f ca="1">_xll.BDP($B$27,$C$27,CONCATENATE("PX391=", $BA$158), CONCATENATE("PX392=",$BA$159), CONCATENATE("DS004=",$B$151), "Fill=B")</f>
        <v>#N/A Connection</v>
      </c>
      <c r="BB179" t="str">
        <f ca="1">_xll.BDP($B$27,$C$27,CONCATENATE("PX391=", $BB$158), CONCATENATE("PX392=",$BB$159), CONCATENATE("DS004=",$B$151), "Fill=B")</f>
        <v>#N/A Connection</v>
      </c>
      <c r="BC179" t="str">
        <f ca="1">_xll.BDP($B$27,$C$27,CONCATENATE("PX391=", $BC$158), CONCATENATE("PX392=",$BC$159), CONCATENATE("DS004=",$B$151), "Fill=B")</f>
        <v>#N/A Connection</v>
      </c>
      <c r="BD179" t="str">
        <f ca="1">_xll.BDP($B$27,$C$27,CONCATENATE("PX391=", $BD$158), CONCATENATE("PX392=",$BD$159), CONCATENATE("DS004=",$B$151), "Fill=B")</f>
        <v>#N/A Connection</v>
      </c>
      <c r="BE179" t="str">
        <f ca="1">_xll.BDP($B$27,$C$27,CONCATENATE("PX391=", $BE$158), CONCATENATE("PX392=",$BE$159), CONCATENATE("DS004=",$B$151), "Fill=B")</f>
        <v>#N/A Connection</v>
      </c>
      <c r="BF179" t="str">
        <f ca="1">_xll.BDP($B$27,$C$27,CONCATENATE("PX391=", $BF$158), CONCATENATE("PX392=",$BF$159), CONCATENATE("DS004=",$B$151), "Fill=B")</f>
        <v>#N/A Connection</v>
      </c>
      <c r="BG179" t="str">
        <f ca="1">_xll.BDP($B$27,$C$27,CONCATENATE("PX391=", $BG$158), CONCATENATE("PX392=",$BG$159), CONCATENATE("DS004=",$B$151), "Fill=B")</f>
        <v>#N/A Connection</v>
      </c>
      <c r="BH179" t="str">
        <f ca="1">_xll.BDP($B$27,$C$27,CONCATENATE("PX391=", $BH$158), CONCATENATE("PX392=",$BH$159), CONCATENATE("DS004=",$B$151), "Fill=B")</f>
        <v>#N/A Connection</v>
      </c>
      <c r="BI179" t="str">
        <f ca="1">_xll.BDP($B$27,$C$27,CONCATENATE("PX391=", $BI$158), CONCATENATE("PX392=",$BI$159), CONCATENATE("DS004=",$B$151), "Fill=B")</f>
        <v>#N/A Connection</v>
      </c>
      <c r="BJ179" t="str">
        <f ca="1">_xll.BDP($B$27,$C$27,CONCATENATE("PX391=", $BJ$158), CONCATENATE("PX392=",$BJ$159), CONCATENATE("DS004=",$B$151), "Fill=B")</f>
        <v>#N/A Connection</v>
      </c>
      <c r="BK179" t="str">
        <f ca="1">_xll.BDP($B$27,$C$27,CONCATENATE("PX391=", $BK$158), CONCATENATE("PX392=",$BK$159), CONCATENATE("DS004=",$B$151), "Fill=B")</f>
        <v>#N/A Connection</v>
      </c>
      <c r="BL179" t="str">
        <f ca="1">_xll.BDP($B$27,$C$27,CONCATENATE("PX391=", $BL$158), CONCATENATE("PX392=",$BL$159), CONCATENATE("DS004=",$B$151), "Fill=B")</f>
        <v>#N/A Connection</v>
      </c>
      <c r="BM179" t="str">
        <f ca="1">_xll.BDP($B$27,$C$27,CONCATENATE("PX391=", $BM$158), CONCATENATE("PX392=",$BM$159), CONCATENATE("DS004=",$B$151), "Fill=B")</f>
        <v>#N/A Connection</v>
      </c>
      <c r="BN179" t="str">
        <f>""</f>
        <v/>
      </c>
      <c r="BO179" t="str">
        <f>""</f>
        <v/>
      </c>
      <c r="BP179" t="str">
        <f>""</f>
        <v/>
      </c>
      <c r="BQ179" t="str">
        <f>""</f>
        <v/>
      </c>
      <c r="BR179" t="str">
        <f>""</f>
        <v/>
      </c>
      <c r="BS179" t="str">
        <f>""</f>
        <v/>
      </c>
      <c r="BT179" t="str">
        <f>""</f>
        <v/>
      </c>
      <c r="BU179" t="str">
        <f>""</f>
        <v/>
      </c>
      <c r="BV179" t="str">
        <f>""</f>
        <v/>
      </c>
      <c r="BW179" t="str">
        <f>""</f>
        <v/>
      </c>
      <c r="BX179" t="str">
        <f>""</f>
        <v/>
      </c>
      <c r="BY179" t="str">
        <f>""</f>
        <v/>
      </c>
      <c r="BZ179" t="str">
        <f>""</f>
        <v/>
      </c>
      <c r="CA179" t="str">
        <f>""</f>
        <v/>
      </c>
      <c r="CB179" t="str">
        <f>""</f>
        <v/>
      </c>
      <c r="CC179" t="str">
        <f>""</f>
        <v/>
      </c>
      <c r="CD179" t="str">
        <f>""</f>
        <v/>
      </c>
      <c r="CE179" t="str">
        <f>""</f>
        <v/>
      </c>
      <c r="CF179" t="str">
        <f>""</f>
        <v/>
      </c>
      <c r="CG179" t="str">
        <f>""</f>
        <v/>
      </c>
      <c r="CH179" t="str">
        <f>""</f>
        <v/>
      </c>
      <c r="CI179" t="str">
        <f>""</f>
        <v/>
      </c>
      <c r="CJ179" t="str">
        <f>""</f>
        <v/>
      </c>
      <c r="CK179" t="str">
        <f>""</f>
        <v/>
      </c>
      <c r="CL179" t="str">
        <f>""</f>
        <v/>
      </c>
      <c r="CM179" t="str">
        <f>""</f>
        <v/>
      </c>
      <c r="CN179" t="str">
        <f>""</f>
        <v/>
      </c>
      <c r="CO179" t="str">
        <f>""</f>
        <v/>
      </c>
      <c r="CP179" t="str">
        <f>""</f>
        <v/>
      </c>
      <c r="CQ179" t="str">
        <f>""</f>
        <v/>
      </c>
      <c r="CR179" t="str">
        <f>""</f>
        <v/>
      </c>
      <c r="CS179" t="str">
        <f>""</f>
        <v/>
      </c>
      <c r="CT179" t="str">
        <f>""</f>
        <v/>
      </c>
      <c r="CU179" t="str">
        <f>""</f>
        <v/>
      </c>
      <c r="CV179" t="str">
        <f>""</f>
        <v/>
      </c>
      <c r="CW179" t="str">
        <f>""</f>
        <v/>
      </c>
      <c r="CX179" t="str">
        <f>""</f>
        <v/>
      </c>
      <c r="CY179" t="str">
        <f>""</f>
        <v/>
      </c>
      <c r="CZ179" t="str">
        <f>""</f>
        <v/>
      </c>
      <c r="DA179" t="str">
        <f>""</f>
        <v/>
      </c>
      <c r="DB179" t="str">
        <f>""</f>
        <v/>
      </c>
      <c r="DC179" t="str">
        <f>""</f>
        <v/>
      </c>
      <c r="DD179" t="str">
        <f>""</f>
        <v/>
      </c>
      <c r="DE179" t="str">
        <f>""</f>
        <v/>
      </c>
      <c r="DF179" t="str">
        <f>""</f>
        <v/>
      </c>
      <c r="DG179" t="str">
        <f>""</f>
        <v/>
      </c>
      <c r="DH179" t="str">
        <f>""</f>
        <v/>
      </c>
      <c r="DI179" t="str">
        <f>""</f>
        <v/>
      </c>
      <c r="DJ179" t="str">
        <f>""</f>
        <v/>
      </c>
      <c r="DK179" t="str">
        <f>""</f>
        <v/>
      </c>
      <c r="DL179" t="str">
        <f>""</f>
        <v/>
      </c>
      <c r="DM179" t="str">
        <f>""</f>
        <v/>
      </c>
      <c r="DN179" t="str">
        <f>""</f>
        <v/>
      </c>
      <c r="DO179" t="str">
        <f>""</f>
        <v/>
      </c>
      <c r="DP179" t="str">
        <f>""</f>
        <v/>
      </c>
      <c r="DQ179" t="str">
        <f>""</f>
        <v/>
      </c>
      <c r="DR179" t="str">
        <f>""</f>
        <v/>
      </c>
      <c r="DS179" t="str">
        <f>""</f>
        <v/>
      </c>
      <c r="DT179" t="str">
        <f>""</f>
        <v/>
      </c>
      <c r="DU179" t="str">
        <f>""</f>
        <v/>
      </c>
    </row>
    <row r="180" spans="1:125" x14ac:dyDescent="0.25">
      <c r="A180" t="str">
        <f>$A$28</f>
        <v xml:space="preserve">            Finland</v>
      </c>
      <c r="B180" t="str">
        <f>$B$28</f>
        <v>WCARFII Index</v>
      </c>
      <c r="C180" t="str">
        <f>$C$28</f>
        <v>PX385</v>
      </c>
      <c r="D180" t="str">
        <f>$D$28</f>
        <v>INTERVAL_SUM</v>
      </c>
      <c r="E180" t="str">
        <f>$E$28</f>
        <v>Dynamic</v>
      </c>
      <c r="F180" t="str">
        <f ca="1">_xll.BDP($B$28,$C$28,CONCATENATE("PX391=", $F$158), CONCATENATE("PX392=",$F$159), CONCATENATE("DS004=",$B$151), "Fill=B")</f>
        <v>#N/A Connection</v>
      </c>
      <c r="G180" t="str">
        <f ca="1">_xll.BDP($B$28,$C$28,CONCATENATE("PX391=", $G$158), CONCATENATE("PX392=",$G$159), CONCATENATE("DS004=",$B$151), "Fill=B")</f>
        <v>#N/A Connection</v>
      </c>
      <c r="H180" t="str">
        <f ca="1">_xll.BDP($B$28,$C$28,CONCATENATE("PX391=", $H$158), CONCATENATE("PX392=",$H$159), CONCATENATE("DS004=",$B$151), "Fill=B")</f>
        <v>#N/A Connection</v>
      </c>
      <c r="I180" t="str">
        <f ca="1">_xll.BDP($B$28,$C$28,CONCATENATE("PX391=", $I$158), CONCATENATE("PX392=",$I$159), CONCATENATE("DS004=",$B$151), "Fill=B")</f>
        <v>#N/A Connection</v>
      </c>
      <c r="J180" t="str">
        <f ca="1">_xll.BDP($B$28,$C$28,CONCATENATE("PX391=", $J$158), CONCATENATE("PX392=",$J$159), CONCATENATE("DS004=",$B$151), "Fill=B")</f>
        <v>#N/A Connection</v>
      </c>
      <c r="K180" t="str">
        <f ca="1">_xll.BDP($B$28,$C$28,CONCATENATE("PX391=", $K$158), CONCATENATE("PX392=",$K$159), CONCATENATE("DS004=",$B$151), "Fill=B")</f>
        <v>#N/A Connection</v>
      </c>
      <c r="L180" t="str">
        <f ca="1">_xll.BDP($B$28,$C$28,CONCATENATE("PX391=", $L$158), CONCATENATE("PX392=",$L$159), CONCATENATE("DS004=",$B$151), "Fill=B")</f>
        <v>#N/A Connection</v>
      </c>
      <c r="M180" t="str">
        <f ca="1">_xll.BDP($B$28,$C$28,CONCATENATE("PX391=", $M$158), CONCATENATE("PX392=",$M$159), CONCATENATE("DS004=",$B$151), "Fill=B")</f>
        <v>#N/A Connection</v>
      </c>
      <c r="N180" t="str">
        <f ca="1">_xll.BDP($B$28,$C$28,CONCATENATE("PX391=", $N$158), CONCATENATE("PX392=",$N$159), CONCATENATE("DS004=",$B$151), "Fill=B")</f>
        <v>#N/A Connection</v>
      </c>
      <c r="O180" t="str">
        <f ca="1">_xll.BDP($B$28,$C$28,CONCATENATE("PX391=", $O$158), CONCATENATE("PX392=",$O$159), CONCATENATE("DS004=",$B$151), "Fill=B")</f>
        <v>#N/A Connection</v>
      </c>
      <c r="P180" t="str">
        <f ca="1">_xll.BDP($B$28,$C$28,CONCATENATE("PX391=", $P$158), CONCATENATE("PX392=",$P$159), CONCATENATE("DS004=",$B$151), "Fill=B")</f>
        <v>#N/A Connection</v>
      </c>
      <c r="Q180" t="str">
        <f ca="1">_xll.BDP($B$28,$C$28,CONCATENATE("PX391=", $Q$158), CONCATENATE("PX392=",$Q$159), CONCATENATE("DS004=",$B$151), "Fill=B")</f>
        <v>#N/A Connection</v>
      </c>
      <c r="R180" t="str">
        <f ca="1">_xll.BDP($B$28,$C$28,CONCATENATE("PX391=", $R$158), CONCATENATE("PX392=",$R$159), CONCATENATE("DS004=",$B$151), "Fill=B")</f>
        <v>#N/A Connection</v>
      </c>
      <c r="S180" t="str">
        <f ca="1">_xll.BDP($B$28,$C$28,CONCATENATE("PX391=", $S$158), CONCATENATE("PX392=",$S$159), CONCATENATE("DS004=",$B$151), "Fill=B")</f>
        <v>#N/A Connection</v>
      </c>
      <c r="T180" t="str">
        <f ca="1">_xll.BDP($B$28,$C$28,CONCATENATE("PX391=", $T$158), CONCATENATE("PX392=",$T$159), CONCATENATE("DS004=",$B$151), "Fill=B")</f>
        <v>#N/A Connection</v>
      </c>
      <c r="U180" t="str">
        <f ca="1">_xll.BDP($B$28,$C$28,CONCATENATE("PX391=", $U$158), CONCATENATE("PX392=",$U$159), CONCATENATE("DS004=",$B$151), "Fill=B")</f>
        <v>#N/A Connection</v>
      </c>
      <c r="V180" t="str">
        <f ca="1">_xll.BDP($B$28,$C$28,CONCATENATE("PX391=", $V$158), CONCATENATE("PX392=",$V$159), CONCATENATE("DS004=",$B$151), "Fill=B")</f>
        <v>#N/A Connection</v>
      </c>
      <c r="W180" t="str">
        <f ca="1">_xll.BDP($B$28,$C$28,CONCATENATE("PX391=", $W$158), CONCATENATE("PX392=",$W$159), CONCATENATE("DS004=",$B$151), "Fill=B")</f>
        <v>#N/A Connection</v>
      </c>
      <c r="X180" t="str">
        <f ca="1">_xll.BDP($B$28,$C$28,CONCATENATE("PX391=", $X$158), CONCATENATE("PX392=",$X$159), CONCATENATE("DS004=",$B$151), "Fill=B")</f>
        <v>#N/A Connection</v>
      </c>
      <c r="Y180" t="str">
        <f ca="1">_xll.BDP($B$28,$C$28,CONCATENATE("PX391=", $Y$158), CONCATENATE("PX392=",$Y$159), CONCATENATE("DS004=",$B$151), "Fill=B")</f>
        <v>#N/A Connection</v>
      </c>
      <c r="Z180" t="str">
        <f ca="1">_xll.BDP($B$28,$C$28,CONCATENATE("PX391=", $Z$158), CONCATENATE("PX392=",$Z$159), CONCATENATE("DS004=",$B$151), "Fill=B")</f>
        <v>#N/A Connection</v>
      </c>
      <c r="AA180" t="str">
        <f ca="1">_xll.BDP($B$28,$C$28,CONCATENATE("PX391=", $AA$158), CONCATENATE("PX392=",$AA$159), CONCATENATE("DS004=",$B$151), "Fill=B")</f>
        <v>#N/A Connection</v>
      </c>
      <c r="AB180" t="str">
        <f ca="1">_xll.BDP($B$28,$C$28,CONCATENATE("PX391=", $AB$158), CONCATENATE("PX392=",$AB$159), CONCATENATE("DS004=",$B$151), "Fill=B")</f>
        <v>#N/A Connection</v>
      </c>
      <c r="AC180" t="str">
        <f ca="1">_xll.BDP($B$28,$C$28,CONCATENATE("PX391=", $AC$158), CONCATENATE("PX392=",$AC$159), CONCATENATE("DS004=",$B$151), "Fill=B")</f>
        <v>#N/A Connection</v>
      </c>
      <c r="AD180" t="str">
        <f ca="1">_xll.BDP($B$28,$C$28,CONCATENATE("PX391=", $AD$158), CONCATENATE("PX392=",$AD$159), CONCATENATE("DS004=",$B$151), "Fill=B")</f>
        <v>#N/A Connection</v>
      </c>
      <c r="AE180" t="str">
        <f ca="1">_xll.BDP($B$28,$C$28,CONCATENATE("PX391=", $AE$158), CONCATENATE("PX392=",$AE$159), CONCATENATE("DS004=",$B$151), "Fill=B")</f>
        <v>#N/A Connection</v>
      </c>
      <c r="AF180" t="str">
        <f ca="1">_xll.BDP($B$28,$C$28,CONCATENATE("PX391=", $AF$158), CONCATENATE("PX392=",$AF$159), CONCATENATE("DS004=",$B$151), "Fill=B")</f>
        <v>#N/A Connection</v>
      </c>
      <c r="AG180" t="str">
        <f ca="1">_xll.BDP($B$28,$C$28,CONCATENATE("PX391=", $AG$158), CONCATENATE("PX392=",$AG$159), CONCATENATE("DS004=",$B$151), "Fill=B")</f>
        <v>#N/A Connection</v>
      </c>
      <c r="AH180" t="str">
        <f ca="1">_xll.BDP($B$28,$C$28,CONCATENATE("PX391=", $AH$158), CONCATENATE("PX392=",$AH$159), CONCATENATE("DS004=",$B$151), "Fill=B")</f>
        <v>#N/A Connection</v>
      </c>
      <c r="AI180" t="str">
        <f ca="1">_xll.BDP($B$28,$C$28,CONCATENATE("PX391=", $AI$158), CONCATENATE("PX392=",$AI$159), CONCATENATE("DS004=",$B$151), "Fill=B")</f>
        <v>#N/A Connection</v>
      </c>
      <c r="AJ180" t="str">
        <f ca="1">_xll.BDP($B$28,$C$28,CONCATENATE("PX391=", $AJ$158), CONCATENATE("PX392=",$AJ$159), CONCATENATE("DS004=",$B$151), "Fill=B")</f>
        <v>#N/A Connection</v>
      </c>
      <c r="AK180" t="str">
        <f ca="1">_xll.BDP($B$28,$C$28,CONCATENATE("PX391=", $AK$158), CONCATENATE("PX392=",$AK$159), CONCATENATE("DS004=",$B$151), "Fill=B")</f>
        <v>#N/A Connection</v>
      </c>
      <c r="AL180" t="str">
        <f ca="1">_xll.BDP($B$28,$C$28,CONCATENATE("PX391=", $AL$158), CONCATENATE("PX392=",$AL$159), CONCATENATE("DS004=",$B$151), "Fill=B")</f>
        <v>#N/A Connection</v>
      </c>
      <c r="AM180" t="str">
        <f ca="1">_xll.BDP($B$28,$C$28,CONCATENATE("PX391=", $AM$158), CONCATENATE("PX392=",$AM$159), CONCATENATE("DS004=",$B$151), "Fill=B")</f>
        <v>#N/A Connection</v>
      </c>
      <c r="AN180" t="str">
        <f ca="1">_xll.BDP($B$28,$C$28,CONCATENATE("PX391=", $AN$158), CONCATENATE("PX392=",$AN$159), CONCATENATE("DS004=",$B$151), "Fill=B")</f>
        <v>#N/A Connection</v>
      </c>
      <c r="AO180" t="str">
        <f ca="1">_xll.BDP($B$28,$C$28,CONCATENATE("PX391=", $AO$158), CONCATENATE("PX392=",$AO$159), CONCATENATE("DS004=",$B$151), "Fill=B")</f>
        <v>#N/A Connection</v>
      </c>
      <c r="AP180" t="str">
        <f ca="1">_xll.BDP($B$28,$C$28,CONCATENATE("PX391=", $AP$158), CONCATENATE("PX392=",$AP$159), CONCATENATE("DS004=",$B$151), "Fill=B")</f>
        <v>#N/A Connection</v>
      </c>
      <c r="AQ180" t="str">
        <f ca="1">_xll.BDP($B$28,$C$28,CONCATENATE("PX391=", $AQ$158), CONCATENATE("PX392=",$AQ$159), CONCATENATE("DS004=",$B$151), "Fill=B")</f>
        <v>#N/A Connection</v>
      </c>
      <c r="AR180" t="str">
        <f ca="1">_xll.BDP($B$28,$C$28,CONCATENATE("PX391=", $AR$158), CONCATENATE("PX392=",$AR$159), CONCATENATE("DS004=",$B$151), "Fill=B")</f>
        <v>#N/A Connection</v>
      </c>
      <c r="AS180" t="str">
        <f ca="1">_xll.BDP($B$28,$C$28,CONCATENATE("PX391=", $AS$158), CONCATENATE("PX392=",$AS$159), CONCATENATE("DS004=",$B$151), "Fill=B")</f>
        <v>#N/A Connection</v>
      </c>
      <c r="AT180" t="str">
        <f ca="1">_xll.BDP($B$28,$C$28,CONCATENATE("PX391=", $AT$158), CONCATENATE("PX392=",$AT$159), CONCATENATE("DS004=",$B$151), "Fill=B")</f>
        <v>#N/A Connection</v>
      </c>
      <c r="AU180" t="str">
        <f ca="1">_xll.BDP($B$28,$C$28,CONCATENATE("PX391=", $AU$158), CONCATENATE("PX392=",$AU$159), CONCATENATE("DS004=",$B$151), "Fill=B")</f>
        <v>#N/A Connection</v>
      </c>
      <c r="AV180" t="str">
        <f ca="1">_xll.BDP($B$28,$C$28,CONCATENATE("PX391=", $AV$158), CONCATENATE("PX392=",$AV$159), CONCATENATE("DS004=",$B$151), "Fill=B")</f>
        <v>#N/A Connection</v>
      </c>
      <c r="AW180" t="str">
        <f ca="1">_xll.BDP($B$28,$C$28,CONCATENATE("PX391=", $AW$158), CONCATENATE("PX392=",$AW$159), CONCATENATE("DS004=",$B$151), "Fill=B")</f>
        <v>#N/A Connection</v>
      </c>
      <c r="AX180" t="str">
        <f ca="1">_xll.BDP($B$28,$C$28,CONCATENATE("PX391=", $AX$158), CONCATENATE("PX392=",$AX$159), CONCATENATE("DS004=",$B$151), "Fill=B")</f>
        <v>#N/A Connection</v>
      </c>
      <c r="AY180" t="str">
        <f ca="1">_xll.BDP($B$28,$C$28,CONCATENATE("PX391=", $AY$158), CONCATENATE("PX392=",$AY$159), CONCATENATE("DS004=",$B$151), "Fill=B")</f>
        <v>#N/A Connection</v>
      </c>
      <c r="AZ180" t="str">
        <f ca="1">_xll.BDP($B$28,$C$28,CONCATENATE("PX391=", $AZ$158), CONCATENATE("PX392=",$AZ$159), CONCATENATE("DS004=",$B$151), "Fill=B")</f>
        <v>#N/A Connection</v>
      </c>
      <c r="BA180" t="str">
        <f ca="1">_xll.BDP($B$28,$C$28,CONCATENATE("PX391=", $BA$158), CONCATENATE("PX392=",$BA$159), CONCATENATE("DS004=",$B$151), "Fill=B")</f>
        <v>#N/A Connection</v>
      </c>
      <c r="BB180" t="str">
        <f ca="1">_xll.BDP($B$28,$C$28,CONCATENATE("PX391=", $BB$158), CONCATENATE("PX392=",$BB$159), CONCATENATE("DS004=",$B$151), "Fill=B")</f>
        <v>#N/A Connection</v>
      </c>
      <c r="BC180" t="str">
        <f ca="1">_xll.BDP($B$28,$C$28,CONCATENATE("PX391=", $BC$158), CONCATENATE("PX392=",$BC$159), CONCATENATE("DS004=",$B$151), "Fill=B")</f>
        <v>#N/A Connection</v>
      </c>
      <c r="BD180" t="str">
        <f ca="1">_xll.BDP($B$28,$C$28,CONCATENATE("PX391=", $BD$158), CONCATENATE("PX392=",$BD$159), CONCATENATE("DS004=",$B$151), "Fill=B")</f>
        <v>#N/A Connection</v>
      </c>
      <c r="BE180" t="str">
        <f ca="1">_xll.BDP($B$28,$C$28,CONCATENATE("PX391=", $BE$158), CONCATENATE("PX392=",$BE$159), CONCATENATE("DS004=",$B$151), "Fill=B")</f>
        <v>#N/A Connection</v>
      </c>
      <c r="BF180" t="str">
        <f ca="1">_xll.BDP($B$28,$C$28,CONCATENATE("PX391=", $BF$158), CONCATENATE("PX392=",$BF$159), CONCATENATE("DS004=",$B$151), "Fill=B")</f>
        <v>#N/A Connection</v>
      </c>
      <c r="BG180" t="str">
        <f ca="1">_xll.BDP($B$28,$C$28,CONCATENATE("PX391=", $BG$158), CONCATENATE("PX392=",$BG$159), CONCATENATE("DS004=",$B$151), "Fill=B")</f>
        <v>#N/A Connection</v>
      </c>
      <c r="BH180" t="str">
        <f ca="1">_xll.BDP($B$28,$C$28,CONCATENATE("PX391=", $BH$158), CONCATENATE("PX392=",$BH$159), CONCATENATE("DS004=",$B$151), "Fill=B")</f>
        <v>#N/A Connection</v>
      </c>
      <c r="BI180" t="str">
        <f ca="1">_xll.BDP($B$28,$C$28,CONCATENATE("PX391=", $BI$158), CONCATENATE("PX392=",$BI$159), CONCATENATE("DS004=",$B$151), "Fill=B")</f>
        <v>#N/A Connection</v>
      </c>
      <c r="BJ180" t="str">
        <f ca="1">_xll.BDP($B$28,$C$28,CONCATENATE("PX391=", $BJ$158), CONCATENATE("PX392=",$BJ$159), CONCATENATE("DS004=",$B$151), "Fill=B")</f>
        <v>#N/A Connection</v>
      </c>
      <c r="BK180" t="str">
        <f ca="1">_xll.BDP($B$28,$C$28,CONCATENATE("PX391=", $BK$158), CONCATENATE("PX392=",$BK$159), CONCATENATE("DS004=",$B$151), "Fill=B")</f>
        <v>#N/A Connection</v>
      </c>
      <c r="BL180" t="str">
        <f ca="1">_xll.BDP($B$28,$C$28,CONCATENATE("PX391=", $BL$158), CONCATENATE("PX392=",$BL$159), CONCATENATE("DS004=",$B$151), "Fill=B")</f>
        <v>#N/A Connection</v>
      </c>
      <c r="BM180" t="str">
        <f ca="1">_xll.BDP($B$28,$C$28,CONCATENATE("PX391=", $BM$158), CONCATENATE("PX392=",$BM$159), CONCATENATE("DS004=",$B$151), "Fill=B")</f>
        <v>#N/A Connection</v>
      </c>
      <c r="BN180" t="str">
        <f>""</f>
        <v/>
      </c>
      <c r="BO180" t="str">
        <f>""</f>
        <v/>
      </c>
      <c r="BP180" t="str">
        <f>""</f>
        <v/>
      </c>
      <c r="BQ180" t="str">
        <f>""</f>
        <v/>
      </c>
      <c r="BR180" t="str">
        <f>""</f>
        <v/>
      </c>
      <c r="BS180" t="str">
        <f>""</f>
        <v/>
      </c>
      <c r="BT180" t="str">
        <f>""</f>
        <v/>
      </c>
      <c r="BU180" t="str">
        <f>""</f>
        <v/>
      </c>
      <c r="BV180" t="str">
        <f>""</f>
        <v/>
      </c>
      <c r="BW180" t="str">
        <f>""</f>
        <v/>
      </c>
      <c r="BX180" t="str">
        <f>""</f>
        <v/>
      </c>
      <c r="BY180" t="str">
        <f>""</f>
        <v/>
      </c>
      <c r="BZ180" t="str">
        <f>""</f>
        <v/>
      </c>
      <c r="CA180" t="str">
        <f>""</f>
        <v/>
      </c>
      <c r="CB180" t="str">
        <f>""</f>
        <v/>
      </c>
      <c r="CC180" t="str">
        <f>""</f>
        <v/>
      </c>
      <c r="CD180" t="str">
        <f>""</f>
        <v/>
      </c>
      <c r="CE180" t="str">
        <f>""</f>
        <v/>
      </c>
      <c r="CF180" t="str">
        <f>""</f>
        <v/>
      </c>
      <c r="CG180" t="str">
        <f>""</f>
        <v/>
      </c>
      <c r="CH180" t="str">
        <f>""</f>
        <v/>
      </c>
      <c r="CI180" t="str">
        <f>""</f>
        <v/>
      </c>
      <c r="CJ180" t="str">
        <f>""</f>
        <v/>
      </c>
      <c r="CK180" t="str">
        <f>""</f>
        <v/>
      </c>
      <c r="CL180" t="str">
        <f>""</f>
        <v/>
      </c>
      <c r="CM180" t="str">
        <f>""</f>
        <v/>
      </c>
      <c r="CN180" t="str">
        <f>""</f>
        <v/>
      </c>
      <c r="CO180" t="str">
        <f>""</f>
        <v/>
      </c>
      <c r="CP180" t="str">
        <f>""</f>
        <v/>
      </c>
      <c r="CQ180" t="str">
        <f>""</f>
        <v/>
      </c>
      <c r="CR180" t="str">
        <f>""</f>
        <v/>
      </c>
      <c r="CS180" t="str">
        <f>""</f>
        <v/>
      </c>
      <c r="CT180" t="str">
        <f>""</f>
        <v/>
      </c>
      <c r="CU180" t="str">
        <f>""</f>
        <v/>
      </c>
      <c r="CV180" t="str">
        <f>""</f>
        <v/>
      </c>
      <c r="CW180" t="str">
        <f>""</f>
        <v/>
      </c>
      <c r="CX180" t="str">
        <f>""</f>
        <v/>
      </c>
      <c r="CY180" t="str">
        <f>""</f>
        <v/>
      </c>
      <c r="CZ180" t="str">
        <f>""</f>
        <v/>
      </c>
      <c r="DA180" t="str">
        <f>""</f>
        <v/>
      </c>
      <c r="DB180" t="str">
        <f>""</f>
        <v/>
      </c>
      <c r="DC180" t="str">
        <f>""</f>
        <v/>
      </c>
      <c r="DD180" t="str">
        <f>""</f>
        <v/>
      </c>
      <c r="DE180" t="str">
        <f>""</f>
        <v/>
      </c>
      <c r="DF180" t="str">
        <f>""</f>
        <v/>
      </c>
      <c r="DG180" t="str">
        <f>""</f>
        <v/>
      </c>
      <c r="DH180" t="str">
        <f>""</f>
        <v/>
      </c>
      <c r="DI180" t="str">
        <f>""</f>
        <v/>
      </c>
      <c r="DJ180" t="str">
        <f>""</f>
        <v/>
      </c>
      <c r="DK180" t="str">
        <f>""</f>
        <v/>
      </c>
      <c r="DL180" t="str">
        <f>""</f>
        <v/>
      </c>
      <c r="DM180" t="str">
        <f>""</f>
        <v/>
      </c>
      <c r="DN180" t="str">
        <f>""</f>
        <v/>
      </c>
      <c r="DO180" t="str">
        <f>""</f>
        <v/>
      </c>
      <c r="DP180" t="str">
        <f>""</f>
        <v/>
      </c>
      <c r="DQ180" t="str">
        <f>""</f>
        <v/>
      </c>
      <c r="DR180" t="str">
        <f>""</f>
        <v/>
      </c>
      <c r="DS180" t="str">
        <f>""</f>
        <v/>
      </c>
      <c r="DT180" t="str">
        <f>""</f>
        <v/>
      </c>
      <c r="DU180" t="str">
        <f>""</f>
        <v/>
      </c>
    </row>
    <row r="181" spans="1:125" x14ac:dyDescent="0.25">
      <c r="A181" t="str">
        <f>$A$29</f>
        <v xml:space="preserve">            France</v>
      </c>
      <c r="B181" t="str">
        <f>$B$29</f>
        <v>WCARFRI Index</v>
      </c>
      <c r="C181" t="str">
        <f>$C$29</f>
        <v>PX385</v>
      </c>
      <c r="D181" t="str">
        <f>$D$29</f>
        <v>INTERVAL_SUM</v>
      </c>
      <c r="E181" t="str">
        <f>$E$29</f>
        <v>Dynamic</v>
      </c>
      <c r="F181" t="str">
        <f ca="1">_xll.BDP($B$29,$C$29,CONCATENATE("PX391=", $F$158), CONCATENATE("PX392=",$F$159), CONCATENATE("DS004=",$B$151), "Fill=B")</f>
        <v>#N/A Connection</v>
      </c>
      <c r="G181" t="str">
        <f ca="1">_xll.BDP($B$29,$C$29,CONCATENATE("PX391=", $G$158), CONCATENATE("PX392=",$G$159), CONCATENATE("DS004=",$B$151), "Fill=B")</f>
        <v>#N/A Connection</v>
      </c>
      <c r="H181" t="str">
        <f ca="1">_xll.BDP($B$29,$C$29,CONCATENATE("PX391=", $H$158), CONCATENATE("PX392=",$H$159), CONCATENATE("DS004=",$B$151), "Fill=B")</f>
        <v>#N/A Connection</v>
      </c>
      <c r="I181" t="str">
        <f ca="1">_xll.BDP($B$29,$C$29,CONCATENATE("PX391=", $I$158), CONCATENATE("PX392=",$I$159), CONCATENATE("DS004=",$B$151), "Fill=B")</f>
        <v>#N/A Connection</v>
      </c>
      <c r="J181" t="str">
        <f ca="1">_xll.BDP($B$29,$C$29,CONCATENATE("PX391=", $J$158), CONCATENATE("PX392=",$J$159), CONCATENATE("DS004=",$B$151), "Fill=B")</f>
        <v>#N/A Connection</v>
      </c>
      <c r="K181" t="str">
        <f ca="1">_xll.BDP($B$29,$C$29,CONCATENATE("PX391=", $K$158), CONCATENATE("PX392=",$K$159), CONCATENATE("DS004=",$B$151), "Fill=B")</f>
        <v>#N/A Connection</v>
      </c>
      <c r="L181" t="str">
        <f ca="1">_xll.BDP($B$29,$C$29,CONCATENATE("PX391=", $L$158), CONCATENATE("PX392=",$L$159), CONCATENATE("DS004=",$B$151), "Fill=B")</f>
        <v>#N/A Connection</v>
      </c>
      <c r="M181" t="str">
        <f ca="1">_xll.BDP($B$29,$C$29,CONCATENATE("PX391=", $M$158), CONCATENATE("PX392=",$M$159), CONCATENATE("DS004=",$B$151), "Fill=B")</f>
        <v>#N/A Connection</v>
      </c>
      <c r="N181" t="str">
        <f ca="1">_xll.BDP($B$29,$C$29,CONCATENATE("PX391=", $N$158), CONCATENATE("PX392=",$N$159), CONCATENATE("DS004=",$B$151), "Fill=B")</f>
        <v>#N/A Connection</v>
      </c>
      <c r="O181" t="str">
        <f ca="1">_xll.BDP($B$29,$C$29,CONCATENATE("PX391=", $O$158), CONCATENATE("PX392=",$O$159), CONCATENATE("DS004=",$B$151), "Fill=B")</f>
        <v>#N/A Connection</v>
      </c>
      <c r="P181" t="str">
        <f ca="1">_xll.BDP($B$29,$C$29,CONCATENATE("PX391=", $P$158), CONCATENATE("PX392=",$P$159), CONCATENATE("DS004=",$B$151), "Fill=B")</f>
        <v>#N/A Connection</v>
      </c>
      <c r="Q181" t="str">
        <f ca="1">_xll.BDP($B$29,$C$29,CONCATENATE("PX391=", $Q$158), CONCATENATE("PX392=",$Q$159), CONCATENATE("DS004=",$B$151), "Fill=B")</f>
        <v>#N/A Connection</v>
      </c>
      <c r="R181" t="str">
        <f ca="1">_xll.BDP($B$29,$C$29,CONCATENATE("PX391=", $R$158), CONCATENATE("PX392=",$R$159), CONCATENATE("DS004=",$B$151), "Fill=B")</f>
        <v>#N/A Connection</v>
      </c>
      <c r="S181" t="str">
        <f ca="1">_xll.BDP($B$29,$C$29,CONCATENATE("PX391=", $S$158), CONCATENATE("PX392=",$S$159), CONCATENATE("DS004=",$B$151), "Fill=B")</f>
        <v>#N/A Connection</v>
      </c>
      <c r="T181" t="str">
        <f ca="1">_xll.BDP($B$29,$C$29,CONCATENATE("PX391=", $T$158), CONCATENATE("PX392=",$T$159), CONCATENATE("DS004=",$B$151), "Fill=B")</f>
        <v>#N/A Connection</v>
      </c>
      <c r="U181" t="str">
        <f ca="1">_xll.BDP($B$29,$C$29,CONCATENATE("PX391=", $U$158), CONCATENATE("PX392=",$U$159), CONCATENATE("DS004=",$B$151), "Fill=B")</f>
        <v>#N/A Connection</v>
      </c>
      <c r="V181" t="str">
        <f ca="1">_xll.BDP($B$29,$C$29,CONCATENATE("PX391=", $V$158), CONCATENATE("PX392=",$V$159), CONCATENATE("DS004=",$B$151), "Fill=B")</f>
        <v>#N/A Connection</v>
      </c>
      <c r="W181" t="str">
        <f ca="1">_xll.BDP($B$29,$C$29,CONCATENATE("PX391=", $W$158), CONCATENATE("PX392=",$W$159), CONCATENATE("DS004=",$B$151), "Fill=B")</f>
        <v>#N/A Connection</v>
      </c>
      <c r="X181" t="str">
        <f ca="1">_xll.BDP($B$29,$C$29,CONCATENATE("PX391=", $X$158), CONCATENATE("PX392=",$X$159), CONCATENATE("DS004=",$B$151), "Fill=B")</f>
        <v>#N/A Connection</v>
      </c>
      <c r="Y181" t="str">
        <f ca="1">_xll.BDP($B$29,$C$29,CONCATENATE("PX391=", $Y$158), CONCATENATE("PX392=",$Y$159), CONCATENATE("DS004=",$B$151), "Fill=B")</f>
        <v>#N/A Connection</v>
      </c>
      <c r="Z181" t="str">
        <f ca="1">_xll.BDP($B$29,$C$29,CONCATENATE("PX391=", $Z$158), CONCATENATE("PX392=",$Z$159), CONCATENATE("DS004=",$B$151), "Fill=B")</f>
        <v>#N/A Connection</v>
      </c>
      <c r="AA181" t="str">
        <f ca="1">_xll.BDP($B$29,$C$29,CONCATENATE("PX391=", $AA$158), CONCATENATE("PX392=",$AA$159), CONCATENATE("DS004=",$B$151), "Fill=B")</f>
        <v>#N/A Connection</v>
      </c>
      <c r="AB181" t="str">
        <f ca="1">_xll.BDP($B$29,$C$29,CONCATENATE("PX391=", $AB$158), CONCATENATE("PX392=",$AB$159), CONCATENATE("DS004=",$B$151), "Fill=B")</f>
        <v>#N/A Connection</v>
      </c>
      <c r="AC181" t="str">
        <f ca="1">_xll.BDP($B$29,$C$29,CONCATENATE("PX391=", $AC$158), CONCATENATE("PX392=",$AC$159), CONCATENATE("DS004=",$B$151), "Fill=B")</f>
        <v>#N/A Connection</v>
      </c>
      <c r="AD181" t="str">
        <f ca="1">_xll.BDP($B$29,$C$29,CONCATENATE("PX391=", $AD$158), CONCATENATE("PX392=",$AD$159), CONCATENATE("DS004=",$B$151), "Fill=B")</f>
        <v>#N/A Connection</v>
      </c>
      <c r="AE181" t="str">
        <f ca="1">_xll.BDP($B$29,$C$29,CONCATENATE("PX391=", $AE$158), CONCATENATE("PX392=",$AE$159), CONCATENATE("DS004=",$B$151), "Fill=B")</f>
        <v>#N/A Connection</v>
      </c>
      <c r="AF181" t="str">
        <f ca="1">_xll.BDP($B$29,$C$29,CONCATENATE("PX391=", $AF$158), CONCATENATE("PX392=",$AF$159), CONCATENATE("DS004=",$B$151), "Fill=B")</f>
        <v>#N/A Connection</v>
      </c>
      <c r="AG181" t="str">
        <f ca="1">_xll.BDP($B$29,$C$29,CONCATENATE("PX391=", $AG$158), CONCATENATE("PX392=",$AG$159), CONCATENATE("DS004=",$B$151), "Fill=B")</f>
        <v>#N/A Connection</v>
      </c>
      <c r="AH181" t="str">
        <f ca="1">_xll.BDP($B$29,$C$29,CONCATENATE("PX391=", $AH$158), CONCATENATE("PX392=",$AH$159), CONCATENATE("DS004=",$B$151), "Fill=B")</f>
        <v>#N/A Connection</v>
      </c>
      <c r="AI181" t="str">
        <f ca="1">_xll.BDP($B$29,$C$29,CONCATENATE("PX391=", $AI$158), CONCATENATE("PX392=",$AI$159), CONCATENATE("DS004=",$B$151), "Fill=B")</f>
        <v>#N/A Connection</v>
      </c>
      <c r="AJ181" t="str">
        <f ca="1">_xll.BDP($B$29,$C$29,CONCATENATE("PX391=", $AJ$158), CONCATENATE("PX392=",$AJ$159), CONCATENATE("DS004=",$B$151), "Fill=B")</f>
        <v>#N/A Connection</v>
      </c>
      <c r="AK181" t="str">
        <f ca="1">_xll.BDP($B$29,$C$29,CONCATENATE("PX391=", $AK$158), CONCATENATE("PX392=",$AK$159), CONCATENATE("DS004=",$B$151), "Fill=B")</f>
        <v>#N/A Connection</v>
      </c>
      <c r="AL181" t="str">
        <f ca="1">_xll.BDP($B$29,$C$29,CONCATENATE("PX391=", $AL$158), CONCATENATE("PX392=",$AL$159), CONCATENATE("DS004=",$B$151), "Fill=B")</f>
        <v>#N/A Connection</v>
      </c>
      <c r="AM181" t="str">
        <f ca="1">_xll.BDP($B$29,$C$29,CONCATENATE("PX391=", $AM$158), CONCATENATE("PX392=",$AM$159), CONCATENATE("DS004=",$B$151), "Fill=B")</f>
        <v>#N/A Connection</v>
      </c>
      <c r="AN181" t="str">
        <f ca="1">_xll.BDP($B$29,$C$29,CONCATENATE("PX391=", $AN$158), CONCATENATE("PX392=",$AN$159), CONCATENATE("DS004=",$B$151), "Fill=B")</f>
        <v>#N/A Connection</v>
      </c>
      <c r="AO181" t="str">
        <f ca="1">_xll.BDP($B$29,$C$29,CONCATENATE("PX391=", $AO$158), CONCATENATE("PX392=",$AO$159), CONCATENATE("DS004=",$B$151), "Fill=B")</f>
        <v>#N/A Connection</v>
      </c>
      <c r="AP181" t="str">
        <f ca="1">_xll.BDP($B$29,$C$29,CONCATENATE("PX391=", $AP$158), CONCATENATE("PX392=",$AP$159), CONCATENATE("DS004=",$B$151), "Fill=B")</f>
        <v>#N/A Connection</v>
      </c>
      <c r="AQ181" t="str">
        <f ca="1">_xll.BDP($B$29,$C$29,CONCATENATE("PX391=", $AQ$158), CONCATENATE("PX392=",$AQ$159), CONCATENATE("DS004=",$B$151), "Fill=B")</f>
        <v>#N/A Connection</v>
      </c>
      <c r="AR181" t="str">
        <f ca="1">_xll.BDP($B$29,$C$29,CONCATENATE("PX391=", $AR$158), CONCATENATE("PX392=",$AR$159), CONCATENATE("DS004=",$B$151), "Fill=B")</f>
        <v>#N/A Connection</v>
      </c>
      <c r="AS181" t="str">
        <f ca="1">_xll.BDP($B$29,$C$29,CONCATENATE("PX391=", $AS$158), CONCATENATE("PX392=",$AS$159), CONCATENATE("DS004=",$B$151), "Fill=B")</f>
        <v>#N/A Connection</v>
      </c>
      <c r="AT181" t="str">
        <f ca="1">_xll.BDP($B$29,$C$29,CONCATENATE("PX391=", $AT$158), CONCATENATE("PX392=",$AT$159), CONCATENATE("DS004=",$B$151), "Fill=B")</f>
        <v>#N/A Connection</v>
      </c>
      <c r="AU181" t="str">
        <f ca="1">_xll.BDP($B$29,$C$29,CONCATENATE("PX391=", $AU$158), CONCATENATE("PX392=",$AU$159), CONCATENATE("DS004=",$B$151), "Fill=B")</f>
        <v>#N/A Connection</v>
      </c>
      <c r="AV181" t="str">
        <f ca="1">_xll.BDP($B$29,$C$29,CONCATENATE("PX391=", $AV$158), CONCATENATE("PX392=",$AV$159), CONCATENATE("DS004=",$B$151), "Fill=B")</f>
        <v>#N/A Connection</v>
      </c>
      <c r="AW181" t="str">
        <f ca="1">_xll.BDP($B$29,$C$29,CONCATENATE("PX391=", $AW$158), CONCATENATE("PX392=",$AW$159), CONCATENATE("DS004=",$B$151), "Fill=B")</f>
        <v>#N/A Connection</v>
      </c>
      <c r="AX181" t="str">
        <f ca="1">_xll.BDP($B$29,$C$29,CONCATENATE("PX391=", $AX$158), CONCATENATE("PX392=",$AX$159), CONCATENATE("DS004=",$B$151), "Fill=B")</f>
        <v>#N/A Connection</v>
      </c>
      <c r="AY181" t="str">
        <f ca="1">_xll.BDP($B$29,$C$29,CONCATENATE("PX391=", $AY$158), CONCATENATE("PX392=",$AY$159), CONCATENATE("DS004=",$B$151), "Fill=B")</f>
        <v>#N/A Connection</v>
      </c>
      <c r="AZ181" t="str">
        <f ca="1">_xll.BDP($B$29,$C$29,CONCATENATE("PX391=", $AZ$158), CONCATENATE("PX392=",$AZ$159), CONCATENATE("DS004=",$B$151), "Fill=B")</f>
        <v>#N/A Connection</v>
      </c>
      <c r="BA181" t="str">
        <f ca="1">_xll.BDP($B$29,$C$29,CONCATENATE("PX391=", $BA$158), CONCATENATE("PX392=",$BA$159), CONCATENATE("DS004=",$B$151), "Fill=B")</f>
        <v>#N/A Connection</v>
      </c>
      <c r="BB181" t="str">
        <f ca="1">_xll.BDP($B$29,$C$29,CONCATENATE("PX391=", $BB$158), CONCATENATE("PX392=",$BB$159), CONCATENATE("DS004=",$B$151), "Fill=B")</f>
        <v>#N/A Connection</v>
      </c>
      <c r="BC181" t="str">
        <f ca="1">_xll.BDP($B$29,$C$29,CONCATENATE("PX391=", $BC$158), CONCATENATE("PX392=",$BC$159), CONCATENATE("DS004=",$B$151), "Fill=B")</f>
        <v>#N/A Connection</v>
      </c>
      <c r="BD181" t="str">
        <f ca="1">_xll.BDP($B$29,$C$29,CONCATENATE("PX391=", $BD$158), CONCATENATE("PX392=",$BD$159), CONCATENATE("DS004=",$B$151), "Fill=B")</f>
        <v>#N/A Connection</v>
      </c>
      <c r="BE181" t="str">
        <f ca="1">_xll.BDP($B$29,$C$29,CONCATENATE("PX391=", $BE$158), CONCATENATE("PX392=",$BE$159), CONCATENATE("DS004=",$B$151), "Fill=B")</f>
        <v>#N/A Connection</v>
      </c>
      <c r="BF181" t="str">
        <f ca="1">_xll.BDP($B$29,$C$29,CONCATENATE("PX391=", $BF$158), CONCATENATE("PX392=",$BF$159), CONCATENATE("DS004=",$B$151), "Fill=B")</f>
        <v>#N/A Connection</v>
      </c>
      <c r="BG181" t="str">
        <f ca="1">_xll.BDP($B$29,$C$29,CONCATENATE("PX391=", $BG$158), CONCATENATE("PX392=",$BG$159), CONCATENATE("DS004=",$B$151), "Fill=B")</f>
        <v>#N/A Connection</v>
      </c>
      <c r="BH181" t="str">
        <f ca="1">_xll.BDP($B$29,$C$29,CONCATENATE("PX391=", $BH$158), CONCATENATE("PX392=",$BH$159), CONCATENATE("DS004=",$B$151), "Fill=B")</f>
        <v>#N/A Connection</v>
      </c>
      <c r="BI181" t="str">
        <f ca="1">_xll.BDP($B$29,$C$29,CONCATENATE("PX391=", $BI$158), CONCATENATE("PX392=",$BI$159), CONCATENATE("DS004=",$B$151), "Fill=B")</f>
        <v>#N/A Connection</v>
      </c>
      <c r="BJ181" t="str">
        <f ca="1">_xll.BDP($B$29,$C$29,CONCATENATE("PX391=", $BJ$158), CONCATENATE("PX392=",$BJ$159), CONCATENATE("DS004=",$B$151), "Fill=B")</f>
        <v>#N/A Connection</v>
      </c>
      <c r="BK181" t="str">
        <f ca="1">_xll.BDP($B$29,$C$29,CONCATENATE("PX391=", $BK$158), CONCATENATE("PX392=",$BK$159), CONCATENATE("DS004=",$B$151), "Fill=B")</f>
        <v>#N/A Connection</v>
      </c>
      <c r="BL181" t="str">
        <f ca="1">_xll.BDP($B$29,$C$29,CONCATENATE("PX391=", $BL$158), CONCATENATE("PX392=",$BL$159), CONCATENATE("DS004=",$B$151), "Fill=B")</f>
        <v>#N/A Connection</v>
      </c>
      <c r="BM181" t="str">
        <f ca="1">_xll.BDP($B$29,$C$29,CONCATENATE("PX391=", $BM$158), CONCATENATE("PX392=",$BM$159), CONCATENATE("DS004=",$B$151), "Fill=B")</f>
        <v>#N/A Connection</v>
      </c>
      <c r="BN181" t="str">
        <f>""</f>
        <v/>
      </c>
      <c r="BO181" t="str">
        <f>""</f>
        <v/>
      </c>
      <c r="BP181" t="str">
        <f>""</f>
        <v/>
      </c>
      <c r="BQ181" t="str">
        <f>""</f>
        <v/>
      </c>
      <c r="BR181" t="str">
        <f>""</f>
        <v/>
      </c>
      <c r="BS181" t="str">
        <f>""</f>
        <v/>
      </c>
      <c r="BT181" t="str">
        <f>""</f>
        <v/>
      </c>
      <c r="BU181" t="str">
        <f>""</f>
        <v/>
      </c>
      <c r="BV181" t="str">
        <f>""</f>
        <v/>
      </c>
      <c r="BW181" t="str">
        <f>""</f>
        <v/>
      </c>
      <c r="BX181" t="str">
        <f>""</f>
        <v/>
      </c>
      <c r="BY181" t="str">
        <f>""</f>
        <v/>
      </c>
      <c r="BZ181" t="str">
        <f>""</f>
        <v/>
      </c>
      <c r="CA181" t="str">
        <f>""</f>
        <v/>
      </c>
      <c r="CB181" t="str">
        <f>""</f>
        <v/>
      </c>
      <c r="CC181" t="str">
        <f>""</f>
        <v/>
      </c>
      <c r="CD181" t="str">
        <f>""</f>
        <v/>
      </c>
      <c r="CE181" t="str">
        <f>""</f>
        <v/>
      </c>
      <c r="CF181" t="str">
        <f>""</f>
        <v/>
      </c>
      <c r="CG181" t="str">
        <f>""</f>
        <v/>
      </c>
      <c r="CH181" t="str">
        <f>""</f>
        <v/>
      </c>
      <c r="CI181" t="str">
        <f>""</f>
        <v/>
      </c>
      <c r="CJ181" t="str">
        <f>""</f>
        <v/>
      </c>
      <c r="CK181" t="str">
        <f>""</f>
        <v/>
      </c>
      <c r="CL181" t="str">
        <f>""</f>
        <v/>
      </c>
      <c r="CM181" t="str">
        <f>""</f>
        <v/>
      </c>
      <c r="CN181" t="str">
        <f>""</f>
        <v/>
      </c>
      <c r="CO181" t="str">
        <f>""</f>
        <v/>
      </c>
      <c r="CP181" t="str">
        <f>""</f>
        <v/>
      </c>
      <c r="CQ181" t="str">
        <f>""</f>
        <v/>
      </c>
      <c r="CR181" t="str">
        <f>""</f>
        <v/>
      </c>
      <c r="CS181" t="str">
        <f>""</f>
        <v/>
      </c>
      <c r="CT181" t="str">
        <f>""</f>
        <v/>
      </c>
      <c r="CU181" t="str">
        <f>""</f>
        <v/>
      </c>
      <c r="CV181" t="str">
        <f>""</f>
        <v/>
      </c>
      <c r="CW181" t="str">
        <f>""</f>
        <v/>
      </c>
      <c r="CX181" t="str">
        <f>""</f>
        <v/>
      </c>
      <c r="CY181" t="str">
        <f>""</f>
        <v/>
      </c>
      <c r="CZ181" t="str">
        <f>""</f>
        <v/>
      </c>
      <c r="DA181" t="str">
        <f>""</f>
        <v/>
      </c>
      <c r="DB181" t="str">
        <f>""</f>
        <v/>
      </c>
      <c r="DC181" t="str">
        <f>""</f>
        <v/>
      </c>
      <c r="DD181" t="str">
        <f>""</f>
        <v/>
      </c>
      <c r="DE181" t="str">
        <f>""</f>
        <v/>
      </c>
      <c r="DF181" t="str">
        <f>""</f>
        <v/>
      </c>
      <c r="DG181" t="str">
        <f>""</f>
        <v/>
      </c>
      <c r="DH181" t="str">
        <f>""</f>
        <v/>
      </c>
      <c r="DI181" t="str">
        <f>""</f>
        <v/>
      </c>
      <c r="DJ181" t="str">
        <f>""</f>
        <v/>
      </c>
      <c r="DK181" t="str">
        <f>""</f>
        <v/>
      </c>
      <c r="DL181" t="str">
        <f>""</f>
        <v/>
      </c>
      <c r="DM181" t="str">
        <f>""</f>
        <v/>
      </c>
      <c r="DN181" t="str">
        <f>""</f>
        <v/>
      </c>
      <c r="DO181" t="str">
        <f>""</f>
        <v/>
      </c>
      <c r="DP181" t="str">
        <f>""</f>
        <v/>
      </c>
      <c r="DQ181" t="str">
        <f>""</f>
        <v/>
      </c>
      <c r="DR181" t="str">
        <f>""</f>
        <v/>
      </c>
      <c r="DS181" t="str">
        <f>""</f>
        <v/>
      </c>
      <c r="DT181" t="str">
        <f>""</f>
        <v/>
      </c>
      <c r="DU181" t="str">
        <f>""</f>
        <v/>
      </c>
    </row>
    <row r="182" spans="1:125" x14ac:dyDescent="0.25">
      <c r="A182" t="str">
        <f>$A$30</f>
        <v xml:space="preserve">            Germany</v>
      </c>
      <c r="B182" t="str">
        <f>$B$30</f>
        <v>WCARDEI Index</v>
      </c>
      <c r="C182" t="str">
        <f>$C$30</f>
        <v>PX385</v>
      </c>
      <c r="D182" t="str">
        <f>$D$30</f>
        <v>INTERVAL_SUM</v>
      </c>
      <c r="E182" t="str">
        <f>$E$30</f>
        <v>Dynamic</v>
      </c>
      <c r="F182" t="str">
        <f ca="1">_xll.BDP($B$30,$C$30,CONCATENATE("PX391=", $F$158), CONCATENATE("PX392=",$F$159), CONCATENATE("DS004=",$B$151), "Fill=B")</f>
        <v>#N/A Connection</v>
      </c>
      <c r="G182" t="str">
        <f ca="1">_xll.BDP($B$30,$C$30,CONCATENATE("PX391=", $G$158), CONCATENATE("PX392=",$G$159), CONCATENATE("DS004=",$B$151), "Fill=B")</f>
        <v>#N/A Connection</v>
      </c>
      <c r="H182" t="str">
        <f ca="1">_xll.BDP($B$30,$C$30,CONCATENATE("PX391=", $H$158), CONCATENATE("PX392=",$H$159), CONCATENATE("DS004=",$B$151), "Fill=B")</f>
        <v>#N/A Connection</v>
      </c>
      <c r="I182" t="str">
        <f ca="1">_xll.BDP($B$30,$C$30,CONCATENATE("PX391=", $I$158), CONCATENATE("PX392=",$I$159), CONCATENATE("DS004=",$B$151), "Fill=B")</f>
        <v>#N/A Connection</v>
      </c>
      <c r="J182" t="str">
        <f ca="1">_xll.BDP($B$30,$C$30,CONCATENATE("PX391=", $J$158), CONCATENATE("PX392=",$J$159), CONCATENATE("DS004=",$B$151), "Fill=B")</f>
        <v>#N/A Connection</v>
      </c>
      <c r="K182" t="str">
        <f ca="1">_xll.BDP($B$30,$C$30,CONCATENATE("PX391=", $K$158), CONCATENATE("PX392=",$K$159), CONCATENATE("DS004=",$B$151), "Fill=B")</f>
        <v>#N/A Connection</v>
      </c>
      <c r="L182" t="str">
        <f ca="1">_xll.BDP($B$30,$C$30,CONCATENATE("PX391=", $L$158), CONCATENATE("PX392=",$L$159), CONCATENATE("DS004=",$B$151), "Fill=B")</f>
        <v>#N/A Connection</v>
      </c>
      <c r="M182" t="str">
        <f ca="1">_xll.BDP($B$30,$C$30,CONCATENATE("PX391=", $M$158), CONCATENATE("PX392=",$M$159), CONCATENATE("DS004=",$B$151), "Fill=B")</f>
        <v>#N/A Connection</v>
      </c>
      <c r="N182" t="str">
        <f ca="1">_xll.BDP($B$30,$C$30,CONCATENATE("PX391=", $N$158), CONCATENATE("PX392=",$N$159), CONCATENATE("DS004=",$B$151), "Fill=B")</f>
        <v>#N/A Connection</v>
      </c>
      <c r="O182" t="str">
        <f ca="1">_xll.BDP($B$30,$C$30,CONCATENATE("PX391=", $O$158), CONCATENATE("PX392=",$O$159), CONCATENATE("DS004=",$B$151), "Fill=B")</f>
        <v>#N/A Connection</v>
      </c>
      <c r="P182" t="str">
        <f ca="1">_xll.BDP($B$30,$C$30,CONCATENATE("PX391=", $P$158), CONCATENATE("PX392=",$P$159), CONCATENATE("DS004=",$B$151), "Fill=B")</f>
        <v>#N/A Connection</v>
      </c>
      <c r="Q182" t="str">
        <f ca="1">_xll.BDP($B$30,$C$30,CONCATENATE("PX391=", $Q$158), CONCATENATE("PX392=",$Q$159), CONCATENATE("DS004=",$B$151), "Fill=B")</f>
        <v>#N/A Connection</v>
      </c>
      <c r="R182" t="str">
        <f ca="1">_xll.BDP($B$30,$C$30,CONCATENATE("PX391=", $R$158), CONCATENATE("PX392=",$R$159), CONCATENATE("DS004=",$B$151), "Fill=B")</f>
        <v>#N/A Connection</v>
      </c>
      <c r="S182" t="str">
        <f ca="1">_xll.BDP($B$30,$C$30,CONCATENATE("PX391=", $S$158), CONCATENATE("PX392=",$S$159), CONCATENATE("DS004=",$B$151), "Fill=B")</f>
        <v>#N/A Connection</v>
      </c>
      <c r="T182" t="str">
        <f ca="1">_xll.BDP($B$30,$C$30,CONCATENATE("PX391=", $T$158), CONCATENATE("PX392=",$T$159), CONCATENATE("DS004=",$B$151), "Fill=B")</f>
        <v>#N/A Connection</v>
      </c>
      <c r="U182" t="str">
        <f ca="1">_xll.BDP($B$30,$C$30,CONCATENATE("PX391=", $U$158), CONCATENATE("PX392=",$U$159), CONCATENATE("DS004=",$B$151), "Fill=B")</f>
        <v>#N/A Connection</v>
      </c>
      <c r="V182" t="str">
        <f ca="1">_xll.BDP($B$30,$C$30,CONCATENATE("PX391=", $V$158), CONCATENATE("PX392=",$V$159), CONCATENATE("DS004=",$B$151), "Fill=B")</f>
        <v>#N/A Connection</v>
      </c>
      <c r="W182" t="str">
        <f ca="1">_xll.BDP($B$30,$C$30,CONCATENATE("PX391=", $W$158), CONCATENATE("PX392=",$W$159), CONCATENATE("DS004=",$B$151), "Fill=B")</f>
        <v>#N/A Connection</v>
      </c>
      <c r="X182" t="str">
        <f ca="1">_xll.BDP($B$30,$C$30,CONCATENATE("PX391=", $X$158), CONCATENATE("PX392=",$X$159), CONCATENATE("DS004=",$B$151), "Fill=B")</f>
        <v>#N/A Connection</v>
      </c>
      <c r="Y182" t="str">
        <f ca="1">_xll.BDP($B$30,$C$30,CONCATENATE("PX391=", $Y$158), CONCATENATE("PX392=",$Y$159), CONCATENATE("DS004=",$B$151), "Fill=B")</f>
        <v>#N/A Connection</v>
      </c>
      <c r="Z182" t="str">
        <f ca="1">_xll.BDP($B$30,$C$30,CONCATENATE("PX391=", $Z$158), CONCATENATE("PX392=",$Z$159), CONCATENATE("DS004=",$B$151), "Fill=B")</f>
        <v>#N/A Connection</v>
      </c>
      <c r="AA182" t="str">
        <f ca="1">_xll.BDP($B$30,$C$30,CONCATENATE("PX391=", $AA$158), CONCATENATE("PX392=",$AA$159), CONCATENATE("DS004=",$B$151), "Fill=B")</f>
        <v>#N/A Connection</v>
      </c>
      <c r="AB182" t="str">
        <f ca="1">_xll.BDP($B$30,$C$30,CONCATENATE("PX391=", $AB$158), CONCATENATE("PX392=",$AB$159), CONCATENATE("DS004=",$B$151), "Fill=B")</f>
        <v>#N/A Connection</v>
      </c>
      <c r="AC182" t="str">
        <f ca="1">_xll.BDP($B$30,$C$30,CONCATENATE("PX391=", $AC$158), CONCATENATE("PX392=",$AC$159), CONCATENATE("DS004=",$B$151), "Fill=B")</f>
        <v>#N/A Connection</v>
      </c>
      <c r="AD182" t="str">
        <f ca="1">_xll.BDP($B$30,$C$30,CONCATENATE("PX391=", $AD$158), CONCATENATE("PX392=",$AD$159), CONCATENATE("DS004=",$B$151), "Fill=B")</f>
        <v>#N/A Connection</v>
      </c>
      <c r="AE182" t="str">
        <f ca="1">_xll.BDP($B$30,$C$30,CONCATENATE("PX391=", $AE$158), CONCATENATE("PX392=",$AE$159), CONCATENATE("DS004=",$B$151), "Fill=B")</f>
        <v>#N/A Connection</v>
      </c>
      <c r="AF182" t="str">
        <f ca="1">_xll.BDP($B$30,$C$30,CONCATENATE("PX391=", $AF$158), CONCATENATE("PX392=",$AF$159), CONCATENATE("DS004=",$B$151), "Fill=B")</f>
        <v>#N/A Connection</v>
      </c>
      <c r="AG182" t="str">
        <f ca="1">_xll.BDP($B$30,$C$30,CONCATENATE("PX391=", $AG$158), CONCATENATE("PX392=",$AG$159), CONCATENATE("DS004=",$B$151), "Fill=B")</f>
        <v>#N/A Connection</v>
      </c>
      <c r="AH182" t="str">
        <f ca="1">_xll.BDP($B$30,$C$30,CONCATENATE("PX391=", $AH$158), CONCATENATE("PX392=",$AH$159), CONCATENATE("DS004=",$B$151), "Fill=B")</f>
        <v>#N/A Connection</v>
      </c>
      <c r="AI182" t="str">
        <f ca="1">_xll.BDP($B$30,$C$30,CONCATENATE("PX391=", $AI$158), CONCATENATE("PX392=",$AI$159), CONCATENATE("DS004=",$B$151), "Fill=B")</f>
        <v>#N/A Connection</v>
      </c>
      <c r="AJ182" t="str">
        <f ca="1">_xll.BDP($B$30,$C$30,CONCATENATE("PX391=", $AJ$158), CONCATENATE("PX392=",$AJ$159), CONCATENATE("DS004=",$B$151), "Fill=B")</f>
        <v>#N/A Connection</v>
      </c>
      <c r="AK182" t="str">
        <f ca="1">_xll.BDP($B$30,$C$30,CONCATENATE("PX391=", $AK$158), CONCATENATE("PX392=",$AK$159), CONCATENATE("DS004=",$B$151), "Fill=B")</f>
        <v>#N/A Connection</v>
      </c>
      <c r="AL182" t="str">
        <f ca="1">_xll.BDP($B$30,$C$30,CONCATENATE("PX391=", $AL$158), CONCATENATE("PX392=",$AL$159), CONCATENATE("DS004=",$B$151), "Fill=B")</f>
        <v>#N/A Connection</v>
      </c>
      <c r="AM182" t="str">
        <f ca="1">_xll.BDP($B$30,$C$30,CONCATENATE("PX391=", $AM$158), CONCATENATE("PX392=",$AM$159), CONCATENATE("DS004=",$B$151), "Fill=B")</f>
        <v>#N/A Connection</v>
      </c>
      <c r="AN182" t="str">
        <f ca="1">_xll.BDP($B$30,$C$30,CONCATENATE("PX391=", $AN$158), CONCATENATE("PX392=",$AN$159), CONCATENATE("DS004=",$B$151), "Fill=B")</f>
        <v>#N/A Connection</v>
      </c>
      <c r="AO182" t="str">
        <f ca="1">_xll.BDP($B$30,$C$30,CONCATENATE("PX391=", $AO$158), CONCATENATE("PX392=",$AO$159), CONCATENATE("DS004=",$B$151), "Fill=B")</f>
        <v>#N/A Connection</v>
      </c>
      <c r="AP182" t="str">
        <f ca="1">_xll.BDP($B$30,$C$30,CONCATENATE("PX391=", $AP$158), CONCATENATE("PX392=",$AP$159), CONCATENATE("DS004=",$B$151), "Fill=B")</f>
        <v>#N/A Connection</v>
      </c>
      <c r="AQ182" t="str">
        <f ca="1">_xll.BDP($B$30,$C$30,CONCATENATE("PX391=", $AQ$158), CONCATENATE("PX392=",$AQ$159), CONCATENATE("DS004=",$B$151), "Fill=B")</f>
        <v>#N/A Connection</v>
      </c>
      <c r="AR182" t="str">
        <f ca="1">_xll.BDP($B$30,$C$30,CONCATENATE("PX391=", $AR$158), CONCATENATE("PX392=",$AR$159), CONCATENATE("DS004=",$B$151), "Fill=B")</f>
        <v>#N/A Connection</v>
      </c>
      <c r="AS182" t="str">
        <f ca="1">_xll.BDP($B$30,$C$30,CONCATENATE("PX391=", $AS$158), CONCATENATE("PX392=",$AS$159), CONCATENATE("DS004=",$B$151), "Fill=B")</f>
        <v>#N/A Connection</v>
      </c>
      <c r="AT182" t="str">
        <f ca="1">_xll.BDP($B$30,$C$30,CONCATENATE("PX391=", $AT$158), CONCATENATE("PX392=",$AT$159), CONCATENATE("DS004=",$B$151), "Fill=B")</f>
        <v>#N/A Connection</v>
      </c>
      <c r="AU182" t="str">
        <f ca="1">_xll.BDP($B$30,$C$30,CONCATENATE("PX391=", $AU$158), CONCATENATE("PX392=",$AU$159), CONCATENATE("DS004=",$B$151), "Fill=B")</f>
        <v>#N/A Connection</v>
      </c>
      <c r="AV182" t="str">
        <f ca="1">_xll.BDP($B$30,$C$30,CONCATENATE("PX391=", $AV$158), CONCATENATE("PX392=",$AV$159), CONCATENATE("DS004=",$B$151), "Fill=B")</f>
        <v>#N/A Connection</v>
      </c>
      <c r="AW182" t="str">
        <f ca="1">_xll.BDP($B$30,$C$30,CONCATENATE("PX391=", $AW$158), CONCATENATE("PX392=",$AW$159), CONCATENATE("DS004=",$B$151), "Fill=B")</f>
        <v>#N/A Connection</v>
      </c>
      <c r="AX182" t="str">
        <f ca="1">_xll.BDP($B$30,$C$30,CONCATENATE("PX391=", $AX$158), CONCATENATE("PX392=",$AX$159), CONCATENATE("DS004=",$B$151), "Fill=B")</f>
        <v>#N/A Connection</v>
      </c>
      <c r="AY182" t="str">
        <f ca="1">_xll.BDP($B$30,$C$30,CONCATENATE("PX391=", $AY$158), CONCATENATE("PX392=",$AY$159), CONCATENATE("DS004=",$B$151), "Fill=B")</f>
        <v>#N/A Connection</v>
      </c>
      <c r="AZ182" t="str">
        <f ca="1">_xll.BDP($B$30,$C$30,CONCATENATE("PX391=", $AZ$158), CONCATENATE("PX392=",$AZ$159), CONCATENATE("DS004=",$B$151), "Fill=B")</f>
        <v>#N/A Connection</v>
      </c>
      <c r="BA182" t="str">
        <f ca="1">_xll.BDP($B$30,$C$30,CONCATENATE("PX391=", $BA$158), CONCATENATE("PX392=",$BA$159), CONCATENATE("DS004=",$B$151), "Fill=B")</f>
        <v>#N/A Connection</v>
      </c>
      <c r="BB182" t="str">
        <f ca="1">_xll.BDP($B$30,$C$30,CONCATENATE("PX391=", $BB$158), CONCATENATE("PX392=",$BB$159), CONCATENATE("DS004=",$B$151), "Fill=B")</f>
        <v>#N/A Connection</v>
      </c>
      <c r="BC182" t="str">
        <f ca="1">_xll.BDP($B$30,$C$30,CONCATENATE("PX391=", $BC$158), CONCATENATE("PX392=",$BC$159), CONCATENATE("DS004=",$B$151), "Fill=B")</f>
        <v>#N/A Connection</v>
      </c>
      <c r="BD182" t="str">
        <f ca="1">_xll.BDP($B$30,$C$30,CONCATENATE("PX391=", $BD$158), CONCATENATE("PX392=",$BD$159), CONCATENATE("DS004=",$B$151), "Fill=B")</f>
        <v>#N/A Connection</v>
      </c>
      <c r="BE182" t="str">
        <f ca="1">_xll.BDP($B$30,$C$30,CONCATENATE("PX391=", $BE$158), CONCATENATE("PX392=",$BE$159), CONCATENATE("DS004=",$B$151), "Fill=B")</f>
        <v>#N/A Connection</v>
      </c>
      <c r="BF182" t="str">
        <f ca="1">_xll.BDP($B$30,$C$30,CONCATENATE("PX391=", $BF$158), CONCATENATE("PX392=",$BF$159), CONCATENATE("DS004=",$B$151), "Fill=B")</f>
        <v>#N/A Connection</v>
      </c>
      <c r="BG182" t="str">
        <f ca="1">_xll.BDP($B$30,$C$30,CONCATENATE("PX391=", $BG$158), CONCATENATE("PX392=",$BG$159), CONCATENATE("DS004=",$B$151), "Fill=B")</f>
        <v>#N/A Connection</v>
      </c>
      <c r="BH182" t="str">
        <f ca="1">_xll.BDP($B$30,$C$30,CONCATENATE("PX391=", $BH$158), CONCATENATE("PX392=",$BH$159), CONCATENATE("DS004=",$B$151), "Fill=B")</f>
        <v>#N/A Connection</v>
      </c>
      <c r="BI182" t="str">
        <f ca="1">_xll.BDP($B$30,$C$30,CONCATENATE("PX391=", $BI$158), CONCATENATE("PX392=",$BI$159), CONCATENATE("DS004=",$B$151), "Fill=B")</f>
        <v>#N/A Connection</v>
      </c>
      <c r="BJ182" t="str">
        <f ca="1">_xll.BDP($B$30,$C$30,CONCATENATE("PX391=", $BJ$158), CONCATENATE("PX392=",$BJ$159), CONCATENATE("DS004=",$B$151), "Fill=B")</f>
        <v>#N/A Connection</v>
      </c>
      <c r="BK182" t="str">
        <f ca="1">_xll.BDP($B$30,$C$30,CONCATENATE("PX391=", $BK$158), CONCATENATE("PX392=",$BK$159), CONCATENATE("DS004=",$B$151), "Fill=B")</f>
        <v>#N/A Connection</v>
      </c>
      <c r="BL182" t="str">
        <f ca="1">_xll.BDP($B$30,$C$30,CONCATENATE("PX391=", $BL$158), CONCATENATE("PX392=",$BL$159), CONCATENATE("DS004=",$B$151), "Fill=B")</f>
        <v>#N/A Connection</v>
      </c>
      <c r="BM182" t="str">
        <f ca="1">_xll.BDP($B$30,$C$30,CONCATENATE("PX391=", $BM$158), CONCATENATE("PX392=",$BM$159), CONCATENATE("DS004=",$B$151), "Fill=B")</f>
        <v>#N/A Connection</v>
      </c>
      <c r="BN182" t="str">
        <f>""</f>
        <v/>
      </c>
      <c r="BO182" t="str">
        <f>""</f>
        <v/>
      </c>
      <c r="BP182" t="str">
        <f>""</f>
        <v/>
      </c>
      <c r="BQ182" t="str">
        <f>""</f>
        <v/>
      </c>
      <c r="BR182" t="str">
        <f>""</f>
        <v/>
      </c>
      <c r="BS182" t="str">
        <f>""</f>
        <v/>
      </c>
      <c r="BT182" t="str">
        <f>""</f>
        <v/>
      </c>
      <c r="BU182" t="str">
        <f>""</f>
        <v/>
      </c>
      <c r="BV182" t="str">
        <f>""</f>
        <v/>
      </c>
      <c r="BW182" t="str">
        <f>""</f>
        <v/>
      </c>
      <c r="BX182" t="str">
        <f>""</f>
        <v/>
      </c>
      <c r="BY182" t="str">
        <f>""</f>
        <v/>
      </c>
      <c r="BZ182" t="str">
        <f>""</f>
        <v/>
      </c>
      <c r="CA182" t="str">
        <f>""</f>
        <v/>
      </c>
      <c r="CB182" t="str">
        <f>""</f>
        <v/>
      </c>
      <c r="CC182" t="str">
        <f>""</f>
        <v/>
      </c>
      <c r="CD182" t="str">
        <f>""</f>
        <v/>
      </c>
      <c r="CE182" t="str">
        <f>""</f>
        <v/>
      </c>
      <c r="CF182" t="str">
        <f>""</f>
        <v/>
      </c>
      <c r="CG182" t="str">
        <f>""</f>
        <v/>
      </c>
      <c r="CH182" t="str">
        <f>""</f>
        <v/>
      </c>
      <c r="CI182" t="str">
        <f>""</f>
        <v/>
      </c>
      <c r="CJ182" t="str">
        <f>""</f>
        <v/>
      </c>
      <c r="CK182" t="str">
        <f>""</f>
        <v/>
      </c>
      <c r="CL182" t="str">
        <f>""</f>
        <v/>
      </c>
      <c r="CM182" t="str">
        <f>""</f>
        <v/>
      </c>
      <c r="CN182" t="str">
        <f>""</f>
        <v/>
      </c>
      <c r="CO182" t="str">
        <f>""</f>
        <v/>
      </c>
      <c r="CP182" t="str">
        <f>""</f>
        <v/>
      </c>
      <c r="CQ182" t="str">
        <f>""</f>
        <v/>
      </c>
      <c r="CR182" t="str">
        <f>""</f>
        <v/>
      </c>
      <c r="CS182" t="str">
        <f>""</f>
        <v/>
      </c>
      <c r="CT182" t="str">
        <f>""</f>
        <v/>
      </c>
      <c r="CU182" t="str">
        <f>""</f>
        <v/>
      </c>
      <c r="CV182" t="str">
        <f>""</f>
        <v/>
      </c>
      <c r="CW182" t="str">
        <f>""</f>
        <v/>
      </c>
      <c r="CX182" t="str">
        <f>""</f>
        <v/>
      </c>
      <c r="CY182" t="str">
        <f>""</f>
        <v/>
      </c>
      <c r="CZ182" t="str">
        <f>""</f>
        <v/>
      </c>
      <c r="DA182" t="str">
        <f>""</f>
        <v/>
      </c>
      <c r="DB182" t="str">
        <f>""</f>
        <v/>
      </c>
      <c r="DC182" t="str">
        <f>""</f>
        <v/>
      </c>
      <c r="DD182" t="str">
        <f>""</f>
        <v/>
      </c>
      <c r="DE182" t="str">
        <f>""</f>
        <v/>
      </c>
      <c r="DF182" t="str">
        <f>""</f>
        <v/>
      </c>
      <c r="DG182" t="str">
        <f>""</f>
        <v/>
      </c>
      <c r="DH182" t="str">
        <f>""</f>
        <v/>
      </c>
      <c r="DI182" t="str">
        <f>""</f>
        <v/>
      </c>
      <c r="DJ182" t="str">
        <f>""</f>
        <v/>
      </c>
      <c r="DK182" t="str">
        <f>""</f>
        <v/>
      </c>
      <c r="DL182" t="str">
        <f>""</f>
        <v/>
      </c>
      <c r="DM182" t="str">
        <f>""</f>
        <v/>
      </c>
      <c r="DN182" t="str">
        <f>""</f>
        <v/>
      </c>
      <c r="DO182" t="str">
        <f>""</f>
        <v/>
      </c>
      <c r="DP182" t="str">
        <f>""</f>
        <v/>
      </c>
      <c r="DQ182" t="str">
        <f>""</f>
        <v/>
      </c>
      <c r="DR182" t="str">
        <f>""</f>
        <v/>
      </c>
      <c r="DS182" t="str">
        <f>""</f>
        <v/>
      </c>
      <c r="DT182" t="str">
        <f>""</f>
        <v/>
      </c>
      <c r="DU182" t="str">
        <f>""</f>
        <v/>
      </c>
    </row>
    <row r="183" spans="1:125" x14ac:dyDescent="0.25">
      <c r="A183" t="str">
        <f>$A$31</f>
        <v xml:space="preserve">            Greece</v>
      </c>
      <c r="B183" t="str">
        <f>$B$31</f>
        <v>WCARGRI Index</v>
      </c>
      <c r="C183" t="str">
        <f>$C$31</f>
        <v>PX385</v>
      </c>
      <c r="D183" t="str">
        <f>$D$31</f>
        <v>INTERVAL_SUM</v>
      </c>
      <c r="E183" t="str">
        <f>$E$31</f>
        <v>Dynamic</v>
      </c>
      <c r="F183" t="str">
        <f ca="1">_xll.BDP($B$31,$C$31,CONCATENATE("PX391=", $F$158), CONCATENATE("PX392=",$F$159), CONCATENATE("DS004=",$B$151), "Fill=B")</f>
        <v>#N/A Connection</v>
      </c>
      <c r="G183" t="str">
        <f ca="1">_xll.BDP($B$31,$C$31,CONCATENATE("PX391=", $G$158), CONCATENATE("PX392=",$G$159), CONCATENATE("DS004=",$B$151), "Fill=B")</f>
        <v>#N/A Connection</v>
      </c>
      <c r="H183" t="str">
        <f ca="1">_xll.BDP($B$31,$C$31,CONCATENATE("PX391=", $H$158), CONCATENATE("PX392=",$H$159), CONCATENATE("DS004=",$B$151), "Fill=B")</f>
        <v>#N/A Connection</v>
      </c>
      <c r="I183" t="str">
        <f ca="1">_xll.BDP($B$31,$C$31,CONCATENATE("PX391=", $I$158), CONCATENATE("PX392=",$I$159), CONCATENATE("DS004=",$B$151), "Fill=B")</f>
        <v>#N/A Connection</v>
      </c>
      <c r="J183" t="str">
        <f ca="1">_xll.BDP($B$31,$C$31,CONCATENATE("PX391=", $J$158), CONCATENATE("PX392=",$J$159), CONCATENATE("DS004=",$B$151), "Fill=B")</f>
        <v>#N/A Connection</v>
      </c>
      <c r="K183" t="str">
        <f ca="1">_xll.BDP($B$31,$C$31,CONCATENATE("PX391=", $K$158), CONCATENATE("PX392=",$K$159), CONCATENATE("DS004=",$B$151), "Fill=B")</f>
        <v>#N/A Connection</v>
      </c>
      <c r="L183" t="str">
        <f ca="1">_xll.BDP($B$31,$C$31,CONCATENATE("PX391=", $L$158), CONCATENATE("PX392=",$L$159), CONCATENATE("DS004=",$B$151), "Fill=B")</f>
        <v>#N/A Connection</v>
      </c>
      <c r="M183" t="str">
        <f ca="1">_xll.BDP($B$31,$C$31,CONCATENATE("PX391=", $M$158), CONCATENATE("PX392=",$M$159), CONCATENATE("DS004=",$B$151), "Fill=B")</f>
        <v>#N/A Connection</v>
      </c>
      <c r="N183" t="str">
        <f ca="1">_xll.BDP($B$31,$C$31,CONCATENATE("PX391=", $N$158), CONCATENATE("PX392=",$N$159), CONCATENATE("DS004=",$B$151), "Fill=B")</f>
        <v>#N/A Connection</v>
      </c>
      <c r="O183" t="str">
        <f ca="1">_xll.BDP($B$31,$C$31,CONCATENATE("PX391=", $O$158), CONCATENATE("PX392=",$O$159), CONCATENATE("DS004=",$B$151), "Fill=B")</f>
        <v>#N/A Connection</v>
      </c>
      <c r="P183" t="str">
        <f ca="1">_xll.BDP($B$31,$C$31,CONCATENATE("PX391=", $P$158), CONCATENATE("PX392=",$P$159), CONCATENATE("DS004=",$B$151), "Fill=B")</f>
        <v>#N/A Connection</v>
      </c>
      <c r="Q183" t="str">
        <f ca="1">_xll.BDP($B$31,$C$31,CONCATENATE("PX391=", $Q$158), CONCATENATE("PX392=",$Q$159), CONCATENATE("DS004=",$B$151), "Fill=B")</f>
        <v>#N/A Connection</v>
      </c>
      <c r="R183" t="str">
        <f ca="1">_xll.BDP($B$31,$C$31,CONCATENATE("PX391=", $R$158), CONCATENATE("PX392=",$R$159), CONCATENATE("DS004=",$B$151), "Fill=B")</f>
        <v>#N/A Connection</v>
      </c>
      <c r="S183" t="str">
        <f ca="1">_xll.BDP($B$31,$C$31,CONCATENATE("PX391=", $S$158), CONCATENATE("PX392=",$S$159), CONCATENATE("DS004=",$B$151), "Fill=B")</f>
        <v>#N/A Connection</v>
      </c>
      <c r="T183" t="str">
        <f ca="1">_xll.BDP($B$31,$C$31,CONCATENATE("PX391=", $T$158), CONCATENATE("PX392=",$T$159), CONCATENATE("DS004=",$B$151), "Fill=B")</f>
        <v>#N/A Connection</v>
      </c>
      <c r="U183" t="str">
        <f ca="1">_xll.BDP($B$31,$C$31,CONCATENATE("PX391=", $U$158), CONCATENATE("PX392=",$U$159), CONCATENATE("DS004=",$B$151), "Fill=B")</f>
        <v>#N/A Connection</v>
      </c>
      <c r="V183" t="str">
        <f ca="1">_xll.BDP($B$31,$C$31,CONCATENATE("PX391=", $V$158), CONCATENATE("PX392=",$V$159), CONCATENATE("DS004=",$B$151), "Fill=B")</f>
        <v>#N/A Connection</v>
      </c>
      <c r="W183" t="str">
        <f ca="1">_xll.BDP($B$31,$C$31,CONCATENATE("PX391=", $W$158), CONCATENATE("PX392=",$W$159), CONCATENATE("DS004=",$B$151), "Fill=B")</f>
        <v>#N/A Connection</v>
      </c>
      <c r="X183" t="str">
        <f ca="1">_xll.BDP($B$31,$C$31,CONCATENATE("PX391=", $X$158), CONCATENATE("PX392=",$X$159), CONCATENATE("DS004=",$B$151), "Fill=B")</f>
        <v>#N/A Connection</v>
      </c>
      <c r="Y183" t="str">
        <f ca="1">_xll.BDP($B$31,$C$31,CONCATENATE("PX391=", $Y$158), CONCATENATE("PX392=",$Y$159), CONCATENATE("DS004=",$B$151), "Fill=B")</f>
        <v>#N/A Connection</v>
      </c>
      <c r="Z183" t="str">
        <f ca="1">_xll.BDP($B$31,$C$31,CONCATENATE("PX391=", $Z$158), CONCATENATE("PX392=",$Z$159), CONCATENATE("DS004=",$B$151), "Fill=B")</f>
        <v>#N/A Connection</v>
      </c>
      <c r="AA183" t="str">
        <f ca="1">_xll.BDP($B$31,$C$31,CONCATENATE("PX391=", $AA$158), CONCATENATE("PX392=",$AA$159), CONCATENATE("DS004=",$B$151), "Fill=B")</f>
        <v>#N/A Connection</v>
      </c>
      <c r="AB183" t="str">
        <f ca="1">_xll.BDP($B$31,$C$31,CONCATENATE("PX391=", $AB$158), CONCATENATE("PX392=",$AB$159), CONCATENATE("DS004=",$B$151), "Fill=B")</f>
        <v>#N/A Connection</v>
      </c>
      <c r="AC183" t="str">
        <f ca="1">_xll.BDP($B$31,$C$31,CONCATENATE("PX391=", $AC$158), CONCATENATE("PX392=",$AC$159), CONCATENATE("DS004=",$B$151), "Fill=B")</f>
        <v>#N/A Connection</v>
      </c>
      <c r="AD183" t="str">
        <f ca="1">_xll.BDP($B$31,$C$31,CONCATENATE("PX391=", $AD$158), CONCATENATE("PX392=",$AD$159), CONCATENATE("DS004=",$B$151), "Fill=B")</f>
        <v>#N/A Connection</v>
      </c>
      <c r="AE183" t="str">
        <f ca="1">_xll.BDP($B$31,$C$31,CONCATENATE("PX391=", $AE$158), CONCATENATE("PX392=",$AE$159), CONCATENATE("DS004=",$B$151), "Fill=B")</f>
        <v>#N/A Connection</v>
      </c>
      <c r="AF183" t="str">
        <f ca="1">_xll.BDP($B$31,$C$31,CONCATENATE("PX391=", $AF$158), CONCATENATE("PX392=",$AF$159), CONCATENATE("DS004=",$B$151), "Fill=B")</f>
        <v>#N/A Connection</v>
      </c>
      <c r="AG183" t="str">
        <f ca="1">_xll.BDP($B$31,$C$31,CONCATENATE("PX391=", $AG$158), CONCATENATE("PX392=",$AG$159), CONCATENATE("DS004=",$B$151), "Fill=B")</f>
        <v>#N/A Connection</v>
      </c>
      <c r="AH183" t="str">
        <f ca="1">_xll.BDP($B$31,$C$31,CONCATENATE("PX391=", $AH$158), CONCATENATE("PX392=",$AH$159), CONCATENATE("DS004=",$B$151), "Fill=B")</f>
        <v>#N/A Connection</v>
      </c>
      <c r="AI183" t="str">
        <f ca="1">_xll.BDP($B$31,$C$31,CONCATENATE("PX391=", $AI$158), CONCATENATE("PX392=",$AI$159), CONCATENATE("DS004=",$B$151), "Fill=B")</f>
        <v>#N/A Connection</v>
      </c>
      <c r="AJ183" t="str">
        <f ca="1">_xll.BDP($B$31,$C$31,CONCATENATE("PX391=", $AJ$158), CONCATENATE("PX392=",$AJ$159), CONCATENATE("DS004=",$B$151), "Fill=B")</f>
        <v>#N/A Connection</v>
      </c>
      <c r="AK183" t="str">
        <f ca="1">_xll.BDP($B$31,$C$31,CONCATENATE("PX391=", $AK$158), CONCATENATE("PX392=",$AK$159), CONCATENATE("DS004=",$B$151), "Fill=B")</f>
        <v>#N/A Connection</v>
      </c>
      <c r="AL183" t="str">
        <f ca="1">_xll.BDP($B$31,$C$31,CONCATENATE("PX391=", $AL$158), CONCATENATE("PX392=",$AL$159), CONCATENATE("DS004=",$B$151), "Fill=B")</f>
        <v>#N/A Connection</v>
      </c>
      <c r="AM183" t="str">
        <f ca="1">_xll.BDP($B$31,$C$31,CONCATENATE("PX391=", $AM$158), CONCATENATE("PX392=",$AM$159), CONCATENATE("DS004=",$B$151), "Fill=B")</f>
        <v>#N/A Connection</v>
      </c>
      <c r="AN183" t="str">
        <f ca="1">_xll.BDP($B$31,$C$31,CONCATENATE("PX391=", $AN$158), CONCATENATE("PX392=",$AN$159), CONCATENATE("DS004=",$B$151), "Fill=B")</f>
        <v>#N/A Connection</v>
      </c>
      <c r="AO183" t="str">
        <f ca="1">_xll.BDP($B$31,$C$31,CONCATENATE("PX391=", $AO$158), CONCATENATE("PX392=",$AO$159), CONCATENATE("DS004=",$B$151), "Fill=B")</f>
        <v>#N/A Connection</v>
      </c>
      <c r="AP183" t="str">
        <f ca="1">_xll.BDP($B$31,$C$31,CONCATENATE("PX391=", $AP$158), CONCATENATE("PX392=",$AP$159), CONCATENATE("DS004=",$B$151), "Fill=B")</f>
        <v>#N/A Connection</v>
      </c>
      <c r="AQ183" t="str">
        <f ca="1">_xll.BDP($B$31,$C$31,CONCATENATE("PX391=", $AQ$158), CONCATENATE("PX392=",$AQ$159), CONCATENATE("DS004=",$B$151), "Fill=B")</f>
        <v>#N/A Connection</v>
      </c>
      <c r="AR183" t="str">
        <f ca="1">_xll.BDP($B$31,$C$31,CONCATENATE("PX391=", $AR$158), CONCATENATE("PX392=",$AR$159), CONCATENATE("DS004=",$B$151), "Fill=B")</f>
        <v>#N/A Connection</v>
      </c>
      <c r="AS183" t="str">
        <f ca="1">_xll.BDP($B$31,$C$31,CONCATENATE("PX391=", $AS$158), CONCATENATE("PX392=",$AS$159), CONCATENATE("DS004=",$B$151), "Fill=B")</f>
        <v>#N/A Connection</v>
      </c>
      <c r="AT183" t="str">
        <f ca="1">_xll.BDP($B$31,$C$31,CONCATENATE("PX391=", $AT$158), CONCATENATE("PX392=",$AT$159), CONCATENATE("DS004=",$B$151), "Fill=B")</f>
        <v>#N/A Connection</v>
      </c>
      <c r="AU183" t="str">
        <f ca="1">_xll.BDP($B$31,$C$31,CONCATENATE("PX391=", $AU$158), CONCATENATE("PX392=",$AU$159), CONCATENATE("DS004=",$B$151), "Fill=B")</f>
        <v>#N/A Connection</v>
      </c>
      <c r="AV183" t="str">
        <f ca="1">_xll.BDP($B$31,$C$31,CONCATENATE("PX391=", $AV$158), CONCATENATE("PX392=",$AV$159), CONCATENATE("DS004=",$B$151), "Fill=B")</f>
        <v>#N/A Connection</v>
      </c>
      <c r="AW183" t="str">
        <f ca="1">_xll.BDP($B$31,$C$31,CONCATENATE("PX391=", $AW$158), CONCATENATE("PX392=",$AW$159), CONCATENATE("DS004=",$B$151), "Fill=B")</f>
        <v>#N/A Connection</v>
      </c>
      <c r="AX183" t="str">
        <f ca="1">_xll.BDP($B$31,$C$31,CONCATENATE("PX391=", $AX$158), CONCATENATE("PX392=",$AX$159), CONCATENATE("DS004=",$B$151), "Fill=B")</f>
        <v>#N/A Connection</v>
      </c>
      <c r="AY183" t="str">
        <f ca="1">_xll.BDP($B$31,$C$31,CONCATENATE("PX391=", $AY$158), CONCATENATE("PX392=",$AY$159), CONCATENATE("DS004=",$B$151), "Fill=B")</f>
        <v>#N/A Connection</v>
      </c>
      <c r="AZ183" t="str">
        <f ca="1">_xll.BDP($B$31,$C$31,CONCATENATE("PX391=", $AZ$158), CONCATENATE("PX392=",$AZ$159), CONCATENATE("DS004=",$B$151), "Fill=B")</f>
        <v>#N/A Connection</v>
      </c>
      <c r="BA183" t="str">
        <f ca="1">_xll.BDP($B$31,$C$31,CONCATENATE("PX391=", $BA$158), CONCATENATE("PX392=",$BA$159), CONCATENATE("DS004=",$B$151), "Fill=B")</f>
        <v>#N/A Connection</v>
      </c>
      <c r="BB183" t="str">
        <f ca="1">_xll.BDP($B$31,$C$31,CONCATENATE("PX391=", $BB$158), CONCATENATE("PX392=",$BB$159), CONCATENATE("DS004=",$B$151), "Fill=B")</f>
        <v>#N/A Connection</v>
      </c>
      <c r="BC183" t="str">
        <f ca="1">_xll.BDP($B$31,$C$31,CONCATENATE("PX391=", $BC$158), CONCATENATE("PX392=",$BC$159), CONCATENATE("DS004=",$B$151), "Fill=B")</f>
        <v>#N/A Connection</v>
      </c>
      <c r="BD183" t="str">
        <f ca="1">_xll.BDP($B$31,$C$31,CONCATENATE("PX391=", $BD$158), CONCATENATE("PX392=",$BD$159), CONCATENATE("DS004=",$B$151), "Fill=B")</f>
        <v>#N/A Connection</v>
      </c>
      <c r="BE183" t="str">
        <f ca="1">_xll.BDP($B$31,$C$31,CONCATENATE("PX391=", $BE$158), CONCATENATE("PX392=",$BE$159), CONCATENATE("DS004=",$B$151), "Fill=B")</f>
        <v>#N/A Connection</v>
      </c>
      <c r="BF183" t="str">
        <f ca="1">_xll.BDP($B$31,$C$31,CONCATENATE("PX391=", $BF$158), CONCATENATE("PX392=",$BF$159), CONCATENATE("DS004=",$B$151), "Fill=B")</f>
        <v>#N/A Connection</v>
      </c>
      <c r="BG183" t="str">
        <f ca="1">_xll.BDP($B$31,$C$31,CONCATENATE("PX391=", $BG$158), CONCATENATE("PX392=",$BG$159), CONCATENATE("DS004=",$B$151), "Fill=B")</f>
        <v>#N/A Connection</v>
      </c>
      <c r="BH183" t="str">
        <f ca="1">_xll.BDP($B$31,$C$31,CONCATENATE("PX391=", $BH$158), CONCATENATE("PX392=",$BH$159), CONCATENATE("DS004=",$B$151), "Fill=B")</f>
        <v>#N/A Connection</v>
      </c>
      <c r="BI183" t="str">
        <f ca="1">_xll.BDP($B$31,$C$31,CONCATENATE("PX391=", $BI$158), CONCATENATE("PX392=",$BI$159), CONCATENATE("DS004=",$B$151), "Fill=B")</f>
        <v>#N/A Connection</v>
      </c>
      <c r="BJ183" t="str">
        <f ca="1">_xll.BDP($B$31,$C$31,CONCATENATE("PX391=", $BJ$158), CONCATENATE("PX392=",$BJ$159), CONCATENATE("DS004=",$B$151), "Fill=B")</f>
        <v>#N/A Connection</v>
      </c>
      <c r="BK183" t="str">
        <f ca="1">_xll.BDP($B$31,$C$31,CONCATENATE("PX391=", $BK$158), CONCATENATE("PX392=",$BK$159), CONCATENATE("DS004=",$B$151), "Fill=B")</f>
        <v>#N/A Connection</v>
      </c>
      <c r="BL183" t="str">
        <f ca="1">_xll.BDP($B$31,$C$31,CONCATENATE("PX391=", $BL$158), CONCATENATE("PX392=",$BL$159), CONCATENATE("DS004=",$B$151), "Fill=B")</f>
        <v>#N/A Connection</v>
      </c>
      <c r="BM183" t="str">
        <f ca="1">_xll.BDP($B$31,$C$31,CONCATENATE("PX391=", $BM$158), CONCATENATE("PX392=",$BM$159), CONCATENATE("DS004=",$B$151), "Fill=B")</f>
        <v>#N/A Connection</v>
      </c>
      <c r="BN183" t="str">
        <f>""</f>
        <v/>
      </c>
      <c r="BO183" t="str">
        <f>""</f>
        <v/>
      </c>
      <c r="BP183" t="str">
        <f>""</f>
        <v/>
      </c>
      <c r="BQ183" t="str">
        <f>""</f>
        <v/>
      </c>
      <c r="BR183" t="str">
        <f>""</f>
        <v/>
      </c>
      <c r="BS183" t="str">
        <f>""</f>
        <v/>
      </c>
      <c r="BT183" t="str">
        <f>""</f>
        <v/>
      </c>
      <c r="BU183" t="str">
        <f>""</f>
        <v/>
      </c>
      <c r="BV183" t="str">
        <f>""</f>
        <v/>
      </c>
      <c r="BW183" t="str">
        <f>""</f>
        <v/>
      </c>
      <c r="BX183" t="str">
        <f>""</f>
        <v/>
      </c>
      <c r="BY183" t="str">
        <f>""</f>
        <v/>
      </c>
      <c r="BZ183" t="str">
        <f>""</f>
        <v/>
      </c>
      <c r="CA183" t="str">
        <f>""</f>
        <v/>
      </c>
      <c r="CB183" t="str">
        <f>""</f>
        <v/>
      </c>
      <c r="CC183" t="str">
        <f>""</f>
        <v/>
      </c>
      <c r="CD183" t="str">
        <f>""</f>
        <v/>
      </c>
      <c r="CE183" t="str">
        <f>""</f>
        <v/>
      </c>
      <c r="CF183" t="str">
        <f>""</f>
        <v/>
      </c>
      <c r="CG183" t="str">
        <f>""</f>
        <v/>
      </c>
      <c r="CH183" t="str">
        <f>""</f>
        <v/>
      </c>
      <c r="CI183" t="str">
        <f>""</f>
        <v/>
      </c>
      <c r="CJ183" t="str">
        <f>""</f>
        <v/>
      </c>
      <c r="CK183" t="str">
        <f>""</f>
        <v/>
      </c>
      <c r="CL183" t="str">
        <f>""</f>
        <v/>
      </c>
      <c r="CM183" t="str">
        <f>""</f>
        <v/>
      </c>
      <c r="CN183" t="str">
        <f>""</f>
        <v/>
      </c>
      <c r="CO183" t="str">
        <f>""</f>
        <v/>
      </c>
      <c r="CP183" t="str">
        <f>""</f>
        <v/>
      </c>
      <c r="CQ183" t="str">
        <f>""</f>
        <v/>
      </c>
      <c r="CR183" t="str">
        <f>""</f>
        <v/>
      </c>
      <c r="CS183" t="str">
        <f>""</f>
        <v/>
      </c>
      <c r="CT183" t="str">
        <f>""</f>
        <v/>
      </c>
      <c r="CU183" t="str">
        <f>""</f>
        <v/>
      </c>
      <c r="CV183" t="str">
        <f>""</f>
        <v/>
      </c>
      <c r="CW183" t="str">
        <f>""</f>
        <v/>
      </c>
      <c r="CX183" t="str">
        <f>""</f>
        <v/>
      </c>
      <c r="CY183" t="str">
        <f>""</f>
        <v/>
      </c>
      <c r="CZ183" t="str">
        <f>""</f>
        <v/>
      </c>
      <c r="DA183" t="str">
        <f>""</f>
        <v/>
      </c>
      <c r="DB183" t="str">
        <f>""</f>
        <v/>
      </c>
      <c r="DC183" t="str">
        <f>""</f>
        <v/>
      </c>
      <c r="DD183" t="str">
        <f>""</f>
        <v/>
      </c>
      <c r="DE183" t="str">
        <f>""</f>
        <v/>
      </c>
      <c r="DF183" t="str">
        <f>""</f>
        <v/>
      </c>
      <c r="DG183" t="str">
        <f>""</f>
        <v/>
      </c>
      <c r="DH183" t="str">
        <f>""</f>
        <v/>
      </c>
      <c r="DI183" t="str">
        <f>""</f>
        <v/>
      </c>
      <c r="DJ183" t="str">
        <f>""</f>
        <v/>
      </c>
      <c r="DK183" t="str">
        <f>""</f>
        <v/>
      </c>
      <c r="DL183" t="str">
        <f>""</f>
        <v/>
      </c>
      <c r="DM183" t="str">
        <f>""</f>
        <v/>
      </c>
      <c r="DN183" t="str">
        <f>""</f>
        <v/>
      </c>
      <c r="DO183" t="str">
        <f>""</f>
        <v/>
      </c>
      <c r="DP183" t="str">
        <f>""</f>
        <v/>
      </c>
      <c r="DQ183" t="str">
        <f>""</f>
        <v/>
      </c>
      <c r="DR183" t="str">
        <f>""</f>
        <v/>
      </c>
      <c r="DS183" t="str">
        <f>""</f>
        <v/>
      </c>
      <c r="DT183" t="str">
        <f>""</f>
        <v/>
      </c>
      <c r="DU183" t="str">
        <f>""</f>
        <v/>
      </c>
    </row>
    <row r="184" spans="1:125" x14ac:dyDescent="0.25">
      <c r="A184" t="str">
        <f>$A$32</f>
        <v xml:space="preserve">            Iceland</v>
      </c>
      <c r="B184" t="str">
        <f>$B$32</f>
        <v>WCARIC Index</v>
      </c>
      <c r="C184" t="str">
        <f>$C$32</f>
        <v>PX385</v>
      </c>
      <c r="D184" t="str">
        <f>$D$32</f>
        <v>INTERVAL_SUM</v>
      </c>
      <c r="E184" t="str">
        <f>$E$32</f>
        <v>Dynamic</v>
      </c>
      <c r="F184" t="str">
        <f ca="1">_xll.BDP($B$32,$C$32,CONCATENATE("PX391=", $F$158), CONCATENATE("PX392=",$F$159), CONCATENATE("DS004=",$B$151), "Fill=B")</f>
        <v>#N/A Connection</v>
      </c>
      <c r="G184" t="str">
        <f ca="1">_xll.BDP($B$32,$C$32,CONCATENATE("PX391=", $G$158), CONCATENATE("PX392=",$G$159), CONCATENATE("DS004=",$B$151), "Fill=B")</f>
        <v>#N/A Connection</v>
      </c>
      <c r="H184" t="str">
        <f ca="1">_xll.BDP($B$32,$C$32,CONCATENATE("PX391=", $H$158), CONCATENATE("PX392=",$H$159), CONCATENATE("DS004=",$B$151), "Fill=B")</f>
        <v>#N/A Connection</v>
      </c>
      <c r="I184" t="str">
        <f ca="1">_xll.BDP($B$32,$C$32,CONCATENATE("PX391=", $I$158), CONCATENATE("PX392=",$I$159), CONCATENATE("DS004=",$B$151), "Fill=B")</f>
        <v>#N/A Connection</v>
      </c>
      <c r="J184" t="str">
        <f ca="1">_xll.BDP($B$32,$C$32,CONCATENATE("PX391=", $J$158), CONCATENATE("PX392=",$J$159), CONCATENATE("DS004=",$B$151), "Fill=B")</f>
        <v>#N/A Connection</v>
      </c>
      <c r="K184" t="str">
        <f ca="1">_xll.BDP($B$32,$C$32,CONCATENATE("PX391=", $K$158), CONCATENATE("PX392=",$K$159), CONCATENATE("DS004=",$B$151), "Fill=B")</f>
        <v>#N/A Connection</v>
      </c>
      <c r="L184" t="str">
        <f ca="1">_xll.BDP($B$32,$C$32,CONCATENATE("PX391=", $L$158), CONCATENATE("PX392=",$L$159), CONCATENATE("DS004=",$B$151), "Fill=B")</f>
        <v>#N/A Connection</v>
      </c>
      <c r="M184" t="str">
        <f ca="1">_xll.BDP($B$32,$C$32,CONCATENATE("PX391=", $M$158), CONCATENATE("PX392=",$M$159), CONCATENATE("DS004=",$B$151), "Fill=B")</f>
        <v>#N/A Connection</v>
      </c>
      <c r="N184" t="str">
        <f ca="1">_xll.BDP($B$32,$C$32,CONCATENATE("PX391=", $N$158), CONCATENATE("PX392=",$N$159), CONCATENATE("DS004=",$B$151), "Fill=B")</f>
        <v>#N/A Connection</v>
      </c>
      <c r="O184" t="str">
        <f ca="1">_xll.BDP($B$32,$C$32,CONCATENATE("PX391=", $O$158), CONCATENATE("PX392=",$O$159), CONCATENATE("DS004=",$B$151), "Fill=B")</f>
        <v>#N/A Connection</v>
      </c>
      <c r="P184" t="str">
        <f ca="1">_xll.BDP($B$32,$C$32,CONCATENATE("PX391=", $P$158), CONCATENATE("PX392=",$P$159), CONCATENATE("DS004=",$B$151), "Fill=B")</f>
        <v>#N/A Connection</v>
      </c>
      <c r="Q184" t="str">
        <f ca="1">_xll.BDP($B$32,$C$32,CONCATENATE("PX391=", $Q$158), CONCATENATE("PX392=",$Q$159), CONCATENATE("DS004=",$B$151), "Fill=B")</f>
        <v>#N/A Connection</v>
      </c>
      <c r="R184" t="str">
        <f ca="1">_xll.BDP($B$32,$C$32,CONCATENATE("PX391=", $R$158), CONCATENATE("PX392=",$R$159), CONCATENATE("DS004=",$B$151), "Fill=B")</f>
        <v>#N/A Connection</v>
      </c>
      <c r="S184" t="str">
        <f ca="1">_xll.BDP($B$32,$C$32,CONCATENATE("PX391=", $S$158), CONCATENATE("PX392=",$S$159), CONCATENATE("DS004=",$B$151), "Fill=B")</f>
        <v>#N/A Connection</v>
      </c>
      <c r="T184" t="str">
        <f ca="1">_xll.BDP($B$32,$C$32,CONCATENATE("PX391=", $T$158), CONCATENATE("PX392=",$T$159), CONCATENATE("DS004=",$B$151), "Fill=B")</f>
        <v>#N/A Connection</v>
      </c>
      <c r="U184" t="str">
        <f ca="1">_xll.BDP($B$32,$C$32,CONCATENATE("PX391=", $U$158), CONCATENATE("PX392=",$U$159), CONCATENATE("DS004=",$B$151), "Fill=B")</f>
        <v>#N/A Connection</v>
      </c>
      <c r="V184" t="str">
        <f ca="1">_xll.BDP($B$32,$C$32,CONCATENATE("PX391=", $V$158), CONCATENATE("PX392=",$V$159), CONCATENATE("DS004=",$B$151), "Fill=B")</f>
        <v>#N/A Connection</v>
      </c>
      <c r="W184" t="str">
        <f ca="1">_xll.BDP($B$32,$C$32,CONCATENATE("PX391=", $W$158), CONCATENATE("PX392=",$W$159), CONCATENATE("DS004=",$B$151), "Fill=B")</f>
        <v>#N/A Connection</v>
      </c>
      <c r="X184" t="str">
        <f ca="1">_xll.BDP($B$32,$C$32,CONCATENATE("PX391=", $X$158), CONCATENATE("PX392=",$X$159), CONCATENATE("DS004=",$B$151), "Fill=B")</f>
        <v>#N/A Connection</v>
      </c>
      <c r="Y184" t="str">
        <f ca="1">_xll.BDP($B$32,$C$32,CONCATENATE("PX391=", $Y$158), CONCATENATE("PX392=",$Y$159), CONCATENATE("DS004=",$B$151), "Fill=B")</f>
        <v>#N/A Connection</v>
      </c>
      <c r="Z184" t="str">
        <f ca="1">_xll.BDP($B$32,$C$32,CONCATENATE("PX391=", $Z$158), CONCATENATE("PX392=",$Z$159), CONCATENATE("DS004=",$B$151), "Fill=B")</f>
        <v>#N/A Connection</v>
      </c>
      <c r="AA184" t="str">
        <f ca="1">_xll.BDP($B$32,$C$32,CONCATENATE("PX391=", $AA$158), CONCATENATE("PX392=",$AA$159), CONCATENATE("DS004=",$B$151), "Fill=B")</f>
        <v>#N/A Connection</v>
      </c>
      <c r="AB184" t="str">
        <f ca="1">_xll.BDP($B$32,$C$32,CONCATENATE("PX391=", $AB$158), CONCATENATE("PX392=",$AB$159), CONCATENATE("DS004=",$B$151), "Fill=B")</f>
        <v>#N/A Connection</v>
      </c>
      <c r="AC184" t="str">
        <f ca="1">_xll.BDP($B$32,$C$32,CONCATENATE("PX391=", $AC$158), CONCATENATE("PX392=",$AC$159), CONCATENATE("DS004=",$B$151), "Fill=B")</f>
        <v>#N/A Connection</v>
      </c>
      <c r="AD184" t="str">
        <f ca="1">_xll.BDP($B$32,$C$32,CONCATENATE("PX391=", $AD$158), CONCATENATE("PX392=",$AD$159), CONCATENATE("DS004=",$B$151), "Fill=B")</f>
        <v>#N/A Connection</v>
      </c>
      <c r="AE184" t="str">
        <f ca="1">_xll.BDP($B$32,$C$32,CONCATENATE("PX391=", $AE$158), CONCATENATE("PX392=",$AE$159), CONCATENATE("DS004=",$B$151), "Fill=B")</f>
        <v>#N/A Connection</v>
      </c>
      <c r="AF184" t="str">
        <f ca="1">_xll.BDP($B$32,$C$32,CONCATENATE("PX391=", $AF$158), CONCATENATE("PX392=",$AF$159), CONCATENATE("DS004=",$B$151), "Fill=B")</f>
        <v>#N/A Connection</v>
      </c>
      <c r="AG184" t="str">
        <f ca="1">_xll.BDP($B$32,$C$32,CONCATENATE("PX391=", $AG$158), CONCATENATE("PX392=",$AG$159), CONCATENATE("DS004=",$B$151), "Fill=B")</f>
        <v>#N/A Connection</v>
      </c>
      <c r="AH184" t="str">
        <f ca="1">_xll.BDP($B$32,$C$32,CONCATENATE("PX391=", $AH$158), CONCATENATE("PX392=",$AH$159), CONCATENATE("DS004=",$B$151), "Fill=B")</f>
        <v>#N/A Connection</v>
      </c>
      <c r="AI184" t="str">
        <f ca="1">_xll.BDP($B$32,$C$32,CONCATENATE("PX391=", $AI$158), CONCATENATE("PX392=",$AI$159), CONCATENATE("DS004=",$B$151), "Fill=B")</f>
        <v>#N/A Connection</v>
      </c>
      <c r="AJ184" t="str">
        <f ca="1">_xll.BDP($B$32,$C$32,CONCATENATE("PX391=", $AJ$158), CONCATENATE("PX392=",$AJ$159), CONCATENATE("DS004=",$B$151), "Fill=B")</f>
        <v>#N/A Connection</v>
      </c>
      <c r="AK184" t="str">
        <f ca="1">_xll.BDP($B$32,$C$32,CONCATENATE("PX391=", $AK$158), CONCATENATE("PX392=",$AK$159), CONCATENATE("DS004=",$B$151), "Fill=B")</f>
        <v>#N/A Connection</v>
      </c>
      <c r="AL184" t="str">
        <f ca="1">_xll.BDP($B$32,$C$32,CONCATENATE("PX391=", $AL$158), CONCATENATE("PX392=",$AL$159), CONCATENATE("DS004=",$B$151), "Fill=B")</f>
        <v>#N/A Connection</v>
      </c>
      <c r="AM184" t="str">
        <f ca="1">_xll.BDP($B$32,$C$32,CONCATENATE("PX391=", $AM$158), CONCATENATE("PX392=",$AM$159), CONCATENATE("DS004=",$B$151), "Fill=B")</f>
        <v>#N/A Connection</v>
      </c>
      <c r="AN184" t="str">
        <f ca="1">_xll.BDP($B$32,$C$32,CONCATENATE("PX391=", $AN$158), CONCATENATE("PX392=",$AN$159), CONCATENATE("DS004=",$B$151), "Fill=B")</f>
        <v>#N/A Connection</v>
      </c>
      <c r="AO184" t="str">
        <f ca="1">_xll.BDP($B$32,$C$32,CONCATENATE("PX391=", $AO$158), CONCATENATE("PX392=",$AO$159), CONCATENATE("DS004=",$B$151), "Fill=B")</f>
        <v>#N/A Connection</v>
      </c>
      <c r="AP184" t="str">
        <f ca="1">_xll.BDP($B$32,$C$32,CONCATENATE("PX391=", $AP$158), CONCATENATE("PX392=",$AP$159), CONCATENATE("DS004=",$B$151), "Fill=B")</f>
        <v>#N/A Connection</v>
      </c>
      <c r="AQ184" t="str">
        <f ca="1">_xll.BDP($B$32,$C$32,CONCATENATE("PX391=", $AQ$158), CONCATENATE("PX392=",$AQ$159), CONCATENATE("DS004=",$B$151), "Fill=B")</f>
        <v>#N/A Connection</v>
      </c>
      <c r="AR184" t="str">
        <f ca="1">_xll.BDP($B$32,$C$32,CONCATENATE("PX391=", $AR$158), CONCATENATE("PX392=",$AR$159), CONCATENATE("DS004=",$B$151), "Fill=B")</f>
        <v>#N/A Connection</v>
      </c>
      <c r="AS184" t="str">
        <f ca="1">_xll.BDP($B$32,$C$32,CONCATENATE("PX391=", $AS$158), CONCATENATE("PX392=",$AS$159), CONCATENATE("DS004=",$B$151), "Fill=B")</f>
        <v>#N/A Connection</v>
      </c>
      <c r="AT184" t="str">
        <f ca="1">_xll.BDP($B$32,$C$32,CONCATENATE("PX391=", $AT$158), CONCATENATE("PX392=",$AT$159), CONCATENATE("DS004=",$B$151), "Fill=B")</f>
        <v>#N/A Connection</v>
      </c>
      <c r="AU184" t="str">
        <f ca="1">_xll.BDP($B$32,$C$32,CONCATENATE("PX391=", $AU$158), CONCATENATE("PX392=",$AU$159), CONCATENATE("DS004=",$B$151), "Fill=B")</f>
        <v>#N/A Connection</v>
      </c>
      <c r="AV184" t="str">
        <f ca="1">_xll.BDP($B$32,$C$32,CONCATENATE("PX391=", $AV$158), CONCATENATE("PX392=",$AV$159), CONCATENATE("DS004=",$B$151), "Fill=B")</f>
        <v>#N/A Connection</v>
      </c>
      <c r="AW184" t="str">
        <f ca="1">_xll.BDP($B$32,$C$32,CONCATENATE("PX391=", $AW$158), CONCATENATE("PX392=",$AW$159), CONCATENATE("DS004=",$B$151), "Fill=B")</f>
        <v>#N/A Connection</v>
      </c>
      <c r="AX184" t="str">
        <f ca="1">_xll.BDP($B$32,$C$32,CONCATENATE("PX391=", $AX$158), CONCATENATE("PX392=",$AX$159), CONCATENATE("DS004=",$B$151), "Fill=B")</f>
        <v>#N/A Connection</v>
      </c>
      <c r="AY184" t="str">
        <f ca="1">_xll.BDP($B$32,$C$32,CONCATENATE("PX391=", $AY$158), CONCATENATE("PX392=",$AY$159), CONCATENATE("DS004=",$B$151), "Fill=B")</f>
        <v>#N/A Connection</v>
      </c>
      <c r="AZ184" t="str">
        <f ca="1">_xll.BDP($B$32,$C$32,CONCATENATE("PX391=", $AZ$158), CONCATENATE("PX392=",$AZ$159), CONCATENATE("DS004=",$B$151), "Fill=B")</f>
        <v>#N/A Connection</v>
      </c>
      <c r="BA184" t="str">
        <f ca="1">_xll.BDP($B$32,$C$32,CONCATENATE("PX391=", $BA$158), CONCATENATE("PX392=",$BA$159), CONCATENATE("DS004=",$B$151), "Fill=B")</f>
        <v>#N/A Connection</v>
      </c>
      <c r="BB184" t="str">
        <f ca="1">_xll.BDP($B$32,$C$32,CONCATENATE("PX391=", $BB$158), CONCATENATE("PX392=",$BB$159), CONCATENATE("DS004=",$B$151), "Fill=B")</f>
        <v>#N/A Connection</v>
      </c>
      <c r="BC184" t="str">
        <f ca="1">_xll.BDP($B$32,$C$32,CONCATENATE("PX391=", $BC$158), CONCATENATE("PX392=",$BC$159), CONCATENATE("DS004=",$B$151), "Fill=B")</f>
        <v>#N/A Connection</v>
      </c>
      <c r="BD184" t="str">
        <f ca="1">_xll.BDP($B$32,$C$32,CONCATENATE("PX391=", $BD$158), CONCATENATE("PX392=",$BD$159), CONCATENATE("DS004=",$B$151), "Fill=B")</f>
        <v>#N/A Connection</v>
      </c>
      <c r="BE184" t="str">
        <f ca="1">_xll.BDP($B$32,$C$32,CONCATENATE("PX391=", $BE$158), CONCATENATE("PX392=",$BE$159), CONCATENATE("DS004=",$B$151), "Fill=B")</f>
        <v>#N/A Connection</v>
      </c>
      <c r="BF184" t="str">
        <f ca="1">_xll.BDP($B$32,$C$32,CONCATENATE("PX391=", $BF$158), CONCATENATE("PX392=",$BF$159), CONCATENATE("DS004=",$B$151), "Fill=B")</f>
        <v>#N/A Connection</v>
      </c>
      <c r="BG184" t="str">
        <f ca="1">_xll.BDP($B$32,$C$32,CONCATENATE("PX391=", $BG$158), CONCATENATE("PX392=",$BG$159), CONCATENATE("DS004=",$B$151), "Fill=B")</f>
        <v>#N/A Connection</v>
      </c>
      <c r="BH184" t="str">
        <f ca="1">_xll.BDP($B$32,$C$32,CONCATENATE("PX391=", $BH$158), CONCATENATE("PX392=",$BH$159), CONCATENATE("DS004=",$B$151), "Fill=B")</f>
        <v>#N/A Connection</v>
      </c>
      <c r="BI184" t="str">
        <f ca="1">_xll.BDP($B$32,$C$32,CONCATENATE("PX391=", $BI$158), CONCATENATE("PX392=",$BI$159), CONCATENATE("DS004=",$B$151), "Fill=B")</f>
        <v>#N/A Connection</v>
      </c>
      <c r="BJ184" t="str">
        <f ca="1">_xll.BDP($B$32,$C$32,CONCATENATE("PX391=", $BJ$158), CONCATENATE("PX392=",$BJ$159), CONCATENATE("DS004=",$B$151), "Fill=B")</f>
        <v>#N/A Connection</v>
      </c>
      <c r="BK184" t="str">
        <f ca="1">_xll.BDP($B$32,$C$32,CONCATENATE("PX391=", $BK$158), CONCATENATE("PX392=",$BK$159), CONCATENATE("DS004=",$B$151), "Fill=B")</f>
        <v>#N/A Connection</v>
      </c>
      <c r="BL184" t="str">
        <f ca="1">_xll.BDP($B$32,$C$32,CONCATENATE("PX391=", $BL$158), CONCATENATE("PX392=",$BL$159), CONCATENATE("DS004=",$B$151), "Fill=B")</f>
        <v>#N/A Connection</v>
      </c>
      <c r="BM184" t="str">
        <f ca="1">_xll.BDP($B$32,$C$32,CONCATENATE("PX391=", $BM$158), CONCATENATE("PX392=",$BM$159), CONCATENATE("DS004=",$B$151), "Fill=B")</f>
        <v>#N/A Connection</v>
      </c>
      <c r="BN184" t="str">
        <f>""</f>
        <v/>
      </c>
      <c r="BO184" t="str">
        <f>""</f>
        <v/>
      </c>
      <c r="BP184" t="str">
        <f>""</f>
        <v/>
      </c>
      <c r="BQ184" t="str">
        <f>""</f>
        <v/>
      </c>
      <c r="BR184" t="str">
        <f>""</f>
        <v/>
      </c>
      <c r="BS184" t="str">
        <f>""</f>
        <v/>
      </c>
      <c r="BT184" t="str">
        <f>""</f>
        <v/>
      </c>
      <c r="BU184" t="str">
        <f>""</f>
        <v/>
      </c>
      <c r="BV184" t="str">
        <f>""</f>
        <v/>
      </c>
      <c r="BW184" t="str">
        <f>""</f>
        <v/>
      </c>
      <c r="BX184" t="str">
        <f>""</f>
        <v/>
      </c>
      <c r="BY184" t="str">
        <f>""</f>
        <v/>
      </c>
      <c r="BZ184" t="str">
        <f>""</f>
        <v/>
      </c>
      <c r="CA184" t="str">
        <f>""</f>
        <v/>
      </c>
      <c r="CB184" t="str">
        <f>""</f>
        <v/>
      </c>
      <c r="CC184" t="str">
        <f>""</f>
        <v/>
      </c>
      <c r="CD184" t="str">
        <f>""</f>
        <v/>
      </c>
      <c r="CE184" t="str">
        <f>""</f>
        <v/>
      </c>
      <c r="CF184" t="str">
        <f>""</f>
        <v/>
      </c>
      <c r="CG184" t="str">
        <f>""</f>
        <v/>
      </c>
      <c r="CH184" t="str">
        <f>""</f>
        <v/>
      </c>
      <c r="CI184" t="str">
        <f>""</f>
        <v/>
      </c>
      <c r="CJ184" t="str">
        <f>""</f>
        <v/>
      </c>
      <c r="CK184" t="str">
        <f>""</f>
        <v/>
      </c>
      <c r="CL184" t="str">
        <f>""</f>
        <v/>
      </c>
      <c r="CM184" t="str">
        <f>""</f>
        <v/>
      </c>
      <c r="CN184" t="str">
        <f>""</f>
        <v/>
      </c>
      <c r="CO184" t="str">
        <f>""</f>
        <v/>
      </c>
      <c r="CP184" t="str">
        <f>""</f>
        <v/>
      </c>
      <c r="CQ184" t="str">
        <f>""</f>
        <v/>
      </c>
      <c r="CR184" t="str">
        <f>""</f>
        <v/>
      </c>
      <c r="CS184" t="str">
        <f>""</f>
        <v/>
      </c>
      <c r="CT184" t="str">
        <f>""</f>
        <v/>
      </c>
      <c r="CU184" t="str">
        <f>""</f>
        <v/>
      </c>
      <c r="CV184" t="str">
        <f>""</f>
        <v/>
      </c>
      <c r="CW184" t="str">
        <f>""</f>
        <v/>
      </c>
      <c r="CX184" t="str">
        <f>""</f>
        <v/>
      </c>
      <c r="CY184" t="str">
        <f>""</f>
        <v/>
      </c>
      <c r="CZ184" t="str">
        <f>""</f>
        <v/>
      </c>
      <c r="DA184" t="str">
        <f>""</f>
        <v/>
      </c>
      <c r="DB184" t="str">
        <f>""</f>
        <v/>
      </c>
      <c r="DC184" t="str">
        <f>""</f>
        <v/>
      </c>
      <c r="DD184" t="str">
        <f>""</f>
        <v/>
      </c>
      <c r="DE184" t="str">
        <f>""</f>
        <v/>
      </c>
      <c r="DF184" t="str">
        <f>""</f>
        <v/>
      </c>
      <c r="DG184" t="str">
        <f>""</f>
        <v/>
      </c>
      <c r="DH184" t="str">
        <f>""</f>
        <v/>
      </c>
      <c r="DI184" t="str">
        <f>""</f>
        <v/>
      </c>
      <c r="DJ184" t="str">
        <f>""</f>
        <v/>
      </c>
      <c r="DK184" t="str">
        <f>""</f>
        <v/>
      </c>
      <c r="DL184" t="str">
        <f>""</f>
        <v/>
      </c>
      <c r="DM184" t="str">
        <f>""</f>
        <v/>
      </c>
      <c r="DN184" t="str">
        <f>""</f>
        <v/>
      </c>
      <c r="DO184" t="str">
        <f>""</f>
        <v/>
      </c>
      <c r="DP184" t="str">
        <f>""</f>
        <v/>
      </c>
      <c r="DQ184" t="str">
        <f>""</f>
        <v/>
      </c>
      <c r="DR184" t="str">
        <f>""</f>
        <v/>
      </c>
      <c r="DS184" t="str">
        <f>""</f>
        <v/>
      </c>
      <c r="DT184" t="str">
        <f>""</f>
        <v/>
      </c>
      <c r="DU184" t="str">
        <f>""</f>
        <v/>
      </c>
    </row>
    <row r="185" spans="1:125" x14ac:dyDescent="0.25">
      <c r="A185" t="str">
        <f>$A$33</f>
        <v xml:space="preserve">            Ireland</v>
      </c>
      <c r="B185" t="str">
        <f>$B$33</f>
        <v>WCARIEI Index</v>
      </c>
      <c r="C185" t="str">
        <f>$C$33</f>
        <v>PX385</v>
      </c>
      <c r="D185" t="str">
        <f>$D$33</f>
        <v>INTERVAL_SUM</v>
      </c>
      <c r="E185" t="str">
        <f>$E$33</f>
        <v>Dynamic</v>
      </c>
      <c r="F185" t="str">
        <f ca="1">_xll.BDP($B$33,$C$33,CONCATENATE("PX391=", $F$158), CONCATENATE("PX392=",$F$159), CONCATENATE("DS004=",$B$151), "Fill=B")</f>
        <v>#N/A Connection</v>
      </c>
      <c r="G185" t="str">
        <f ca="1">_xll.BDP($B$33,$C$33,CONCATENATE("PX391=", $G$158), CONCATENATE("PX392=",$G$159), CONCATENATE("DS004=",$B$151), "Fill=B")</f>
        <v>#N/A Connection</v>
      </c>
      <c r="H185" t="str">
        <f ca="1">_xll.BDP($B$33,$C$33,CONCATENATE("PX391=", $H$158), CONCATENATE("PX392=",$H$159), CONCATENATE("DS004=",$B$151), "Fill=B")</f>
        <v>#N/A Connection</v>
      </c>
      <c r="I185" t="str">
        <f ca="1">_xll.BDP($B$33,$C$33,CONCATENATE("PX391=", $I$158), CONCATENATE("PX392=",$I$159), CONCATENATE("DS004=",$B$151), "Fill=B")</f>
        <v>#N/A Connection</v>
      </c>
      <c r="J185" t="str">
        <f ca="1">_xll.BDP($B$33,$C$33,CONCATENATE("PX391=", $J$158), CONCATENATE("PX392=",$J$159), CONCATENATE("DS004=",$B$151), "Fill=B")</f>
        <v>#N/A Connection</v>
      </c>
      <c r="K185" t="str">
        <f ca="1">_xll.BDP($B$33,$C$33,CONCATENATE("PX391=", $K$158), CONCATENATE("PX392=",$K$159), CONCATENATE("DS004=",$B$151), "Fill=B")</f>
        <v>#N/A Connection</v>
      </c>
      <c r="L185" t="str">
        <f ca="1">_xll.BDP($B$33,$C$33,CONCATENATE("PX391=", $L$158), CONCATENATE("PX392=",$L$159), CONCATENATE("DS004=",$B$151), "Fill=B")</f>
        <v>#N/A Connection</v>
      </c>
      <c r="M185" t="str">
        <f ca="1">_xll.BDP($B$33,$C$33,CONCATENATE("PX391=", $M$158), CONCATENATE("PX392=",$M$159), CONCATENATE("DS004=",$B$151), "Fill=B")</f>
        <v>#N/A Connection</v>
      </c>
      <c r="N185" t="str">
        <f ca="1">_xll.BDP($B$33,$C$33,CONCATENATE("PX391=", $N$158), CONCATENATE("PX392=",$N$159), CONCATENATE("DS004=",$B$151), "Fill=B")</f>
        <v>#N/A Connection</v>
      </c>
      <c r="O185" t="str">
        <f ca="1">_xll.BDP($B$33,$C$33,CONCATENATE("PX391=", $O$158), CONCATENATE("PX392=",$O$159), CONCATENATE("DS004=",$B$151), "Fill=B")</f>
        <v>#N/A Connection</v>
      </c>
      <c r="P185" t="str">
        <f ca="1">_xll.BDP($B$33,$C$33,CONCATENATE("PX391=", $P$158), CONCATENATE("PX392=",$P$159), CONCATENATE("DS004=",$B$151), "Fill=B")</f>
        <v>#N/A Connection</v>
      </c>
      <c r="Q185" t="str">
        <f ca="1">_xll.BDP($B$33,$C$33,CONCATENATE("PX391=", $Q$158), CONCATENATE("PX392=",$Q$159), CONCATENATE("DS004=",$B$151), "Fill=B")</f>
        <v>#N/A Connection</v>
      </c>
      <c r="R185" t="str">
        <f ca="1">_xll.BDP($B$33,$C$33,CONCATENATE("PX391=", $R$158), CONCATENATE("PX392=",$R$159), CONCATENATE("DS004=",$B$151), "Fill=B")</f>
        <v>#N/A Connection</v>
      </c>
      <c r="S185" t="str">
        <f ca="1">_xll.BDP($B$33,$C$33,CONCATENATE("PX391=", $S$158), CONCATENATE("PX392=",$S$159), CONCATENATE("DS004=",$B$151), "Fill=B")</f>
        <v>#N/A Connection</v>
      </c>
      <c r="T185" t="str">
        <f ca="1">_xll.BDP($B$33,$C$33,CONCATENATE("PX391=", $T$158), CONCATENATE("PX392=",$T$159), CONCATENATE("DS004=",$B$151), "Fill=B")</f>
        <v>#N/A Connection</v>
      </c>
      <c r="U185" t="str">
        <f ca="1">_xll.BDP($B$33,$C$33,CONCATENATE("PX391=", $U$158), CONCATENATE("PX392=",$U$159), CONCATENATE("DS004=",$B$151), "Fill=B")</f>
        <v>#N/A Connection</v>
      </c>
      <c r="V185" t="str">
        <f ca="1">_xll.BDP($B$33,$C$33,CONCATENATE("PX391=", $V$158), CONCATENATE("PX392=",$V$159), CONCATENATE("DS004=",$B$151), "Fill=B")</f>
        <v>#N/A Connection</v>
      </c>
      <c r="W185" t="str">
        <f ca="1">_xll.BDP($B$33,$C$33,CONCATENATE("PX391=", $W$158), CONCATENATE("PX392=",$W$159), CONCATENATE("DS004=",$B$151), "Fill=B")</f>
        <v>#N/A Connection</v>
      </c>
      <c r="X185" t="str">
        <f ca="1">_xll.BDP($B$33,$C$33,CONCATENATE("PX391=", $X$158), CONCATENATE("PX392=",$X$159), CONCATENATE("DS004=",$B$151), "Fill=B")</f>
        <v>#N/A Connection</v>
      </c>
      <c r="Y185" t="str">
        <f ca="1">_xll.BDP($B$33,$C$33,CONCATENATE("PX391=", $Y$158), CONCATENATE("PX392=",$Y$159), CONCATENATE("DS004=",$B$151), "Fill=B")</f>
        <v>#N/A Connection</v>
      </c>
      <c r="Z185" t="str">
        <f ca="1">_xll.BDP($B$33,$C$33,CONCATENATE("PX391=", $Z$158), CONCATENATE("PX392=",$Z$159), CONCATENATE("DS004=",$B$151), "Fill=B")</f>
        <v>#N/A Connection</v>
      </c>
      <c r="AA185" t="str">
        <f ca="1">_xll.BDP($B$33,$C$33,CONCATENATE("PX391=", $AA$158), CONCATENATE("PX392=",$AA$159), CONCATENATE("DS004=",$B$151), "Fill=B")</f>
        <v>#N/A Connection</v>
      </c>
      <c r="AB185" t="str">
        <f ca="1">_xll.BDP($B$33,$C$33,CONCATENATE("PX391=", $AB$158), CONCATENATE("PX392=",$AB$159), CONCATENATE("DS004=",$B$151), "Fill=B")</f>
        <v>#N/A Connection</v>
      </c>
      <c r="AC185" t="str">
        <f ca="1">_xll.BDP($B$33,$C$33,CONCATENATE("PX391=", $AC$158), CONCATENATE("PX392=",$AC$159), CONCATENATE("DS004=",$B$151), "Fill=B")</f>
        <v>#N/A Connection</v>
      </c>
      <c r="AD185" t="str">
        <f ca="1">_xll.BDP($B$33,$C$33,CONCATENATE("PX391=", $AD$158), CONCATENATE("PX392=",$AD$159), CONCATENATE("DS004=",$B$151), "Fill=B")</f>
        <v>#N/A Connection</v>
      </c>
      <c r="AE185" t="str">
        <f ca="1">_xll.BDP($B$33,$C$33,CONCATENATE("PX391=", $AE$158), CONCATENATE("PX392=",$AE$159), CONCATENATE("DS004=",$B$151), "Fill=B")</f>
        <v>#N/A Connection</v>
      </c>
      <c r="AF185" t="str">
        <f ca="1">_xll.BDP($B$33,$C$33,CONCATENATE("PX391=", $AF$158), CONCATENATE("PX392=",$AF$159), CONCATENATE("DS004=",$B$151), "Fill=B")</f>
        <v>#N/A Connection</v>
      </c>
      <c r="AG185" t="str">
        <f ca="1">_xll.BDP($B$33,$C$33,CONCATENATE("PX391=", $AG$158), CONCATENATE("PX392=",$AG$159), CONCATENATE("DS004=",$B$151), "Fill=B")</f>
        <v>#N/A Connection</v>
      </c>
      <c r="AH185" t="str">
        <f ca="1">_xll.BDP($B$33,$C$33,CONCATENATE("PX391=", $AH$158), CONCATENATE("PX392=",$AH$159), CONCATENATE("DS004=",$B$151), "Fill=B")</f>
        <v>#N/A Connection</v>
      </c>
      <c r="AI185" t="str">
        <f ca="1">_xll.BDP($B$33,$C$33,CONCATENATE("PX391=", $AI$158), CONCATENATE("PX392=",$AI$159), CONCATENATE("DS004=",$B$151), "Fill=B")</f>
        <v>#N/A Connection</v>
      </c>
      <c r="AJ185" t="str">
        <f ca="1">_xll.BDP($B$33,$C$33,CONCATENATE("PX391=", $AJ$158), CONCATENATE("PX392=",$AJ$159), CONCATENATE("DS004=",$B$151), "Fill=B")</f>
        <v>#N/A Connection</v>
      </c>
      <c r="AK185" t="str">
        <f ca="1">_xll.BDP($B$33,$C$33,CONCATENATE("PX391=", $AK$158), CONCATENATE("PX392=",$AK$159), CONCATENATE("DS004=",$B$151), "Fill=B")</f>
        <v>#N/A Connection</v>
      </c>
      <c r="AL185" t="str">
        <f ca="1">_xll.BDP($B$33,$C$33,CONCATENATE("PX391=", $AL$158), CONCATENATE("PX392=",$AL$159), CONCATENATE("DS004=",$B$151), "Fill=B")</f>
        <v>#N/A Connection</v>
      </c>
      <c r="AM185" t="str">
        <f ca="1">_xll.BDP($B$33,$C$33,CONCATENATE("PX391=", $AM$158), CONCATENATE("PX392=",$AM$159), CONCATENATE("DS004=",$B$151), "Fill=B")</f>
        <v>#N/A Connection</v>
      </c>
      <c r="AN185" t="str">
        <f ca="1">_xll.BDP($B$33,$C$33,CONCATENATE("PX391=", $AN$158), CONCATENATE("PX392=",$AN$159), CONCATENATE("DS004=",$B$151), "Fill=B")</f>
        <v>#N/A Connection</v>
      </c>
      <c r="AO185" t="str">
        <f ca="1">_xll.BDP($B$33,$C$33,CONCATENATE("PX391=", $AO$158), CONCATENATE("PX392=",$AO$159), CONCATENATE("DS004=",$B$151), "Fill=B")</f>
        <v>#N/A Connection</v>
      </c>
      <c r="AP185" t="str">
        <f ca="1">_xll.BDP($B$33,$C$33,CONCATENATE("PX391=", $AP$158), CONCATENATE("PX392=",$AP$159), CONCATENATE("DS004=",$B$151), "Fill=B")</f>
        <v>#N/A Connection</v>
      </c>
      <c r="AQ185" t="str">
        <f ca="1">_xll.BDP($B$33,$C$33,CONCATENATE("PX391=", $AQ$158), CONCATENATE("PX392=",$AQ$159), CONCATENATE("DS004=",$B$151), "Fill=B")</f>
        <v>#N/A Connection</v>
      </c>
      <c r="AR185" t="str">
        <f ca="1">_xll.BDP($B$33,$C$33,CONCATENATE("PX391=", $AR$158), CONCATENATE("PX392=",$AR$159), CONCATENATE("DS004=",$B$151), "Fill=B")</f>
        <v>#N/A Connection</v>
      </c>
      <c r="AS185" t="str">
        <f ca="1">_xll.BDP($B$33,$C$33,CONCATENATE("PX391=", $AS$158), CONCATENATE("PX392=",$AS$159), CONCATENATE("DS004=",$B$151), "Fill=B")</f>
        <v>#N/A Connection</v>
      </c>
      <c r="AT185" t="str">
        <f ca="1">_xll.BDP($B$33,$C$33,CONCATENATE("PX391=", $AT$158), CONCATENATE("PX392=",$AT$159), CONCATENATE("DS004=",$B$151), "Fill=B")</f>
        <v>#N/A Connection</v>
      </c>
      <c r="AU185" t="str">
        <f ca="1">_xll.BDP($B$33,$C$33,CONCATENATE("PX391=", $AU$158), CONCATENATE("PX392=",$AU$159), CONCATENATE("DS004=",$B$151), "Fill=B")</f>
        <v>#N/A Connection</v>
      </c>
      <c r="AV185" t="str">
        <f ca="1">_xll.BDP($B$33,$C$33,CONCATENATE("PX391=", $AV$158), CONCATENATE("PX392=",$AV$159), CONCATENATE("DS004=",$B$151), "Fill=B")</f>
        <v>#N/A Connection</v>
      </c>
      <c r="AW185" t="str">
        <f ca="1">_xll.BDP($B$33,$C$33,CONCATENATE("PX391=", $AW$158), CONCATENATE("PX392=",$AW$159), CONCATENATE("DS004=",$B$151), "Fill=B")</f>
        <v>#N/A Connection</v>
      </c>
      <c r="AX185" t="str">
        <f ca="1">_xll.BDP($B$33,$C$33,CONCATENATE("PX391=", $AX$158), CONCATENATE("PX392=",$AX$159), CONCATENATE("DS004=",$B$151), "Fill=B")</f>
        <v>#N/A Connection</v>
      </c>
      <c r="AY185" t="str">
        <f ca="1">_xll.BDP($B$33,$C$33,CONCATENATE("PX391=", $AY$158), CONCATENATE("PX392=",$AY$159), CONCATENATE("DS004=",$B$151), "Fill=B")</f>
        <v>#N/A Connection</v>
      </c>
      <c r="AZ185" t="str">
        <f ca="1">_xll.BDP($B$33,$C$33,CONCATENATE("PX391=", $AZ$158), CONCATENATE("PX392=",$AZ$159), CONCATENATE("DS004=",$B$151), "Fill=B")</f>
        <v>#N/A Connection</v>
      </c>
      <c r="BA185" t="str">
        <f ca="1">_xll.BDP($B$33,$C$33,CONCATENATE("PX391=", $BA$158), CONCATENATE("PX392=",$BA$159), CONCATENATE("DS004=",$B$151), "Fill=B")</f>
        <v>#N/A Connection</v>
      </c>
      <c r="BB185" t="str">
        <f ca="1">_xll.BDP($B$33,$C$33,CONCATENATE("PX391=", $BB$158), CONCATENATE("PX392=",$BB$159), CONCATENATE("DS004=",$B$151), "Fill=B")</f>
        <v>#N/A Connection</v>
      </c>
      <c r="BC185" t="str">
        <f ca="1">_xll.BDP($B$33,$C$33,CONCATENATE("PX391=", $BC$158), CONCATENATE("PX392=",$BC$159), CONCATENATE("DS004=",$B$151), "Fill=B")</f>
        <v>#N/A Connection</v>
      </c>
      <c r="BD185" t="str">
        <f ca="1">_xll.BDP($B$33,$C$33,CONCATENATE("PX391=", $BD$158), CONCATENATE("PX392=",$BD$159), CONCATENATE("DS004=",$B$151), "Fill=B")</f>
        <v>#N/A Connection</v>
      </c>
      <c r="BE185" t="str">
        <f ca="1">_xll.BDP($B$33,$C$33,CONCATENATE("PX391=", $BE$158), CONCATENATE("PX392=",$BE$159), CONCATENATE("DS004=",$B$151), "Fill=B")</f>
        <v>#N/A Connection</v>
      </c>
      <c r="BF185" t="str">
        <f ca="1">_xll.BDP($B$33,$C$33,CONCATENATE("PX391=", $BF$158), CONCATENATE("PX392=",$BF$159), CONCATENATE("DS004=",$B$151), "Fill=B")</f>
        <v>#N/A Connection</v>
      </c>
      <c r="BG185" t="str">
        <f ca="1">_xll.BDP($B$33,$C$33,CONCATENATE("PX391=", $BG$158), CONCATENATE("PX392=",$BG$159), CONCATENATE("DS004=",$B$151), "Fill=B")</f>
        <v>#N/A Connection</v>
      </c>
      <c r="BH185" t="str">
        <f ca="1">_xll.BDP($B$33,$C$33,CONCATENATE("PX391=", $BH$158), CONCATENATE("PX392=",$BH$159), CONCATENATE("DS004=",$B$151), "Fill=B")</f>
        <v>#N/A Connection</v>
      </c>
      <c r="BI185" t="str">
        <f ca="1">_xll.BDP($B$33,$C$33,CONCATENATE("PX391=", $BI$158), CONCATENATE("PX392=",$BI$159), CONCATENATE("DS004=",$B$151), "Fill=B")</f>
        <v>#N/A Connection</v>
      </c>
      <c r="BJ185" t="str">
        <f ca="1">_xll.BDP($B$33,$C$33,CONCATENATE("PX391=", $BJ$158), CONCATENATE("PX392=",$BJ$159), CONCATENATE("DS004=",$B$151), "Fill=B")</f>
        <v>#N/A Connection</v>
      </c>
      <c r="BK185" t="str">
        <f ca="1">_xll.BDP($B$33,$C$33,CONCATENATE("PX391=", $BK$158), CONCATENATE("PX392=",$BK$159), CONCATENATE("DS004=",$B$151), "Fill=B")</f>
        <v>#N/A Connection</v>
      </c>
      <c r="BL185" t="str">
        <f ca="1">_xll.BDP($B$33,$C$33,CONCATENATE("PX391=", $BL$158), CONCATENATE("PX392=",$BL$159), CONCATENATE("DS004=",$B$151), "Fill=B")</f>
        <v>#N/A Connection</v>
      </c>
      <c r="BM185" t="str">
        <f ca="1">_xll.BDP($B$33,$C$33,CONCATENATE("PX391=", $BM$158), CONCATENATE("PX392=",$BM$159), CONCATENATE("DS004=",$B$151), "Fill=B")</f>
        <v>#N/A Connection</v>
      </c>
      <c r="BN185" t="str">
        <f>""</f>
        <v/>
      </c>
      <c r="BO185" t="str">
        <f>""</f>
        <v/>
      </c>
      <c r="BP185" t="str">
        <f>""</f>
        <v/>
      </c>
      <c r="BQ185" t="str">
        <f>""</f>
        <v/>
      </c>
      <c r="BR185" t="str">
        <f>""</f>
        <v/>
      </c>
      <c r="BS185" t="str">
        <f>""</f>
        <v/>
      </c>
      <c r="BT185" t="str">
        <f>""</f>
        <v/>
      </c>
      <c r="BU185" t="str">
        <f>""</f>
        <v/>
      </c>
      <c r="BV185" t="str">
        <f>""</f>
        <v/>
      </c>
      <c r="BW185" t="str">
        <f>""</f>
        <v/>
      </c>
      <c r="BX185" t="str">
        <f>""</f>
        <v/>
      </c>
      <c r="BY185" t="str">
        <f>""</f>
        <v/>
      </c>
      <c r="BZ185" t="str">
        <f>""</f>
        <v/>
      </c>
      <c r="CA185" t="str">
        <f>""</f>
        <v/>
      </c>
      <c r="CB185" t="str">
        <f>""</f>
        <v/>
      </c>
      <c r="CC185" t="str">
        <f>""</f>
        <v/>
      </c>
      <c r="CD185" t="str">
        <f>""</f>
        <v/>
      </c>
      <c r="CE185" t="str">
        <f>""</f>
        <v/>
      </c>
      <c r="CF185" t="str">
        <f>""</f>
        <v/>
      </c>
      <c r="CG185" t="str">
        <f>""</f>
        <v/>
      </c>
      <c r="CH185" t="str">
        <f>""</f>
        <v/>
      </c>
      <c r="CI185" t="str">
        <f>""</f>
        <v/>
      </c>
      <c r="CJ185" t="str">
        <f>""</f>
        <v/>
      </c>
      <c r="CK185" t="str">
        <f>""</f>
        <v/>
      </c>
      <c r="CL185" t="str">
        <f>""</f>
        <v/>
      </c>
      <c r="CM185" t="str">
        <f>""</f>
        <v/>
      </c>
      <c r="CN185" t="str">
        <f>""</f>
        <v/>
      </c>
      <c r="CO185" t="str">
        <f>""</f>
        <v/>
      </c>
      <c r="CP185" t="str">
        <f>""</f>
        <v/>
      </c>
      <c r="CQ185" t="str">
        <f>""</f>
        <v/>
      </c>
      <c r="CR185" t="str">
        <f>""</f>
        <v/>
      </c>
      <c r="CS185" t="str">
        <f>""</f>
        <v/>
      </c>
      <c r="CT185" t="str">
        <f>""</f>
        <v/>
      </c>
      <c r="CU185" t="str">
        <f>""</f>
        <v/>
      </c>
      <c r="CV185" t="str">
        <f>""</f>
        <v/>
      </c>
      <c r="CW185" t="str">
        <f>""</f>
        <v/>
      </c>
      <c r="CX185" t="str">
        <f>""</f>
        <v/>
      </c>
      <c r="CY185" t="str">
        <f>""</f>
        <v/>
      </c>
      <c r="CZ185" t="str">
        <f>""</f>
        <v/>
      </c>
      <c r="DA185" t="str">
        <f>""</f>
        <v/>
      </c>
      <c r="DB185" t="str">
        <f>""</f>
        <v/>
      </c>
      <c r="DC185" t="str">
        <f>""</f>
        <v/>
      </c>
      <c r="DD185" t="str">
        <f>""</f>
        <v/>
      </c>
      <c r="DE185" t="str">
        <f>""</f>
        <v/>
      </c>
      <c r="DF185" t="str">
        <f>""</f>
        <v/>
      </c>
      <c r="DG185" t="str">
        <f>""</f>
        <v/>
      </c>
      <c r="DH185" t="str">
        <f>""</f>
        <v/>
      </c>
      <c r="DI185" t="str">
        <f>""</f>
        <v/>
      </c>
      <c r="DJ185" t="str">
        <f>""</f>
        <v/>
      </c>
      <c r="DK185" t="str">
        <f>""</f>
        <v/>
      </c>
      <c r="DL185" t="str">
        <f>""</f>
        <v/>
      </c>
      <c r="DM185" t="str">
        <f>""</f>
        <v/>
      </c>
      <c r="DN185" t="str">
        <f>""</f>
        <v/>
      </c>
      <c r="DO185" t="str">
        <f>""</f>
        <v/>
      </c>
      <c r="DP185" t="str">
        <f>""</f>
        <v/>
      </c>
      <c r="DQ185" t="str">
        <f>""</f>
        <v/>
      </c>
      <c r="DR185" t="str">
        <f>""</f>
        <v/>
      </c>
      <c r="DS185" t="str">
        <f>""</f>
        <v/>
      </c>
      <c r="DT185" t="str">
        <f>""</f>
        <v/>
      </c>
      <c r="DU185" t="str">
        <f>""</f>
        <v/>
      </c>
    </row>
    <row r="186" spans="1:125" x14ac:dyDescent="0.25">
      <c r="A186" t="str">
        <f>$A$34</f>
        <v xml:space="preserve">            Italy</v>
      </c>
      <c r="B186" t="str">
        <f>$B$34</f>
        <v>WCARITI Index</v>
      </c>
      <c r="C186" t="str">
        <f>$C$34</f>
        <v>PX385</v>
      </c>
      <c r="D186" t="str">
        <f>$D$34</f>
        <v>INTERVAL_SUM</v>
      </c>
      <c r="E186" t="str">
        <f>$E$34</f>
        <v>Dynamic</v>
      </c>
      <c r="F186" t="str">
        <f ca="1">_xll.BDP($B$34,$C$34,CONCATENATE("PX391=", $F$158), CONCATENATE("PX392=",$F$159), CONCATENATE("DS004=",$B$151), "Fill=B")</f>
        <v>#N/A Connection</v>
      </c>
      <c r="G186" t="str">
        <f ca="1">_xll.BDP($B$34,$C$34,CONCATENATE("PX391=", $G$158), CONCATENATE("PX392=",$G$159), CONCATENATE("DS004=",$B$151), "Fill=B")</f>
        <v>#N/A Connection</v>
      </c>
      <c r="H186" t="str">
        <f ca="1">_xll.BDP($B$34,$C$34,CONCATENATE("PX391=", $H$158), CONCATENATE("PX392=",$H$159), CONCATENATE("DS004=",$B$151), "Fill=B")</f>
        <v>#N/A Connection</v>
      </c>
      <c r="I186" t="str">
        <f ca="1">_xll.BDP($B$34,$C$34,CONCATENATE("PX391=", $I$158), CONCATENATE("PX392=",$I$159), CONCATENATE("DS004=",$B$151), "Fill=B")</f>
        <v>#N/A Connection</v>
      </c>
      <c r="J186" t="str">
        <f ca="1">_xll.BDP($B$34,$C$34,CONCATENATE("PX391=", $J$158), CONCATENATE("PX392=",$J$159), CONCATENATE("DS004=",$B$151), "Fill=B")</f>
        <v>#N/A Connection</v>
      </c>
      <c r="K186" t="str">
        <f ca="1">_xll.BDP($B$34,$C$34,CONCATENATE("PX391=", $K$158), CONCATENATE("PX392=",$K$159), CONCATENATE("DS004=",$B$151), "Fill=B")</f>
        <v>#N/A Connection</v>
      </c>
      <c r="L186" t="str">
        <f ca="1">_xll.BDP($B$34,$C$34,CONCATENATE("PX391=", $L$158), CONCATENATE("PX392=",$L$159), CONCATENATE("DS004=",$B$151), "Fill=B")</f>
        <v>#N/A Connection</v>
      </c>
      <c r="M186" t="str">
        <f ca="1">_xll.BDP($B$34,$C$34,CONCATENATE("PX391=", $M$158), CONCATENATE("PX392=",$M$159), CONCATENATE("DS004=",$B$151), "Fill=B")</f>
        <v>#N/A Connection</v>
      </c>
      <c r="N186" t="str">
        <f ca="1">_xll.BDP($B$34,$C$34,CONCATENATE("PX391=", $N$158), CONCATENATE("PX392=",$N$159), CONCATENATE("DS004=",$B$151), "Fill=B")</f>
        <v>#N/A Connection</v>
      </c>
      <c r="O186" t="str">
        <f ca="1">_xll.BDP($B$34,$C$34,CONCATENATE("PX391=", $O$158), CONCATENATE("PX392=",$O$159), CONCATENATE("DS004=",$B$151), "Fill=B")</f>
        <v>#N/A Connection</v>
      </c>
      <c r="P186" t="str">
        <f ca="1">_xll.BDP($B$34,$C$34,CONCATENATE("PX391=", $P$158), CONCATENATE("PX392=",$P$159), CONCATENATE("DS004=",$B$151), "Fill=B")</f>
        <v>#N/A Connection</v>
      </c>
      <c r="Q186" t="str">
        <f ca="1">_xll.BDP($B$34,$C$34,CONCATENATE("PX391=", $Q$158), CONCATENATE("PX392=",$Q$159), CONCATENATE("DS004=",$B$151), "Fill=B")</f>
        <v>#N/A Connection</v>
      </c>
      <c r="R186" t="str">
        <f ca="1">_xll.BDP($B$34,$C$34,CONCATENATE("PX391=", $R$158), CONCATENATE("PX392=",$R$159), CONCATENATE("DS004=",$B$151), "Fill=B")</f>
        <v>#N/A Connection</v>
      </c>
      <c r="S186" t="str">
        <f ca="1">_xll.BDP($B$34,$C$34,CONCATENATE("PX391=", $S$158), CONCATENATE("PX392=",$S$159), CONCATENATE("DS004=",$B$151), "Fill=B")</f>
        <v>#N/A Connection</v>
      </c>
      <c r="T186" t="str">
        <f ca="1">_xll.BDP($B$34,$C$34,CONCATENATE("PX391=", $T$158), CONCATENATE("PX392=",$T$159), CONCATENATE("DS004=",$B$151), "Fill=B")</f>
        <v>#N/A Connection</v>
      </c>
      <c r="U186" t="str">
        <f ca="1">_xll.BDP($B$34,$C$34,CONCATENATE("PX391=", $U$158), CONCATENATE("PX392=",$U$159), CONCATENATE("DS004=",$B$151), "Fill=B")</f>
        <v>#N/A Connection</v>
      </c>
      <c r="V186" t="str">
        <f ca="1">_xll.BDP($B$34,$C$34,CONCATENATE("PX391=", $V$158), CONCATENATE("PX392=",$V$159), CONCATENATE("DS004=",$B$151), "Fill=B")</f>
        <v>#N/A Connection</v>
      </c>
      <c r="W186" t="str">
        <f ca="1">_xll.BDP($B$34,$C$34,CONCATENATE("PX391=", $W$158), CONCATENATE("PX392=",$W$159), CONCATENATE("DS004=",$B$151), "Fill=B")</f>
        <v>#N/A Connection</v>
      </c>
      <c r="X186" t="str">
        <f ca="1">_xll.BDP($B$34,$C$34,CONCATENATE("PX391=", $X$158), CONCATENATE("PX392=",$X$159), CONCATENATE("DS004=",$B$151), "Fill=B")</f>
        <v>#N/A Connection</v>
      </c>
      <c r="Y186" t="str">
        <f ca="1">_xll.BDP($B$34,$C$34,CONCATENATE("PX391=", $Y$158), CONCATENATE("PX392=",$Y$159), CONCATENATE("DS004=",$B$151), "Fill=B")</f>
        <v>#N/A Connection</v>
      </c>
      <c r="Z186" t="str">
        <f ca="1">_xll.BDP($B$34,$C$34,CONCATENATE("PX391=", $Z$158), CONCATENATE("PX392=",$Z$159), CONCATENATE("DS004=",$B$151), "Fill=B")</f>
        <v>#N/A Connection</v>
      </c>
      <c r="AA186" t="str">
        <f ca="1">_xll.BDP($B$34,$C$34,CONCATENATE("PX391=", $AA$158), CONCATENATE("PX392=",$AA$159), CONCATENATE("DS004=",$B$151), "Fill=B")</f>
        <v>#N/A Connection</v>
      </c>
      <c r="AB186" t="str">
        <f ca="1">_xll.BDP($B$34,$C$34,CONCATENATE("PX391=", $AB$158), CONCATENATE("PX392=",$AB$159), CONCATENATE("DS004=",$B$151), "Fill=B")</f>
        <v>#N/A Connection</v>
      </c>
      <c r="AC186" t="str">
        <f ca="1">_xll.BDP($B$34,$C$34,CONCATENATE("PX391=", $AC$158), CONCATENATE("PX392=",$AC$159), CONCATENATE("DS004=",$B$151), "Fill=B")</f>
        <v>#N/A Connection</v>
      </c>
      <c r="AD186" t="str">
        <f ca="1">_xll.BDP($B$34,$C$34,CONCATENATE("PX391=", $AD$158), CONCATENATE("PX392=",$AD$159), CONCATENATE("DS004=",$B$151), "Fill=B")</f>
        <v>#N/A Connection</v>
      </c>
      <c r="AE186" t="str">
        <f ca="1">_xll.BDP($B$34,$C$34,CONCATENATE("PX391=", $AE$158), CONCATENATE("PX392=",$AE$159), CONCATENATE("DS004=",$B$151), "Fill=B")</f>
        <v>#N/A Connection</v>
      </c>
      <c r="AF186" t="str">
        <f ca="1">_xll.BDP($B$34,$C$34,CONCATENATE("PX391=", $AF$158), CONCATENATE("PX392=",$AF$159), CONCATENATE("DS004=",$B$151), "Fill=B")</f>
        <v>#N/A Connection</v>
      </c>
      <c r="AG186" t="str">
        <f ca="1">_xll.BDP($B$34,$C$34,CONCATENATE("PX391=", $AG$158), CONCATENATE("PX392=",$AG$159), CONCATENATE("DS004=",$B$151), "Fill=B")</f>
        <v>#N/A Connection</v>
      </c>
      <c r="AH186" t="str">
        <f ca="1">_xll.BDP($B$34,$C$34,CONCATENATE("PX391=", $AH$158), CONCATENATE("PX392=",$AH$159), CONCATENATE("DS004=",$B$151), "Fill=B")</f>
        <v>#N/A Connection</v>
      </c>
      <c r="AI186" t="str">
        <f ca="1">_xll.BDP($B$34,$C$34,CONCATENATE("PX391=", $AI$158), CONCATENATE("PX392=",$AI$159), CONCATENATE("DS004=",$B$151), "Fill=B")</f>
        <v>#N/A Connection</v>
      </c>
      <c r="AJ186" t="str">
        <f ca="1">_xll.BDP($B$34,$C$34,CONCATENATE("PX391=", $AJ$158), CONCATENATE("PX392=",$AJ$159), CONCATENATE("DS004=",$B$151), "Fill=B")</f>
        <v>#N/A Connection</v>
      </c>
      <c r="AK186" t="str">
        <f ca="1">_xll.BDP($B$34,$C$34,CONCATENATE("PX391=", $AK$158), CONCATENATE("PX392=",$AK$159), CONCATENATE("DS004=",$B$151), "Fill=B")</f>
        <v>#N/A Connection</v>
      </c>
      <c r="AL186" t="str">
        <f ca="1">_xll.BDP($B$34,$C$34,CONCATENATE("PX391=", $AL$158), CONCATENATE("PX392=",$AL$159), CONCATENATE("DS004=",$B$151), "Fill=B")</f>
        <v>#N/A Connection</v>
      </c>
      <c r="AM186" t="str">
        <f ca="1">_xll.BDP($B$34,$C$34,CONCATENATE("PX391=", $AM$158), CONCATENATE("PX392=",$AM$159), CONCATENATE("DS004=",$B$151), "Fill=B")</f>
        <v>#N/A Connection</v>
      </c>
      <c r="AN186" t="str">
        <f ca="1">_xll.BDP($B$34,$C$34,CONCATENATE("PX391=", $AN$158), CONCATENATE("PX392=",$AN$159), CONCATENATE("DS004=",$B$151), "Fill=B")</f>
        <v>#N/A Connection</v>
      </c>
      <c r="AO186" t="str">
        <f ca="1">_xll.BDP($B$34,$C$34,CONCATENATE("PX391=", $AO$158), CONCATENATE("PX392=",$AO$159), CONCATENATE("DS004=",$B$151), "Fill=B")</f>
        <v>#N/A Connection</v>
      </c>
      <c r="AP186" t="str">
        <f ca="1">_xll.BDP($B$34,$C$34,CONCATENATE("PX391=", $AP$158), CONCATENATE("PX392=",$AP$159), CONCATENATE("DS004=",$B$151), "Fill=B")</f>
        <v>#N/A Connection</v>
      </c>
      <c r="AQ186" t="str">
        <f ca="1">_xll.BDP($B$34,$C$34,CONCATENATE("PX391=", $AQ$158), CONCATENATE("PX392=",$AQ$159), CONCATENATE("DS004=",$B$151), "Fill=B")</f>
        <v>#N/A Connection</v>
      </c>
      <c r="AR186" t="str">
        <f ca="1">_xll.BDP($B$34,$C$34,CONCATENATE("PX391=", $AR$158), CONCATENATE("PX392=",$AR$159), CONCATENATE("DS004=",$B$151), "Fill=B")</f>
        <v>#N/A Connection</v>
      </c>
      <c r="AS186" t="str">
        <f ca="1">_xll.BDP($B$34,$C$34,CONCATENATE("PX391=", $AS$158), CONCATENATE("PX392=",$AS$159), CONCATENATE("DS004=",$B$151), "Fill=B")</f>
        <v>#N/A Connection</v>
      </c>
      <c r="AT186" t="str">
        <f ca="1">_xll.BDP($B$34,$C$34,CONCATENATE("PX391=", $AT$158), CONCATENATE("PX392=",$AT$159), CONCATENATE("DS004=",$B$151), "Fill=B")</f>
        <v>#N/A Connection</v>
      </c>
      <c r="AU186" t="str">
        <f ca="1">_xll.BDP($B$34,$C$34,CONCATENATE("PX391=", $AU$158), CONCATENATE("PX392=",$AU$159), CONCATENATE("DS004=",$B$151), "Fill=B")</f>
        <v>#N/A Connection</v>
      </c>
      <c r="AV186" t="str">
        <f ca="1">_xll.BDP($B$34,$C$34,CONCATENATE("PX391=", $AV$158), CONCATENATE("PX392=",$AV$159), CONCATENATE("DS004=",$B$151), "Fill=B")</f>
        <v>#N/A Connection</v>
      </c>
      <c r="AW186" t="str">
        <f ca="1">_xll.BDP($B$34,$C$34,CONCATENATE("PX391=", $AW$158), CONCATENATE("PX392=",$AW$159), CONCATENATE("DS004=",$B$151), "Fill=B")</f>
        <v>#N/A Connection</v>
      </c>
      <c r="AX186" t="str">
        <f ca="1">_xll.BDP($B$34,$C$34,CONCATENATE("PX391=", $AX$158), CONCATENATE("PX392=",$AX$159), CONCATENATE("DS004=",$B$151), "Fill=B")</f>
        <v>#N/A Connection</v>
      </c>
      <c r="AY186" t="str">
        <f ca="1">_xll.BDP($B$34,$C$34,CONCATENATE("PX391=", $AY$158), CONCATENATE("PX392=",$AY$159), CONCATENATE("DS004=",$B$151), "Fill=B")</f>
        <v>#N/A Connection</v>
      </c>
      <c r="AZ186" t="str">
        <f ca="1">_xll.BDP($B$34,$C$34,CONCATENATE("PX391=", $AZ$158), CONCATENATE("PX392=",$AZ$159), CONCATENATE("DS004=",$B$151), "Fill=B")</f>
        <v>#N/A Connection</v>
      </c>
      <c r="BA186" t="str">
        <f ca="1">_xll.BDP($B$34,$C$34,CONCATENATE("PX391=", $BA$158), CONCATENATE("PX392=",$BA$159), CONCATENATE("DS004=",$B$151), "Fill=B")</f>
        <v>#N/A Connection</v>
      </c>
      <c r="BB186" t="str">
        <f ca="1">_xll.BDP($B$34,$C$34,CONCATENATE("PX391=", $BB$158), CONCATENATE("PX392=",$BB$159), CONCATENATE("DS004=",$B$151), "Fill=B")</f>
        <v>#N/A Connection</v>
      </c>
      <c r="BC186" t="str">
        <f ca="1">_xll.BDP($B$34,$C$34,CONCATENATE("PX391=", $BC$158), CONCATENATE("PX392=",$BC$159), CONCATENATE("DS004=",$B$151), "Fill=B")</f>
        <v>#N/A Connection</v>
      </c>
      <c r="BD186" t="str">
        <f ca="1">_xll.BDP($B$34,$C$34,CONCATENATE("PX391=", $BD$158), CONCATENATE("PX392=",$BD$159), CONCATENATE("DS004=",$B$151), "Fill=B")</f>
        <v>#N/A Connection</v>
      </c>
      <c r="BE186" t="str">
        <f ca="1">_xll.BDP($B$34,$C$34,CONCATENATE("PX391=", $BE$158), CONCATENATE("PX392=",$BE$159), CONCATENATE("DS004=",$B$151), "Fill=B")</f>
        <v>#N/A Connection</v>
      </c>
      <c r="BF186" t="str">
        <f ca="1">_xll.BDP($B$34,$C$34,CONCATENATE("PX391=", $BF$158), CONCATENATE("PX392=",$BF$159), CONCATENATE("DS004=",$B$151), "Fill=B")</f>
        <v>#N/A Connection</v>
      </c>
      <c r="BG186" t="str">
        <f ca="1">_xll.BDP($B$34,$C$34,CONCATENATE("PX391=", $BG$158), CONCATENATE("PX392=",$BG$159), CONCATENATE("DS004=",$B$151), "Fill=B")</f>
        <v>#N/A Connection</v>
      </c>
      <c r="BH186" t="str">
        <f ca="1">_xll.BDP($B$34,$C$34,CONCATENATE("PX391=", $BH$158), CONCATENATE("PX392=",$BH$159), CONCATENATE("DS004=",$B$151), "Fill=B")</f>
        <v>#N/A Connection</v>
      </c>
      <c r="BI186" t="str">
        <f ca="1">_xll.BDP($B$34,$C$34,CONCATENATE("PX391=", $BI$158), CONCATENATE("PX392=",$BI$159), CONCATENATE("DS004=",$B$151), "Fill=B")</f>
        <v>#N/A Connection</v>
      </c>
      <c r="BJ186" t="str">
        <f ca="1">_xll.BDP($B$34,$C$34,CONCATENATE("PX391=", $BJ$158), CONCATENATE("PX392=",$BJ$159), CONCATENATE("DS004=",$B$151), "Fill=B")</f>
        <v>#N/A Connection</v>
      </c>
      <c r="BK186" t="str">
        <f ca="1">_xll.BDP($B$34,$C$34,CONCATENATE("PX391=", $BK$158), CONCATENATE("PX392=",$BK$159), CONCATENATE("DS004=",$B$151), "Fill=B")</f>
        <v>#N/A Connection</v>
      </c>
      <c r="BL186" t="str">
        <f ca="1">_xll.BDP($B$34,$C$34,CONCATENATE("PX391=", $BL$158), CONCATENATE("PX392=",$BL$159), CONCATENATE("DS004=",$B$151), "Fill=B")</f>
        <v>#N/A Connection</v>
      </c>
      <c r="BM186" t="str">
        <f ca="1">_xll.BDP($B$34,$C$34,CONCATENATE("PX391=", $BM$158), CONCATENATE("PX392=",$BM$159), CONCATENATE("DS004=",$B$151), "Fill=B")</f>
        <v>#N/A Connection</v>
      </c>
      <c r="BN186" t="str">
        <f>""</f>
        <v/>
      </c>
      <c r="BO186" t="str">
        <f>""</f>
        <v/>
      </c>
      <c r="BP186" t="str">
        <f>""</f>
        <v/>
      </c>
      <c r="BQ186" t="str">
        <f>""</f>
        <v/>
      </c>
      <c r="BR186" t="str">
        <f>""</f>
        <v/>
      </c>
      <c r="BS186" t="str">
        <f>""</f>
        <v/>
      </c>
      <c r="BT186" t="str">
        <f>""</f>
        <v/>
      </c>
      <c r="BU186" t="str">
        <f>""</f>
        <v/>
      </c>
      <c r="BV186" t="str">
        <f>""</f>
        <v/>
      </c>
      <c r="BW186" t="str">
        <f>""</f>
        <v/>
      </c>
      <c r="BX186" t="str">
        <f>""</f>
        <v/>
      </c>
      <c r="BY186" t="str">
        <f>""</f>
        <v/>
      </c>
      <c r="BZ186" t="str">
        <f>""</f>
        <v/>
      </c>
      <c r="CA186" t="str">
        <f>""</f>
        <v/>
      </c>
      <c r="CB186" t="str">
        <f>""</f>
        <v/>
      </c>
      <c r="CC186" t="str">
        <f>""</f>
        <v/>
      </c>
      <c r="CD186" t="str">
        <f>""</f>
        <v/>
      </c>
      <c r="CE186" t="str">
        <f>""</f>
        <v/>
      </c>
      <c r="CF186" t="str">
        <f>""</f>
        <v/>
      </c>
      <c r="CG186" t="str">
        <f>""</f>
        <v/>
      </c>
      <c r="CH186" t="str">
        <f>""</f>
        <v/>
      </c>
      <c r="CI186" t="str">
        <f>""</f>
        <v/>
      </c>
      <c r="CJ186" t="str">
        <f>""</f>
        <v/>
      </c>
      <c r="CK186" t="str">
        <f>""</f>
        <v/>
      </c>
      <c r="CL186" t="str">
        <f>""</f>
        <v/>
      </c>
      <c r="CM186" t="str">
        <f>""</f>
        <v/>
      </c>
      <c r="CN186" t="str">
        <f>""</f>
        <v/>
      </c>
      <c r="CO186" t="str">
        <f>""</f>
        <v/>
      </c>
      <c r="CP186" t="str">
        <f>""</f>
        <v/>
      </c>
      <c r="CQ186" t="str">
        <f>""</f>
        <v/>
      </c>
      <c r="CR186" t="str">
        <f>""</f>
        <v/>
      </c>
      <c r="CS186" t="str">
        <f>""</f>
        <v/>
      </c>
      <c r="CT186" t="str">
        <f>""</f>
        <v/>
      </c>
      <c r="CU186" t="str">
        <f>""</f>
        <v/>
      </c>
      <c r="CV186" t="str">
        <f>""</f>
        <v/>
      </c>
      <c r="CW186" t="str">
        <f>""</f>
        <v/>
      </c>
      <c r="CX186" t="str">
        <f>""</f>
        <v/>
      </c>
      <c r="CY186" t="str">
        <f>""</f>
        <v/>
      </c>
      <c r="CZ186" t="str">
        <f>""</f>
        <v/>
      </c>
      <c r="DA186" t="str">
        <f>""</f>
        <v/>
      </c>
      <c r="DB186" t="str">
        <f>""</f>
        <v/>
      </c>
      <c r="DC186" t="str">
        <f>""</f>
        <v/>
      </c>
      <c r="DD186" t="str">
        <f>""</f>
        <v/>
      </c>
      <c r="DE186" t="str">
        <f>""</f>
        <v/>
      </c>
      <c r="DF186" t="str">
        <f>""</f>
        <v/>
      </c>
      <c r="DG186" t="str">
        <f>""</f>
        <v/>
      </c>
      <c r="DH186" t="str">
        <f>""</f>
        <v/>
      </c>
      <c r="DI186" t="str">
        <f>""</f>
        <v/>
      </c>
      <c r="DJ186" t="str">
        <f>""</f>
        <v/>
      </c>
      <c r="DK186" t="str">
        <f>""</f>
        <v/>
      </c>
      <c r="DL186" t="str">
        <f>""</f>
        <v/>
      </c>
      <c r="DM186" t="str">
        <f>""</f>
        <v/>
      </c>
      <c r="DN186" t="str">
        <f>""</f>
        <v/>
      </c>
      <c r="DO186" t="str">
        <f>""</f>
        <v/>
      </c>
      <c r="DP186" t="str">
        <f>""</f>
        <v/>
      </c>
      <c r="DQ186" t="str">
        <f>""</f>
        <v/>
      </c>
      <c r="DR186" t="str">
        <f>""</f>
        <v/>
      </c>
      <c r="DS186" t="str">
        <f>""</f>
        <v/>
      </c>
      <c r="DT186" t="str">
        <f>""</f>
        <v/>
      </c>
      <c r="DU186" t="str">
        <f>""</f>
        <v/>
      </c>
    </row>
    <row r="187" spans="1:125" x14ac:dyDescent="0.25">
      <c r="A187" t="str">
        <f>$A$35</f>
        <v xml:space="preserve">            Luxembourg</v>
      </c>
      <c r="B187" t="str">
        <f>$B$35</f>
        <v>WCARLUI Index</v>
      </c>
      <c r="C187" t="str">
        <f>$C$35</f>
        <v>PX385</v>
      </c>
      <c r="D187" t="str">
        <f>$D$35</f>
        <v>INTERVAL_SUM</v>
      </c>
      <c r="E187" t="str">
        <f>$E$35</f>
        <v>Dynamic</v>
      </c>
      <c r="F187" t="str">
        <f ca="1">_xll.BDP($B$35,$C$35,CONCATENATE("PX391=", $F$158), CONCATENATE("PX392=",$F$159), CONCATENATE("DS004=",$B$151), "Fill=B")</f>
        <v>#N/A Connection</v>
      </c>
      <c r="G187" t="str">
        <f ca="1">_xll.BDP($B$35,$C$35,CONCATENATE("PX391=", $G$158), CONCATENATE("PX392=",$G$159), CONCATENATE("DS004=",$B$151), "Fill=B")</f>
        <v>#N/A Connection</v>
      </c>
      <c r="H187" t="str">
        <f ca="1">_xll.BDP($B$35,$C$35,CONCATENATE("PX391=", $H$158), CONCATENATE("PX392=",$H$159), CONCATENATE("DS004=",$B$151), "Fill=B")</f>
        <v>#N/A Connection</v>
      </c>
      <c r="I187" t="str">
        <f ca="1">_xll.BDP($B$35,$C$35,CONCATENATE("PX391=", $I$158), CONCATENATE("PX392=",$I$159), CONCATENATE("DS004=",$B$151), "Fill=B")</f>
        <v>#N/A Connection</v>
      </c>
      <c r="J187" t="str">
        <f ca="1">_xll.BDP($B$35,$C$35,CONCATENATE("PX391=", $J$158), CONCATENATE("PX392=",$J$159), CONCATENATE("DS004=",$B$151), "Fill=B")</f>
        <v>#N/A Connection</v>
      </c>
      <c r="K187" t="str">
        <f ca="1">_xll.BDP($B$35,$C$35,CONCATENATE("PX391=", $K$158), CONCATENATE("PX392=",$K$159), CONCATENATE("DS004=",$B$151), "Fill=B")</f>
        <v>#N/A Connection</v>
      </c>
      <c r="L187" t="str">
        <f ca="1">_xll.BDP($B$35,$C$35,CONCATENATE("PX391=", $L$158), CONCATENATE("PX392=",$L$159), CONCATENATE("DS004=",$B$151), "Fill=B")</f>
        <v>#N/A Connection</v>
      </c>
      <c r="M187" t="str">
        <f ca="1">_xll.BDP($B$35,$C$35,CONCATENATE("PX391=", $M$158), CONCATENATE("PX392=",$M$159), CONCATENATE("DS004=",$B$151), "Fill=B")</f>
        <v>#N/A Connection</v>
      </c>
      <c r="N187" t="str">
        <f ca="1">_xll.BDP($B$35,$C$35,CONCATENATE("PX391=", $N$158), CONCATENATE("PX392=",$N$159), CONCATENATE("DS004=",$B$151), "Fill=B")</f>
        <v>#N/A Connection</v>
      </c>
      <c r="O187" t="str">
        <f ca="1">_xll.BDP($B$35,$C$35,CONCATENATE("PX391=", $O$158), CONCATENATE("PX392=",$O$159), CONCATENATE("DS004=",$B$151), "Fill=B")</f>
        <v>#N/A Connection</v>
      </c>
      <c r="P187" t="str">
        <f ca="1">_xll.BDP($B$35,$C$35,CONCATENATE("PX391=", $P$158), CONCATENATE("PX392=",$P$159), CONCATENATE("DS004=",$B$151), "Fill=B")</f>
        <v>#N/A Connection</v>
      </c>
      <c r="Q187" t="str">
        <f ca="1">_xll.BDP($B$35,$C$35,CONCATENATE("PX391=", $Q$158), CONCATENATE("PX392=",$Q$159), CONCATENATE("DS004=",$B$151), "Fill=B")</f>
        <v>#N/A Connection</v>
      </c>
      <c r="R187" t="str">
        <f ca="1">_xll.BDP($B$35,$C$35,CONCATENATE("PX391=", $R$158), CONCATENATE("PX392=",$R$159), CONCATENATE("DS004=",$B$151), "Fill=B")</f>
        <v>#N/A Connection</v>
      </c>
      <c r="S187" t="str">
        <f ca="1">_xll.BDP($B$35,$C$35,CONCATENATE("PX391=", $S$158), CONCATENATE("PX392=",$S$159), CONCATENATE("DS004=",$B$151), "Fill=B")</f>
        <v>#N/A Connection</v>
      </c>
      <c r="T187" t="str">
        <f ca="1">_xll.BDP($B$35,$C$35,CONCATENATE("PX391=", $T$158), CONCATENATE("PX392=",$T$159), CONCATENATE("DS004=",$B$151), "Fill=B")</f>
        <v>#N/A Connection</v>
      </c>
      <c r="U187" t="str">
        <f ca="1">_xll.BDP($B$35,$C$35,CONCATENATE("PX391=", $U$158), CONCATENATE("PX392=",$U$159), CONCATENATE("DS004=",$B$151), "Fill=B")</f>
        <v>#N/A Connection</v>
      </c>
      <c r="V187" t="str">
        <f ca="1">_xll.BDP($B$35,$C$35,CONCATENATE("PX391=", $V$158), CONCATENATE("PX392=",$V$159), CONCATENATE("DS004=",$B$151), "Fill=B")</f>
        <v>#N/A Connection</v>
      </c>
      <c r="W187" t="str">
        <f ca="1">_xll.BDP($B$35,$C$35,CONCATENATE("PX391=", $W$158), CONCATENATE("PX392=",$W$159), CONCATENATE("DS004=",$B$151), "Fill=B")</f>
        <v>#N/A Connection</v>
      </c>
      <c r="X187" t="str">
        <f ca="1">_xll.BDP($B$35,$C$35,CONCATENATE("PX391=", $X$158), CONCATENATE("PX392=",$X$159), CONCATENATE("DS004=",$B$151), "Fill=B")</f>
        <v>#N/A Connection</v>
      </c>
      <c r="Y187" t="str">
        <f ca="1">_xll.BDP($B$35,$C$35,CONCATENATE("PX391=", $Y$158), CONCATENATE("PX392=",$Y$159), CONCATENATE("DS004=",$B$151), "Fill=B")</f>
        <v>#N/A Connection</v>
      </c>
      <c r="Z187" t="str">
        <f ca="1">_xll.BDP($B$35,$C$35,CONCATENATE("PX391=", $Z$158), CONCATENATE("PX392=",$Z$159), CONCATENATE("DS004=",$B$151), "Fill=B")</f>
        <v>#N/A Connection</v>
      </c>
      <c r="AA187" t="str">
        <f ca="1">_xll.BDP($B$35,$C$35,CONCATENATE("PX391=", $AA$158), CONCATENATE("PX392=",$AA$159), CONCATENATE("DS004=",$B$151), "Fill=B")</f>
        <v>#N/A Connection</v>
      </c>
      <c r="AB187" t="str">
        <f ca="1">_xll.BDP($B$35,$C$35,CONCATENATE("PX391=", $AB$158), CONCATENATE("PX392=",$AB$159), CONCATENATE("DS004=",$B$151), "Fill=B")</f>
        <v>#N/A Connection</v>
      </c>
      <c r="AC187" t="str">
        <f ca="1">_xll.BDP($B$35,$C$35,CONCATENATE("PX391=", $AC$158), CONCATENATE("PX392=",$AC$159), CONCATENATE("DS004=",$B$151), "Fill=B")</f>
        <v>#N/A Connection</v>
      </c>
      <c r="AD187" t="str">
        <f ca="1">_xll.BDP($B$35,$C$35,CONCATENATE("PX391=", $AD$158), CONCATENATE("PX392=",$AD$159), CONCATENATE("DS004=",$B$151), "Fill=B")</f>
        <v>#N/A Connection</v>
      </c>
      <c r="AE187" t="str">
        <f ca="1">_xll.BDP($B$35,$C$35,CONCATENATE("PX391=", $AE$158), CONCATENATE("PX392=",$AE$159), CONCATENATE("DS004=",$B$151), "Fill=B")</f>
        <v>#N/A Connection</v>
      </c>
      <c r="AF187" t="str">
        <f ca="1">_xll.BDP($B$35,$C$35,CONCATENATE("PX391=", $AF$158), CONCATENATE("PX392=",$AF$159), CONCATENATE("DS004=",$B$151), "Fill=B")</f>
        <v>#N/A Connection</v>
      </c>
      <c r="AG187" t="str">
        <f ca="1">_xll.BDP($B$35,$C$35,CONCATENATE("PX391=", $AG$158), CONCATENATE("PX392=",$AG$159), CONCATENATE("DS004=",$B$151), "Fill=B")</f>
        <v>#N/A Connection</v>
      </c>
      <c r="AH187" t="str">
        <f ca="1">_xll.BDP($B$35,$C$35,CONCATENATE("PX391=", $AH$158), CONCATENATE("PX392=",$AH$159), CONCATENATE("DS004=",$B$151), "Fill=B")</f>
        <v>#N/A Connection</v>
      </c>
      <c r="AI187" t="str">
        <f ca="1">_xll.BDP($B$35,$C$35,CONCATENATE("PX391=", $AI$158), CONCATENATE("PX392=",$AI$159), CONCATENATE("DS004=",$B$151), "Fill=B")</f>
        <v>#N/A Connection</v>
      </c>
      <c r="AJ187" t="str">
        <f ca="1">_xll.BDP($B$35,$C$35,CONCATENATE("PX391=", $AJ$158), CONCATENATE("PX392=",$AJ$159), CONCATENATE("DS004=",$B$151), "Fill=B")</f>
        <v>#N/A Connection</v>
      </c>
      <c r="AK187" t="str">
        <f ca="1">_xll.BDP($B$35,$C$35,CONCATENATE("PX391=", $AK$158), CONCATENATE("PX392=",$AK$159), CONCATENATE("DS004=",$B$151), "Fill=B")</f>
        <v>#N/A Connection</v>
      </c>
      <c r="AL187" t="str">
        <f ca="1">_xll.BDP($B$35,$C$35,CONCATENATE("PX391=", $AL$158), CONCATENATE("PX392=",$AL$159), CONCATENATE("DS004=",$B$151), "Fill=B")</f>
        <v>#N/A Connection</v>
      </c>
      <c r="AM187" t="str">
        <f ca="1">_xll.BDP($B$35,$C$35,CONCATENATE("PX391=", $AM$158), CONCATENATE("PX392=",$AM$159), CONCATENATE("DS004=",$B$151), "Fill=B")</f>
        <v>#N/A Connection</v>
      </c>
      <c r="AN187" t="str">
        <f ca="1">_xll.BDP($B$35,$C$35,CONCATENATE("PX391=", $AN$158), CONCATENATE("PX392=",$AN$159), CONCATENATE("DS004=",$B$151), "Fill=B")</f>
        <v>#N/A Connection</v>
      </c>
      <c r="AO187" t="str">
        <f ca="1">_xll.BDP($B$35,$C$35,CONCATENATE("PX391=", $AO$158), CONCATENATE("PX392=",$AO$159), CONCATENATE("DS004=",$B$151), "Fill=B")</f>
        <v>#N/A Connection</v>
      </c>
      <c r="AP187" t="str">
        <f ca="1">_xll.BDP($B$35,$C$35,CONCATENATE("PX391=", $AP$158), CONCATENATE("PX392=",$AP$159), CONCATENATE("DS004=",$B$151), "Fill=B")</f>
        <v>#N/A Connection</v>
      </c>
      <c r="AQ187" t="str">
        <f ca="1">_xll.BDP($B$35,$C$35,CONCATENATE("PX391=", $AQ$158), CONCATENATE("PX392=",$AQ$159), CONCATENATE("DS004=",$B$151), "Fill=B")</f>
        <v>#N/A Connection</v>
      </c>
      <c r="AR187" t="str">
        <f ca="1">_xll.BDP($B$35,$C$35,CONCATENATE("PX391=", $AR$158), CONCATENATE("PX392=",$AR$159), CONCATENATE("DS004=",$B$151), "Fill=B")</f>
        <v>#N/A Connection</v>
      </c>
      <c r="AS187" t="str">
        <f ca="1">_xll.BDP($B$35,$C$35,CONCATENATE("PX391=", $AS$158), CONCATENATE("PX392=",$AS$159), CONCATENATE("DS004=",$B$151), "Fill=B")</f>
        <v>#N/A Connection</v>
      </c>
      <c r="AT187" t="str">
        <f ca="1">_xll.BDP($B$35,$C$35,CONCATENATE("PX391=", $AT$158), CONCATENATE("PX392=",$AT$159), CONCATENATE("DS004=",$B$151), "Fill=B")</f>
        <v>#N/A Connection</v>
      </c>
      <c r="AU187" t="str">
        <f ca="1">_xll.BDP($B$35,$C$35,CONCATENATE("PX391=", $AU$158), CONCATENATE("PX392=",$AU$159), CONCATENATE("DS004=",$B$151), "Fill=B")</f>
        <v>#N/A Connection</v>
      </c>
      <c r="AV187" t="str">
        <f ca="1">_xll.BDP($B$35,$C$35,CONCATENATE("PX391=", $AV$158), CONCATENATE("PX392=",$AV$159), CONCATENATE("DS004=",$B$151), "Fill=B")</f>
        <v>#N/A Connection</v>
      </c>
      <c r="AW187" t="str">
        <f ca="1">_xll.BDP($B$35,$C$35,CONCATENATE("PX391=", $AW$158), CONCATENATE("PX392=",$AW$159), CONCATENATE("DS004=",$B$151), "Fill=B")</f>
        <v>#N/A Connection</v>
      </c>
      <c r="AX187" t="str">
        <f ca="1">_xll.BDP($B$35,$C$35,CONCATENATE("PX391=", $AX$158), CONCATENATE("PX392=",$AX$159), CONCATENATE("DS004=",$B$151), "Fill=B")</f>
        <v>#N/A Connection</v>
      </c>
      <c r="AY187" t="str">
        <f ca="1">_xll.BDP($B$35,$C$35,CONCATENATE("PX391=", $AY$158), CONCATENATE("PX392=",$AY$159), CONCATENATE("DS004=",$B$151), "Fill=B")</f>
        <v>#N/A Connection</v>
      </c>
      <c r="AZ187" t="str">
        <f ca="1">_xll.BDP($B$35,$C$35,CONCATENATE("PX391=", $AZ$158), CONCATENATE("PX392=",$AZ$159), CONCATENATE("DS004=",$B$151), "Fill=B")</f>
        <v>#N/A Connection</v>
      </c>
      <c r="BA187" t="str">
        <f ca="1">_xll.BDP($B$35,$C$35,CONCATENATE("PX391=", $BA$158), CONCATENATE("PX392=",$BA$159), CONCATENATE("DS004=",$B$151), "Fill=B")</f>
        <v>#N/A Connection</v>
      </c>
      <c r="BB187" t="str">
        <f ca="1">_xll.BDP($B$35,$C$35,CONCATENATE("PX391=", $BB$158), CONCATENATE("PX392=",$BB$159), CONCATENATE("DS004=",$B$151), "Fill=B")</f>
        <v>#N/A Connection</v>
      </c>
      <c r="BC187" t="str">
        <f ca="1">_xll.BDP($B$35,$C$35,CONCATENATE("PX391=", $BC$158), CONCATENATE("PX392=",$BC$159), CONCATENATE("DS004=",$B$151), "Fill=B")</f>
        <v>#N/A Connection</v>
      </c>
      <c r="BD187" t="str">
        <f ca="1">_xll.BDP($B$35,$C$35,CONCATENATE("PX391=", $BD$158), CONCATENATE("PX392=",$BD$159), CONCATENATE("DS004=",$B$151), "Fill=B")</f>
        <v>#N/A Connection</v>
      </c>
      <c r="BE187" t="str">
        <f ca="1">_xll.BDP($B$35,$C$35,CONCATENATE("PX391=", $BE$158), CONCATENATE("PX392=",$BE$159), CONCATENATE("DS004=",$B$151), "Fill=B")</f>
        <v>#N/A Connection</v>
      </c>
      <c r="BF187" t="str">
        <f ca="1">_xll.BDP($B$35,$C$35,CONCATENATE("PX391=", $BF$158), CONCATENATE("PX392=",$BF$159), CONCATENATE("DS004=",$B$151), "Fill=B")</f>
        <v>#N/A Connection</v>
      </c>
      <c r="BG187" t="str">
        <f ca="1">_xll.BDP($B$35,$C$35,CONCATENATE("PX391=", $BG$158), CONCATENATE("PX392=",$BG$159), CONCATENATE("DS004=",$B$151), "Fill=B")</f>
        <v>#N/A Connection</v>
      </c>
      <c r="BH187" t="str">
        <f ca="1">_xll.BDP($B$35,$C$35,CONCATENATE("PX391=", $BH$158), CONCATENATE("PX392=",$BH$159), CONCATENATE("DS004=",$B$151), "Fill=B")</f>
        <v>#N/A Connection</v>
      </c>
      <c r="BI187" t="str">
        <f ca="1">_xll.BDP($B$35,$C$35,CONCATENATE("PX391=", $BI$158), CONCATENATE("PX392=",$BI$159), CONCATENATE("DS004=",$B$151), "Fill=B")</f>
        <v>#N/A Connection</v>
      </c>
      <c r="BJ187" t="str">
        <f ca="1">_xll.BDP($B$35,$C$35,CONCATENATE("PX391=", $BJ$158), CONCATENATE("PX392=",$BJ$159), CONCATENATE("DS004=",$B$151), "Fill=B")</f>
        <v>#N/A Connection</v>
      </c>
      <c r="BK187" t="str">
        <f ca="1">_xll.BDP($B$35,$C$35,CONCATENATE("PX391=", $BK$158), CONCATENATE("PX392=",$BK$159), CONCATENATE("DS004=",$B$151), "Fill=B")</f>
        <v>#N/A Connection</v>
      </c>
      <c r="BL187" t="str">
        <f ca="1">_xll.BDP($B$35,$C$35,CONCATENATE("PX391=", $BL$158), CONCATENATE("PX392=",$BL$159), CONCATENATE("DS004=",$B$151), "Fill=B")</f>
        <v>#N/A Connection</v>
      </c>
      <c r="BM187" t="str">
        <f ca="1">_xll.BDP($B$35,$C$35,CONCATENATE("PX391=", $BM$158), CONCATENATE("PX392=",$BM$159), CONCATENATE("DS004=",$B$151), "Fill=B")</f>
        <v>#N/A Connection</v>
      </c>
      <c r="BN187" t="str">
        <f>""</f>
        <v/>
      </c>
      <c r="BO187" t="str">
        <f>""</f>
        <v/>
      </c>
      <c r="BP187" t="str">
        <f>""</f>
        <v/>
      </c>
      <c r="BQ187" t="str">
        <f>""</f>
        <v/>
      </c>
      <c r="BR187" t="str">
        <f>""</f>
        <v/>
      </c>
      <c r="BS187" t="str">
        <f>""</f>
        <v/>
      </c>
      <c r="BT187" t="str">
        <f>""</f>
        <v/>
      </c>
      <c r="BU187" t="str">
        <f>""</f>
        <v/>
      </c>
      <c r="BV187" t="str">
        <f>""</f>
        <v/>
      </c>
      <c r="BW187" t="str">
        <f>""</f>
        <v/>
      </c>
      <c r="BX187" t="str">
        <f>""</f>
        <v/>
      </c>
      <c r="BY187" t="str">
        <f>""</f>
        <v/>
      </c>
      <c r="BZ187" t="str">
        <f>""</f>
        <v/>
      </c>
      <c r="CA187" t="str">
        <f>""</f>
        <v/>
      </c>
      <c r="CB187" t="str">
        <f>""</f>
        <v/>
      </c>
      <c r="CC187" t="str">
        <f>""</f>
        <v/>
      </c>
      <c r="CD187" t="str">
        <f>""</f>
        <v/>
      </c>
      <c r="CE187" t="str">
        <f>""</f>
        <v/>
      </c>
      <c r="CF187" t="str">
        <f>""</f>
        <v/>
      </c>
      <c r="CG187" t="str">
        <f>""</f>
        <v/>
      </c>
      <c r="CH187" t="str">
        <f>""</f>
        <v/>
      </c>
      <c r="CI187" t="str">
        <f>""</f>
        <v/>
      </c>
      <c r="CJ187" t="str">
        <f>""</f>
        <v/>
      </c>
      <c r="CK187" t="str">
        <f>""</f>
        <v/>
      </c>
      <c r="CL187" t="str">
        <f>""</f>
        <v/>
      </c>
      <c r="CM187" t="str">
        <f>""</f>
        <v/>
      </c>
      <c r="CN187" t="str">
        <f>""</f>
        <v/>
      </c>
      <c r="CO187" t="str">
        <f>""</f>
        <v/>
      </c>
      <c r="CP187" t="str">
        <f>""</f>
        <v/>
      </c>
      <c r="CQ187" t="str">
        <f>""</f>
        <v/>
      </c>
      <c r="CR187" t="str">
        <f>""</f>
        <v/>
      </c>
      <c r="CS187" t="str">
        <f>""</f>
        <v/>
      </c>
      <c r="CT187" t="str">
        <f>""</f>
        <v/>
      </c>
      <c r="CU187" t="str">
        <f>""</f>
        <v/>
      </c>
      <c r="CV187" t="str">
        <f>""</f>
        <v/>
      </c>
      <c r="CW187" t="str">
        <f>""</f>
        <v/>
      </c>
      <c r="CX187" t="str">
        <f>""</f>
        <v/>
      </c>
      <c r="CY187" t="str">
        <f>""</f>
        <v/>
      </c>
      <c r="CZ187" t="str">
        <f>""</f>
        <v/>
      </c>
      <c r="DA187" t="str">
        <f>""</f>
        <v/>
      </c>
      <c r="DB187" t="str">
        <f>""</f>
        <v/>
      </c>
      <c r="DC187" t="str">
        <f>""</f>
        <v/>
      </c>
      <c r="DD187" t="str">
        <f>""</f>
        <v/>
      </c>
      <c r="DE187" t="str">
        <f>""</f>
        <v/>
      </c>
      <c r="DF187" t="str">
        <f>""</f>
        <v/>
      </c>
      <c r="DG187" t="str">
        <f>""</f>
        <v/>
      </c>
      <c r="DH187" t="str">
        <f>""</f>
        <v/>
      </c>
      <c r="DI187" t="str">
        <f>""</f>
        <v/>
      </c>
      <c r="DJ187" t="str">
        <f>""</f>
        <v/>
      </c>
      <c r="DK187" t="str">
        <f>""</f>
        <v/>
      </c>
      <c r="DL187" t="str">
        <f>""</f>
        <v/>
      </c>
      <c r="DM187" t="str">
        <f>""</f>
        <v/>
      </c>
      <c r="DN187" t="str">
        <f>""</f>
        <v/>
      </c>
      <c r="DO187" t="str">
        <f>""</f>
        <v/>
      </c>
      <c r="DP187" t="str">
        <f>""</f>
        <v/>
      </c>
      <c r="DQ187" t="str">
        <f>""</f>
        <v/>
      </c>
      <c r="DR187" t="str">
        <f>""</f>
        <v/>
      </c>
      <c r="DS187" t="str">
        <f>""</f>
        <v/>
      </c>
      <c r="DT187" t="str">
        <f>""</f>
        <v/>
      </c>
      <c r="DU187" t="str">
        <f>""</f>
        <v/>
      </c>
    </row>
    <row r="188" spans="1:125" x14ac:dyDescent="0.25">
      <c r="A188" t="str">
        <f>$A$36</f>
        <v xml:space="preserve">            Netherlands</v>
      </c>
      <c r="B188" t="str">
        <f>$B$36</f>
        <v>WCARNLI Index</v>
      </c>
      <c r="C188" t="str">
        <f>$C$36</f>
        <v>PX385</v>
      </c>
      <c r="D188" t="str">
        <f>$D$36</f>
        <v>INTERVAL_SUM</v>
      </c>
      <c r="E188" t="str">
        <f>$E$36</f>
        <v>Dynamic</v>
      </c>
      <c r="F188" t="str">
        <f ca="1">_xll.BDP($B$36,$C$36,CONCATENATE("PX391=", $F$158), CONCATENATE("PX392=",$F$159), CONCATENATE("DS004=",$B$151), "Fill=B")</f>
        <v>#N/A Connection</v>
      </c>
      <c r="G188" t="str">
        <f ca="1">_xll.BDP($B$36,$C$36,CONCATENATE("PX391=", $G$158), CONCATENATE("PX392=",$G$159), CONCATENATE("DS004=",$B$151), "Fill=B")</f>
        <v>#N/A Connection</v>
      </c>
      <c r="H188" t="str">
        <f ca="1">_xll.BDP($B$36,$C$36,CONCATENATE("PX391=", $H$158), CONCATENATE("PX392=",$H$159), CONCATENATE("DS004=",$B$151), "Fill=B")</f>
        <v>#N/A Connection</v>
      </c>
      <c r="I188" t="str">
        <f ca="1">_xll.BDP($B$36,$C$36,CONCATENATE("PX391=", $I$158), CONCATENATE("PX392=",$I$159), CONCATENATE("DS004=",$B$151), "Fill=B")</f>
        <v>#N/A Connection</v>
      </c>
      <c r="J188" t="str">
        <f ca="1">_xll.BDP($B$36,$C$36,CONCATENATE("PX391=", $J$158), CONCATENATE("PX392=",$J$159), CONCATENATE("DS004=",$B$151), "Fill=B")</f>
        <v>#N/A Connection</v>
      </c>
      <c r="K188" t="str">
        <f ca="1">_xll.BDP($B$36,$C$36,CONCATENATE("PX391=", $K$158), CONCATENATE("PX392=",$K$159), CONCATENATE("DS004=",$B$151), "Fill=B")</f>
        <v>#N/A Connection</v>
      </c>
      <c r="L188" t="str">
        <f ca="1">_xll.BDP($B$36,$C$36,CONCATENATE("PX391=", $L$158), CONCATENATE("PX392=",$L$159), CONCATENATE("DS004=",$B$151), "Fill=B")</f>
        <v>#N/A Connection</v>
      </c>
      <c r="M188" t="str">
        <f ca="1">_xll.BDP($B$36,$C$36,CONCATENATE("PX391=", $M$158), CONCATENATE("PX392=",$M$159), CONCATENATE("DS004=",$B$151), "Fill=B")</f>
        <v>#N/A Connection</v>
      </c>
      <c r="N188" t="str">
        <f ca="1">_xll.BDP($B$36,$C$36,CONCATENATE("PX391=", $N$158), CONCATENATE("PX392=",$N$159), CONCATENATE("DS004=",$B$151), "Fill=B")</f>
        <v>#N/A Connection</v>
      </c>
      <c r="O188" t="str">
        <f ca="1">_xll.BDP($B$36,$C$36,CONCATENATE("PX391=", $O$158), CONCATENATE("PX392=",$O$159), CONCATENATE("DS004=",$B$151), "Fill=B")</f>
        <v>#N/A Connection</v>
      </c>
      <c r="P188" t="str">
        <f ca="1">_xll.BDP($B$36,$C$36,CONCATENATE("PX391=", $P$158), CONCATENATE("PX392=",$P$159), CONCATENATE("DS004=",$B$151), "Fill=B")</f>
        <v>#N/A Connection</v>
      </c>
      <c r="Q188" t="str">
        <f ca="1">_xll.BDP($B$36,$C$36,CONCATENATE("PX391=", $Q$158), CONCATENATE("PX392=",$Q$159), CONCATENATE("DS004=",$B$151), "Fill=B")</f>
        <v>#N/A Connection</v>
      </c>
      <c r="R188" t="str">
        <f ca="1">_xll.BDP($B$36,$C$36,CONCATENATE("PX391=", $R$158), CONCATENATE("PX392=",$R$159), CONCATENATE("DS004=",$B$151), "Fill=B")</f>
        <v>#N/A Connection</v>
      </c>
      <c r="S188" t="str">
        <f ca="1">_xll.BDP($B$36,$C$36,CONCATENATE("PX391=", $S$158), CONCATENATE("PX392=",$S$159), CONCATENATE("DS004=",$B$151), "Fill=B")</f>
        <v>#N/A Connection</v>
      </c>
      <c r="T188" t="str">
        <f ca="1">_xll.BDP($B$36,$C$36,CONCATENATE("PX391=", $T$158), CONCATENATE("PX392=",$T$159), CONCATENATE("DS004=",$B$151), "Fill=B")</f>
        <v>#N/A Connection</v>
      </c>
      <c r="U188" t="str">
        <f ca="1">_xll.BDP($B$36,$C$36,CONCATENATE("PX391=", $U$158), CONCATENATE("PX392=",$U$159), CONCATENATE("DS004=",$B$151), "Fill=B")</f>
        <v>#N/A Connection</v>
      </c>
      <c r="V188" t="str">
        <f ca="1">_xll.BDP($B$36,$C$36,CONCATENATE("PX391=", $V$158), CONCATENATE("PX392=",$V$159), CONCATENATE("DS004=",$B$151), "Fill=B")</f>
        <v>#N/A Connection</v>
      </c>
      <c r="W188" t="str">
        <f ca="1">_xll.BDP($B$36,$C$36,CONCATENATE("PX391=", $W$158), CONCATENATE("PX392=",$W$159), CONCATENATE("DS004=",$B$151), "Fill=B")</f>
        <v>#N/A Connection</v>
      </c>
      <c r="X188" t="str">
        <f ca="1">_xll.BDP($B$36,$C$36,CONCATENATE("PX391=", $X$158), CONCATENATE("PX392=",$X$159), CONCATENATE("DS004=",$B$151), "Fill=B")</f>
        <v>#N/A Connection</v>
      </c>
      <c r="Y188" t="str">
        <f ca="1">_xll.BDP($B$36,$C$36,CONCATENATE("PX391=", $Y$158), CONCATENATE("PX392=",$Y$159), CONCATENATE("DS004=",$B$151), "Fill=B")</f>
        <v>#N/A Connection</v>
      </c>
      <c r="Z188" t="str">
        <f ca="1">_xll.BDP($B$36,$C$36,CONCATENATE("PX391=", $Z$158), CONCATENATE("PX392=",$Z$159), CONCATENATE("DS004=",$B$151), "Fill=B")</f>
        <v>#N/A Connection</v>
      </c>
      <c r="AA188" t="str">
        <f ca="1">_xll.BDP($B$36,$C$36,CONCATENATE("PX391=", $AA$158), CONCATENATE("PX392=",$AA$159), CONCATENATE("DS004=",$B$151), "Fill=B")</f>
        <v>#N/A Connection</v>
      </c>
      <c r="AB188" t="str">
        <f ca="1">_xll.BDP($B$36,$C$36,CONCATENATE("PX391=", $AB$158), CONCATENATE("PX392=",$AB$159), CONCATENATE("DS004=",$B$151), "Fill=B")</f>
        <v>#N/A Connection</v>
      </c>
      <c r="AC188" t="str">
        <f ca="1">_xll.BDP($B$36,$C$36,CONCATENATE("PX391=", $AC$158), CONCATENATE("PX392=",$AC$159), CONCATENATE("DS004=",$B$151), "Fill=B")</f>
        <v>#N/A Connection</v>
      </c>
      <c r="AD188" t="str">
        <f ca="1">_xll.BDP($B$36,$C$36,CONCATENATE("PX391=", $AD$158), CONCATENATE("PX392=",$AD$159), CONCATENATE("DS004=",$B$151), "Fill=B")</f>
        <v>#N/A Connection</v>
      </c>
      <c r="AE188" t="str">
        <f ca="1">_xll.BDP($B$36,$C$36,CONCATENATE("PX391=", $AE$158), CONCATENATE("PX392=",$AE$159), CONCATENATE("DS004=",$B$151), "Fill=B")</f>
        <v>#N/A Connection</v>
      </c>
      <c r="AF188" t="str">
        <f ca="1">_xll.BDP($B$36,$C$36,CONCATENATE("PX391=", $AF$158), CONCATENATE("PX392=",$AF$159), CONCATENATE("DS004=",$B$151), "Fill=B")</f>
        <v>#N/A Connection</v>
      </c>
      <c r="AG188" t="str">
        <f ca="1">_xll.BDP($B$36,$C$36,CONCATENATE("PX391=", $AG$158), CONCATENATE("PX392=",$AG$159), CONCATENATE("DS004=",$B$151), "Fill=B")</f>
        <v>#N/A Connection</v>
      </c>
      <c r="AH188" t="str">
        <f ca="1">_xll.BDP($B$36,$C$36,CONCATENATE("PX391=", $AH$158), CONCATENATE("PX392=",$AH$159), CONCATENATE("DS004=",$B$151), "Fill=B")</f>
        <v>#N/A Connection</v>
      </c>
      <c r="AI188" t="str">
        <f ca="1">_xll.BDP($B$36,$C$36,CONCATENATE("PX391=", $AI$158), CONCATENATE("PX392=",$AI$159), CONCATENATE("DS004=",$B$151), "Fill=B")</f>
        <v>#N/A Connection</v>
      </c>
      <c r="AJ188" t="str">
        <f ca="1">_xll.BDP($B$36,$C$36,CONCATENATE("PX391=", $AJ$158), CONCATENATE("PX392=",$AJ$159), CONCATENATE("DS004=",$B$151), "Fill=B")</f>
        <v>#N/A Connection</v>
      </c>
      <c r="AK188" t="str">
        <f ca="1">_xll.BDP($B$36,$C$36,CONCATENATE("PX391=", $AK$158), CONCATENATE("PX392=",$AK$159), CONCATENATE("DS004=",$B$151), "Fill=B")</f>
        <v>#N/A Connection</v>
      </c>
      <c r="AL188" t="str">
        <f ca="1">_xll.BDP($B$36,$C$36,CONCATENATE("PX391=", $AL$158), CONCATENATE("PX392=",$AL$159), CONCATENATE("DS004=",$B$151), "Fill=B")</f>
        <v>#N/A Connection</v>
      </c>
      <c r="AM188" t="str">
        <f ca="1">_xll.BDP($B$36,$C$36,CONCATENATE("PX391=", $AM$158), CONCATENATE("PX392=",$AM$159), CONCATENATE("DS004=",$B$151), "Fill=B")</f>
        <v>#N/A Connection</v>
      </c>
      <c r="AN188" t="str">
        <f ca="1">_xll.BDP($B$36,$C$36,CONCATENATE("PX391=", $AN$158), CONCATENATE("PX392=",$AN$159), CONCATENATE("DS004=",$B$151), "Fill=B")</f>
        <v>#N/A Connection</v>
      </c>
      <c r="AO188" t="str">
        <f ca="1">_xll.BDP($B$36,$C$36,CONCATENATE("PX391=", $AO$158), CONCATENATE("PX392=",$AO$159), CONCATENATE("DS004=",$B$151), "Fill=B")</f>
        <v>#N/A Connection</v>
      </c>
      <c r="AP188" t="str">
        <f ca="1">_xll.BDP($B$36,$C$36,CONCATENATE("PX391=", $AP$158), CONCATENATE("PX392=",$AP$159), CONCATENATE("DS004=",$B$151), "Fill=B")</f>
        <v>#N/A Connection</v>
      </c>
      <c r="AQ188" t="str">
        <f ca="1">_xll.BDP($B$36,$C$36,CONCATENATE("PX391=", $AQ$158), CONCATENATE("PX392=",$AQ$159), CONCATENATE("DS004=",$B$151), "Fill=B")</f>
        <v>#N/A Connection</v>
      </c>
      <c r="AR188" t="str">
        <f ca="1">_xll.BDP($B$36,$C$36,CONCATENATE("PX391=", $AR$158), CONCATENATE("PX392=",$AR$159), CONCATENATE("DS004=",$B$151), "Fill=B")</f>
        <v>#N/A Connection</v>
      </c>
      <c r="AS188" t="str">
        <f ca="1">_xll.BDP($B$36,$C$36,CONCATENATE("PX391=", $AS$158), CONCATENATE("PX392=",$AS$159), CONCATENATE("DS004=",$B$151), "Fill=B")</f>
        <v>#N/A Connection</v>
      </c>
      <c r="AT188" t="str">
        <f ca="1">_xll.BDP($B$36,$C$36,CONCATENATE("PX391=", $AT$158), CONCATENATE("PX392=",$AT$159), CONCATENATE("DS004=",$B$151), "Fill=B")</f>
        <v>#N/A Connection</v>
      </c>
      <c r="AU188" t="str">
        <f ca="1">_xll.BDP($B$36,$C$36,CONCATENATE("PX391=", $AU$158), CONCATENATE("PX392=",$AU$159), CONCATENATE("DS004=",$B$151), "Fill=B")</f>
        <v>#N/A Connection</v>
      </c>
      <c r="AV188" t="str">
        <f ca="1">_xll.BDP($B$36,$C$36,CONCATENATE("PX391=", $AV$158), CONCATENATE("PX392=",$AV$159), CONCATENATE("DS004=",$B$151), "Fill=B")</f>
        <v>#N/A Connection</v>
      </c>
      <c r="AW188" t="str">
        <f ca="1">_xll.BDP($B$36,$C$36,CONCATENATE("PX391=", $AW$158), CONCATENATE("PX392=",$AW$159), CONCATENATE("DS004=",$B$151), "Fill=B")</f>
        <v>#N/A Connection</v>
      </c>
      <c r="AX188" t="str">
        <f ca="1">_xll.BDP($B$36,$C$36,CONCATENATE("PX391=", $AX$158), CONCATENATE("PX392=",$AX$159), CONCATENATE("DS004=",$B$151), "Fill=B")</f>
        <v>#N/A Connection</v>
      </c>
      <c r="AY188" t="str">
        <f ca="1">_xll.BDP($B$36,$C$36,CONCATENATE("PX391=", $AY$158), CONCATENATE("PX392=",$AY$159), CONCATENATE("DS004=",$B$151), "Fill=B")</f>
        <v>#N/A Connection</v>
      </c>
      <c r="AZ188" t="str">
        <f ca="1">_xll.BDP($B$36,$C$36,CONCATENATE("PX391=", $AZ$158), CONCATENATE("PX392=",$AZ$159), CONCATENATE("DS004=",$B$151), "Fill=B")</f>
        <v>#N/A Connection</v>
      </c>
      <c r="BA188" t="str">
        <f ca="1">_xll.BDP($B$36,$C$36,CONCATENATE("PX391=", $BA$158), CONCATENATE("PX392=",$BA$159), CONCATENATE("DS004=",$B$151), "Fill=B")</f>
        <v>#N/A Connection</v>
      </c>
      <c r="BB188" t="str">
        <f ca="1">_xll.BDP($B$36,$C$36,CONCATENATE("PX391=", $BB$158), CONCATENATE("PX392=",$BB$159), CONCATENATE("DS004=",$B$151), "Fill=B")</f>
        <v>#N/A Connection</v>
      </c>
      <c r="BC188" t="str">
        <f ca="1">_xll.BDP($B$36,$C$36,CONCATENATE("PX391=", $BC$158), CONCATENATE("PX392=",$BC$159), CONCATENATE("DS004=",$B$151), "Fill=B")</f>
        <v>#N/A Connection</v>
      </c>
      <c r="BD188" t="str">
        <f ca="1">_xll.BDP($B$36,$C$36,CONCATENATE("PX391=", $BD$158), CONCATENATE("PX392=",$BD$159), CONCATENATE("DS004=",$B$151), "Fill=B")</f>
        <v>#N/A Connection</v>
      </c>
      <c r="BE188" t="str">
        <f ca="1">_xll.BDP($B$36,$C$36,CONCATENATE("PX391=", $BE$158), CONCATENATE("PX392=",$BE$159), CONCATENATE("DS004=",$B$151), "Fill=B")</f>
        <v>#N/A Connection</v>
      </c>
      <c r="BF188" t="str">
        <f ca="1">_xll.BDP($B$36,$C$36,CONCATENATE("PX391=", $BF$158), CONCATENATE("PX392=",$BF$159), CONCATENATE("DS004=",$B$151), "Fill=B")</f>
        <v>#N/A Connection</v>
      </c>
      <c r="BG188" t="str">
        <f ca="1">_xll.BDP($B$36,$C$36,CONCATENATE("PX391=", $BG$158), CONCATENATE("PX392=",$BG$159), CONCATENATE("DS004=",$B$151), "Fill=B")</f>
        <v>#N/A Connection</v>
      </c>
      <c r="BH188" t="str">
        <f ca="1">_xll.BDP($B$36,$C$36,CONCATENATE("PX391=", $BH$158), CONCATENATE("PX392=",$BH$159), CONCATENATE("DS004=",$B$151), "Fill=B")</f>
        <v>#N/A Connection</v>
      </c>
      <c r="BI188" t="str">
        <f ca="1">_xll.BDP($B$36,$C$36,CONCATENATE("PX391=", $BI$158), CONCATENATE("PX392=",$BI$159), CONCATENATE("DS004=",$B$151), "Fill=B")</f>
        <v>#N/A Connection</v>
      </c>
      <c r="BJ188" t="str">
        <f ca="1">_xll.BDP($B$36,$C$36,CONCATENATE("PX391=", $BJ$158), CONCATENATE("PX392=",$BJ$159), CONCATENATE("DS004=",$B$151), "Fill=B")</f>
        <v>#N/A Connection</v>
      </c>
      <c r="BK188" t="str">
        <f ca="1">_xll.BDP($B$36,$C$36,CONCATENATE("PX391=", $BK$158), CONCATENATE("PX392=",$BK$159), CONCATENATE("DS004=",$B$151), "Fill=B")</f>
        <v>#N/A Connection</v>
      </c>
      <c r="BL188" t="str">
        <f ca="1">_xll.BDP($B$36,$C$36,CONCATENATE("PX391=", $BL$158), CONCATENATE("PX392=",$BL$159), CONCATENATE("DS004=",$B$151), "Fill=B")</f>
        <v>#N/A Connection</v>
      </c>
      <c r="BM188" t="str">
        <f ca="1">_xll.BDP($B$36,$C$36,CONCATENATE("PX391=", $BM$158), CONCATENATE("PX392=",$BM$159), CONCATENATE("DS004=",$B$151), "Fill=B")</f>
        <v>#N/A Connection</v>
      </c>
      <c r="BN188" t="str">
        <f>""</f>
        <v/>
      </c>
      <c r="BO188" t="str">
        <f>""</f>
        <v/>
      </c>
      <c r="BP188" t="str">
        <f>""</f>
        <v/>
      </c>
      <c r="BQ188" t="str">
        <f>""</f>
        <v/>
      </c>
      <c r="BR188" t="str">
        <f>""</f>
        <v/>
      </c>
      <c r="BS188" t="str">
        <f>""</f>
        <v/>
      </c>
      <c r="BT188" t="str">
        <f>""</f>
        <v/>
      </c>
      <c r="BU188" t="str">
        <f>""</f>
        <v/>
      </c>
      <c r="BV188" t="str">
        <f>""</f>
        <v/>
      </c>
      <c r="BW188" t="str">
        <f>""</f>
        <v/>
      </c>
      <c r="BX188" t="str">
        <f>""</f>
        <v/>
      </c>
      <c r="BY188" t="str">
        <f>""</f>
        <v/>
      </c>
      <c r="BZ188" t="str">
        <f>""</f>
        <v/>
      </c>
      <c r="CA188" t="str">
        <f>""</f>
        <v/>
      </c>
      <c r="CB188" t="str">
        <f>""</f>
        <v/>
      </c>
      <c r="CC188" t="str">
        <f>""</f>
        <v/>
      </c>
      <c r="CD188" t="str">
        <f>""</f>
        <v/>
      </c>
      <c r="CE188" t="str">
        <f>""</f>
        <v/>
      </c>
      <c r="CF188" t="str">
        <f>""</f>
        <v/>
      </c>
      <c r="CG188" t="str">
        <f>""</f>
        <v/>
      </c>
      <c r="CH188" t="str">
        <f>""</f>
        <v/>
      </c>
      <c r="CI188" t="str">
        <f>""</f>
        <v/>
      </c>
      <c r="CJ188" t="str">
        <f>""</f>
        <v/>
      </c>
      <c r="CK188" t="str">
        <f>""</f>
        <v/>
      </c>
      <c r="CL188" t="str">
        <f>""</f>
        <v/>
      </c>
      <c r="CM188" t="str">
        <f>""</f>
        <v/>
      </c>
      <c r="CN188" t="str">
        <f>""</f>
        <v/>
      </c>
      <c r="CO188" t="str">
        <f>""</f>
        <v/>
      </c>
      <c r="CP188" t="str">
        <f>""</f>
        <v/>
      </c>
      <c r="CQ188" t="str">
        <f>""</f>
        <v/>
      </c>
      <c r="CR188" t="str">
        <f>""</f>
        <v/>
      </c>
      <c r="CS188" t="str">
        <f>""</f>
        <v/>
      </c>
      <c r="CT188" t="str">
        <f>""</f>
        <v/>
      </c>
      <c r="CU188" t="str">
        <f>""</f>
        <v/>
      </c>
      <c r="CV188" t="str">
        <f>""</f>
        <v/>
      </c>
      <c r="CW188" t="str">
        <f>""</f>
        <v/>
      </c>
      <c r="CX188" t="str">
        <f>""</f>
        <v/>
      </c>
      <c r="CY188" t="str">
        <f>""</f>
        <v/>
      </c>
      <c r="CZ188" t="str">
        <f>""</f>
        <v/>
      </c>
      <c r="DA188" t="str">
        <f>""</f>
        <v/>
      </c>
      <c r="DB188" t="str">
        <f>""</f>
        <v/>
      </c>
      <c r="DC188" t="str">
        <f>""</f>
        <v/>
      </c>
      <c r="DD188" t="str">
        <f>""</f>
        <v/>
      </c>
      <c r="DE188" t="str">
        <f>""</f>
        <v/>
      </c>
      <c r="DF188" t="str">
        <f>""</f>
        <v/>
      </c>
      <c r="DG188" t="str">
        <f>""</f>
        <v/>
      </c>
      <c r="DH188" t="str">
        <f>""</f>
        <v/>
      </c>
      <c r="DI188" t="str">
        <f>""</f>
        <v/>
      </c>
      <c r="DJ188" t="str">
        <f>""</f>
        <v/>
      </c>
      <c r="DK188" t="str">
        <f>""</f>
        <v/>
      </c>
      <c r="DL188" t="str">
        <f>""</f>
        <v/>
      </c>
      <c r="DM188" t="str">
        <f>""</f>
        <v/>
      </c>
      <c r="DN188" t="str">
        <f>""</f>
        <v/>
      </c>
      <c r="DO188" t="str">
        <f>""</f>
        <v/>
      </c>
      <c r="DP188" t="str">
        <f>""</f>
        <v/>
      </c>
      <c r="DQ188" t="str">
        <f>""</f>
        <v/>
      </c>
      <c r="DR188" t="str">
        <f>""</f>
        <v/>
      </c>
      <c r="DS188" t="str">
        <f>""</f>
        <v/>
      </c>
      <c r="DT188" t="str">
        <f>""</f>
        <v/>
      </c>
      <c r="DU188" t="str">
        <f>""</f>
        <v/>
      </c>
    </row>
    <row r="189" spans="1:125" x14ac:dyDescent="0.25">
      <c r="A189" t="str">
        <f>$A$37</f>
        <v xml:space="preserve">            Norway</v>
      </c>
      <c r="B189" t="str">
        <f>$B$37</f>
        <v>WCARNOI Index</v>
      </c>
      <c r="C189" t="str">
        <f>$C$37</f>
        <v>PX385</v>
      </c>
      <c r="D189" t="str">
        <f>$D$37</f>
        <v>INTERVAL_SUM</v>
      </c>
      <c r="E189" t="str">
        <f>$E$37</f>
        <v>Dynamic</v>
      </c>
      <c r="F189" t="str">
        <f ca="1">_xll.BDP($B$37,$C$37,CONCATENATE("PX391=", $F$158), CONCATENATE("PX392=",$F$159), CONCATENATE("DS004=",$B$151), "Fill=B")</f>
        <v>#N/A Connection</v>
      </c>
      <c r="G189" t="str">
        <f ca="1">_xll.BDP($B$37,$C$37,CONCATENATE("PX391=", $G$158), CONCATENATE("PX392=",$G$159), CONCATENATE("DS004=",$B$151), "Fill=B")</f>
        <v>#N/A Connection</v>
      </c>
      <c r="H189" t="str">
        <f ca="1">_xll.BDP($B$37,$C$37,CONCATENATE("PX391=", $H$158), CONCATENATE("PX392=",$H$159), CONCATENATE("DS004=",$B$151), "Fill=B")</f>
        <v>#N/A Connection</v>
      </c>
      <c r="I189" t="str">
        <f ca="1">_xll.BDP($B$37,$C$37,CONCATENATE("PX391=", $I$158), CONCATENATE("PX392=",$I$159), CONCATENATE("DS004=",$B$151), "Fill=B")</f>
        <v>#N/A Connection</v>
      </c>
      <c r="J189" t="str">
        <f ca="1">_xll.BDP($B$37,$C$37,CONCATENATE("PX391=", $J$158), CONCATENATE("PX392=",$J$159), CONCATENATE("DS004=",$B$151), "Fill=B")</f>
        <v>#N/A Connection</v>
      </c>
      <c r="K189" t="str">
        <f ca="1">_xll.BDP($B$37,$C$37,CONCATENATE("PX391=", $K$158), CONCATENATE("PX392=",$K$159), CONCATENATE("DS004=",$B$151), "Fill=B")</f>
        <v>#N/A Connection</v>
      </c>
      <c r="L189" t="str">
        <f ca="1">_xll.BDP($B$37,$C$37,CONCATENATE("PX391=", $L$158), CONCATENATE("PX392=",$L$159), CONCATENATE("DS004=",$B$151), "Fill=B")</f>
        <v>#N/A Connection</v>
      </c>
      <c r="M189" t="str">
        <f ca="1">_xll.BDP($B$37,$C$37,CONCATENATE("PX391=", $M$158), CONCATENATE("PX392=",$M$159), CONCATENATE("DS004=",$B$151), "Fill=B")</f>
        <v>#N/A Connection</v>
      </c>
      <c r="N189" t="str">
        <f ca="1">_xll.BDP($B$37,$C$37,CONCATENATE("PX391=", $N$158), CONCATENATE("PX392=",$N$159), CONCATENATE("DS004=",$B$151), "Fill=B")</f>
        <v>#N/A Connection</v>
      </c>
      <c r="O189" t="str">
        <f ca="1">_xll.BDP($B$37,$C$37,CONCATENATE("PX391=", $O$158), CONCATENATE("PX392=",$O$159), CONCATENATE("DS004=",$B$151), "Fill=B")</f>
        <v>#N/A Connection</v>
      </c>
      <c r="P189" t="str">
        <f ca="1">_xll.BDP($B$37,$C$37,CONCATENATE("PX391=", $P$158), CONCATENATE("PX392=",$P$159), CONCATENATE("DS004=",$B$151), "Fill=B")</f>
        <v>#N/A Connection</v>
      </c>
      <c r="Q189" t="str">
        <f ca="1">_xll.BDP($B$37,$C$37,CONCATENATE("PX391=", $Q$158), CONCATENATE("PX392=",$Q$159), CONCATENATE("DS004=",$B$151), "Fill=B")</f>
        <v>#N/A Connection</v>
      </c>
      <c r="R189" t="str">
        <f ca="1">_xll.BDP($B$37,$C$37,CONCATENATE("PX391=", $R$158), CONCATENATE("PX392=",$R$159), CONCATENATE("DS004=",$B$151), "Fill=B")</f>
        <v>#N/A Connection</v>
      </c>
      <c r="S189" t="str">
        <f ca="1">_xll.BDP($B$37,$C$37,CONCATENATE("PX391=", $S$158), CONCATENATE("PX392=",$S$159), CONCATENATE("DS004=",$B$151), "Fill=B")</f>
        <v>#N/A Connection</v>
      </c>
      <c r="T189" t="str">
        <f ca="1">_xll.BDP($B$37,$C$37,CONCATENATE("PX391=", $T$158), CONCATENATE("PX392=",$T$159), CONCATENATE("DS004=",$B$151), "Fill=B")</f>
        <v>#N/A Connection</v>
      </c>
      <c r="U189" t="str">
        <f ca="1">_xll.BDP($B$37,$C$37,CONCATENATE("PX391=", $U$158), CONCATENATE("PX392=",$U$159), CONCATENATE("DS004=",$B$151), "Fill=B")</f>
        <v>#N/A Connection</v>
      </c>
      <c r="V189" t="str">
        <f ca="1">_xll.BDP($B$37,$C$37,CONCATENATE("PX391=", $V$158), CONCATENATE("PX392=",$V$159), CONCATENATE("DS004=",$B$151), "Fill=B")</f>
        <v>#N/A Connection</v>
      </c>
      <c r="W189" t="str">
        <f ca="1">_xll.BDP($B$37,$C$37,CONCATENATE("PX391=", $W$158), CONCATENATE("PX392=",$W$159), CONCATENATE("DS004=",$B$151), "Fill=B")</f>
        <v>#N/A Connection</v>
      </c>
      <c r="X189" t="str">
        <f ca="1">_xll.BDP($B$37,$C$37,CONCATENATE("PX391=", $X$158), CONCATENATE("PX392=",$X$159), CONCATENATE("DS004=",$B$151), "Fill=B")</f>
        <v>#N/A Connection</v>
      </c>
      <c r="Y189" t="str">
        <f ca="1">_xll.BDP($B$37,$C$37,CONCATENATE("PX391=", $Y$158), CONCATENATE("PX392=",$Y$159), CONCATENATE("DS004=",$B$151), "Fill=B")</f>
        <v>#N/A Connection</v>
      </c>
      <c r="Z189" t="str">
        <f ca="1">_xll.BDP($B$37,$C$37,CONCATENATE("PX391=", $Z$158), CONCATENATE("PX392=",$Z$159), CONCATENATE("DS004=",$B$151), "Fill=B")</f>
        <v>#N/A Connection</v>
      </c>
      <c r="AA189" t="str">
        <f ca="1">_xll.BDP($B$37,$C$37,CONCATENATE("PX391=", $AA$158), CONCATENATE("PX392=",$AA$159), CONCATENATE("DS004=",$B$151), "Fill=B")</f>
        <v>#N/A Connection</v>
      </c>
      <c r="AB189" t="str">
        <f ca="1">_xll.BDP($B$37,$C$37,CONCATENATE("PX391=", $AB$158), CONCATENATE("PX392=",$AB$159), CONCATENATE("DS004=",$B$151), "Fill=B")</f>
        <v>#N/A Connection</v>
      </c>
      <c r="AC189" t="str">
        <f ca="1">_xll.BDP($B$37,$C$37,CONCATENATE("PX391=", $AC$158), CONCATENATE("PX392=",$AC$159), CONCATENATE("DS004=",$B$151), "Fill=B")</f>
        <v>#N/A Connection</v>
      </c>
      <c r="AD189" t="str">
        <f ca="1">_xll.BDP($B$37,$C$37,CONCATENATE("PX391=", $AD$158), CONCATENATE("PX392=",$AD$159), CONCATENATE("DS004=",$B$151), "Fill=B")</f>
        <v>#N/A Connection</v>
      </c>
      <c r="AE189" t="str">
        <f ca="1">_xll.BDP($B$37,$C$37,CONCATENATE("PX391=", $AE$158), CONCATENATE("PX392=",$AE$159), CONCATENATE("DS004=",$B$151), "Fill=B")</f>
        <v>#N/A Connection</v>
      </c>
      <c r="AF189" t="str">
        <f ca="1">_xll.BDP($B$37,$C$37,CONCATENATE("PX391=", $AF$158), CONCATENATE("PX392=",$AF$159), CONCATENATE("DS004=",$B$151), "Fill=B")</f>
        <v>#N/A Connection</v>
      </c>
      <c r="AG189" t="str">
        <f ca="1">_xll.BDP($B$37,$C$37,CONCATENATE("PX391=", $AG$158), CONCATENATE("PX392=",$AG$159), CONCATENATE("DS004=",$B$151), "Fill=B")</f>
        <v>#N/A Connection</v>
      </c>
      <c r="AH189" t="str">
        <f ca="1">_xll.BDP($B$37,$C$37,CONCATENATE("PX391=", $AH$158), CONCATENATE("PX392=",$AH$159), CONCATENATE("DS004=",$B$151), "Fill=B")</f>
        <v>#N/A Connection</v>
      </c>
      <c r="AI189" t="str">
        <f ca="1">_xll.BDP($B$37,$C$37,CONCATENATE("PX391=", $AI$158), CONCATENATE("PX392=",$AI$159), CONCATENATE("DS004=",$B$151), "Fill=B")</f>
        <v>#N/A Connection</v>
      </c>
      <c r="AJ189" t="str">
        <f ca="1">_xll.BDP($B$37,$C$37,CONCATENATE("PX391=", $AJ$158), CONCATENATE("PX392=",$AJ$159), CONCATENATE("DS004=",$B$151), "Fill=B")</f>
        <v>#N/A Connection</v>
      </c>
      <c r="AK189" t="str">
        <f ca="1">_xll.BDP($B$37,$C$37,CONCATENATE("PX391=", $AK$158), CONCATENATE("PX392=",$AK$159), CONCATENATE("DS004=",$B$151), "Fill=B")</f>
        <v>#N/A Connection</v>
      </c>
      <c r="AL189" t="str">
        <f ca="1">_xll.BDP($B$37,$C$37,CONCATENATE("PX391=", $AL$158), CONCATENATE("PX392=",$AL$159), CONCATENATE("DS004=",$B$151), "Fill=B")</f>
        <v>#N/A Connection</v>
      </c>
      <c r="AM189" t="str">
        <f ca="1">_xll.BDP($B$37,$C$37,CONCATENATE("PX391=", $AM$158), CONCATENATE("PX392=",$AM$159), CONCATENATE("DS004=",$B$151), "Fill=B")</f>
        <v>#N/A Connection</v>
      </c>
      <c r="AN189" t="str">
        <f ca="1">_xll.BDP($B$37,$C$37,CONCATENATE("PX391=", $AN$158), CONCATENATE("PX392=",$AN$159), CONCATENATE("DS004=",$B$151), "Fill=B")</f>
        <v>#N/A Connection</v>
      </c>
      <c r="AO189" t="str">
        <f ca="1">_xll.BDP($B$37,$C$37,CONCATENATE("PX391=", $AO$158), CONCATENATE("PX392=",$AO$159), CONCATENATE("DS004=",$B$151), "Fill=B")</f>
        <v>#N/A Connection</v>
      </c>
      <c r="AP189" t="str">
        <f ca="1">_xll.BDP($B$37,$C$37,CONCATENATE("PX391=", $AP$158), CONCATENATE("PX392=",$AP$159), CONCATENATE("DS004=",$B$151), "Fill=B")</f>
        <v>#N/A Connection</v>
      </c>
      <c r="AQ189" t="str">
        <f ca="1">_xll.BDP($B$37,$C$37,CONCATENATE("PX391=", $AQ$158), CONCATENATE("PX392=",$AQ$159), CONCATENATE("DS004=",$B$151), "Fill=B")</f>
        <v>#N/A Connection</v>
      </c>
      <c r="AR189" t="str">
        <f ca="1">_xll.BDP($B$37,$C$37,CONCATENATE("PX391=", $AR$158), CONCATENATE("PX392=",$AR$159), CONCATENATE("DS004=",$B$151), "Fill=B")</f>
        <v>#N/A Connection</v>
      </c>
      <c r="AS189" t="str">
        <f ca="1">_xll.BDP($B$37,$C$37,CONCATENATE("PX391=", $AS$158), CONCATENATE("PX392=",$AS$159), CONCATENATE("DS004=",$B$151), "Fill=B")</f>
        <v>#N/A Connection</v>
      </c>
      <c r="AT189" t="str">
        <f ca="1">_xll.BDP($B$37,$C$37,CONCATENATE("PX391=", $AT$158), CONCATENATE("PX392=",$AT$159), CONCATENATE("DS004=",$B$151), "Fill=B")</f>
        <v>#N/A Connection</v>
      </c>
      <c r="AU189" t="str">
        <f ca="1">_xll.BDP($B$37,$C$37,CONCATENATE("PX391=", $AU$158), CONCATENATE("PX392=",$AU$159), CONCATENATE("DS004=",$B$151), "Fill=B")</f>
        <v>#N/A Connection</v>
      </c>
      <c r="AV189" t="str">
        <f ca="1">_xll.BDP($B$37,$C$37,CONCATENATE("PX391=", $AV$158), CONCATENATE("PX392=",$AV$159), CONCATENATE("DS004=",$B$151), "Fill=B")</f>
        <v>#N/A Connection</v>
      </c>
      <c r="AW189" t="str">
        <f ca="1">_xll.BDP($B$37,$C$37,CONCATENATE("PX391=", $AW$158), CONCATENATE("PX392=",$AW$159), CONCATENATE("DS004=",$B$151), "Fill=B")</f>
        <v>#N/A Connection</v>
      </c>
      <c r="AX189" t="str">
        <f ca="1">_xll.BDP($B$37,$C$37,CONCATENATE("PX391=", $AX$158), CONCATENATE("PX392=",$AX$159), CONCATENATE("DS004=",$B$151), "Fill=B")</f>
        <v>#N/A Connection</v>
      </c>
      <c r="AY189" t="str">
        <f ca="1">_xll.BDP($B$37,$C$37,CONCATENATE("PX391=", $AY$158), CONCATENATE("PX392=",$AY$159), CONCATENATE("DS004=",$B$151), "Fill=B")</f>
        <v>#N/A Connection</v>
      </c>
      <c r="AZ189" t="str">
        <f ca="1">_xll.BDP($B$37,$C$37,CONCATENATE("PX391=", $AZ$158), CONCATENATE("PX392=",$AZ$159), CONCATENATE("DS004=",$B$151), "Fill=B")</f>
        <v>#N/A Connection</v>
      </c>
      <c r="BA189" t="str">
        <f ca="1">_xll.BDP($B$37,$C$37,CONCATENATE("PX391=", $BA$158), CONCATENATE("PX392=",$BA$159), CONCATENATE("DS004=",$B$151), "Fill=B")</f>
        <v>#N/A Connection</v>
      </c>
      <c r="BB189" t="str">
        <f ca="1">_xll.BDP($B$37,$C$37,CONCATENATE("PX391=", $BB$158), CONCATENATE("PX392=",$BB$159), CONCATENATE("DS004=",$B$151), "Fill=B")</f>
        <v>#N/A Connection</v>
      </c>
      <c r="BC189" t="str">
        <f ca="1">_xll.BDP($B$37,$C$37,CONCATENATE("PX391=", $BC$158), CONCATENATE("PX392=",$BC$159), CONCATENATE("DS004=",$B$151), "Fill=B")</f>
        <v>#N/A Connection</v>
      </c>
      <c r="BD189" t="str">
        <f ca="1">_xll.BDP($B$37,$C$37,CONCATENATE("PX391=", $BD$158), CONCATENATE("PX392=",$BD$159), CONCATENATE("DS004=",$B$151), "Fill=B")</f>
        <v>#N/A Connection</v>
      </c>
      <c r="BE189" t="str">
        <f ca="1">_xll.BDP($B$37,$C$37,CONCATENATE("PX391=", $BE$158), CONCATENATE("PX392=",$BE$159), CONCATENATE("DS004=",$B$151), "Fill=B")</f>
        <v>#N/A Connection</v>
      </c>
      <c r="BF189" t="str">
        <f ca="1">_xll.BDP($B$37,$C$37,CONCATENATE("PX391=", $BF$158), CONCATENATE("PX392=",$BF$159), CONCATENATE("DS004=",$B$151), "Fill=B")</f>
        <v>#N/A Connection</v>
      </c>
      <c r="BG189" t="str">
        <f ca="1">_xll.BDP($B$37,$C$37,CONCATENATE("PX391=", $BG$158), CONCATENATE("PX392=",$BG$159), CONCATENATE("DS004=",$B$151), "Fill=B")</f>
        <v>#N/A Connection</v>
      </c>
      <c r="BH189" t="str">
        <f ca="1">_xll.BDP($B$37,$C$37,CONCATENATE("PX391=", $BH$158), CONCATENATE("PX392=",$BH$159), CONCATENATE("DS004=",$B$151), "Fill=B")</f>
        <v>#N/A Connection</v>
      </c>
      <c r="BI189" t="str">
        <f ca="1">_xll.BDP($B$37,$C$37,CONCATENATE("PX391=", $BI$158), CONCATENATE("PX392=",$BI$159), CONCATENATE("DS004=",$B$151), "Fill=B")</f>
        <v>#N/A Connection</v>
      </c>
      <c r="BJ189" t="str">
        <f ca="1">_xll.BDP($B$37,$C$37,CONCATENATE("PX391=", $BJ$158), CONCATENATE("PX392=",$BJ$159), CONCATENATE("DS004=",$B$151), "Fill=B")</f>
        <v>#N/A Connection</v>
      </c>
      <c r="BK189" t="str">
        <f ca="1">_xll.BDP($B$37,$C$37,CONCATENATE("PX391=", $BK$158), CONCATENATE("PX392=",$BK$159), CONCATENATE("DS004=",$B$151), "Fill=B")</f>
        <v>#N/A Connection</v>
      </c>
      <c r="BL189" t="str">
        <f ca="1">_xll.BDP($B$37,$C$37,CONCATENATE("PX391=", $BL$158), CONCATENATE("PX392=",$BL$159), CONCATENATE("DS004=",$B$151), "Fill=B")</f>
        <v>#N/A Connection</v>
      </c>
      <c r="BM189" t="str">
        <f ca="1">_xll.BDP($B$37,$C$37,CONCATENATE("PX391=", $BM$158), CONCATENATE("PX392=",$BM$159), CONCATENATE("DS004=",$B$151), "Fill=B")</f>
        <v>#N/A Connection</v>
      </c>
      <c r="BN189" t="str">
        <f>""</f>
        <v/>
      </c>
      <c r="BO189" t="str">
        <f>""</f>
        <v/>
      </c>
      <c r="BP189" t="str">
        <f>""</f>
        <v/>
      </c>
      <c r="BQ189" t="str">
        <f>""</f>
        <v/>
      </c>
      <c r="BR189" t="str">
        <f>""</f>
        <v/>
      </c>
      <c r="BS189" t="str">
        <f>""</f>
        <v/>
      </c>
      <c r="BT189" t="str">
        <f>""</f>
        <v/>
      </c>
      <c r="BU189" t="str">
        <f>""</f>
        <v/>
      </c>
      <c r="BV189" t="str">
        <f>""</f>
        <v/>
      </c>
      <c r="BW189" t="str">
        <f>""</f>
        <v/>
      </c>
      <c r="BX189" t="str">
        <f>""</f>
        <v/>
      </c>
      <c r="BY189" t="str">
        <f>""</f>
        <v/>
      </c>
      <c r="BZ189" t="str">
        <f>""</f>
        <v/>
      </c>
      <c r="CA189" t="str">
        <f>""</f>
        <v/>
      </c>
      <c r="CB189" t="str">
        <f>""</f>
        <v/>
      </c>
      <c r="CC189" t="str">
        <f>""</f>
        <v/>
      </c>
      <c r="CD189" t="str">
        <f>""</f>
        <v/>
      </c>
      <c r="CE189" t="str">
        <f>""</f>
        <v/>
      </c>
      <c r="CF189" t="str">
        <f>""</f>
        <v/>
      </c>
      <c r="CG189" t="str">
        <f>""</f>
        <v/>
      </c>
      <c r="CH189" t="str">
        <f>""</f>
        <v/>
      </c>
      <c r="CI189" t="str">
        <f>""</f>
        <v/>
      </c>
      <c r="CJ189" t="str">
        <f>""</f>
        <v/>
      </c>
      <c r="CK189" t="str">
        <f>""</f>
        <v/>
      </c>
      <c r="CL189" t="str">
        <f>""</f>
        <v/>
      </c>
      <c r="CM189" t="str">
        <f>""</f>
        <v/>
      </c>
      <c r="CN189" t="str">
        <f>""</f>
        <v/>
      </c>
      <c r="CO189" t="str">
        <f>""</f>
        <v/>
      </c>
      <c r="CP189" t="str">
        <f>""</f>
        <v/>
      </c>
      <c r="CQ189" t="str">
        <f>""</f>
        <v/>
      </c>
      <c r="CR189" t="str">
        <f>""</f>
        <v/>
      </c>
      <c r="CS189" t="str">
        <f>""</f>
        <v/>
      </c>
      <c r="CT189" t="str">
        <f>""</f>
        <v/>
      </c>
      <c r="CU189" t="str">
        <f>""</f>
        <v/>
      </c>
      <c r="CV189" t="str">
        <f>""</f>
        <v/>
      </c>
      <c r="CW189" t="str">
        <f>""</f>
        <v/>
      </c>
      <c r="CX189" t="str">
        <f>""</f>
        <v/>
      </c>
      <c r="CY189" t="str">
        <f>""</f>
        <v/>
      </c>
      <c r="CZ189" t="str">
        <f>""</f>
        <v/>
      </c>
      <c r="DA189" t="str">
        <f>""</f>
        <v/>
      </c>
      <c r="DB189" t="str">
        <f>""</f>
        <v/>
      </c>
      <c r="DC189" t="str">
        <f>""</f>
        <v/>
      </c>
      <c r="DD189" t="str">
        <f>""</f>
        <v/>
      </c>
      <c r="DE189" t="str">
        <f>""</f>
        <v/>
      </c>
      <c r="DF189" t="str">
        <f>""</f>
        <v/>
      </c>
      <c r="DG189" t="str">
        <f>""</f>
        <v/>
      </c>
      <c r="DH189" t="str">
        <f>""</f>
        <v/>
      </c>
      <c r="DI189" t="str">
        <f>""</f>
        <v/>
      </c>
      <c r="DJ189" t="str">
        <f>""</f>
        <v/>
      </c>
      <c r="DK189" t="str">
        <f>""</f>
        <v/>
      </c>
      <c r="DL189" t="str">
        <f>""</f>
        <v/>
      </c>
      <c r="DM189" t="str">
        <f>""</f>
        <v/>
      </c>
      <c r="DN189" t="str">
        <f>""</f>
        <v/>
      </c>
      <c r="DO189" t="str">
        <f>""</f>
        <v/>
      </c>
      <c r="DP189" t="str">
        <f>""</f>
        <v/>
      </c>
      <c r="DQ189" t="str">
        <f>""</f>
        <v/>
      </c>
      <c r="DR189" t="str">
        <f>""</f>
        <v/>
      </c>
      <c r="DS189" t="str">
        <f>""</f>
        <v/>
      </c>
      <c r="DT189" t="str">
        <f>""</f>
        <v/>
      </c>
      <c r="DU189" t="str">
        <f>""</f>
        <v/>
      </c>
    </row>
    <row r="190" spans="1:125" x14ac:dyDescent="0.25">
      <c r="A190" t="str">
        <f>$A$38</f>
        <v xml:space="preserve">            Portugal</v>
      </c>
      <c r="B190" t="str">
        <f>$B$38</f>
        <v>WCARPTI Index</v>
      </c>
      <c r="C190" t="str">
        <f>$C$38</f>
        <v>PX385</v>
      </c>
      <c r="D190" t="str">
        <f>$D$38</f>
        <v>INTERVAL_SUM</v>
      </c>
      <c r="E190" t="str">
        <f>$E$38</f>
        <v>Dynamic</v>
      </c>
      <c r="F190" t="str">
        <f ca="1">_xll.BDP($B$38,$C$38,CONCATENATE("PX391=", $F$158), CONCATENATE("PX392=",$F$159), CONCATENATE("DS004=",$B$151), "Fill=B")</f>
        <v>#N/A Connection</v>
      </c>
      <c r="G190" t="str">
        <f ca="1">_xll.BDP($B$38,$C$38,CONCATENATE("PX391=", $G$158), CONCATENATE("PX392=",$G$159), CONCATENATE("DS004=",$B$151), "Fill=B")</f>
        <v>#N/A Connection</v>
      </c>
      <c r="H190" t="str">
        <f ca="1">_xll.BDP($B$38,$C$38,CONCATENATE("PX391=", $H$158), CONCATENATE("PX392=",$H$159), CONCATENATE("DS004=",$B$151), "Fill=B")</f>
        <v>#N/A Connection</v>
      </c>
      <c r="I190" t="str">
        <f ca="1">_xll.BDP($B$38,$C$38,CONCATENATE("PX391=", $I$158), CONCATENATE("PX392=",$I$159), CONCATENATE("DS004=",$B$151), "Fill=B")</f>
        <v>#N/A Connection</v>
      </c>
      <c r="J190" t="str">
        <f ca="1">_xll.BDP($B$38,$C$38,CONCATENATE("PX391=", $J$158), CONCATENATE("PX392=",$J$159), CONCATENATE("DS004=",$B$151), "Fill=B")</f>
        <v>#N/A Connection</v>
      </c>
      <c r="K190" t="str">
        <f ca="1">_xll.BDP($B$38,$C$38,CONCATENATE("PX391=", $K$158), CONCATENATE("PX392=",$K$159), CONCATENATE("DS004=",$B$151), "Fill=B")</f>
        <v>#N/A Connection</v>
      </c>
      <c r="L190" t="str">
        <f ca="1">_xll.BDP($B$38,$C$38,CONCATENATE("PX391=", $L$158), CONCATENATE("PX392=",$L$159), CONCATENATE("DS004=",$B$151), "Fill=B")</f>
        <v>#N/A Connection</v>
      </c>
      <c r="M190" t="str">
        <f ca="1">_xll.BDP($B$38,$C$38,CONCATENATE("PX391=", $M$158), CONCATENATE("PX392=",$M$159), CONCATENATE("DS004=",$B$151), "Fill=B")</f>
        <v>#N/A Connection</v>
      </c>
      <c r="N190" t="str">
        <f ca="1">_xll.BDP($B$38,$C$38,CONCATENATE("PX391=", $N$158), CONCATENATE("PX392=",$N$159), CONCATENATE("DS004=",$B$151), "Fill=B")</f>
        <v>#N/A Connection</v>
      </c>
      <c r="O190" t="str">
        <f ca="1">_xll.BDP($B$38,$C$38,CONCATENATE("PX391=", $O$158), CONCATENATE("PX392=",$O$159), CONCATENATE("DS004=",$B$151), "Fill=B")</f>
        <v>#N/A Connection</v>
      </c>
      <c r="P190" t="str">
        <f ca="1">_xll.BDP($B$38,$C$38,CONCATENATE("PX391=", $P$158), CONCATENATE("PX392=",$P$159), CONCATENATE("DS004=",$B$151), "Fill=B")</f>
        <v>#N/A Connection</v>
      </c>
      <c r="Q190" t="str">
        <f ca="1">_xll.BDP($B$38,$C$38,CONCATENATE("PX391=", $Q$158), CONCATENATE("PX392=",$Q$159), CONCATENATE("DS004=",$B$151), "Fill=B")</f>
        <v>#N/A Connection</v>
      </c>
      <c r="R190" t="str">
        <f ca="1">_xll.BDP($B$38,$C$38,CONCATENATE("PX391=", $R$158), CONCATENATE("PX392=",$R$159), CONCATENATE("DS004=",$B$151), "Fill=B")</f>
        <v>#N/A Connection</v>
      </c>
      <c r="S190" t="str">
        <f ca="1">_xll.BDP($B$38,$C$38,CONCATENATE("PX391=", $S$158), CONCATENATE("PX392=",$S$159), CONCATENATE("DS004=",$B$151), "Fill=B")</f>
        <v>#N/A Connection</v>
      </c>
      <c r="T190" t="str">
        <f ca="1">_xll.BDP($B$38,$C$38,CONCATENATE("PX391=", $T$158), CONCATENATE("PX392=",$T$159), CONCATENATE("DS004=",$B$151), "Fill=B")</f>
        <v>#N/A Connection</v>
      </c>
      <c r="U190" t="str">
        <f ca="1">_xll.BDP($B$38,$C$38,CONCATENATE("PX391=", $U$158), CONCATENATE("PX392=",$U$159), CONCATENATE("DS004=",$B$151), "Fill=B")</f>
        <v>#N/A Connection</v>
      </c>
      <c r="V190" t="str">
        <f ca="1">_xll.BDP($B$38,$C$38,CONCATENATE("PX391=", $V$158), CONCATENATE("PX392=",$V$159), CONCATENATE("DS004=",$B$151), "Fill=B")</f>
        <v>#N/A Connection</v>
      </c>
      <c r="W190" t="str">
        <f ca="1">_xll.BDP($B$38,$C$38,CONCATENATE("PX391=", $W$158), CONCATENATE("PX392=",$W$159), CONCATENATE("DS004=",$B$151), "Fill=B")</f>
        <v>#N/A Connection</v>
      </c>
      <c r="X190" t="str">
        <f ca="1">_xll.BDP($B$38,$C$38,CONCATENATE("PX391=", $X$158), CONCATENATE("PX392=",$X$159), CONCATENATE("DS004=",$B$151), "Fill=B")</f>
        <v>#N/A Connection</v>
      </c>
      <c r="Y190" t="str">
        <f ca="1">_xll.BDP($B$38,$C$38,CONCATENATE("PX391=", $Y$158), CONCATENATE("PX392=",$Y$159), CONCATENATE("DS004=",$B$151), "Fill=B")</f>
        <v>#N/A Connection</v>
      </c>
      <c r="Z190" t="str">
        <f ca="1">_xll.BDP($B$38,$C$38,CONCATENATE("PX391=", $Z$158), CONCATENATE("PX392=",$Z$159), CONCATENATE("DS004=",$B$151), "Fill=B")</f>
        <v>#N/A Connection</v>
      </c>
      <c r="AA190" t="str">
        <f ca="1">_xll.BDP($B$38,$C$38,CONCATENATE("PX391=", $AA$158), CONCATENATE("PX392=",$AA$159), CONCATENATE("DS004=",$B$151), "Fill=B")</f>
        <v>#N/A Connection</v>
      </c>
      <c r="AB190" t="str">
        <f ca="1">_xll.BDP($B$38,$C$38,CONCATENATE("PX391=", $AB$158), CONCATENATE("PX392=",$AB$159), CONCATENATE("DS004=",$B$151), "Fill=B")</f>
        <v>#N/A Connection</v>
      </c>
      <c r="AC190" t="str">
        <f ca="1">_xll.BDP($B$38,$C$38,CONCATENATE("PX391=", $AC$158), CONCATENATE("PX392=",$AC$159), CONCATENATE("DS004=",$B$151), "Fill=B")</f>
        <v>#N/A Connection</v>
      </c>
      <c r="AD190" t="str">
        <f ca="1">_xll.BDP($B$38,$C$38,CONCATENATE("PX391=", $AD$158), CONCATENATE("PX392=",$AD$159), CONCATENATE("DS004=",$B$151), "Fill=B")</f>
        <v>#N/A Connection</v>
      </c>
      <c r="AE190" t="str">
        <f ca="1">_xll.BDP($B$38,$C$38,CONCATENATE("PX391=", $AE$158), CONCATENATE("PX392=",$AE$159), CONCATENATE("DS004=",$B$151), "Fill=B")</f>
        <v>#N/A Connection</v>
      </c>
      <c r="AF190" t="str">
        <f ca="1">_xll.BDP($B$38,$C$38,CONCATENATE("PX391=", $AF$158), CONCATENATE("PX392=",$AF$159), CONCATENATE("DS004=",$B$151), "Fill=B")</f>
        <v>#N/A Connection</v>
      </c>
      <c r="AG190" t="str">
        <f ca="1">_xll.BDP($B$38,$C$38,CONCATENATE("PX391=", $AG$158), CONCATENATE("PX392=",$AG$159), CONCATENATE("DS004=",$B$151), "Fill=B")</f>
        <v>#N/A Connection</v>
      </c>
      <c r="AH190" t="str">
        <f ca="1">_xll.BDP($B$38,$C$38,CONCATENATE("PX391=", $AH$158), CONCATENATE("PX392=",$AH$159), CONCATENATE("DS004=",$B$151), "Fill=B")</f>
        <v>#N/A Connection</v>
      </c>
      <c r="AI190" t="str">
        <f ca="1">_xll.BDP($B$38,$C$38,CONCATENATE("PX391=", $AI$158), CONCATENATE("PX392=",$AI$159), CONCATENATE("DS004=",$B$151), "Fill=B")</f>
        <v>#N/A Connection</v>
      </c>
      <c r="AJ190" t="str">
        <f ca="1">_xll.BDP($B$38,$C$38,CONCATENATE("PX391=", $AJ$158), CONCATENATE("PX392=",$AJ$159), CONCATENATE("DS004=",$B$151), "Fill=B")</f>
        <v>#N/A Connection</v>
      </c>
      <c r="AK190" t="str">
        <f ca="1">_xll.BDP($B$38,$C$38,CONCATENATE("PX391=", $AK$158), CONCATENATE("PX392=",$AK$159), CONCATENATE("DS004=",$B$151), "Fill=B")</f>
        <v>#N/A Connection</v>
      </c>
      <c r="AL190" t="str">
        <f ca="1">_xll.BDP($B$38,$C$38,CONCATENATE("PX391=", $AL$158), CONCATENATE("PX392=",$AL$159), CONCATENATE("DS004=",$B$151), "Fill=B")</f>
        <v>#N/A Connection</v>
      </c>
      <c r="AM190" t="str">
        <f ca="1">_xll.BDP($B$38,$C$38,CONCATENATE("PX391=", $AM$158), CONCATENATE("PX392=",$AM$159), CONCATENATE("DS004=",$B$151), "Fill=B")</f>
        <v>#N/A Connection</v>
      </c>
      <c r="AN190" t="str">
        <f ca="1">_xll.BDP($B$38,$C$38,CONCATENATE("PX391=", $AN$158), CONCATENATE("PX392=",$AN$159), CONCATENATE("DS004=",$B$151), "Fill=B")</f>
        <v>#N/A Connection</v>
      </c>
      <c r="AO190" t="str">
        <f ca="1">_xll.BDP($B$38,$C$38,CONCATENATE("PX391=", $AO$158), CONCATENATE("PX392=",$AO$159), CONCATENATE("DS004=",$B$151), "Fill=B")</f>
        <v>#N/A Connection</v>
      </c>
      <c r="AP190" t="str">
        <f ca="1">_xll.BDP($B$38,$C$38,CONCATENATE("PX391=", $AP$158), CONCATENATE("PX392=",$AP$159), CONCATENATE("DS004=",$B$151), "Fill=B")</f>
        <v>#N/A Connection</v>
      </c>
      <c r="AQ190" t="str">
        <f ca="1">_xll.BDP($B$38,$C$38,CONCATENATE("PX391=", $AQ$158), CONCATENATE("PX392=",$AQ$159), CONCATENATE("DS004=",$B$151), "Fill=B")</f>
        <v>#N/A Connection</v>
      </c>
      <c r="AR190" t="str">
        <f ca="1">_xll.BDP($B$38,$C$38,CONCATENATE("PX391=", $AR$158), CONCATENATE("PX392=",$AR$159), CONCATENATE("DS004=",$B$151), "Fill=B")</f>
        <v>#N/A Connection</v>
      </c>
      <c r="AS190" t="str">
        <f ca="1">_xll.BDP($B$38,$C$38,CONCATENATE("PX391=", $AS$158), CONCATENATE("PX392=",$AS$159), CONCATENATE("DS004=",$B$151), "Fill=B")</f>
        <v>#N/A Connection</v>
      </c>
      <c r="AT190" t="str">
        <f ca="1">_xll.BDP($B$38,$C$38,CONCATENATE("PX391=", $AT$158), CONCATENATE("PX392=",$AT$159), CONCATENATE("DS004=",$B$151), "Fill=B")</f>
        <v>#N/A Connection</v>
      </c>
      <c r="AU190" t="str">
        <f ca="1">_xll.BDP($B$38,$C$38,CONCATENATE("PX391=", $AU$158), CONCATENATE("PX392=",$AU$159), CONCATENATE("DS004=",$B$151), "Fill=B")</f>
        <v>#N/A Connection</v>
      </c>
      <c r="AV190" t="str">
        <f ca="1">_xll.BDP($B$38,$C$38,CONCATENATE("PX391=", $AV$158), CONCATENATE("PX392=",$AV$159), CONCATENATE("DS004=",$B$151), "Fill=B")</f>
        <v>#N/A Connection</v>
      </c>
      <c r="AW190" t="str">
        <f ca="1">_xll.BDP($B$38,$C$38,CONCATENATE("PX391=", $AW$158), CONCATENATE("PX392=",$AW$159), CONCATENATE("DS004=",$B$151), "Fill=B")</f>
        <v>#N/A Connection</v>
      </c>
      <c r="AX190" t="str">
        <f ca="1">_xll.BDP($B$38,$C$38,CONCATENATE("PX391=", $AX$158), CONCATENATE("PX392=",$AX$159), CONCATENATE("DS004=",$B$151), "Fill=B")</f>
        <v>#N/A Connection</v>
      </c>
      <c r="AY190" t="str">
        <f ca="1">_xll.BDP($B$38,$C$38,CONCATENATE("PX391=", $AY$158), CONCATENATE("PX392=",$AY$159), CONCATENATE("DS004=",$B$151), "Fill=B")</f>
        <v>#N/A Connection</v>
      </c>
      <c r="AZ190" t="str">
        <f ca="1">_xll.BDP($B$38,$C$38,CONCATENATE("PX391=", $AZ$158), CONCATENATE("PX392=",$AZ$159), CONCATENATE("DS004=",$B$151), "Fill=B")</f>
        <v>#N/A Connection</v>
      </c>
      <c r="BA190" t="str">
        <f ca="1">_xll.BDP($B$38,$C$38,CONCATENATE("PX391=", $BA$158), CONCATENATE("PX392=",$BA$159), CONCATENATE("DS004=",$B$151), "Fill=B")</f>
        <v>#N/A Connection</v>
      </c>
      <c r="BB190" t="str">
        <f ca="1">_xll.BDP($B$38,$C$38,CONCATENATE("PX391=", $BB$158), CONCATENATE("PX392=",$BB$159), CONCATENATE("DS004=",$B$151), "Fill=B")</f>
        <v>#N/A Connection</v>
      </c>
      <c r="BC190" t="str">
        <f ca="1">_xll.BDP($B$38,$C$38,CONCATENATE("PX391=", $BC$158), CONCATENATE("PX392=",$BC$159), CONCATENATE("DS004=",$B$151), "Fill=B")</f>
        <v>#N/A Connection</v>
      </c>
      <c r="BD190" t="str">
        <f ca="1">_xll.BDP($B$38,$C$38,CONCATENATE("PX391=", $BD$158), CONCATENATE("PX392=",$BD$159), CONCATENATE("DS004=",$B$151), "Fill=B")</f>
        <v>#N/A Connection</v>
      </c>
      <c r="BE190" t="str">
        <f ca="1">_xll.BDP($B$38,$C$38,CONCATENATE("PX391=", $BE$158), CONCATENATE("PX392=",$BE$159), CONCATENATE("DS004=",$B$151), "Fill=B")</f>
        <v>#N/A Connection</v>
      </c>
      <c r="BF190" t="str">
        <f ca="1">_xll.BDP($B$38,$C$38,CONCATENATE("PX391=", $BF$158), CONCATENATE("PX392=",$BF$159), CONCATENATE("DS004=",$B$151), "Fill=B")</f>
        <v>#N/A Connection</v>
      </c>
      <c r="BG190" t="str">
        <f ca="1">_xll.BDP($B$38,$C$38,CONCATENATE("PX391=", $BG$158), CONCATENATE("PX392=",$BG$159), CONCATENATE("DS004=",$B$151), "Fill=B")</f>
        <v>#N/A Connection</v>
      </c>
      <c r="BH190" t="str">
        <f ca="1">_xll.BDP($B$38,$C$38,CONCATENATE("PX391=", $BH$158), CONCATENATE("PX392=",$BH$159), CONCATENATE("DS004=",$B$151), "Fill=B")</f>
        <v>#N/A Connection</v>
      </c>
      <c r="BI190" t="str">
        <f ca="1">_xll.BDP($B$38,$C$38,CONCATENATE("PX391=", $BI$158), CONCATENATE("PX392=",$BI$159), CONCATENATE("DS004=",$B$151), "Fill=B")</f>
        <v>#N/A Connection</v>
      </c>
      <c r="BJ190" t="str">
        <f ca="1">_xll.BDP($B$38,$C$38,CONCATENATE("PX391=", $BJ$158), CONCATENATE("PX392=",$BJ$159), CONCATENATE("DS004=",$B$151), "Fill=B")</f>
        <v>#N/A Connection</v>
      </c>
      <c r="BK190" t="str">
        <f ca="1">_xll.BDP($B$38,$C$38,CONCATENATE("PX391=", $BK$158), CONCATENATE("PX392=",$BK$159), CONCATENATE("DS004=",$B$151), "Fill=B")</f>
        <v>#N/A Connection</v>
      </c>
      <c r="BL190" t="str">
        <f ca="1">_xll.BDP($B$38,$C$38,CONCATENATE("PX391=", $BL$158), CONCATENATE("PX392=",$BL$159), CONCATENATE("DS004=",$B$151), "Fill=B")</f>
        <v>#N/A Connection</v>
      </c>
      <c r="BM190" t="str">
        <f ca="1">_xll.BDP($B$38,$C$38,CONCATENATE("PX391=", $BM$158), CONCATENATE("PX392=",$BM$159), CONCATENATE("DS004=",$B$151), "Fill=B")</f>
        <v>#N/A Connection</v>
      </c>
      <c r="BN190" t="str">
        <f>""</f>
        <v/>
      </c>
      <c r="BO190" t="str">
        <f>""</f>
        <v/>
      </c>
      <c r="BP190" t="str">
        <f>""</f>
        <v/>
      </c>
      <c r="BQ190" t="str">
        <f>""</f>
        <v/>
      </c>
      <c r="BR190" t="str">
        <f>""</f>
        <v/>
      </c>
      <c r="BS190" t="str">
        <f>""</f>
        <v/>
      </c>
      <c r="BT190" t="str">
        <f>""</f>
        <v/>
      </c>
      <c r="BU190" t="str">
        <f>""</f>
        <v/>
      </c>
      <c r="BV190" t="str">
        <f>""</f>
        <v/>
      </c>
      <c r="BW190" t="str">
        <f>""</f>
        <v/>
      </c>
      <c r="BX190" t="str">
        <f>""</f>
        <v/>
      </c>
      <c r="BY190" t="str">
        <f>""</f>
        <v/>
      </c>
      <c r="BZ190" t="str">
        <f>""</f>
        <v/>
      </c>
      <c r="CA190" t="str">
        <f>""</f>
        <v/>
      </c>
      <c r="CB190" t="str">
        <f>""</f>
        <v/>
      </c>
      <c r="CC190" t="str">
        <f>""</f>
        <v/>
      </c>
      <c r="CD190" t="str">
        <f>""</f>
        <v/>
      </c>
      <c r="CE190" t="str">
        <f>""</f>
        <v/>
      </c>
      <c r="CF190" t="str">
        <f>""</f>
        <v/>
      </c>
      <c r="CG190" t="str">
        <f>""</f>
        <v/>
      </c>
      <c r="CH190" t="str">
        <f>""</f>
        <v/>
      </c>
      <c r="CI190" t="str">
        <f>""</f>
        <v/>
      </c>
      <c r="CJ190" t="str">
        <f>""</f>
        <v/>
      </c>
      <c r="CK190" t="str">
        <f>""</f>
        <v/>
      </c>
      <c r="CL190" t="str">
        <f>""</f>
        <v/>
      </c>
      <c r="CM190" t="str">
        <f>""</f>
        <v/>
      </c>
      <c r="CN190" t="str">
        <f>""</f>
        <v/>
      </c>
      <c r="CO190" t="str">
        <f>""</f>
        <v/>
      </c>
      <c r="CP190" t="str">
        <f>""</f>
        <v/>
      </c>
      <c r="CQ190" t="str">
        <f>""</f>
        <v/>
      </c>
      <c r="CR190" t="str">
        <f>""</f>
        <v/>
      </c>
      <c r="CS190" t="str">
        <f>""</f>
        <v/>
      </c>
      <c r="CT190" t="str">
        <f>""</f>
        <v/>
      </c>
      <c r="CU190" t="str">
        <f>""</f>
        <v/>
      </c>
      <c r="CV190" t="str">
        <f>""</f>
        <v/>
      </c>
      <c r="CW190" t="str">
        <f>""</f>
        <v/>
      </c>
      <c r="CX190" t="str">
        <f>""</f>
        <v/>
      </c>
      <c r="CY190" t="str">
        <f>""</f>
        <v/>
      </c>
      <c r="CZ190" t="str">
        <f>""</f>
        <v/>
      </c>
      <c r="DA190" t="str">
        <f>""</f>
        <v/>
      </c>
      <c r="DB190" t="str">
        <f>""</f>
        <v/>
      </c>
      <c r="DC190" t="str">
        <f>""</f>
        <v/>
      </c>
      <c r="DD190" t="str">
        <f>""</f>
        <v/>
      </c>
      <c r="DE190" t="str">
        <f>""</f>
        <v/>
      </c>
      <c r="DF190" t="str">
        <f>""</f>
        <v/>
      </c>
      <c r="DG190" t="str">
        <f>""</f>
        <v/>
      </c>
      <c r="DH190" t="str">
        <f>""</f>
        <v/>
      </c>
      <c r="DI190" t="str">
        <f>""</f>
        <v/>
      </c>
      <c r="DJ190" t="str">
        <f>""</f>
        <v/>
      </c>
      <c r="DK190" t="str">
        <f>""</f>
        <v/>
      </c>
      <c r="DL190" t="str">
        <f>""</f>
        <v/>
      </c>
      <c r="DM190" t="str">
        <f>""</f>
        <v/>
      </c>
      <c r="DN190" t="str">
        <f>""</f>
        <v/>
      </c>
      <c r="DO190" t="str">
        <f>""</f>
        <v/>
      </c>
      <c r="DP190" t="str">
        <f>""</f>
        <v/>
      </c>
      <c r="DQ190" t="str">
        <f>""</f>
        <v/>
      </c>
      <c r="DR190" t="str">
        <f>""</f>
        <v/>
      </c>
      <c r="DS190" t="str">
        <f>""</f>
        <v/>
      </c>
      <c r="DT190" t="str">
        <f>""</f>
        <v/>
      </c>
      <c r="DU190" t="str">
        <f>""</f>
        <v/>
      </c>
    </row>
    <row r="191" spans="1:125" x14ac:dyDescent="0.25">
      <c r="A191" t="str">
        <f>$A$39</f>
        <v xml:space="preserve">            Spain</v>
      </c>
      <c r="B191" t="str">
        <f>$B$39</f>
        <v>WCARESI Index</v>
      </c>
      <c r="C191" t="str">
        <f>$C$39</f>
        <v>PX385</v>
      </c>
      <c r="D191" t="str">
        <f>$D$39</f>
        <v>INTERVAL_SUM</v>
      </c>
      <c r="E191" t="str">
        <f>$E$39</f>
        <v>Dynamic</v>
      </c>
      <c r="F191" t="str">
        <f ca="1">_xll.BDP($B$39,$C$39,CONCATENATE("PX391=", $F$158), CONCATENATE("PX392=",$F$159), CONCATENATE("DS004=",$B$151), "Fill=B")</f>
        <v>#N/A Connection</v>
      </c>
      <c r="G191" t="str">
        <f ca="1">_xll.BDP($B$39,$C$39,CONCATENATE("PX391=", $G$158), CONCATENATE("PX392=",$G$159), CONCATENATE("DS004=",$B$151), "Fill=B")</f>
        <v>#N/A Connection</v>
      </c>
      <c r="H191" t="str">
        <f ca="1">_xll.BDP($B$39,$C$39,CONCATENATE("PX391=", $H$158), CONCATENATE("PX392=",$H$159), CONCATENATE("DS004=",$B$151), "Fill=B")</f>
        <v>#N/A Connection</v>
      </c>
      <c r="I191" t="str">
        <f ca="1">_xll.BDP($B$39,$C$39,CONCATENATE("PX391=", $I$158), CONCATENATE("PX392=",$I$159), CONCATENATE("DS004=",$B$151), "Fill=B")</f>
        <v>#N/A Connection</v>
      </c>
      <c r="J191" t="str">
        <f ca="1">_xll.BDP($B$39,$C$39,CONCATENATE("PX391=", $J$158), CONCATENATE("PX392=",$J$159), CONCATENATE("DS004=",$B$151), "Fill=B")</f>
        <v>#N/A Connection</v>
      </c>
      <c r="K191" t="str">
        <f ca="1">_xll.BDP($B$39,$C$39,CONCATENATE("PX391=", $K$158), CONCATENATE("PX392=",$K$159), CONCATENATE("DS004=",$B$151), "Fill=B")</f>
        <v>#N/A Connection</v>
      </c>
      <c r="L191" t="str">
        <f ca="1">_xll.BDP($B$39,$C$39,CONCATENATE("PX391=", $L$158), CONCATENATE("PX392=",$L$159), CONCATENATE("DS004=",$B$151), "Fill=B")</f>
        <v>#N/A Connection</v>
      </c>
      <c r="M191" t="str">
        <f ca="1">_xll.BDP($B$39,$C$39,CONCATENATE("PX391=", $M$158), CONCATENATE("PX392=",$M$159), CONCATENATE("DS004=",$B$151), "Fill=B")</f>
        <v>#N/A Connection</v>
      </c>
      <c r="N191" t="str">
        <f ca="1">_xll.BDP($B$39,$C$39,CONCATENATE("PX391=", $N$158), CONCATENATE("PX392=",$N$159), CONCATENATE("DS004=",$B$151), "Fill=B")</f>
        <v>#N/A Connection</v>
      </c>
      <c r="O191" t="str">
        <f ca="1">_xll.BDP($B$39,$C$39,CONCATENATE("PX391=", $O$158), CONCATENATE("PX392=",$O$159), CONCATENATE("DS004=",$B$151), "Fill=B")</f>
        <v>#N/A Connection</v>
      </c>
      <c r="P191" t="str">
        <f ca="1">_xll.BDP($B$39,$C$39,CONCATENATE("PX391=", $P$158), CONCATENATE("PX392=",$P$159), CONCATENATE("DS004=",$B$151), "Fill=B")</f>
        <v>#N/A Connection</v>
      </c>
      <c r="Q191" t="str">
        <f ca="1">_xll.BDP($B$39,$C$39,CONCATENATE("PX391=", $Q$158), CONCATENATE("PX392=",$Q$159), CONCATENATE("DS004=",$B$151), "Fill=B")</f>
        <v>#N/A Connection</v>
      </c>
      <c r="R191" t="str">
        <f ca="1">_xll.BDP($B$39,$C$39,CONCATENATE("PX391=", $R$158), CONCATENATE("PX392=",$R$159), CONCATENATE("DS004=",$B$151), "Fill=B")</f>
        <v>#N/A Connection</v>
      </c>
      <c r="S191" t="str">
        <f ca="1">_xll.BDP($B$39,$C$39,CONCATENATE("PX391=", $S$158), CONCATENATE("PX392=",$S$159), CONCATENATE("DS004=",$B$151), "Fill=B")</f>
        <v>#N/A Connection</v>
      </c>
      <c r="T191" t="str">
        <f ca="1">_xll.BDP($B$39,$C$39,CONCATENATE("PX391=", $T$158), CONCATENATE("PX392=",$T$159), CONCATENATE("DS004=",$B$151), "Fill=B")</f>
        <v>#N/A Connection</v>
      </c>
      <c r="U191" t="str">
        <f ca="1">_xll.BDP($B$39,$C$39,CONCATENATE("PX391=", $U$158), CONCATENATE("PX392=",$U$159), CONCATENATE("DS004=",$B$151), "Fill=B")</f>
        <v>#N/A Connection</v>
      </c>
      <c r="V191" t="str">
        <f ca="1">_xll.BDP($B$39,$C$39,CONCATENATE("PX391=", $V$158), CONCATENATE("PX392=",$V$159), CONCATENATE("DS004=",$B$151), "Fill=B")</f>
        <v>#N/A Connection</v>
      </c>
      <c r="W191" t="str">
        <f ca="1">_xll.BDP($B$39,$C$39,CONCATENATE("PX391=", $W$158), CONCATENATE("PX392=",$W$159), CONCATENATE("DS004=",$B$151), "Fill=B")</f>
        <v>#N/A Connection</v>
      </c>
      <c r="X191" t="str">
        <f ca="1">_xll.BDP($B$39,$C$39,CONCATENATE("PX391=", $X$158), CONCATENATE("PX392=",$X$159), CONCATENATE("DS004=",$B$151), "Fill=B")</f>
        <v>#N/A Connection</v>
      </c>
      <c r="Y191" t="str">
        <f ca="1">_xll.BDP($B$39,$C$39,CONCATENATE("PX391=", $Y$158), CONCATENATE("PX392=",$Y$159), CONCATENATE("DS004=",$B$151), "Fill=B")</f>
        <v>#N/A Connection</v>
      </c>
      <c r="Z191" t="str">
        <f ca="1">_xll.BDP($B$39,$C$39,CONCATENATE("PX391=", $Z$158), CONCATENATE("PX392=",$Z$159), CONCATENATE("DS004=",$B$151), "Fill=B")</f>
        <v>#N/A Connection</v>
      </c>
      <c r="AA191" t="str">
        <f ca="1">_xll.BDP($B$39,$C$39,CONCATENATE("PX391=", $AA$158), CONCATENATE("PX392=",$AA$159), CONCATENATE("DS004=",$B$151), "Fill=B")</f>
        <v>#N/A Connection</v>
      </c>
      <c r="AB191" t="str">
        <f ca="1">_xll.BDP($B$39,$C$39,CONCATENATE("PX391=", $AB$158), CONCATENATE("PX392=",$AB$159), CONCATENATE("DS004=",$B$151), "Fill=B")</f>
        <v>#N/A Connection</v>
      </c>
      <c r="AC191" t="str">
        <f ca="1">_xll.BDP($B$39,$C$39,CONCATENATE("PX391=", $AC$158), CONCATENATE("PX392=",$AC$159), CONCATENATE("DS004=",$B$151), "Fill=B")</f>
        <v>#N/A Connection</v>
      </c>
      <c r="AD191" t="str">
        <f ca="1">_xll.BDP($B$39,$C$39,CONCATENATE("PX391=", $AD$158), CONCATENATE("PX392=",$AD$159), CONCATENATE("DS004=",$B$151), "Fill=B")</f>
        <v>#N/A Connection</v>
      </c>
      <c r="AE191" t="str">
        <f ca="1">_xll.BDP($B$39,$C$39,CONCATENATE("PX391=", $AE$158), CONCATENATE("PX392=",$AE$159), CONCATENATE("DS004=",$B$151), "Fill=B")</f>
        <v>#N/A Connection</v>
      </c>
      <c r="AF191" t="str">
        <f ca="1">_xll.BDP($B$39,$C$39,CONCATENATE("PX391=", $AF$158), CONCATENATE("PX392=",$AF$159), CONCATENATE("DS004=",$B$151), "Fill=B")</f>
        <v>#N/A Connection</v>
      </c>
      <c r="AG191" t="str">
        <f ca="1">_xll.BDP($B$39,$C$39,CONCATENATE("PX391=", $AG$158), CONCATENATE("PX392=",$AG$159), CONCATENATE("DS004=",$B$151), "Fill=B")</f>
        <v>#N/A Connection</v>
      </c>
      <c r="AH191" t="str">
        <f ca="1">_xll.BDP($B$39,$C$39,CONCATENATE("PX391=", $AH$158), CONCATENATE("PX392=",$AH$159), CONCATENATE("DS004=",$B$151), "Fill=B")</f>
        <v>#N/A Connection</v>
      </c>
      <c r="AI191" t="str">
        <f ca="1">_xll.BDP($B$39,$C$39,CONCATENATE("PX391=", $AI$158), CONCATENATE("PX392=",$AI$159), CONCATENATE("DS004=",$B$151), "Fill=B")</f>
        <v>#N/A Connection</v>
      </c>
      <c r="AJ191" t="str">
        <f ca="1">_xll.BDP($B$39,$C$39,CONCATENATE("PX391=", $AJ$158), CONCATENATE("PX392=",$AJ$159), CONCATENATE("DS004=",$B$151), "Fill=B")</f>
        <v>#N/A Connection</v>
      </c>
      <c r="AK191" t="str">
        <f ca="1">_xll.BDP($B$39,$C$39,CONCATENATE("PX391=", $AK$158), CONCATENATE("PX392=",$AK$159), CONCATENATE("DS004=",$B$151), "Fill=B")</f>
        <v>#N/A Connection</v>
      </c>
      <c r="AL191" t="str">
        <f ca="1">_xll.BDP($B$39,$C$39,CONCATENATE("PX391=", $AL$158), CONCATENATE("PX392=",$AL$159), CONCATENATE("DS004=",$B$151), "Fill=B")</f>
        <v>#N/A Connection</v>
      </c>
      <c r="AM191" t="str">
        <f ca="1">_xll.BDP($B$39,$C$39,CONCATENATE("PX391=", $AM$158), CONCATENATE("PX392=",$AM$159), CONCATENATE("DS004=",$B$151), "Fill=B")</f>
        <v>#N/A Connection</v>
      </c>
      <c r="AN191" t="str">
        <f ca="1">_xll.BDP($B$39,$C$39,CONCATENATE("PX391=", $AN$158), CONCATENATE("PX392=",$AN$159), CONCATENATE("DS004=",$B$151), "Fill=B")</f>
        <v>#N/A Connection</v>
      </c>
      <c r="AO191" t="str">
        <f ca="1">_xll.BDP($B$39,$C$39,CONCATENATE("PX391=", $AO$158), CONCATENATE("PX392=",$AO$159), CONCATENATE("DS004=",$B$151), "Fill=B")</f>
        <v>#N/A Connection</v>
      </c>
      <c r="AP191" t="str">
        <f ca="1">_xll.BDP($B$39,$C$39,CONCATENATE("PX391=", $AP$158), CONCATENATE("PX392=",$AP$159), CONCATENATE("DS004=",$B$151), "Fill=B")</f>
        <v>#N/A Connection</v>
      </c>
      <c r="AQ191" t="str">
        <f ca="1">_xll.BDP($B$39,$C$39,CONCATENATE("PX391=", $AQ$158), CONCATENATE("PX392=",$AQ$159), CONCATENATE("DS004=",$B$151), "Fill=B")</f>
        <v>#N/A Connection</v>
      </c>
      <c r="AR191" t="str">
        <f ca="1">_xll.BDP($B$39,$C$39,CONCATENATE("PX391=", $AR$158), CONCATENATE("PX392=",$AR$159), CONCATENATE("DS004=",$B$151), "Fill=B")</f>
        <v>#N/A Connection</v>
      </c>
      <c r="AS191" t="str">
        <f ca="1">_xll.BDP($B$39,$C$39,CONCATENATE("PX391=", $AS$158), CONCATENATE("PX392=",$AS$159), CONCATENATE("DS004=",$B$151), "Fill=B")</f>
        <v>#N/A Connection</v>
      </c>
      <c r="AT191" t="str">
        <f ca="1">_xll.BDP($B$39,$C$39,CONCATENATE("PX391=", $AT$158), CONCATENATE("PX392=",$AT$159), CONCATENATE("DS004=",$B$151), "Fill=B")</f>
        <v>#N/A Connection</v>
      </c>
      <c r="AU191" t="str">
        <f ca="1">_xll.BDP($B$39,$C$39,CONCATENATE("PX391=", $AU$158), CONCATENATE("PX392=",$AU$159), CONCATENATE("DS004=",$B$151), "Fill=B")</f>
        <v>#N/A Connection</v>
      </c>
      <c r="AV191" t="str">
        <f ca="1">_xll.BDP($B$39,$C$39,CONCATENATE("PX391=", $AV$158), CONCATENATE("PX392=",$AV$159), CONCATENATE("DS004=",$B$151), "Fill=B")</f>
        <v>#N/A Connection</v>
      </c>
      <c r="AW191" t="str">
        <f ca="1">_xll.BDP($B$39,$C$39,CONCATENATE("PX391=", $AW$158), CONCATENATE("PX392=",$AW$159), CONCATENATE("DS004=",$B$151), "Fill=B")</f>
        <v>#N/A Connection</v>
      </c>
      <c r="AX191" t="str">
        <f ca="1">_xll.BDP($B$39,$C$39,CONCATENATE("PX391=", $AX$158), CONCATENATE("PX392=",$AX$159), CONCATENATE("DS004=",$B$151), "Fill=B")</f>
        <v>#N/A Connection</v>
      </c>
      <c r="AY191" t="str">
        <f ca="1">_xll.BDP($B$39,$C$39,CONCATENATE("PX391=", $AY$158), CONCATENATE("PX392=",$AY$159), CONCATENATE("DS004=",$B$151), "Fill=B")</f>
        <v>#N/A Connection</v>
      </c>
      <c r="AZ191" t="str">
        <f ca="1">_xll.BDP($B$39,$C$39,CONCATENATE("PX391=", $AZ$158), CONCATENATE("PX392=",$AZ$159), CONCATENATE("DS004=",$B$151), "Fill=B")</f>
        <v>#N/A Connection</v>
      </c>
      <c r="BA191" t="str">
        <f ca="1">_xll.BDP($B$39,$C$39,CONCATENATE("PX391=", $BA$158), CONCATENATE("PX392=",$BA$159), CONCATENATE("DS004=",$B$151), "Fill=B")</f>
        <v>#N/A Connection</v>
      </c>
      <c r="BB191" t="str">
        <f ca="1">_xll.BDP($B$39,$C$39,CONCATENATE("PX391=", $BB$158), CONCATENATE("PX392=",$BB$159), CONCATENATE("DS004=",$B$151), "Fill=B")</f>
        <v>#N/A Connection</v>
      </c>
      <c r="BC191" t="str">
        <f ca="1">_xll.BDP($B$39,$C$39,CONCATENATE("PX391=", $BC$158), CONCATENATE("PX392=",$BC$159), CONCATENATE("DS004=",$B$151), "Fill=B")</f>
        <v>#N/A Connection</v>
      </c>
      <c r="BD191" t="str">
        <f ca="1">_xll.BDP($B$39,$C$39,CONCATENATE("PX391=", $BD$158), CONCATENATE("PX392=",$BD$159), CONCATENATE("DS004=",$B$151), "Fill=B")</f>
        <v>#N/A Connection</v>
      </c>
      <c r="BE191" t="str">
        <f ca="1">_xll.BDP($B$39,$C$39,CONCATENATE("PX391=", $BE$158), CONCATENATE("PX392=",$BE$159), CONCATENATE("DS004=",$B$151), "Fill=B")</f>
        <v>#N/A Connection</v>
      </c>
      <c r="BF191" t="str">
        <f ca="1">_xll.BDP($B$39,$C$39,CONCATENATE("PX391=", $BF$158), CONCATENATE("PX392=",$BF$159), CONCATENATE("DS004=",$B$151), "Fill=B")</f>
        <v>#N/A Connection</v>
      </c>
      <c r="BG191" t="str">
        <f ca="1">_xll.BDP($B$39,$C$39,CONCATENATE("PX391=", $BG$158), CONCATENATE("PX392=",$BG$159), CONCATENATE("DS004=",$B$151), "Fill=B")</f>
        <v>#N/A Connection</v>
      </c>
      <c r="BH191" t="str">
        <f ca="1">_xll.BDP($B$39,$C$39,CONCATENATE("PX391=", $BH$158), CONCATENATE("PX392=",$BH$159), CONCATENATE("DS004=",$B$151), "Fill=B")</f>
        <v>#N/A Connection</v>
      </c>
      <c r="BI191" t="str">
        <f ca="1">_xll.BDP($B$39,$C$39,CONCATENATE("PX391=", $BI$158), CONCATENATE("PX392=",$BI$159), CONCATENATE("DS004=",$B$151), "Fill=B")</f>
        <v>#N/A Connection</v>
      </c>
      <c r="BJ191" t="str">
        <f ca="1">_xll.BDP($B$39,$C$39,CONCATENATE("PX391=", $BJ$158), CONCATENATE("PX392=",$BJ$159), CONCATENATE("DS004=",$B$151), "Fill=B")</f>
        <v>#N/A Connection</v>
      </c>
      <c r="BK191" t="str">
        <f ca="1">_xll.BDP($B$39,$C$39,CONCATENATE("PX391=", $BK$158), CONCATENATE("PX392=",$BK$159), CONCATENATE("DS004=",$B$151), "Fill=B")</f>
        <v>#N/A Connection</v>
      </c>
      <c r="BL191" t="str">
        <f ca="1">_xll.BDP($B$39,$C$39,CONCATENATE("PX391=", $BL$158), CONCATENATE("PX392=",$BL$159), CONCATENATE("DS004=",$B$151), "Fill=B")</f>
        <v>#N/A Connection</v>
      </c>
      <c r="BM191" t="str">
        <f ca="1">_xll.BDP($B$39,$C$39,CONCATENATE("PX391=", $BM$158), CONCATENATE("PX392=",$BM$159), CONCATENATE("DS004=",$B$151), "Fill=B")</f>
        <v>#N/A Connection</v>
      </c>
      <c r="BN191" t="str">
        <f>""</f>
        <v/>
      </c>
      <c r="BO191" t="str">
        <f>""</f>
        <v/>
      </c>
      <c r="BP191" t="str">
        <f>""</f>
        <v/>
      </c>
      <c r="BQ191" t="str">
        <f>""</f>
        <v/>
      </c>
      <c r="BR191" t="str">
        <f>""</f>
        <v/>
      </c>
      <c r="BS191" t="str">
        <f>""</f>
        <v/>
      </c>
      <c r="BT191" t="str">
        <f>""</f>
        <v/>
      </c>
      <c r="BU191" t="str">
        <f>""</f>
        <v/>
      </c>
      <c r="BV191" t="str">
        <f>""</f>
        <v/>
      </c>
      <c r="BW191" t="str">
        <f>""</f>
        <v/>
      </c>
      <c r="BX191" t="str">
        <f>""</f>
        <v/>
      </c>
      <c r="BY191" t="str">
        <f>""</f>
        <v/>
      </c>
      <c r="BZ191" t="str">
        <f>""</f>
        <v/>
      </c>
      <c r="CA191" t="str">
        <f>""</f>
        <v/>
      </c>
      <c r="CB191" t="str">
        <f>""</f>
        <v/>
      </c>
      <c r="CC191" t="str">
        <f>""</f>
        <v/>
      </c>
      <c r="CD191" t="str">
        <f>""</f>
        <v/>
      </c>
      <c r="CE191" t="str">
        <f>""</f>
        <v/>
      </c>
      <c r="CF191" t="str">
        <f>""</f>
        <v/>
      </c>
      <c r="CG191" t="str">
        <f>""</f>
        <v/>
      </c>
      <c r="CH191" t="str">
        <f>""</f>
        <v/>
      </c>
      <c r="CI191" t="str">
        <f>""</f>
        <v/>
      </c>
      <c r="CJ191" t="str">
        <f>""</f>
        <v/>
      </c>
      <c r="CK191" t="str">
        <f>""</f>
        <v/>
      </c>
      <c r="CL191" t="str">
        <f>""</f>
        <v/>
      </c>
      <c r="CM191" t="str">
        <f>""</f>
        <v/>
      </c>
      <c r="CN191" t="str">
        <f>""</f>
        <v/>
      </c>
      <c r="CO191" t="str">
        <f>""</f>
        <v/>
      </c>
      <c r="CP191" t="str">
        <f>""</f>
        <v/>
      </c>
      <c r="CQ191" t="str">
        <f>""</f>
        <v/>
      </c>
      <c r="CR191" t="str">
        <f>""</f>
        <v/>
      </c>
      <c r="CS191" t="str">
        <f>""</f>
        <v/>
      </c>
      <c r="CT191" t="str">
        <f>""</f>
        <v/>
      </c>
      <c r="CU191" t="str">
        <f>""</f>
        <v/>
      </c>
      <c r="CV191" t="str">
        <f>""</f>
        <v/>
      </c>
      <c r="CW191" t="str">
        <f>""</f>
        <v/>
      </c>
      <c r="CX191" t="str">
        <f>""</f>
        <v/>
      </c>
      <c r="CY191" t="str">
        <f>""</f>
        <v/>
      </c>
      <c r="CZ191" t="str">
        <f>""</f>
        <v/>
      </c>
      <c r="DA191" t="str">
        <f>""</f>
        <v/>
      </c>
      <c r="DB191" t="str">
        <f>""</f>
        <v/>
      </c>
      <c r="DC191" t="str">
        <f>""</f>
        <v/>
      </c>
      <c r="DD191" t="str">
        <f>""</f>
        <v/>
      </c>
      <c r="DE191" t="str">
        <f>""</f>
        <v/>
      </c>
      <c r="DF191" t="str">
        <f>""</f>
        <v/>
      </c>
      <c r="DG191" t="str">
        <f>""</f>
        <v/>
      </c>
      <c r="DH191" t="str">
        <f>""</f>
        <v/>
      </c>
      <c r="DI191" t="str">
        <f>""</f>
        <v/>
      </c>
      <c r="DJ191" t="str">
        <f>""</f>
        <v/>
      </c>
      <c r="DK191" t="str">
        <f>""</f>
        <v/>
      </c>
      <c r="DL191" t="str">
        <f>""</f>
        <v/>
      </c>
      <c r="DM191" t="str">
        <f>""</f>
        <v/>
      </c>
      <c r="DN191" t="str">
        <f>""</f>
        <v/>
      </c>
      <c r="DO191" t="str">
        <f>""</f>
        <v/>
      </c>
      <c r="DP191" t="str">
        <f>""</f>
        <v/>
      </c>
      <c r="DQ191" t="str">
        <f>""</f>
        <v/>
      </c>
      <c r="DR191" t="str">
        <f>""</f>
        <v/>
      </c>
      <c r="DS191" t="str">
        <f>""</f>
        <v/>
      </c>
      <c r="DT191" t="str">
        <f>""</f>
        <v/>
      </c>
      <c r="DU191" t="str">
        <f>""</f>
        <v/>
      </c>
    </row>
    <row r="192" spans="1:125" x14ac:dyDescent="0.25">
      <c r="A192" t="str">
        <f>$A$40</f>
        <v xml:space="preserve">            Sweden</v>
      </c>
      <c r="B192" t="str">
        <f>$B$40</f>
        <v>WCARSEI Index</v>
      </c>
      <c r="C192" t="str">
        <f>$C$40</f>
        <v>PX385</v>
      </c>
      <c r="D192" t="str">
        <f>$D$40</f>
        <v>INTERVAL_SUM</v>
      </c>
      <c r="E192" t="str">
        <f>$E$40</f>
        <v>Dynamic</v>
      </c>
      <c r="F192" t="str">
        <f ca="1">_xll.BDP($B$40,$C$40,CONCATENATE("PX391=", $F$158), CONCATENATE("PX392=",$F$159), CONCATENATE("DS004=",$B$151), "Fill=B")</f>
        <v>#N/A Connection</v>
      </c>
      <c r="G192" t="str">
        <f ca="1">_xll.BDP($B$40,$C$40,CONCATENATE("PX391=", $G$158), CONCATENATE("PX392=",$G$159), CONCATENATE("DS004=",$B$151), "Fill=B")</f>
        <v>#N/A Connection</v>
      </c>
      <c r="H192" t="str">
        <f ca="1">_xll.BDP($B$40,$C$40,CONCATENATE("PX391=", $H$158), CONCATENATE("PX392=",$H$159), CONCATENATE("DS004=",$B$151), "Fill=B")</f>
        <v>#N/A Connection</v>
      </c>
      <c r="I192" t="str">
        <f ca="1">_xll.BDP($B$40,$C$40,CONCATENATE("PX391=", $I$158), CONCATENATE("PX392=",$I$159), CONCATENATE("DS004=",$B$151), "Fill=B")</f>
        <v>#N/A Connection</v>
      </c>
      <c r="J192" t="str">
        <f ca="1">_xll.BDP($B$40,$C$40,CONCATENATE("PX391=", $J$158), CONCATENATE("PX392=",$J$159), CONCATENATE("DS004=",$B$151), "Fill=B")</f>
        <v>#N/A Connection</v>
      </c>
      <c r="K192" t="str">
        <f ca="1">_xll.BDP($B$40,$C$40,CONCATENATE("PX391=", $K$158), CONCATENATE("PX392=",$K$159), CONCATENATE("DS004=",$B$151), "Fill=B")</f>
        <v>#N/A Connection</v>
      </c>
      <c r="L192" t="str">
        <f ca="1">_xll.BDP($B$40,$C$40,CONCATENATE("PX391=", $L$158), CONCATENATE("PX392=",$L$159), CONCATENATE("DS004=",$B$151), "Fill=B")</f>
        <v>#N/A Connection</v>
      </c>
      <c r="M192" t="str">
        <f ca="1">_xll.BDP($B$40,$C$40,CONCATENATE("PX391=", $M$158), CONCATENATE("PX392=",$M$159), CONCATENATE("DS004=",$B$151), "Fill=B")</f>
        <v>#N/A Connection</v>
      </c>
      <c r="N192" t="str">
        <f ca="1">_xll.BDP($B$40,$C$40,CONCATENATE("PX391=", $N$158), CONCATENATE("PX392=",$N$159), CONCATENATE("DS004=",$B$151), "Fill=B")</f>
        <v>#N/A Connection</v>
      </c>
      <c r="O192" t="str">
        <f ca="1">_xll.BDP($B$40,$C$40,CONCATENATE("PX391=", $O$158), CONCATENATE("PX392=",$O$159), CONCATENATE("DS004=",$B$151), "Fill=B")</f>
        <v>#N/A Connection</v>
      </c>
      <c r="P192" t="str">
        <f ca="1">_xll.BDP($B$40,$C$40,CONCATENATE("PX391=", $P$158), CONCATENATE("PX392=",$P$159), CONCATENATE("DS004=",$B$151), "Fill=B")</f>
        <v>#N/A Connection</v>
      </c>
      <c r="Q192" t="str">
        <f ca="1">_xll.BDP($B$40,$C$40,CONCATENATE("PX391=", $Q$158), CONCATENATE("PX392=",$Q$159), CONCATENATE("DS004=",$B$151), "Fill=B")</f>
        <v>#N/A Connection</v>
      </c>
      <c r="R192" t="str">
        <f ca="1">_xll.BDP($B$40,$C$40,CONCATENATE("PX391=", $R$158), CONCATENATE("PX392=",$R$159), CONCATENATE("DS004=",$B$151), "Fill=B")</f>
        <v>#N/A Connection</v>
      </c>
      <c r="S192" t="str">
        <f ca="1">_xll.BDP($B$40,$C$40,CONCATENATE("PX391=", $S$158), CONCATENATE("PX392=",$S$159), CONCATENATE("DS004=",$B$151), "Fill=B")</f>
        <v>#N/A Connection</v>
      </c>
      <c r="T192" t="str">
        <f ca="1">_xll.BDP($B$40,$C$40,CONCATENATE("PX391=", $T$158), CONCATENATE("PX392=",$T$159), CONCATENATE("DS004=",$B$151), "Fill=B")</f>
        <v>#N/A Connection</v>
      </c>
      <c r="U192" t="str">
        <f ca="1">_xll.BDP($B$40,$C$40,CONCATENATE("PX391=", $U$158), CONCATENATE("PX392=",$U$159), CONCATENATE("DS004=",$B$151), "Fill=B")</f>
        <v>#N/A Connection</v>
      </c>
      <c r="V192" t="str">
        <f ca="1">_xll.BDP($B$40,$C$40,CONCATENATE("PX391=", $V$158), CONCATENATE("PX392=",$V$159), CONCATENATE("DS004=",$B$151), "Fill=B")</f>
        <v>#N/A Connection</v>
      </c>
      <c r="W192" t="str">
        <f ca="1">_xll.BDP($B$40,$C$40,CONCATENATE("PX391=", $W$158), CONCATENATE("PX392=",$W$159), CONCATENATE("DS004=",$B$151), "Fill=B")</f>
        <v>#N/A Connection</v>
      </c>
      <c r="X192" t="str">
        <f ca="1">_xll.BDP($B$40,$C$40,CONCATENATE("PX391=", $X$158), CONCATENATE("PX392=",$X$159), CONCATENATE("DS004=",$B$151), "Fill=B")</f>
        <v>#N/A Connection</v>
      </c>
      <c r="Y192" t="str">
        <f ca="1">_xll.BDP($B$40,$C$40,CONCATENATE("PX391=", $Y$158), CONCATENATE("PX392=",$Y$159), CONCATENATE("DS004=",$B$151), "Fill=B")</f>
        <v>#N/A Connection</v>
      </c>
      <c r="Z192" t="str">
        <f ca="1">_xll.BDP($B$40,$C$40,CONCATENATE("PX391=", $Z$158), CONCATENATE("PX392=",$Z$159), CONCATENATE("DS004=",$B$151), "Fill=B")</f>
        <v>#N/A Connection</v>
      </c>
      <c r="AA192" t="str">
        <f ca="1">_xll.BDP($B$40,$C$40,CONCATENATE("PX391=", $AA$158), CONCATENATE("PX392=",$AA$159), CONCATENATE("DS004=",$B$151), "Fill=B")</f>
        <v>#N/A Connection</v>
      </c>
      <c r="AB192" t="str">
        <f ca="1">_xll.BDP($B$40,$C$40,CONCATENATE("PX391=", $AB$158), CONCATENATE("PX392=",$AB$159), CONCATENATE("DS004=",$B$151), "Fill=B")</f>
        <v>#N/A Connection</v>
      </c>
      <c r="AC192" t="str">
        <f ca="1">_xll.BDP($B$40,$C$40,CONCATENATE("PX391=", $AC$158), CONCATENATE("PX392=",$AC$159), CONCATENATE("DS004=",$B$151), "Fill=B")</f>
        <v>#N/A Connection</v>
      </c>
      <c r="AD192" t="str">
        <f ca="1">_xll.BDP($B$40,$C$40,CONCATENATE("PX391=", $AD$158), CONCATENATE("PX392=",$AD$159), CONCATENATE("DS004=",$B$151), "Fill=B")</f>
        <v>#N/A Connection</v>
      </c>
      <c r="AE192" t="str">
        <f ca="1">_xll.BDP($B$40,$C$40,CONCATENATE("PX391=", $AE$158), CONCATENATE("PX392=",$AE$159), CONCATENATE("DS004=",$B$151), "Fill=B")</f>
        <v>#N/A Connection</v>
      </c>
      <c r="AF192" t="str">
        <f ca="1">_xll.BDP($B$40,$C$40,CONCATENATE("PX391=", $AF$158), CONCATENATE("PX392=",$AF$159), CONCATENATE("DS004=",$B$151), "Fill=B")</f>
        <v>#N/A Connection</v>
      </c>
      <c r="AG192" t="str">
        <f ca="1">_xll.BDP($B$40,$C$40,CONCATENATE("PX391=", $AG$158), CONCATENATE("PX392=",$AG$159), CONCATENATE("DS004=",$B$151), "Fill=B")</f>
        <v>#N/A Connection</v>
      </c>
      <c r="AH192" t="str">
        <f ca="1">_xll.BDP($B$40,$C$40,CONCATENATE("PX391=", $AH$158), CONCATENATE("PX392=",$AH$159), CONCATENATE("DS004=",$B$151), "Fill=B")</f>
        <v>#N/A Connection</v>
      </c>
      <c r="AI192" t="str">
        <f ca="1">_xll.BDP($B$40,$C$40,CONCATENATE("PX391=", $AI$158), CONCATENATE("PX392=",$AI$159), CONCATENATE("DS004=",$B$151), "Fill=B")</f>
        <v>#N/A Connection</v>
      </c>
      <c r="AJ192" t="str">
        <f ca="1">_xll.BDP($B$40,$C$40,CONCATENATE("PX391=", $AJ$158), CONCATENATE("PX392=",$AJ$159), CONCATENATE("DS004=",$B$151), "Fill=B")</f>
        <v>#N/A Connection</v>
      </c>
      <c r="AK192" t="str">
        <f ca="1">_xll.BDP($B$40,$C$40,CONCATENATE("PX391=", $AK$158), CONCATENATE("PX392=",$AK$159), CONCATENATE("DS004=",$B$151), "Fill=B")</f>
        <v>#N/A Connection</v>
      </c>
      <c r="AL192" t="str">
        <f ca="1">_xll.BDP($B$40,$C$40,CONCATENATE("PX391=", $AL$158), CONCATENATE("PX392=",$AL$159), CONCATENATE("DS004=",$B$151), "Fill=B")</f>
        <v>#N/A Connection</v>
      </c>
      <c r="AM192" t="str">
        <f ca="1">_xll.BDP($B$40,$C$40,CONCATENATE("PX391=", $AM$158), CONCATENATE("PX392=",$AM$159), CONCATENATE("DS004=",$B$151), "Fill=B")</f>
        <v>#N/A Connection</v>
      </c>
      <c r="AN192" t="str">
        <f ca="1">_xll.BDP($B$40,$C$40,CONCATENATE("PX391=", $AN$158), CONCATENATE("PX392=",$AN$159), CONCATENATE("DS004=",$B$151), "Fill=B")</f>
        <v>#N/A Connection</v>
      </c>
      <c r="AO192" t="str">
        <f ca="1">_xll.BDP($B$40,$C$40,CONCATENATE("PX391=", $AO$158), CONCATENATE("PX392=",$AO$159), CONCATENATE("DS004=",$B$151), "Fill=B")</f>
        <v>#N/A Connection</v>
      </c>
      <c r="AP192" t="str">
        <f ca="1">_xll.BDP($B$40,$C$40,CONCATENATE("PX391=", $AP$158), CONCATENATE("PX392=",$AP$159), CONCATENATE("DS004=",$B$151), "Fill=B")</f>
        <v>#N/A Connection</v>
      </c>
      <c r="AQ192" t="str">
        <f ca="1">_xll.BDP($B$40,$C$40,CONCATENATE("PX391=", $AQ$158), CONCATENATE("PX392=",$AQ$159), CONCATENATE("DS004=",$B$151), "Fill=B")</f>
        <v>#N/A Connection</v>
      </c>
      <c r="AR192" t="str">
        <f ca="1">_xll.BDP($B$40,$C$40,CONCATENATE("PX391=", $AR$158), CONCATENATE("PX392=",$AR$159), CONCATENATE("DS004=",$B$151), "Fill=B")</f>
        <v>#N/A Connection</v>
      </c>
      <c r="AS192" t="str">
        <f ca="1">_xll.BDP($B$40,$C$40,CONCATENATE("PX391=", $AS$158), CONCATENATE("PX392=",$AS$159), CONCATENATE("DS004=",$B$151), "Fill=B")</f>
        <v>#N/A Connection</v>
      </c>
      <c r="AT192" t="str">
        <f ca="1">_xll.BDP($B$40,$C$40,CONCATENATE("PX391=", $AT$158), CONCATENATE("PX392=",$AT$159), CONCATENATE("DS004=",$B$151), "Fill=B")</f>
        <v>#N/A Connection</v>
      </c>
      <c r="AU192" t="str">
        <f ca="1">_xll.BDP($B$40,$C$40,CONCATENATE("PX391=", $AU$158), CONCATENATE("PX392=",$AU$159), CONCATENATE("DS004=",$B$151), "Fill=B")</f>
        <v>#N/A Connection</v>
      </c>
      <c r="AV192" t="str">
        <f ca="1">_xll.BDP($B$40,$C$40,CONCATENATE("PX391=", $AV$158), CONCATENATE("PX392=",$AV$159), CONCATENATE("DS004=",$B$151), "Fill=B")</f>
        <v>#N/A Connection</v>
      </c>
      <c r="AW192" t="str">
        <f ca="1">_xll.BDP($B$40,$C$40,CONCATENATE("PX391=", $AW$158), CONCATENATE("PX392=",$AW$159), CONCATENATE("DS004=",$B$151), "Fill=B")</f>
        <v>#N/A Connection</v>
      </c>
      <c r="AX192" t="str">
        <f ca="1">_xll.BDP($B$40,$C$40,CONCATENATE("PX391=", $AX$158), CONCATENATE("PX392=",$AX$159), CONCATENATE("DS004=",$B$151), "Fill=B")</f>
        <v>#N/A Connection</v>
      </c>
      <c r="AY192" t="str">
        <f ca="1">_xll.BDP($B$40,$C$40,CONCATENATE("PX391=", $AY$158), CONCATENATE("PX392=",$AY$159), CONCATENATE("DS004=",$B$151), "Fill=B")</f>
        <v>#N/A Connection</v>
      </c>
      <c r="AZ192" t="str">
        <f ca="1">_xll.BDP($B$40,$C$40,CONCATENATE("PX391=", $AZ$158), CONCATENATE("PX392=",$AZ$159), CONCATENATE("DS004=",$B$151), "Fill=B")</f>
        <v>#N/A Connection</v>
      </c>
      <c r="BA192" t="str">
        <f ca="1">_xll.BDP($B$40,$C$40,CONCATENATE("PX391=", $BA$158), CONCATENATE("PX392=",$BA$159), CONCATENATE("DS004=",$B$151), "Fill=B")</f>
        <v>#N/A Connection</v>
      </c>
      <c r="BB192" t="str">
        <f ca="1">_xll.BDP($B$40,$C$40,CONCATENATE("PX391=", $BB$158), CONCATENATE("PX392=",$BB$159), CONCATENATE("DS004=",$B$151), "Fill=B")</f>
        <v>#N/A Connection</v>
      </c>
      <c r="BC192" t="str">
        <f ca="1">_xll.BDP($B$40,$C$40,CONCATENATE("PX391=", $BC$158), CONCATENATE("PX392=",$BC$159), CONCATENATE("DS004=",$B$151), "Fill=B")</f>
        <v>#N/A Connection</v>
      </c>
      <c r="BD192" t="str">
        <f ca="1">_xll.BDP($B$40,$C$40,CONCATENATE("PX391=", $BD$158), CONCATENATE("PX392=",$BD$159), CONCATENATE("DS004=",$B$151), "Fill=B")</f>
        <v>#N/A Connection</v>
      </c>
      <c r="BE192" t="str">
        <f ca="1">_xll.BDP($B$40,$C$40,CONCATENATE("PX391=", $BE$158), CONCATENATE("PX392=",$BE$159), CONCATENATE("DS004=",$B$151), "Fill=B")</f>
        <v>#N/A Connection</v>
      </c>
      <c r="BF192" t="str">
        <f ca="1">_xll.BDP($B$40,$C$40,CONCATENATE("PX391=", $BF$158), CONCATENATE("PX392=",$BF$159), CONCATENATE("DS004=",$B$151), "Fill=B")</f>
        <v>#N/A Connection</v>
      </c>
      <c r="BG192" t="str">
        <f ca="1">_xll.BDP($B$40,$C$40,CONCATENATE("PX391=", $BG$158), CONCATENATE("PX392=",$BG$159), CONCATENATE("DS004=",$B$151), "Fill=B")</f>
        <v>#N/A Connection</v>
      </c>
      <c r="BH192" t="str">
        <f ca="1">_xll.BDP($B$40,$C$40,CONCATENATE("PX391=", $BH$158), CONCATENATE("PX392=",$BH$159), CONCATENATE("DS004=",$B$151), "Fill=B")</f>
        <v>#N/A Connection</v>
      </c>
      <c r="BI192" t="str">
        <f ca="1">_xll.BDP($B$40,$C$40,CONCATENATE("PX391=", $BI$158), CONCATENATE("PX392=",$BI$159), CONCATENATE("DS004=",$B$151), "Fill=B")</f>
        <v>#N/A Connection</v>
      </c>
      <c r="BJ192" t="str">
        <f ca="1">_xll.BDP($B$40,$C$40,CONCATENATE("PX391=", $BJ$158), CONCATENATE("PX392=",$BJ$159), CONCATENATE("DS004=",$B$151), "Fill=B")</f>
        <v>#N/A Connection</v>
      </c>
      <c r="BK192" t="str">
        <f ca="1">_xll.BDP($B$40,$C$40,CONCATENATE("PX391=", $BK$158), CONCATENATE("PX392=",$BK$159), CONCATENATE("DS004=",$B$151), "Fill=B")</f>
        <v>#N/A Connection</v>
      </c>
      <c r="BL192" t="str">
        <f ca="1">_xll.BDP($B$40,$C$40,CONCATENATE("PX391=", $BL$158), CONCATENATE("PX392=",$BL$159), CONCATENATE("DS004=",$B$151), "Fill=B")</f>
        <v>#N/A Connection</v>
      </c>
      <c r="BM192" t="str">
        <f ca="1">_xll.BDP($B$40,$C$40,CONCATENATE("PX391=", $BM$158), CONCATENATE("PX392=",$BM$159), CONCATENATE("DS004=",$B$151), "Fill=B")</f>
        <v>#N/A Connection</v>
      </c>
      <c r="BN192" t="str">
        <f>""</f>
        <v/>
      </c>
      <c r="BO192" t="str">
        <f>""</f>
        <v/>
      </c>
      <c r="BP192" t="str">
        <f>""</f>
        <v/>
      </c>
      <c r="BQ192" t="str">
        <f>""</f>
        <v/>
      </c>
      <c r="BR192" t="str">
        <f>""</f>
        <v/>
      </c>
      <c r="BS192" t="str">
        <f>""</f>
        <v/>
      </c>
      <c r="BT192" t="str">
        <f>""</f>
        <v/>
      </c>
      <c r="BU192" t="str">
        <f>""</f>
        <v/>
      </c>
      <c r="BV192" t="str">
        <f>""</f>
        <v/>
      </c>
      <c r="BW192" t="str">
        <f>""</f>
        <v/>
      </c>
      <c r="BX192" t="str">
        <f>""</f>
        <v/>
      </c>
      <c r="BY192" t="str">
        <f>""</f>
        <v/>
      </c>
      <c r="BZ192" t="str">
        <f>""</f>
        <v/>
      </c>
      <c r="CA192" t="str">
        <f>""</f>
        <v/>
      </c>
      <c r="CB192" t="str">
        <f>""</f>
        <v/>
      </c>
      <c r="CC192" t="str">
        <f>""</f>
        <v/>
      </c>
      <c r="CD192" t="str">
        <f>""</f>
        <v/>
      </c>
      <c r="CE192" t="str">
        <f>""</f>
        <v/>
      </c>
      <c r="CF192" t="str">
        <f>""</f>
        <v/>
      </c>
      <c r="CG192" t="str">
        <f>""</f>
        <v/>
      </c>
      <c r="CH192" t="str">
        <f>""</f>
        <v/>
      </c>
      <c r="CI192" t="str">
        <f>""</f>
        <v/>
      </c>
      <c r="CJ192" t="str">
        <f>""</f>
        <v/>
      </c>
      <c r="CK192" t="str">
        <f>""</f>
        <v/>
      </c>
      <c r="CL192" t="str">
        <f>""</f>
        <v/>
      </c>
      <c r="CM192" t="str">
        <f>""</f>
        <v/>
      </c>
      <c r="CN192" t="str">
        <f>""</f>
        <v/>
      </c>
      <c r="CO192" t="str">
        <f>""</f>
        <v/>
      </c>
      <c r="CP192" t="str">
        <f>""</f>
        <v/>
      </c>
      <c r="CQ192" t="str">
        <f>""</f>
        <v/>
      </c>
      <c r="CR192" t="str">
        <f>""</f>
        <v/>
      </c>
      <c r="CS192" t="str">
        <f>""</f>
        <v/>
      </c>
      <c r="CT192" t="str">
        <f>""</f>
        <v/>
      </c>
      <c r="CU192" t="str">
        <f>""</f>
        <v/>
      </c>
      <c r="CV192" t="str">
        <f>""</f>
        <v/>
      </c>
      <c r="CW192" t="str">
        <f>""</f>
        <v/>
      </c>
      <c r="CX192" t="str">
        <f>""</f>
        <v/>
      </c>
      <c r="CY192" t="str">
        <f>""</f>
        <v/>
      </c>
      <c r="CZ192" t="str">
        <f>""</f>
        <v/>
      </c>
      <c r="DA192" t="str">
        <f>""</f>
        <v/>
      </c>
      <c r="DB192" t="str">
        <f>""</f>
        <v/>
      </c>
      <c r="DC192" t="str">
        <f>""</f>
        <v/>
      </c>
      <c r="DD192" t="str">
        <f>""</f>
        <v/>
      </c>
      <c r="DE192" t="str">
        <f>""</f>
        <v/>
      </c>
      <c r="DF192" t="str">
        <f>""</f>
        <v/>
      </c>
      <c r="DG192" t="str">
        <f>""</f>
        <v/>
      </c>
      <c r="DH192" t="str">
        <f>""</f>
        <v/>
      </c>
      <c r="DI192" t="str">
        <f>""</f>
        <v/>
      </c>
      <c r="DJ192" t="str">
        <f>""</f>
        <v/>
      </c>
      <c r="DK192" t="str">
        <f>""</f>
        <v/>
      </c>
      <c r="DL192" t="str">
        <f>""</f>
        <v/>
      </c>
      <c r="DM192" t="str">
        <f>""</f>
        <v/>
      </c>
      <c r="DN192" t="str">
        <f>""</f>
        <v/>
      </c>
      <c r="DO192" t="str">
        <f>""</f>
        <v/>
      </c>
      <c r="DP192" t="str">
        <f>""</f>
        <v/>
      </c>
      <c r="DQ192" t="str">
        <f>""</f>
        <v/>
      </c>
      <c r="DR192" t="str">
        <f>""</f>
        <v/>
      </c>
      <c r="DS192" t="str">
        <f>""</f>
        <v/>
      </c>
      <c r="DT192" t="str">
        <f>""</f>
        <v/>
      </c>
      <c r="DU192" t="str">
        <f>""</f>
        <v/>
      </c>
    </row>
    <row r="193" spans="1:125" x14ac:dyDescent="0.25">
      <c r="A193" t="str">
        <f>$A$41</f>
        <v xml:space="preserve">            Switzerland</v>
      </c>
      <c r="B193" t="str">
        <f>$B$41</f>
        <v>WCARCHI Index</v>
      </c>
      <c r="C193" t="str">
        <f>$C$41</f>
        <v>PX385</v>
      </c>
      <c r="D193" t="str">
        <f>$D$41</f>
        <v>INTERVAL_SUM</v>
      </c>
      <c r="E193" t="str">
        <f>$E$41</f>
        <v>Dynamic</v>
      </c>
      <c r="F193" t="str">
        <f ca="1">_xll.BDP($B$41,$C$41,CONCATENATE("PX391=", $F$158), CONCATENATE("PX392=",$F$159), CONCATENATE("DS004=",$B$151), "Fill=B")</f>
        <v>#N/A Connection</v>
      </c>
      <c r="G193" t="str">
        <f ca="1">_xll.BDP($B$41,$C$41,CONCATENATE("PX391=", $G$158), CONCATENATE("PX392=",$G$159), CONCATENATE("DS004=",$B$151), "Fill=B")</f>
        <v>#N/A Connection</v>
      </c>
      <c r="H193" t="str">
        <f ca="1">_xll.BDP($B$41,$C$41,CONCATENATE("PX391=", $H$158), CONCATENATE("PX392=",$H$159), CONCATENATE("DS004=",$B$151), "Fill=B")</f>
        <v>#N/A Connection</v>
      </c>
      <c r="I193" t="str">
        <f ca="1">_xll.BDP($B$41,$C$41,CONCATENATE("PX391=", $I$158), CONCATENATE("PX392=",$I$159), CONCATENATE("DS004=",$B$151), "Fill=B")</f>
        <v>#N/A Connection</v>
      </c>
      <c r="J193" t="str">
        <f ca="1">_xll.BDP($B$41,$C$41,CONCATENATE("PX391=", $J$158), CONCATENATE("PX392=",$J$159), CONCATENATE("DS004=",$B$151), "Fill=B")</f>
        <v>#N/A Connection</v>
      </c>
      <c r="K193" t="str">
        <f ca="1">_xll.BDP($B$41,$C$41,CONCATENATE("PX391=", $K$158), CONCATENATE("PX392=",$K$159), CONCATENATE("DS004=",$B$151), "Fill=B")</f>
        <v>#N/A Connection</v>
      </c>
      <c r="L193" t="str">
        <f ca="1">_xll.BDP($B$41,$C$41,CONCATENATE("PX391=", $L$158), CONCATENATE("PX392=",$L$159), CONCATENATE("DS004=",$B$151), "Fill=B")</f>
        <v>#N/A Connection</v>
      </c>
      <c r="M193" t="str">
        <f ca="1">_xll.BDP($B$41,$C$41,CONCATENATE("PX391=", $M$158), CONCATENATE("PX392=",$M$159), CONCATENATE("DS004=",$B$151), "Fill=B")</f>
        <v>#N/A Connection</v>
      </c>
      <c r="N193" t="str">
        <f ca="1">_xll.BDP($B$41,$C$41,CONCATENATE("PX391=", $N$158), CONCATENATE("PX392=",$N$159), CONCATENATE("DS004=",$B$151), "Fill=B")</f>
        <v>#N/A Connection</v>
      </c>
      <c r="O193" t="str">
        <f ca="1">_xll.BDP($B$41,$C$41,CONCATENATE("PX391=", $O$158), CONCATENATE("PX392=",$O$159), CONCATENATE("DS004=",$B$151), "Fill=B")</f>
        <v>#N/A Connection</v>
      </c>
      <c r="P193" t="str">
        <f ca="1">_xll.BDP($B$41,$C$41,CONCATENATE("PX391=", $P$158), CONCATENATE("PX392=",$P$159), CONCATENATE("DS004=",$B$151), "Fill=B")</f>
        <v>#N/A Connection</v>
      </c>
      <c r="Q193" t="str">
        <f ca="1">_xll.BDP($B$41,$C$41,CONCATENATE("PX391=", $Q$158), CONCATENATE("PX392=",$Q$159), CONCATENATE("DS004=",$B$151), "Fill=B")</f>
        <v>#N/A Connection</v>
      </c>
      <c r="R193" t="str">
        <f ca="1">_xll.BDP($B$41,$C$41,CONCATENATE("PX391=", $R$158), CONCATENATE("PX392=",$R$159), CONCATENATE("DS004=",$B$151), "Fill=B")</f>
        <v>#N/A Connection</v>
      </c>
      <c r="S193" t="str">
        <f ca="1">_xll.BDP($B$41,$C$41,CONCATENATE("PX391=", $S$158), CONCATENATE("PX392=",$S$159), CONCATENATE("DS004=",$B$151), "Fill=B")</f>
        <v>#N/A Connection</v>
      </c>
      <c r="T193" t="str">
        <f ca="1">_xll.BDP($B$41,$C$41,CONCATENATE("PX391=", $T$158), CONCATENATE("PX392=",$T$159), CONCATENATE("DS004=",$B$151), "Fill=B")</f>
        <v>#N/A Connection</v>
      </c>
      <c r="U193" t="str">
        <f ca="1">_xll.BDP($B$41,$C$41,CONCATENATE("PX391=", $U$158), CONCATENATE("PX392=",$U$159), CONCATENATE("DS004=",$B$151), "Fill=B")</f>
        <v>#N/A Connection</v>
      </c>
      <c r="V193" t="str">
        <f ca="1">_xll.BDP($B$41,$C$41,CONCATENATE("PX391=", $V$158), CONCATENATE("PX392=",$V$159), CONCATENATE("DS004=",$B$151), "Fill=B")</f>
        <v>#N/A Connection</v>
      </c>
      <c r="W193" t="str">
        <f ca="1">_xll.BDP($B$41,$C$41,CONCATENATE("PX391=", $W$158), CONCATENATE("PX392=",$W$159), CONCATENATE("DS004=",$B$151), "Fill=B")</f>
        <v>#N/A Connection</v>
      </c>
      <c r="X193" t="str">
        <f ca="1">_xll.BDP($B$41,$C$41,CONCATENATE("PX391=", $X$158), CONCATENATE("PX392=",$X$159), CONCATENATE("DS004=",$B$151), "Fill=B")</f>
        <v>#N/A Connection</v>
      </c>
      <c r="Y193" t="str">
        <f ca="1">_xll.BDP($B$41,$C$41,CONCATENATE("PX391=", $Y$158), CONCATENATE("PX392=",$Y$159), CONCATENATE("DS004=",$B$151), "Fill=B")</f>
        <v>#N/A Connection</v>
      </c>
      <c r="Z193" t="str">
        <f ca="1">_xll.BDP($B$41,$C$41,CONCATENATE("PX391=", $Z$158), CONCATENATE("PX392=",$Z$159), CONCATENATE("DS004=",$B$151), "Fill=B")</f>
        <v>#N/A Connection</v>
      </c>
      <c r="AA193" t="str">
        <f ca="1">_xll.BDP($B$41,$C$41,CONCATENATE("PX391=", $AA$158), CONCATENATE("PX392=",$AA$159), CONCATENATE("DS004=",$B$151), "Fill=B")</f>
        <v>#N/A Connection</v>
      </c>
      <c r="AB193" t="str">
        <f ca="1">_xll.BDP($B$41,$C$41,CONCATENATE("PX391=", $AB$158), CONCATENATE("PX392=",$AB$159), CONCATENATE("DS004=",$B$151), "Fill=B")</f>
        <v>#N/A Connection</v>
      </c>
      <c r="AC193" t="str">
        <f ca="1">_xll.BDP($B$41,$C$41,CONCATENATE("PX391=", $AC$158), CONCATENATE("PX392=",$AC$159), CONCATENATE("DS004=",$B$151), "Fill=B")</f>
        <v>#N/A Connection</v>
      </c>
      <c r="AD193" t="str">
        <f ca="1">_xll.BDP($B$41,$C$41,CONCATENATE("PX391=", $AD$158), CONCATENATE("PX392=",$AD$159), CONCATENATE("DS004=",$B$151), "Fill=B")</f>
        <v>#N/A Connection</v>
      </c>
      <c r="AE193" t="str">
        <f ca="1">_xll.BDP($B$41,$C$41,CONCATENATE("PX391=", $AE$158), CONCATENATE("PX392=",$AE$159), CONCATENATE("DS004=",$B$151), "Fill=B")</f>
        <v>#N/A Connection</v>
      </c>
      <c r="AF193" t="str">
        <f ca="1">_xll.BDP($B$41,$C$41,CONCATENATE("PX391=", $AF$158), CONCATENATE("PX392=",$AF$159), CONCATENATE("DS004=",$B$151), "Fill=B")</f>
        <v>#N/A Connection</v>
      </c>
      <c r="AG193" t="str">
        <f ca="1">_xll.BDP($B$41,$C$41,CONCATENATE("PX391=", $AG$158), CONCATENATE("PX392=",$AG$159), CONCATENATE("DS004=",$B$151), "Fill=B")</f>
        <v>#N/A Connection</v>
      </c>
      <c r="AH193" t="str">
        <f ca="1">_xll.BDP($B$41,$C$41,CONCATENATE("PX391=", $AH$158), CONCATENATE("PX392=",$AH$159), CONCATENATE("DS004=",$B$151), "Fill=B")</f>
        <v>#N/A Connection</v>
      </c>
      <c r="AI193" t="str">
        <f ca="1">_xll.BDP($B$41,$C$41,CONCATENATE("PX391=", $AI$158), CONCATENATE("PX392=",$AI$159), CONCATENATE("DS004=",$B$151), "Fill=B")</f>
        <v>#N/A Connection</v>
      </c>
      <c r="AJ193" t="str">
        <f ca="1">_xll.BDP($B$41,$C$41,CONCATENATE("PX391=", $AJ$158), CONCATENATE("PX392=",$AJ$159), CONCATENATE("DS004=",$B$151), "Fill=B")</f>
        <v>#N/A Connection</v>
      </c>
      <c r="AK193" t="str">
        <f ca="1">_xll.BDP($B$41,$C$41,CONCATENATE("PX391=", $AK$158), CONCATENATE("PX392=",$AK$159), CONCATENATE("DS004=",$B$151), "Fill=B")</f>
        <v>#N/A Connection</v>
      </c>
      <c r="AL193" t="str">
        <f ca="1">_xll.BDP($B$41,$C$41,CONCATENATE("PX391=", $AL$158), CONCATENATE("PX392=",$AL$159), CONCATENATE("DS004=",$B$151), "Fill=B")</f>
        <v>#N/A Connection</v>
      </c>
      <c r="AM193" t="str">
        <f ca="1">_xll.BDP($B$41,$C$41,CONCATENATE("PX391=", $AM$158), CONCATENATE("PX392=",$AM$159), CONCATENATE("DS004=",$B$151), "Fill=B")</f>
        <v>#N/A Connection</v>
      </c>
      <c r="AN193" t="str">
        <f ca="1">_xll.BDP($B$41,$C$41,CONCATENATE("PX391=", $AN$158), CONCATENATE("PX392=",$AN$159), CONCATENATE("DS004=",$B$151), "Fill=B")</f>
        <v>#N/A Connection</v>
      </c>
      <c r="AO193" t="str">
        <f ca="1">_xll.BDP($B$41,$C$41,CONCATENATE("PX391=", $AO$158), CONCATENATE("PX392=",$AO$159), CONCATENATE("DS004=",$B$151), "Fill=B")</f>
        <v>#N/A Connection</v>
      </c>
      <c r="AP193" t="str">
        <f ca="1">_xll.BDP($B$41,$C$41,CONCATENATE("PX391=", $AP$158), CONCATENATE("PX392=",$AP$159), CONCATENATE("DS004=",$B$151), "Fill=B")</f>
        <v>#N/A Connection</v>
      </c>
      <c r="AQ193" t="str">
        <f ca="1">_xll.BDP($B$41,$C$41,CONCATENATE("PX391=", $AQ$158), CONCATENATE("PX392=",$AQ$159), CONCATENATE("DS004=",$B$151), "Fill=B")</f>
        <v>#N/A Connection</v>
      </c>
      <c r="AR193" t="str">
        <f ca="1">_xll.BDP($B$41,$C$41,CONCATENATE("PX391=", $AR$158), CONCATENATE("PX392=",$AR$159), CONCATENATE("DS004=",$B$151), "Fill=B")</f>
        <v>#N/A Connection</v>
      </c>
      <c r="AS193" t="str">
        <f ca="1">_xll.BDP($B$41,$C$41,CONCATENATE("PX391=", $AS$158), CONCATENATE("PX392=",$AS$159), CONCATENATE("DS004=",$B$151), "Fill=B")</f>
        <v>#N/A Connection</v>
      </c>
      <c r="AT193" t="str">
        <f ca="1">_xll.BDP($B$41,$C$41,CONCATENATE("PX391=", $AT$158), CONCATENATE("PX392=",$AT$159), CONCATENATE("DS004=",$B$151), "Fill=B")</f>
        <v>#N/A Connection</v>
      </c>
      <c r="AU193" t="str">
        <f ca="1">_xll.BDP($B$41,$C$41,CONCATENATE("PX391=", $AU$158), CONCATENATE("PX392=",$AU$159), CONCATENATE("DS004=",$B$151), "Fill=B")</f>
        <v>#N/A Connection</v>
      </c>
      <c r="AV193" t="str">
        <f ca="1">_xll.BDP($B$41,$C$41,CONCATENATE("PX391=", $AV$158), CONCATENATE("PX392=",$AV$159), CONCATENATE("DS004=",$B$151), "Fill=B")</f>
        <v>#N/A Connection</v>
      </c>
      <c r="AW193" t="str">
        <f ca="1">_xll.BDP($B$41,$C$41,CONCATENATE("PX391=", $AW$158), CONCATENATE("PX392=",$AW$159), CONCATENATE("DS004=",$B$151), "Fill=B")</f>
        <v>#N/A Connection</v>
      </c>
      <c r="AX193" t="str">
        <f ca="1">_xll.BDP($B$41,$C$41,CONCATENATE("PX391=", $AX$158), CONCATENATE("PX392=",$AX$159), CONCATENATE("DS004=",$B$151), "Fill=B")</f>
        <v>#N/A Connection</v>
      </c>
      <c r="AY193" t="str">
        <f ca="1">_xll.BDP($B$41,$C$41,CONCATENATE("PX391=", $AY$158), CONCATENATE("PX392=",$AY$159), CONCATENATE("DS004=",$B$151), "Fill=B")</f>
        <v>#N/A Connection</v>
      </c>
      <c r="AZ193" t="str">
        <f ca="1">_xll.BDP($B$41,$C$41,CONCATENATE("PX391=", $AZ$158), CONCATENATE("PX392=",$AZ$159), CONCATENATE("DS004=",$B$151), "Fill=B")</f>
        <v>#N/A Connection</v>
      </c>
      <c r="BA193" t="str">
        <f ca="1">_xll.BDP($B$41,$C$41,CONCATENATE("PX391=", $BA$158), CONCATENATE("PX392=",$BA$159), CONCATENATE("DS004=",$B$151), "Fill=B")</f>
        <v>#N/A Connection</v>
      </c>
      <c r="BB193" t="str">
        <f ca="1">_xll.BDP($B$41,$C$41,CONCATENATE("PX391=", $BB$158), CONCATENATE("PX392=",$BB$159), CONCATENATE("DS004=",$B$151), "Fill=B")</f>
        <v>#N/A Connection</v>
      </c>
      <c r="BC193" t="str">
        <f ca="1">_xll.BDP($B$41,$C$41,CONCATENATE("PX391=", $BC$158), CONCATENATE("PX392=",$BC$159), CONCATENATE("DS004=",$B$151), "Fill=B")</f>
        <v>#N/A Connection</v>
      </c>
      <c r="BD193" t="str">
        <f ca="1">_xll.BDP($B$41,$C$41,CONCATENATE("PX391=", $BD$158), CONCATENATE("PX392=",$BD$159), CONCATENATE("DS004=",$B$151), "Fill=B")</f>
        <v>#N/A Connection</v>
      </c>
      <c r="BE193" t="str">
        <f ca="1">_xll.BDP($B$41,$C$41,CONCATENATE("PX391=", $BE$158), CONCATENATE("PX392=",$BE$159), CONCATENATE("DS004=",$B$151), "Fill=B")</f>
        <v>#N/A Connection</v>
      </c>
      <c r="BF193" t="str">
        <f ca="1">_xll.BDP($B$41,$C$41,CONCATENATE("PX391=", $BF$158), CONCATENATE("PX392=",$BF$159), CONCATENATE("DS004=",$B$151), "Fill=B")</f>
        <v>#N/A Connection</v>
      </c>
      <c r="BG193" t="str">
        <f ca="1">_xll.BDP($B$41,$C$41,CONCATENATE("PX391=", $BG$158), CONCATENATE("PX392=",$BG$159), CONCATENATE("DS004=",$B$151), "Fill=B")</f>
        <v>#N/A Connection</v>
      </c>
      <c r="BH193" t="str">
        <f ca="1">_xll.BDP($B$41,$C$41,CONCATENATE("PX391=", $BH$158), CONCATENATE("PX392=",$BH$159), CONCATENATE("DS004=",$B$151), "Fill=B")</f>
        <v>#N/A Connection</v>
      </c>
      <c r="BI193" t="str">
        <f ca="1">_xll.BDP($B$41,$C$41,CONCATENATE("PX391=", $BI$158), CONCATENATE("PX392=",$BI$159), CONCATENATE("DS004=",$B$151), "Fill=B")</f>
        <v>#N/A Connection</v>
      </c>
      <c r="BJ193" t="str">
        <f ca="1">_xll.BDP($B$41,$C$41,CONCATENATE("PX391=", $BJ$158), CONCATENATE("PX392=",$BJ$159), CONCATENATE("DS004=",$B$151), "Fill=B")</f>
        <v>#N/A Connection</v>
      </c>
      <c r="BK193" t="str">
        <f ca="1">_xll.BDP($B$41,$C$41,CONCATENATE("PX391=", $BK$158), CONCATENATE("PX392=",$BK$159), CONCATENATE("DS004=",$B$151), "Fill=B")</f>
        <v>#N/A Connection</v>
      </c>
      <c r="BL193" t="str">
        <f ca="1">_xll.BDP($B$41,$C$41,CONCATENATE("PX391=", $BL$158), CONCATENATE("PX392=",$BL$159), CONCATENATE("DS004=",$B$151), "Fill=B")</f>
        <v>#N/A Connection</v>
      </c>
      <c r="BM193" t="str">
        <f ca="1">_xll.BDP($B$41,$C$41,CONCATENATE("PX391=", $BM$158), CONCATENATE("PX392=",$BM$159), CONCATENATE("DS004=",$B$151), "Fill=B")</f>
        <v>#N/A Connection</v>
      </c>
      <c r="BN193" t="str">
        <f>""</f>
        <v/>
      </c>
      <c r="BO193" t="str">
        <f>""</f>
        <v/>
      </c>
      <c r="BP193" t="str">
        <f>""</f>
        <v/>
      </c>
      <c r="BQ193" t="str">
        <f>""</f>
        <v/>
      </c>
      <c r="BR193" t="str">
        <f>""</f>
        <v/>
      </c>
      <c r="BS193" t="str">
        <f>""</f>
        <v/>
      </c>
      <c r="BT193" t="str">
        <f>""</f>
        <v/>
      </c>
      <c r="BU193" t="str">
        <f>""</f>
        <v/>
      </c>
      <c r="BV193" t="str">
        <f>""</f>
        <v/>
      </c>
      <c r="BW193" t="str">
        <f>""</f>
        <v/>
      </c>
      <c r="BX193" t="str">
        <f>""</f>
        <v/>
      </c>
      <c r="BY193" t="str">
        <f>""</f>
        <v/>
      </c>
      <c r="BZ193" t="str">
        <f>""</f>
        <v/>
      </c>
      <c r="CA193" t="str">
        <f>""</f>
        <v/>
      </c>
      <c r="CB193" t="str">
        <f>""</f>
        <v/>
      </c>
      <c r="CC193" t="str">
        <f>""</f>
        <v/>
      </c>
      <c r="CD193" t="str">
        <f>""</f>
        <v/>
      </c>
      <c r="CE193" t="str">
        <f>""</f>
        <v/>
      </c>
      <c r="CF193" t="str">
        <f>""</f>
        <v/>
      </c>
      <c r="CG193" t="str">
        <f>""</f>
        <v/>
      </c>
      <c r="CH193" t="str">
        <f>""</f>
        <v/>
      </c>
      <c r="CI193" t="str">
        <f>""</f>
        <v/>
      </c>
      <c r="CJ193" t="str">
        <f>""</f>
        <v/>
      </c>
      <c r="CK193" t="str">
        <f>""</f>
        <v/>
      </c>
      <c r="CL193" t="str">
        <f>""</f>
        <v/>
      </c>
      <c r="CM193" t="str">
        <f>""</f>
        <v/>
      </c>
      <c r="CN193" t="str">
        <f>""</f>
        <v/>
      </c>
      <c r="CO193" t="str">
        <f>""</f>
        <v/>
      </c>
      <c r="CP193" t="str">
        <f>""</f>
        <v/>
      </c>
      <c r="CQ193" t="str">
        <f>""</f>
        <v/>
      </c>
      <c r="CR193" t="str">
        <f>""</f>
        <v/>
      </c>
      <c r="CS193" t="str">
        <f>""</f>
        <v/>
      </c>
      <c r="CT193" t="str">
        <f>""</f>
        <v/>
      </c>
      <c r="CU193" t="str">
        <f>""</f>
        <v/>
      </c>
      <c r="CV193" t="str">
        <f>""</f>
        <v/>
      </c>
      <c r="CW193" t="str">
        <f>""</f>
        <v/>
      </c>
      <c r="CX193" t="str">
        <f>""</f>
        <v/>
      </c>
      <c r="CY193" t="str">
        <f>""</f>
        <v/>
      </c>
      <c r="CZ193" t="str">
        <f>""</f>
        <v/>
      </c>
      <c r="DA193" t="str">
        <f>""</f>
        <v/>
      </c>
      <c r="DB193" t="str">
        <f>""</f>
        <v/>
      </c>
      <c r="DC193" t="str">
        <f>""</f>
        <v/>
      </c>
      <c r="DD193" t="str">
        <f>""</f>
        <v/>
      </c>
      <c r="DE193" t="str">
        <f>""</f>
        <v/>
      </c>
      <c r="DF193" t="str">
        <f>""</f>
        <v/>
      </c>
      <c r="DG193" t="str">
        <f>""</f>
        <v/>
      </c>
      <c r="DH193" t="str">
        <f>""</f>
        <v/>
      </c>
      <c r="DI193" t="str">
        <f>""</f>
        <v/>
      </c>
      <c r="DJ193" t="str">
        <f>""</f>
        <v/>
      </c>
      <c r="DK193" t="str">
        <f>""</f>
        <v/>
      </c>
      <c r="DL193" t="str">
        <f>""</f>
        <v/>
      </c>
      <c r="DM193" t="str">
        <f>""</f>
        <v/>
      </c>
      <c r="DN193" t="str">
        <f>""</f>
        <v/>
      </c>
      <c r="DO193" t="str">
        <f>""</f>
        <v/>
      </c>
      <c r="DP193" t="str">
        <f>""</f>
        <v/>
      </c>
      <c r="DQ193" t="str">
        <f>""</f>
        <v/>
      </c>
      <c r="DR193" t="str">
        <f>""</f>
        <v/>
      </c>
      <c r="DS193" t="str">
        <f>""</f>
        <v/>
      </c>
      <c r="DT193" t="str">
        <f>""</f>
        <v/>
      </c>
      <c r="DU193" t="str">
        <f>""</f>
        <v/>
      </c>
    </row>
    <row r="194" spans="1:125" x14ac:dyDescent="0.25">
      <c r="A194" t="str">
        <f>$A$42</f>
        <v xml:space="preserve">            Turkey</v>
      </c>
      <c r="B194" t="str">
        <f>$B$42</f>
        <v>TUCSMP Index</v>
      </c>
      <c r="C194" t="str">
        <f>$C$42</f>
        <v>PX385</v>
      </c>
      <c r="D194" t="str">
        <f>$D$42</f>
        <v>INTERVAL_SUM</v>
      </c>
      <c r="E194" t="str">
        <f>$E$42</f>
        <v>Dynamic</v>
      </c>
      <c r="F194" t="str">
        <f ca="1">_xll.BDP($B$42,$C$42,CONCATENATE("PX391=", $F$158), CONCATENATE("PX392=",$F$159), CONCATENATE("DS004=",$B$151), "Fill=B")</f>
        <v>#N/A Connection</v>
      </c>
      <c r="G194" t="str">
        <f ca="1">_xll.BDP($B$42,$C$42,CONCATENATE("PX391=", $G$158), CONCATENATE("PX392=",$G$159), CONCATENATE("DS004=",$B$151), "Fill=B")</f>
        <v>#N/A Connection</v>
      </c>
      <c r="H194" t="str">
        <f ca="1">_xll.BDP($B$42,$C$42,CONCATENATE("PX391=", $H$158), CONCATENATE("PX392=",$H$159), CONCATENATE("DS004=",$B$151), "Fill=B")</f>
        <v>#N/A Connection</v>
      </c>
      <c r="I194" t="str">
        <f ca="1">_xll.BDP($B$42,$C$42,CONCATENATE("PX391=", $I$158), CONCATENATE("PX392=",$I$159), CONCATENATE("DS004=",$B$151), "Fill=B")</f>
        <v>#N/A Connection</v>
      </c>
      <c r="J194" t="str">
        <f ca="1">_xll.BDP($B$42,$C$42,CONCATENATE("PX391=", $J$158), CONCATENATE("PX392=",$J$159), CONCATENATE("DS004=",$B$151), "Fill=B")</f>
        <v>#N/A Connection</v>
      </c>
      <c r="K194" t="str">
        <f ca="1">_xll.BDP($B$42,$C$42,CONCATENATE("PX391=", $K$158), CONCATENATE("PX392=",$K$159), CONCATENATE("DS004=",$B$151), "Fill=B")</f>
        <v>#N/A Connection</v>
      </c>
      <c r="L194" t="str">
        <f ca="1">_xll.BDP($B$42,$C$42,CONCATENATE("PX391=", $L$158), CONCATENATE("PX392=",$L$159), CONCATENATE("DS004=",$B$151), "Fill=B")</f>
        <v>#N/A Connection</v>
      </c>
      <c r="M194" t="str">
        <f ca="1">_xll.BDP($B$42,$C$42,CONCATENATE("PX391=", $M$158), CONCATENATE("PX392=",$M$159), CONCATENATE("DS004=",$B$151), "Fill=B")</f>
        <v>#N/A Connection</v>
      </c>
      <c r="N194" t="str">
        <f ca="1">_xll.BDP($B$42,$C$42,CONCATENATE("PX391=", $N$158), CONCATENATE("PX392=",$N$159), CONCATENATE("DS004=",$B$151), "Fill=B")</f>
        <v>#N/A Connection</v>
      </c>
      <c r="O194" t="str">
        <f ca="1">_xll.BDP($B$42,$C$42,CONCATENATE("PX391=", $O$158), CONCATENATE("PX392=",$O$159), CONCATENATE("DS004=",$B$151), "Fill=B")</f>
        <v>#N/A Connection</v>
      </c>
      <c r="P194" t="str">
        <f ca="1">_xll.BDP($B$42,$C$42,CONCATENATE("PX391=", $P$158), CONCATENATE("PX392=",$P$159), CONCATENATE("DS004=",$B$151), "Fill=B")</f>
        <v>#N/A Connection</v>
      </c>
      <c r="Q194" t="str">
        <f ca="1">_xll.BDP($B$42,$C$42,CONCATENATE("PX391=", $Q$158), CONCATENATE("PX392=",$Q$159), CONCATENATE("DS004=",$B$151), "Fill=B")</f>
        <v>#N/A Connection</v>
      </c>
      <c r="R194" t="str">
        <f ca="1">_xll.BDP($B$42,$C$42,CONCATENATE("PX391=", $R$158), CONCATENATE("PX392=",$R$159), CONCATENATE("DS004=",$B$151), "Fill=B")</f>
        <v>#N/A Connection</v>
      </c>
      <c r="S194" t="str">
        <f ca="1">_xll.BDP($B$42,$C$42,CONCATENATE("PX391=", $S$158), CONCATENATE("PX392=",$S$159), CONCATENATE("DS004=",$B$151), "Fill=B")</f>
        <v>#N/A Connection</v>
      </c>
      <c r="T194" t="str">
        <f ca="1">_xll.BDP($B$42,$C$42,CONCATENATE("PX391=", $T$158), CONCATENATE("PX392=",$T$159), CONCATENATE("DS004=",$B$151), "Fill=B")</f>
        <v>#N/A Connection</v>
      </c>
      <c r="U194" t="str">
        <f ca="1">_xll.BDP($B$42,$C$42,CONCATENATE("PX391=", $U$158), CONCATENATE("PX392=",$U$159), CONCATENATE("DS004=",$B$151), "Fill=B")</f>
        <v>#N/A Connection</v>
      </c>
      <c r="V194" t="str">
        <f ca="1">_xll.BDP($B$42,$C$42,CONCATENATE("PX391=", $V$158), CONCATENATE("PX392=",$V$159), CONCATENATE("DS004=",$B$151), "Fill=B")</f>
        <v>#N/A Connection</v>
      </c>
      <c r="W194" t="str">
        <f ca="1">_xll.BDP($B$42,$C$42,CONCATENATE("PX391=", $W$158), CONCATENATE("PX392=",$W$159), CONCATENATE("DS004=",$B$151), "Fill=B")</f>
        <v>#N/A Connection</v>
      </c>
      <c r="X194" t="str">
        <f ca="1">_xll.BDP($B$42,$C$42,CONCATENATE("PX391=", $X$158), CONCATENATE("PX392=",$X$159), CONCATENATE("DS004=",$B$151), "Fill=B")</f>
        <v>#N/A Connection</v>
      </c>
      <c r="Y194" t="str">
        <f ca="1">_xll.BDP($B$42,$C$42,CONCATENATE("PX391=", $Y$158), CONCATENATE("PX392=",$Y$159), CONCATENATE("DS004=",$B$151), "Fill=B")</f>
        <v>#N/A Connection</v>
      </c>
      <c r="Z194" t="str">
        <f ca="1">_xll.BDP($B$42,$C$42,CONCATENATE("PX391=", $Z$158), CONCATENATE("PX392=",$Z$159), CONCATENATE("DS004=",$B$151), "Fill=B")</f>
        <v>#N/A Connection</v>
      </c>
      <c r="AA194" t="str">
        <f ca="1">_xll.BDP($B$42,$C$42,CONCATENATE("PX391=", $AA$158), CONCATENATE("PX392=",$AA$159), CONCATENATE("DS004=",$B$151), "Fill=B")</f>
        <v>#N/A Connection</v>
      </c>
      <c r="AB194" t="str">
        <f ca="1">_xll.BDP($B$42,$C$42,CONCATENATE("PX391=", $AB$158), CONCATENATE("PX392=",$AB$159), CONCATENATE("DS004=",$B$151), "Fill=B")</f>
        <v>#N/A Connection</v>
      </c>
      <c r="AC194" t="str">
        <f ca="1">_xll.BDP($B$42,$C$42,CONCATENATE("PX391=", $AC$158), CONCATENATE("PX392=",$AC$159), CONCATENATE("DS004=",$B$151), "Fill=B")</f>
        <v>#N/A Connection</v>
      </c>
      <c r="AD194" t="str">
        <f ca="1">_xll.BDP($B$42,$C$42,CONCATENATE("PX391=", $AD$158), CONCATENATE("PX392=",$AD$159), CONCATENATE("DS004=",$B$151), "Fill=B")</f>
        <v>#N/A Connection</v>
      </c>
      <c r="AE194" t="str">
        <f ca="1">_xll.BDP($B$42,$C$42,CONCATENATE("PX391=", $AE$158), CONCATENATE("PX392=",$AE$159), CONCATENATE("DS004=",$B$151), "Fill=B")</f>
        <v>#N/A Connection</v>
      </c>
      <c r="AF194" t="str">
        <f ca="1">_xll.BDP($B$42,$C$42,CONCATENATE("PX391=", $AF$158), CONCATENATE("PX392=",$AF$159), CONCATENATE("DS004=",$B$151), "Fill=B")</f>
        <v>#N/A Connection</v>
      </c>
      <c r="AG194" t="str">
        <f ca="1">_xll.BDP($B$42,$C$42,CONCATENATE("PX391=", $AG$158), CONCATENATE("PX392=",$AG$159), CONCATENATE("DS004=",$B$151), "Fill=B")</f>
        <v>#N/A Connection</v>
      </c>
      <c r="AH194" t="str">
        <f ca="1">_xll.BDP($B$42,$C$42,CONCATENATE("PX391=", $AH$158), CONCATENATE("PX392=",$AH$159), CONCATENATE("DS004=",$B$151), "Fill=B")</f>
        <v>#N/A Connection</v>
      </c>
      <c r="AI194" t="str">
        <f ca="1">_xll.BDP($B$42,$C$42,CONCATENATE("PX391=", $AI$158), CONCATENATE("PX392=",$AI$159), CONCATENATE("DS004=",$B$151), "Fill=B")</f>
        <v>#N/A Connection</v>
      </c>
      <c r="AJ194" t="str">
        <f ca="1">_xll.BDP($B$42,$C$42,CONCATENATE("PX391=", $AJ$158), CONCATENATE("PX392=",$AJ$159), CONCATENATE("DS004=",$B$151), "Fill=B")</f>
        <v>#N/A Connection</v>
      </c>
      <c r="AK194" t="str">
        <f ca="1">_xll.BDP($B$42,$C$42,CONCATENATE("PX391=", $AK$158), CONCATENATE("PX392=",$AK$159), CONCATENATE("DS004=",$B$151), "Fill=B")</f>
        <v>#N/A Connection</v>
      </c>
      <c r="AL194" t="str">
        <f ca="1">_xll.BDP($B$42,$C$42,CONCATENATE("PX391=", $AL$158), CONCATENATE("PX392=",$AL$159), CONCATENATE("DS004=",$B$151), "Fill=B")</f>
        <v>#N/A Connection</v>
      </c>
      <c r="AM194" t="str">
        <f ca="1">_xll.BDP($B$42,$C$42,CONCATENATE("PX391=", $AM$158), CONCATENATE("PX392=",$AM$159), CONCATENATE("DS004=",$B$151), "Fill=B")</f>
        <v>#N/A Connection</v>
      </c>
      <c r="AN194" t="str">
        <f ca="1">_xll.BDP($B$42,$C$42,CONCATENATE("PX391=", $AN$158), CONCATENATE("PX392=",$AN$159), CONCATENATE("DS004=",$B$151), "Fill=B")</f>
        <v>#N/A Connection</v>
      </c>
      <c r="AO194" t="str">
        <f ca="1">_xll.BDP($B$42,$C$42,CONCATENATE("PX391=", $AO$158), CONCATENATE("PX392=",$AO$159), CONCATENATE("DS004=",$B$151), "Fill=B")</f>
        <v>#N/A Connection</v>
      </c>
      <c r="AP194" t="str">
        <f ca="1">_xll.BDP($B$42,$C$42,CONCATENATE("PX391=", $AP$158), CONCATENATE("PX392=",$AP$159), CONCATENATE("DS004=",$B$151), "Fill=B")</f>
        <v>#N/A Connection</v>
      </c>
      <c r="AQ194" t="str">
        <f ca="1">_xll.BDP($B$42,$C$42,CONCATENATE("PX391=", $AQ$158), CONCATENATE("PX392=",$AQ$159), CONCATENATE("DS004=",$B$151), "Fill=B")</f>
        <v>#N/A Connection</v>
      </c>
      <c r="AR194" t="str">
        <f ca="1">_xll.BDP($B$42,$C$42,CONCATENATE("PX391=", $AR$158), CONCATENATE("PX392=",$AR$159), CONCATENATE("DS004=",$B$151), "Fill=B")</f>
        <v>#N/A Connection</v>
      </c>
      <c r="AS194" t="str">
        <f ca="1">_xll.BDP($B$42,$C$42,CONCATENATE("PX391=", $AS$158), CONCATENATE("PX392=",$AS$159), CONCATENATE("DS004=",$B$151), "Fill=B")</f>
        <v>#N/A Connection</v>
      </c>
      <c r="AT194" t="str">
        <f ca="1">_xll.BDP($B$42,$C$42,CONCATENATE("PX391=", $AT$158), CONCATENATE("PX392=",$AT$159), CONCATENATE("DS004=",$B$151), "Fill=B")</f>
        <v>#N/A Connection</v>
      </c>
      <c r="AU194" t="str">
        <f ca="1">_xll.BDP($B$42,$C$42,CONCATENATE("PX391=", $AU$158), CONCATENATE("PX392=",$AU$159), CONCATENATE("DS004=",$B$151), "Fill=B")</f>
        <v>#N/A Connection</v>
      </c>
      <c r="AV194" t="str">
        <f ca="1">_xll.BDP($B$42,$C$42,CONCATENATE("PX391=", $AV$158), CONCATENATE("PX392=",$AV$159), CONCATENATE("DS004=",$B$151), "Fill=B")</f>
        <v>#N/A Connection</v>
      </c>
      <c r="AW194" t="str">
        <f ca="1">_xll.BDP($B$42,$C$42,CONCATENATE("PX391=", $AW$158), CONCATENATE("PX392=",$AW$159), CONCATENATE("DS004=",$B$151), "Fill=B")</f>
        <v>#N/A Connection</v>
      </c>
      <c r="AX194" t="str">
        <f ca="1">_xll.BDP($B$42,$C$42,CONCATENATE("PX391=", $AX$158), CONCATENATE("PX392=",$AX$159), CONCATENATE("DS004=",$B$151), "Fill=B")</f>
        <v>#N/A Connection</v>
      </c>
      <c r="AY194" t="str">
        <f ca="1">_xll.BDP($B$42,$C$42,CONCATENATE("PX391=", $AY$158), CONCATENATE("PX392=",$AY$159), CONCATENATE("DS004=",$B$151), "Fill=B")</f>
        <v>#N/A Connection</v>
      </c>
      <c r="AZ194" t="str">
        <f ca="1">_xll.BDP($B$42,$C$42,CONCATENATE("PX391=", $AZ$158), CONCATENATE("PX392=",$AZ$159), CONCATENATE("DS004=",$B$151), "Fill=B")</f>
        <v>#N/A Connection</v>
      </c>
      <c r="BA194" t="str">
        <f ca="1">_xll.BDP($B$42,$C$42,CONCATENATE("PX391=", $BA$158), CONCATENATE("PX392=",$BA$159), CONCATENATE("DS004=",$B$151), "Fill=B")</f>
        <v>#N/A Connection</v>
      </c>
      <c r="BB194" t="str">
        <f ca="1">_xll.BDP($B$42,$C$42,CONCATENATE("PX391=", $BB$158), CONCATENATE("PX392=",$BB$159), CONCATENATE("DS004=",$B$151), "Fill=B")</f>
        <v>#N/A Connection</v>
      </c>
      <c r="BC194" t="str">
        <f ca="1">_xll.BDP($B$42,$C$42,CONCATENATE("PX391=", $BC$158), CONCATENATE("PX392=",$BC$159), CONCATENATE("DS004=",$B$151), "Fill=B")</f>
        <v>#N/A Connection</v>
      </c>
      <c r="BD194" t="str">
        <f ca="1">_xll.BDP($B$42,$C$42,CONCATENATE("PX391=", $BD$158), CONCATENATE("PX392=",$BD$159), CONCATENATE("DS004=",$B$151), "Fill=B")</f>
        <v>#N/A Connection</v>
      </c>
      <c r="BE194" t="str">
        <f ca="1">_xll.BDP($B$42,$C$42,CONCATENATE("PX391=", $BE$158), CONCATENATE("PX392=",$BE$159), CONCATENATE("DS004=",$B$151), "Fill=B")</f>
        <v>#N/A Connection</v>
      </c>
      <c r="BF194" t="str">
        <f ca="1">_xll.BDP($B$42,$C$42,CONCATENATE("PX391=", $BF$158), CONCATENATE("PX392=",$BF$159), CONCATENATE("DS004=",$B$151), "Fill=B")</f>
        <v>#N/A Connection</v>
      </c>
      <c r="BG194" t="str">
        <f ca="1">_xll.BDP($B$42,$C$42,CONCATENATE("PX391=", $BG$158), CONCATENATE("PX392=",$BG$159), CONCATENATE("DS004=",$B$151), "Fill=B")</f>
        <v>#N/A Connection</v>
      </c>
      <c r="BH194" t="str">
        <f ca="1">_xll.BDP($B$42,$C$42,CONCATENATE("PX391=", $BH$158), CONCATENATE("PX392=",$BH$159), CONCATENATE("DS004=",$B$151), "Fill=B")</f>
        <v>#N/A Connection</v>
      </c>
      <c r="BI194" t="str">
        <f ca="1">_xll.BDP($B$42,$C$42,CONCATENATE("PX391=", $BI$158), CONCATENATE("PX392=",$BI$159), CONCATENATE("DS004=",$B$151), "Fill=B")</f>
        <v>#N/A Connection</v>
      </c>
      <c r="BJ194" t="str">
        <f ca="1">_xll.BDP($B$42,$C$42,CONCATENATE("PX391=", $BJ$158), CONCATENATE("PX392=",$BJ$159), CONCATENATE("DS004=",$B$151), "Fill=B")</f>
        <v>#N/A Connection</v>
      </c>
      <c r="BK194" t="str">
        <f ca="1">_xll.BDP($B$42,$C$42,CONCATENATE("PX391=", $BK$158), CONCATENATE("PX392=",$BK$159), CONCATENATE("DS004=",$B$151), "Fill=B")</f>
        <v>#N/A Connection</v>
      </c>
      <c r="BL194" t="str">
        <f ca="1">_xll.BDP($B$42,$C$42,CONCATENATE("PX391=", $BL$158), CONCATENATE("PX392=",$BL$159), CONCATENATE("DS004=",$B$151), "Fill=B")</f>
        <v>#N/A Connection</v>
      </c>
      <c r="BM194" t="str">
        <f ca="1">_xll.BDP($B$42,$C$42,CONCATENATE("PX391=", $BM$158), CONCATENATE("PX392=",$BM$159), CONCATENATE("DS004=",$B$151), "Fill=B")</f>
        <v>#N/A Connection</v>
      </c>
      <c r="BN194" t="str">
        <f>""</f>
        <v/>
      </c>
      <c r="BO194" t="str">
        <f>""</f>
        <v/>
      </c>
      <c r="BP194" t="str">
        <f>""</f>
        <v/>
      </c>
      <c r="BQ194" t="str">
        <f>""</f>
        <v/>
      </c>
      <c r="BR194" t="str">
        <f>""</f>
        <v/>
      </c>
      <c r="BS194" t="str">
        <f>""</f>
        <v/>
      </c>
      <c r="BT194" t="str">
        <f>""</f>
        <v/>
      </c>
      <c r="BU194" t="str">
        <f>""</f>
        <v/>
      </c>
      <c r="BV194" t="str">
        <f>""</f>
        <v/>
      </c>
      <c r="BW194" t="str">
        <f>""</f>
        <v/>
      </c>
      <c r="BX194" t="str">
        <f>""</f>
        <v/>
      </c>
      <c r="BY194" t="str">
        <f>""</f>
        <v/>
      </c>
      <c r="BZ194" t="str">
        <f>""</f>
        <v/>
      </c>
      <c r="CA194" t="str">
        <f>""</f>
        <v/>
      </c>
      <c r="CB194" t="str">
        <f>""</f>
        <v/>
      </c>
      <c r="CC194" t="str">
        <f>""</f>
        <v/>
      </c>
      <c r="CD194" t="str">
        <f>""</f>
        <v/>
      </c>
      <c r="CE194" t="str">
        <f>""</f>
        <v/>
      </c>
      <c r="CF194" t="str">
        <f>""</f>
        <v/>
      </c>
      <c r="CG194" t="str">
        <f>""</f>
        <v/>
      </c>
      <c r="CH194" t="str">
        <f>""</f>
        <v/>
      </c>
      <c r="CI194" t="str">
        <f>""</f>
        <v/>
      </c>
      <c r="CJ194" t="str">
        <f>""</f>
        <v/>
      </c>
      <c r="CK194" t="str">
        <f>""</f>
        <v/>
      </c>
      <c r="CL194" t="str">
        <f>""</f>
        <v/>
      </c>
      <c r="CM194" t="str">
        <f>""</f>
        <v/>
      </c>
      <c r="CN194" t="str">
        <f>""</f>
        <v/>
      </c>
      <c r="CO194" t="str">
        <f>""</f>
        <v/>
      </c>
      <c r="CP194" t="str">
        <f>""</f>
        <v/>
      </c>
      <c r="CQ194" t="str">
        <f>""</f>
        <v/>
      </c>
      <c r="CR194" t="str">
        <f>""</f>
        <v/>
      </c>
      <c r="CS194" t="str">
        <f>""</f>
        <v/>
      </c>
      <c r="CT194" t="str">
        <f>""</f>
        <v/>
      </c>
      <c r="CU194" t="str">
        <f>""</f>
        <v/>
      </c>
      <c r="CV194" t="str">
        <f>""</f>
        <v/>
      </c>
      <c r="CW194" t="str">
        <f>""</f>
        <v/>
      </c>
      <c r="CX194" t="str">
        <f>""</f>
        <v/>
      </c>
      <c r="CY194" t="str">
        <f>""</f>
        <v/>
      </c>
      <c r="CZ194" t="str">
        <f>""</f>
        <v/>
      </c>
      <c r="DA194" t="str">
        <f>""</f>
        <v/>
      </c>
      <c r="DB194" t="str">
        <f>""</f>
        <v/>
      </c>
      <c r="DC194" t="str">
        <f>""</f>
        <v/>
      </c>
      <c r="DD194" t="str">
        <f>""</f>
        <v/>
      </c>
      <c r="DE194" t="str">
        <f>""</f>
        <v/>
      </c>
      <c r="DF194" t="str">
        <f>""</f>
        <v/>
      </c>
      <c r="DG194" t="str">
        <f>""</f>
        <v/>
      </c>
      <c r="DH194" t="str">
        <f>""</f>
        <v/>
      </c>
      <c r="DI194" t="str">
        <f>""</f>
        <v/>
      </c>
      <c r="DJ194" t="str">
        <f>""</f>
        <v/>
      </c>
      <c r="DK194" t="str">
        <f>""</f>
        <v/>
      </c>
      <c r="DL194" t="str">
        <f>""</f>
        <v/>
      </c>
      <c r="DM194" t="str">
        <f>""</f>
        <v/>
      </c>
      <c r="DN194" t="str">
        <f>""</f>
        <v/>
      </c>
      <c r="DO194" t="str">
        <f>""</f>
        <v/>
      </c>
      <c r="DP194" t="str">
        <f>""</f>
        <v/>
      </c>
      <c r="DQ194" t="str">
        <f>""</f>
        <v/>
      </c>
      <c r="DR194" t="str">
        <f>""</f>
        <v/>
      </c>
      <c r="DS194" t="str">
        <f>""</f>
        <v/>
      </c>
      <c r="DT194" t="str">
        <f>""</f>
        <v/>
      </c>
      <c r="DU194" t="str">
        <f>""</f>
        <v/>
      </c>
    </row>
    <row r="195" spans="1:125" x14ac:dyDescent="0.25">
      <c r="A195" t="str">
        <f>$A$43</f>
        <v xml:space="preserve">            United Kingdom</v>
      </c>
      <c r="B195" t="str">
        <f>$B$43</f>
        <v>WCARUKI Index</v>
      </c>
      <c r="C195" t="str">
        <f>$C$43</f>
        <v>PX385</v>
      </c>
      <c r="D195" t="str">
        <f>$D$43</f>
        <v>INTERVAL_SUM</v>
      </c>
      <c r="E195" t="str">
        <f>$E$43</f>
        <v>Dynamic</v>
      </c>
      <c r="F195" t="str">
        <f ca="1">_xll.BDP($B$43,$C$43,CONCATENATE("PX391=", $F$158), CONCATENATE("PX392=",$F$159), CONCATENATE("DS004=",$B$151), "Fill=B")</f>
        <v>#N/A Connection</v>
      </c>
      <c r="G195" t="str">
        <f ca="1">_xll.BDP($B$43,$C$43,CONCATENATE("PX391=", $G$158), CONCATENATE("PX392=",$G$159), CONCATENATE("DS004=",$B$151), "Fill=B")</f>
        <v>#N/A Connection</v>
      </c>
      <c r="H195" t="str">
        <f ca="1">_xll.BDP($B$43,$C$43,CONCATENATE("PX391=", $H$158), CONCATENATE("PX392=",$H$159), CONCATENATE("DS004=",$B$151), "Fill=B")</f>
        <v>#N/A Connection</v>
      </c>
      <c r="I195" t="str">
        <f ca="1">_xll.BDP($B$43,$C$43,CONCATENATE("PX391=", $I$158), CONCATENATE("PX392=",$I$159), CONCATENATE("DS004=",$B$151), "Fill=B")</f>
        <v>#N/A Connection</v>
      </c>
      <c r="J195" t="str">
        <f ca="1">_xll.BDP($B$43,$C$43,CONCATENATE("PX391=", $J$158), CONCATENATE("PX392=",$J$159), CONCATENATE("DS004=",$B$151), "Fill=B")</f>
        <v>#N/A Connection</v>
      </c>
      <c r="K195" t="str">
        <f ca="1">_xll.BDP($B$43,$C$43,CONCATENATE("PX391=", $K$158), CONCATENATE("PX392=",$K$159), CONCATENATE("DS004=",$B$151), "Fill=B")</f>
        <v>#N/A Connection</v>
      </c>
      <c r="L195" t="str">
        <f ca="1">_xll.BDP($B$43,$C$43,CONCATENATE("PX391=", $L$158), CONCATENATE("PX392=",$L$159), CONCATENATE("DS004=",$B$151), "Fill=B")</f>
        <v>#N/A Connection</v>
      </c>
      <c r="M195" t="str">
        <f ca="1">_xll.BDP($B$43,$C$43,CONCATENATE("PX391=", $M$158), CONCATENATE("PX392=",$M$159), CONCATENATE("DS004=",$B$151), "Fill=B")</f>
        <v>#N/A Connection</v>
      </c>
      <c r="N195" t="str">
        <f ca="1">_xll.BDP($B$43,$C$43,CONCATENATE("PX391=", $N$158), CONCATENATE("PX392=",$N$159), CONCATENATE("DS004=",$B$151), "Fill=B")</f>
        <v>#N/A Connection</v>
      </c>
      <c r="O195" t="str">
        <f ca="1">_xll.BDP($B$43,$C$43,CONCATENATE("PX391=", $O$158), CONCATENATE("PX392=",$O$159), CONCATENATE("DS004=",$B$151), "Fill=B")</f>
        <v>#N/A Connection</v>
      </c>
      <c r="P195" t="str">
        <f ca="1">_xll.BDP($B$43,$C$43,CONCATENATE("PX391=", $P$158), CONCATENATE("PX392=",$P$159), CONCATENATE("DS004=",$B$151), "Fill=B")</f>
        <v>#N/A Connection</v>
      </c>
      <c r="Q195" t="str">
        <f ca="1">_xll.BDP($B$43,$C$43,CONCATENATE("PX391=", $Q$158), CONCATENATE("PX392=",$Q$159), CONCATENATE("DS004=",$B$151), "Fill=B")</f>
        <v>#N/A Connection</v>
      </c>
      <c r="R195" t="str">
        <f ca="1">_xll.BDP($B$43,$C$43,CONCATENATE("PX391=", $R$158), CONCATENATE("PX392=",$R$159), CONCATENATE("DS004=",$B$151), "Fill=B")</f>
        <v>#N/A Connection</v>
      </c>
      <c r="S195" t="str">
        <f ca="1">_xll.BDP($B$43,$C$43,CONCATENATE("PX391=", $S$158), CONCATENATE("PX392=",$S$159), CONCATENATE("DS004=",$B$151), "Fill=B")</f>
        <v>#N/A Connection</v>
      </c>
      <c r="T195" t="str">
        <f ca="1">_xll.BDP($B$43,$C$43,CONCATENATE("PX391=", $T$158), CONCATENATE("PX392=",$T$159), CONCATENATE("DS004=",$B$151), "Fill=B")</f>
        <v>#N/A Connection</v>
      </c>
      <c r="U195" t="str">
        <f ca="1">_xll.BDP($B$43,$C$43,CONCATENATE("PX391=", $U$158), CONCATENATE("PX392=",$U$159), CONCATENATE("DS004=",$B$151), "Fill=B")</f>
        <v>#N/A Connection</v>
      </c>
      <c r="V195" t="str">
        <f ca="1">_xll.BDP($B$43,$C$43,CONCATENATE("PX391=", $V$158), CONCATENATE("PX392=",$V$159), CONCATENATE("DS004=",$B$151), "Fill=B")</f>
        <v>#N/A Connection</v>
      </c>
      <c r="W195" t="str">
        <f ca="1">_xll.BDP($B$43,$C$43,CONCATENATE("PX391=", $W$158), CONCATENATE("PX392=",$W$159), CONCATENATE("DS004=",$B$151), "Fill=B")</f>
        <v>#N/A Connection</v>
      </c>
      <c r="X195" t="str">
        <f ca="1">_xll.BDP($B$43,$C$43,CONCATENATE("PX391=", $X$158), CONCATENATE("PX392=",$X$159), CONCATENATE("DS004=",$B$151), "Fill=B")</f>
        <v>#N/A Connection</v>
      </c>
      <c r="Y195" t="str">
        <f ca="1">_xll.BDP($B$43,$C$43,CONCATENATE("PX391=", $Y$158), CONCATENATE("PX392=",$Y$159), CONCATENATE("DS004=",$B$151), "Fill=B")</f>
        <v>#N/A Connection</v>
      </c>
      <c r="Z195" t="str">
        <f ca="1">_xll.BDP($B$43,$C$43,CONCATENATE("PX391=", $Z$158), CONCATENATE("PX392=",$Z$159), CONCATENATE("DS004=",$B$151), "Fill=B")</f>
        <v>#N/A Connection</v>
      </c>
      <c r="AA195" t="str">
        <f ca="1">_xll.BDP($B$43,$C$43,CONCATENATE("PX391=", $AA$158), CONCATENATE("PX392=",$AA$159), CONCATENATE("DS004=",$B$151), "Fill=B")</f>
        <v>#N/A Connection</v>
      </c>
      <c r="AB195" t="str">
        <f ca="1">_xll.BDP($B$43,$C$43,CONCATENATE("PX391=", $AB$158), CONCATENATE("PX392=",$AB$159), CONCATENATE("DS004=",$B$151), "Fill=B")</f>
        <v>#N/A Connection</v>
      </c>
      <c r="AC195" t="str">
        <f ca="1">_xll.BDP($B$43,$C$43,CONCATENATE("PX391=", $AC$158), CONCATENATE("PX392=",$AC$159), CONCATENATE("DS004=",$B$151), "Fill=B")</f>
        <v>#N/A Connection</v>
      </c>
      <c r="AD195" t="str">
        <f ca="1">_xll.BDP($B$43,$C$43,CONCATENATE("PX391=", $AD$158), CONCATENATE("PX392=",$AD$159), CONCATENATE("DS004=",$B$151), "Fill=B")</f>
        <v>#N/A Connection</v>
      </c>
      <c r="AE195" t="str">
        <f ca="1">_xll.BDP($B$43,$C$43,CONCATENATE("PX391=", $AE$158), CONCATENATE("PX392=",$AE$159), CONCATENATE("DS004=",$B$151), "Fill=B")</f>
        <v>#N/A Connection</v>
      </c>
      <c r="AF195" t="str">
        <f ca="1">_xll.BDP($B$43,$C$43,CONCATENATE("PX391=", $AF$158), CONCATENATE("PX392=",$AF$159), CONCATENATE("DS004=",$B$151), "Fill=B")</f>
        <v>#N/A Connection</v>
      </c>
      <c r="AG195" t="str">
        <f ca="1">_xll.BDP($B$43,$C$43,CONCATENATE("PX391=", $AG$158), CONCATENATE("PX392=",$AG$159), CONCATENATE("DS004=",$B$151), "Fill=B")</f>
        <v>#N/A Connection</v>
      </c>
      <c r="AH195" t="str">
        <f ca="1">_xll.BDP($B$43,$C$43,CONCATENATE("PX391=", $AH$158), CONCATENATE("PX392=",$AH$159), CONCATENATE("DS004=",$B$151), "Fill=B")</f>
        <v>#N/A Connection</v>
      </c>
      <c r="AI195" t="str">
        <f ca="1">_xll.BDP($B$43,$C$43,CONCATENATE("PX391=", $AI$158), CONCATENATE("PX392=",$AI$159), CONCATENATE("DS004=",$B$151), "Fill=B")</f>
        <v>#N/A Connection</v>
      </c>
      <c r="AJ195" t="str">
        <f ca="1">_xll.BDP($B$43,$C$43,CONCATENATE("PX391=", $AJ$158), CONCATENATE("PX392=",$AJ$159), CONCATENATE("DS004=",$B$151), "Fill=B")</f>
        <v>#N/A Connection</v>
      </c>
      <c r="AK195" t="str">
        <f ca="1">_xll.BDP($B$43,$C$43,CONCATENATE("PX391=", $AK$158), CONCATENATE("PX392=",$AK$159), CONCATENATE("DS004=",$B$151), "Fill=B")</f>
        <v>#N/A Connection</v>
      </c>
      <c r="AL195" t="str">
        <f ca="1">_xll.BDP($B$43,$C$43,CONCATENATE("PX391=", $AL$158), CONCATENATE("PX392=",$AL$159), CONCATENATE("DS004=",$B$151), "Fill=B")</f>
        <v>#N/A Connection</v>
      </c>
      <c r="AM195" t="str">
        <f ca="1">_xll.BDP($B$43,$C$43,CONCATENATE("PX391=", $AM$158), CONCATENATE("PX392=",$AM$159), CONCATENATE("DS004=",$B$151), "Fill=B")</f>
        <v>#N/A Connection</v>
      </c>
      <c r="AN195" t="str">
        <f ca="1">_xll.BDP($B$43,$C$43,CONCATENATE("PX391=", $AN$158), CONCATENATE("PX392=",$AN$159), CONCATENATE("DS004=",$B$151), "Fill=B")</f>
        <v>#N/A Connection</v>
      </c>
      <c r="AO195" t="str">
        <f ca="1">_xll.BDP($B$43,$C$43,CONCATENATE("PX391=", $AO$158), CONCATENATE("PX392=",$AO$159), CONCATENATE("DS004=",$B$151), "Fill=B")</f>
        <v>#N/A Connection</v>
      </c>
      <c r="AP195" t="str">
        <f ca="1">_xll.BDP($B$43,$C$43,CONCATENATE("PX391=", $AP$158), CONCATENATE("PX392=",$AP$159), CONCATENATE("DS004=",$B$151), "Fill=B")</f>
        <v>#N/A Connection</v>
      </c>
      <c r="AQ195" t="str">
        <f ca="1">_xll.BDP($B$43,$C$43,CONCATENATE("PX391=", $AQ$158), CONCATENATE("PX392=",$AQ$159), CONCATENATE("DS004=",$B$151), "Fill=B")</f>
        <v>#N/A Connection</v>
      </c>
      <c r="AR195" t="str">
        <f ca="1">_xll.BDP($B$43,$C$43,CONCATENATE("PX391=", $AR$158), CONCATENATE("PX392=",$AR$159), CONCATENATE("DS004=",$B$151), "Fill=B")</f>
        <v>#N/A Connection</v>
      </c>
      <c r="AS195" t="str">
        <f ca="1">_xll.BDP($B$43,$C$43,CONCATENATE("PX391=", $AS$158), CONCATENATE("PX392=",$AS$159), CONCATENATE("DS004=",$B$151), "Fill=B")</f>
        <v>#N/A Connection</v>
      </c>
      <c r="AT195" t="str">
        <f ca="1">_xll.BDP($B$43,$C$43,CONCATENATE("PX391=", $AT$158), CONCATENATE("PX392=",$AT$159), CONCATENATE("DS004=",$B$151), "Fill=B")</f>
        <v>#N/A Connection</v>
      </c>
      <c r="AU195" t="str">
        <f ca="1">_xll.BDP($B$43,$C$43,CONCATENATE("PX391=", $AU$158), CONCATENATE("PX392=",$AU$159), CONCATENATE("DS004=",$B$151), "Fill=B")</f>
        <v>#N/A Connection</v>
      </c>
      <c r="AV195" t="str">
        <f ca="1">_xll.BDP($B$43,$C$43,CONCATENATE("PX391=", $AV$158), CONCATENATE("PX392=",$AV$159), CONCATENATE("DS004=",$B$151), "Fill=B")</f>
        <v>#N/A Connection</v>
      </c>
      <c r="AW195" t="str">
        <f ca="1">_xll.BDP($B$43,$C$43,CONCATENATE("PX391=", $AW$158), CONCATENATE("PX392=",$AW$159), CONCATENATE("DS004=",$B$151), "Fill=B")</f>
        <v>#N/A Connection</v>
      </c>
      <c r="AX195" t="str">
        <f ca="1">_xll.BDP($B$43,$C$43,CONCATENATE("PX391=", $AX$158), CONCATENATE("PX392=",$AX$159), CONCATENATE("DS004=",$B$151), "Fill=B")</f>
        <v>#N/A Connection</v>
      </c>
      <c r="AY195" t="str">
        <f ca="1">_xll.BDP($B$43,$C$43,CONCATENATE("PX391=", $AY$158), CONCATENATE("PX392=",$AY$159), CONCATENATE("DS004=",$B$151), "Fill=B")</f>
        <v>#N/A Connection</v>
      </c>
      <c r="AZ195" t="str">
        <f ca="1">_xll.BDP($B$43,$C$43,CONCATENATE("PX391=", $AZ$158), CONCATENATE("PX392=",$AZ$159), CONCATENATE("DS004=",$B$151), "Fill=B")</f>
        <v>#N/A Connection</v>
      </c>
      <c r="BA195" t="str">
        <f ca="1">_xll.BDP($B$43,$C$43,CONCATENATE("PX391=", $BA$158), CONCATENATE("PX392=",$BA$159), CONCATENATE("DS004=",$B$151), "Fill=B")</f>
        <v>#N/A Connection</v>
      </c>
      <c r="BB195" t="str">
        <f ca="1">_xll.BDP($B$43,$C$43,CONCATENATE("PX391=", $BB$158), CONCATENATE("PX392=",$BB$159), CONCATENATE("DS004=",$B$151), "Fill=B")</f>
        <v>#N/A Connection</v>
      </c>
      <c r="BC195" t="str">
        <f ca="1">_xll.BDP($B$43,$C$43,CONCATENATE("PX391=", $BC$158), CONCATENATE("PX392=",$BC$159), CONCATENATE("DS004=",$B$151), "Fill=B")</f>
        <v>#N/A Connection</v>
      </c>
      <c r="BD195" t="str">
        <f ca="1">_xll.BDP($B$43,$C$43,CONCATENATE("PX391=", $BD$158), CONCATENATE("PX392=",$BD$159), CONCATENATE("DS004=",$B$151), "Fill=B")</f>
        <v>#N/A Connection</v>
      </c>
      <c r="BE195" t="str">
        <f ca="1">_xll.BDP($B$43,$C$43,CONCATENATE("PX391=", $BE$158), CONCATENATE("PX392=",$BE$159), CONCATENATE("DS004=",$B$151), "Fill=B")</f>
        <v>#N/A Connection</v>
      </c>
      <c r="BF195" t="str">
        <f ca="1">_xll.BDP($B$43,$C$43,CONCATENATE("PX391=", $BF$158), CONCATENATE("PX392=",$BF$159), CONCATENATE("DS004=",$B$151), "Fill=B")</f>
        <v>#N/A Connection</v>
      </c>
      <c r="BG195" t="str">
        <f ca="1">_xll.BDP($B$43,$C$43,CONCATENATE("PX391=", $BG$158), CONCATENATE("PX392=",$BG$159), CONCATENATE("DS004=",$B$151), "Fill=B")</f>
        <v>#N/A Connection</v>
      </c>
      <c r="BH195" t="str">
        <f ca="1">_xll.BDP($B$43,$C$43,CONCATENATE("PX391=", $BH$158), CONCATENATE("PX392=",$BH$159), CONCATENATE("DS004=",$B$151), "Fill=B")</f>
        <v>#N/A Connection</v>
      </c>
      <c r="BI195" t="str">
        <f ca="1">_xll.BDP($B$43,$C$43,CONCATENATE("PX391=", $BI$158), CONCATENATE("PX392=",$BI$159), CONCATENATE("DS004=",$B$151), "Fill=B")</f>
        <v>#N/A Connection</v>
      </c>
      <c r="BJ195" t="str">
        <f ca="1">_xll.BDP($B$43,$C$43,CONCATENATE("PX391=", $BJ$158), CONCATENATE("PX392=",$BJ$159), CONCATENATE("DS004=",$B$151), "Fill=B")</f>
        <v>#N/A Connection</v>
      </c>
      <c r="BK195" t="str">
        <f ca="1">_xll.BDP($B$43,$C$43,CONCATENATE("PX391=", $BK$158), CONCATENATE("PX392=",$BK$159), CONCATENATE("DS004=",$B$151), "Fill=B")</f>
        <v>#N/A Connection</v>
      </c>
      <c r="BL195" t="str">
        <f ca="1">_xll.BDP($B$43,$C$43,CONCATENATE("PX391=", $BL$158), CONCATENATE("PX392=",$BL$159), CONCATENATE("DS004=",$B$151), "Fill=B")</f>
        <v>#N/A Connection</v>
      </c>
      <c r="BM195" t="str">
        <f ca="1">_xll.BDP($B$43,$C$43,CONCATENATE("PX391=", $BM$158), CONCATENATE("PX392=",$BM$159), CONCATENATE("DS004=",$B$151), "Fill=B")</f>
        <v>#N/A Connection</v>
      </c>
      <c r="BN195" t="str">
        <f>""</f>
        <v/>
      </c>
      <c r="BO195" t="str">
        <f>""</f>
        <v/>
      </c>
      <c r="BP195" t="str">
        <f>""</f>
        <v/>
      </c>
      <c r="BQ195" t="str">
        <f>""</f>
        <v/>
      </c>
      <c r="BR195" t="str">
        <f>""</f>
        <v/>
      </c>
      <c r="BS195" t="str">
        <f>""</f>
        <v/>
      </c>
      <c r="BT195" t="str">
        <f>""</f>
        <v/>
      </c>
      <c r="BU195" t="str">
        <f>""</f>
        <v/>
      </c>
      <c r="BV195" t="str">
        <f>""</f>
        <v/>
      </c>
      <c r="BW195" t="str">
        <f>""</f>
        <v/>
      </c>
      <c r="BX195" t="str">
        <f>""</f>
        <v/>
      </c>
      <c r="BY195" t="str">
        <f>""</f>
        <v/>
      </c>
      <c r="BZ195" t="str">
        <f>""</f>
        <v/>
      </c>
      <c r="CA195" t="str">
        <f>""</f>
        <v/>
      </c>
      <c r="CB195" t="str">
        <f>""</f>
        <v/>
      </c>
      <c r="CC195" t="str">
        <f>""</f>
        <v/>
      </c>
      <c r="CD195" t="str">
        <f>""</f>
        <v/>
      </c>
      <c r="CE195" t="str">
        <f>""</f>
        <v/>
      </c>
      <c r="CF195" t="str">
        <f>""</f>
        <v/>
      </c>
      <c r="CG195" t="str">
        <f>""</f>
        <v/>
      </c>
      <c r="CH195" t="str">
        <f>""</f>
        <v/>
      </c>
      <c r="CI195" t="str">
        <f>""</f>
        <v/>
      </c>
      <c r="CJ195" t="str">
        <f>""</f>
        <v/>
      </c>
      <c r="CK195" t="str">
        <f>""</f>
        <v/>
      </c>
      <c r="CL195" t="str">
        <f>""</f>
        <v/>
      </c>
      <c r="CM195" t="str">
        <f>""</f>
        <v/>
      </c>
      <c r="CN195" t="str">
        <f>""</f>
        <v/>
      </c>
      <c r="CO195" t="str">
        <f>""</f>
        <v/>
      </c>
      <c r="CP195" t="str">
        <f>""</f>
        <v/>
      </c>
      <c r="CQ195" t="str">
        <f>""</f>
        <v/>
      </c>
      <c r="CR195" t="str">
        <f>""</f>
        <v/>
      </c>
      <c r="CS195" t="str">
        <f>""</f>
        <v/>
      </c>
      <c r="CT195" t="str">
        <f>""</f>
        <v/>
      </c>
      <c r="CU195" t="str">
        <f>""</f>
        <v/>
      </c>
      <c r="CV195" t="str">
        <f>""</f>
        <v/>
      </c>
      <c r="CW195" t="str">
        <f>""</f>
        <v/>
      </c>
      <c r="CX195" t="str">
        <f>""</f>
        <v/>
      </c>
      <c r="CY195" t="str">
        <f>""</f>
        <v/>
      </c>
      <c r="CZ195" t="str">
        <f>""</f>
        <v/>
      </c>
      <c r="DA195" t="str">
        <f>""</f>
        <v/>
      </c>
      <c r="DB195" t="str">
        <f>""</f>
        <v/>
      </c>
      <c r="DC195" t="str">
        <f>""</f>
        <v/>
      </c>
      <c r="DD195" t="str">
        <f>""</f>
        <v/>
      </c>
      <c r="DE195" t="str">
        <f>""</f>
        <v/>
      </c>
      <c r="DF195" t="str">
        <f>""</f>
        <v/>
      </c>
      <c r="DG195" t="str">
        <f>""</f>
        <v/>
      </c>
      <c r="DH195" t="str">
        <f>""</f>
        <v/>
      </c>
      <c r="DI195" t="str">
        <f>""</f>
        <v/>
      </c>
      <c r="DJ195" t="str">
        <f>""</f>
        <v/>
      </c>
      <c r="DK195" t="str">
        <f>""</f>
        <v/>
      </c>
      <c r="DL195" t="str">
        <f>""</f>
        <v/>
      </c>
      <c r="DM195" t="str">
        <f>""</f>
        <v/>
      </c>
      <c r="DN195" t="str">
        <f>""</f>
        <v/>
      </c>
      <c r="DO195" t="str">
        <f>""</f>
        <v/>
      </c>
      <c r="DP195" t="str">
        <f>""</f>
        <v/>
      </c>
      <c r="DQ195" t="str">
        <f>""</f>
        <v/>
      </c>
      <c r="DR195" t="str">
        <f>""</f>
        <v/>
      </c>
      <c r="DS195" t="str">
        <f>""</f>
        <v/>
      </c>
      <c r="DT195" t="str">
        <f>""</f>
        <v/>
      </c>
      <c r="DU195" t="str">
        <f>""</f>
        <v/>
      </c>
    </row>
    <row r="196" spans="1:125" x14ac:dyDescent="0.25">
      <c r="A196" t="str">
        <f>$A$45</f>
        <v xml:space="preserve">            Bulgaria</v>
      </c>
      <c r="B196" t="str">
        <f>$B$45</f>
        <v>WCARBG Index</v>
      </c>
      <c r="C196" t="str">
        <f>$C$45</f>
        <v>PX385</v>
      </c>
      <c r="D196" t="str">
        <f>$D$45</f>
        <v>INTERVAL_SUM</v>
      </c>
      <c r="E196" t="str">
        <f>$E$45</f>
        <v>Dynamic</v>
      </c>
      <c r="F196" t="str">
        <f ca="1">_xll.BDP($B$45,$C$45,CONCATENATE("PX391=", $F$158), CONCATENATE("PX392=",$F$159), CONCATENATE("DS004=",$B$151), "Fill=B")</f>
        <v>#N/A Connection</v>
      </c>
      <c r="G196" t="str">
        <f ca="1">_xll.BDP($B$45,$C$45,CONCATENATE("PX391=", $G$158), CONCATENATE("PX392=",$G$159), CONCATENATE("DS004=",$B$151), "Fill=B")</f>
        <v>#N/A Connection</v>
      </c>
      <c r="H196" t="str">
        <f ca="1">_xll.BDP($B$45,$C$45,CONCATENATE("PX391=", $H$158), CONCATENATE("PX392=",$H$159), CONCATENATE("DS004=",$B$151), "Fill=B")</f>
        <v>#N/A Connection</v>
      </c>
      <c r="I196" t="str">
        <f ca="1">_xll.BDP($B$45,$C$45,CONCATENATE("PX391=", $I$158), CONCATENATE("PX392=",$I$159), CONCATENATE("DS004=",$B$151), "Fill=B")</f>
        <v>#N/A Connection</v>
      </c>
      <c r="J196" t="str">
        <f ca="1">_xll.BDP($B$45,$C$45,CONCATENATE("PX391=", $J$158), CONCATENATE("PX392=",$J$159), CONCATENATE("DS004=",$B$151), "Fill=B")</f>
        <v>#N/A Connection</v>
      </c>
      <c r="K196" t="str">
        <f ca="1">_xll.BDP($B$45,$C$45,CONCATENATE("PX391=", $K$158), CONCATENATE("PX392=",$K$159), CONCATENATE("DS004=",$B$151), "Fill=B")</f>
        <v>#N/A Connection</v>
      </c>
      <c r="L196" t="str">
        <f ca="1">_xll.BDP($B$45,$C$45,CONCATENATE("PX391=", $L$158), CONCATENATE("PX392=",$L$159), CONCATENATE("DS004=",$B$151), "Fill=B")</f>
        <v>#N/A Connection</v>
      </c>
      <c r="M196" t="str">
        <f ca="1">_xll.BDP($B$45,$C$45,CONCATENATE("PX391=", $M$158), CONCATENATE("PX392=",$M$159), CONCATENATE("DS004=",$B$151), "Fill=B")</f>
        <v>#N/A Connection</v>
      </c>
      <c r="N196" t="str">
        <f ca="1">_xll.BDP($B$45,$C$45,CONCATENATE("PX391=", $N$158), CONCATENATE("PX392=",$N$159), CONCATENATE("DS004=",$B$151), "Fill=B")</f>
        <v>#N/A Connection</v>
      </c>
      <c r="O196" t="str">
        <f ca="1">_xll.BDP($B$45,$C$45,CONCATENATE("PX391=", $O$158), CONCATENATE("PX392=",$O$159), CONCATENATE("DS004=",$B$151), "Fill=B")</f>
        <v>#N/A Connection</v>
      </c>
      <c r="P196" t="str">
        <f ca="1">_xll.BDP($B$45,$C$45,CONCATENATE("PX391=", $P$158), CONCATENATE("PX392=",$P$159), CONCATENATE("DS004=",$B$151), "Fill=B")</f>
        <v>#N/A Connection</v>
      </c>
      <c r="Q196" t="str">
        <f ca="1">_xll.BDP($B$45,$C$45,CONCATENATE("PX391=", $Q$158), CONCATENATE("PX392=",$Q$159), CONCATENATE("DS004=",$B$151), "Fill=B")</f>
        <v>#N/A Connection</v>
      </c>
      <c r="R196" t="str">
        <f ca="1">_xll.BDP($B$45,$C$45,CONCATENATE("PX391=", $R$158), CONCATENATE("PX392=",$R$159), CONCATENATE("DS004=",$B$151), "Fill=B")</f>
        <v>#N/A Connection</v>
      </c>
      <c r="S196" t="str">
        <f ca="1">_xll.BDP($B$45,$C$45,CONCATENATE("PX391=", $S$158), CONCATENATE("PX392=",$S$159), CONCATENATE("DS004=",$B$151), "Fill=B")</f>
        <v>#N/A Connection</v>
      </c>
      <c r="T196" t="str">
        <f ca="1">_xll.BDP($B$45,$C$45,CONCATENATE("PX391=", $T$158), CONCATENATE("PX392=",$T$159), CONCATENATE("DS004=",$B$151), "Fill=B")</f>
        <v>#N/A Connection</v>
      </c>
      <c r="U196" t="str">
        <f ca="1">_xll.BDP($B$45,$C$45,CONCATENATE("PX391=", $U$158), CONCATENATE("PX392=",$U$159), CONCATENATE("DS004=",$B$151), "Fill=B")</f>
        <v>#N/A Connection</v>
      </c>
      <c r="V196" t="str">
        <f ca="1">_xll.BDP($B$45,$C$45,CONCATENATE("PX391=", $V$158), CONCATENATE("PX392=",$V$159), CONCATENATE("DS004=",$B$151), "Fill=B")</f>
        <v>#N/A Connection</v>
      </c>
      <c r="W196" t="str">
        <f ca="1">_xll.BDP($B$45,$C$45,CONCATENATE("PX391=", $W$158), CONCATENATE("PX392=",$W$159), CONCATENATE("DS004=",$B$151), "Fill=B")</f>
        <v>#N/A Connection</v>
      </c>
      <c r="X196" t="str">
        <f ca="1">_xll.BDP($B$45,$C$45,CONCATENATE("PX391=", $X$158), CONCATENATE("PX392=",$X$159), CONCATENATE("DS004=",$B$151), "Fill=B")</f>
        <v>#N/A Connection</v>
      </c>
      <c r="Y196" t="str">
        <f ca="1">_xll.BDP($B$45,$C$45,CONCATENATE("PX391=", $Y$158), CONCATENATE("PX392=",$Y$159), CONCATENATE("DS004=",$B$151), "Fill=B")</f>
        <v>#N/A Connection</v>
      </c>
      <c r="Z196" t="str">
        <f ca="1">_xll.BDP($B$45,$C$45,CONCATENATE("PX391=", $Z$158), CONCATENATE("PX392=",$Z$159), CONCATENATE("DS004=",$B$151), "Fill=B")</f>
        <v>#N/A Connection</v>
      </c>
      <c r="AA196" t="str">
        <f ca="1">_xll.BDP($B$45,$C$45,CONCATENATE("PX391=", $AA$158), CONCATENATE("PX392=",$AA$159), CONCATENATE("DS004=",$B$151), "Fill=B")</f>
        <v>#N/A Connection</v>
      </c>
      <c r="AB196" t="str">
        <f ca="1">_xll.BDP($B$45,$C$45,CONCATENATE("PX391=", $AB$158), CONCATENATE("PX392=",$AB$159), CONCATENATE("DS004=",$B$151), "Fill=B")</f>
        <v>#N/A Connection</v>
      </c>
      <c r="AC196" t="str">
        <f ca="1">_xll.BDP($B$45,$C$45,CONCATENATE("PX391=", $AC$158), CONCATENATE("PX392=",$AC$159), CONCATENATE("DS004=",$B$151), "Fill=B")</f>
        <v>#N/A Connection</v>
      </c>
      <c r="AD196" t="str">
        <f ca="1">_xll.BDP($B$45,$C$45,CONCATENATE("PX391=", $AD$158), CONCATENATE("PX392=",$AD$159), CONCATENATE("DS004=",$B$151), "Fill=B")</f>
        <v>#N/A Connection</v>
      </c>
      <c r="AE196" t="str">
        <f ca="1">_xll.BDP($B$45,$C$45,CONCATENATE("PX391=", $AE$158), CONCATENATE("PX392=",$AE$159), CONCATENATE("DS004=",$B$151), "Fill=B")</f>
        <v>#N/A Connection</v>
      </c>
      <c r="AF196" t="str">
        <f ca="1">_xll.BDP($B$45,$C$45,CONCATENATE("PX391=", $AF$158), CONCATENATE("PX392=",$AF$159), CONCATENATE("DS004=",$B$151), "Fill=B")</f>
        <v>#N/A Connection</v>
      </c>
      <c r="AG196" t="str">
        <f ca="1">_xll.BDP($B$45,$C$45,CONCATENATE("PX391=", $AG$158), CONCATENATE("PX392=",$AG$159), CONCATENATE("DS004=",$B$151), "Fill=B")</f>
        <v>#N/A Connection</v>
      </c>
      <c r="AH196" t="str">
        <f ca="1">_xll.BDP($B$45,$C$45,CONCATENATE("PX391=", $AH$158), CONCATENATE("PX392=",$AH$159), CONCATENATE("DS004=",$B$151), "Fill=B")</f>
        <v>#N/A Connection</v>
      </c>
      <c r="AI196" t="str">
        <f ca="1">_xll.BDP($B$45,$C$45,CONCATENATE("PX391=", $AI$158), CONCATENATE("PX392=",$AI$159), CONCATENATE("DS004=",$B$151), "Fill=B")</f>
        <v>#N/A Connection</v>
      </c>
      <c r="AJ196" t="str">
        <f ca="1">_xll.BDP($B$45,$C$45,CONCATENATE("PX391=", $AJ$158), CONCATENATE("PX392=",$AJ$159), CONCATENATE("DS004=",$B$151), "Fill=B")</f>
        <v>#N/A Connection</v>
      </c>
      <c r="AK196" t="str">
        <f ca="1">_xll.BDP($B$45,$C$45,CONCATENATE("PX391=", $AK$158), CONCATENATE("PX392=",$AK$159), CONCATENATE("DS004=",$B$151), "Fill=B")</f>
        <v>#N/A Connection</v>
      </c>
      <c r="AL196" t="str">
        <f ca="1">_xll.BDP($B$45,$C$45,CONCATENATE("PX391=", $AL$158), CONCATENATE("PX392=",$AL$159), CONCATENATE("DS004=",$B$151), "Fill=B")</f>
        <v>#N/A Connection</v>
      </c>
      <c r="AM196" t="str">
        <f ca="1">_xll.BDP($B$45,$C$45,CONCATENATE("PX391=", $AM$158), CONCATENATE("PX392=",$AM$159), CONCATENATE("DS004=",$B$151), "Fill=B")</f>
        <v>#N/A Connection</v>
      </c>
      <c r="AN196" t="str">
        <f ca="1">_xll.BDP($B$45,$C$45,CONCATENATE("PX391=", $AN$158), CONCATENATE("PX392=",$AN$159), CONCATENATE("DS004=",$B$151), "Fill=B")</f>
        <v>#N/A Connection</v>
      </c>
      <c r="AO196" t="str">
        <f ca="1">_xll.BDP($B$45,$C$45,CONCATENATE("PX391=", $AO$158), CONCATENATE("PX392=",$AO$159), CONCATENATE("DS004=",$B$151), "Fill=B")</f>
        <v>#N/A Connection</v>
      </c>
      <c r="AP196" t="str">
        <f ca="1">_xll.BDP($B$45,$C$45,CONCATENATE("PX391=", $AP$158), CONCATENATE("PX392=",$AP$159), CONCATENATE("DS004=",$B$151), "Fill=B")</f>
        <v>#N/A Connection</v>
      </c>
      <c r="AQ196" t="str">
        <f ca="1">_xll.BDP($B$45,$C$45,CONCATENATE("PX391=", $AQ$158), CONCATENATE("PX392=",$AQ$159), CONCATENATE("DS004=",$B$151), "Fill=B")</f>
        <v>#N/A Connection</v>
      </c>
      <c r="AR196" t="str">
        <f ca="1">_xll.BDP($B$45,$C$45,CONCATENATE("PX391=", $AR$158), CONCATENATE("PX392=",$AR$159), CONCATENATE("DS004=",$B$151), "Fill=B")</f>
        <v>#N/A Connection</v>
      </c>
      <c r="AS196" t="str">
        <f ca="1">_xll.BDP($B$45,$C$45,CONCATENATE("PX391=", $AS$158), CONCATENATE("PX392=",$AS$159), CONCATENATE("DS004=",$B$151), "Fill=B")</f>
        <v>#N/A Connection</v>
      </c>
      <c r="AT196" t="str">
        <f ca="1">_xll.BDP($B$45,$C$45,CONCATENATE("PX391=", $AT$158), CONCATENATE("PX392=",$AT$159), CONCATENATE("DS004=",$B$151), "Fill=B")</f>
        <v>#N/A Connection</v>
      </c>
      <c r="AU196" t="str">
        <f ca="1">_xll.BDP($B$45,$C$45,CONCATENATE("PX391=", $AU$158), CONCATENATE("PX392=",$AU$159), CONCATENATE("DS004=",$B$151), "Fill=B")</f>
        <v>#N/A Connection</v>
      </c>
      <c r="AV196" t="str">
        <f ca="1">_xll.BDP($B$45,$C$45,CONCATENATE("PX391=", $AV$158), CONCATENATE("PX392=",$AV$159), CONCATENATE("DS004=",$B$151), "Fill=B")</f>
        <v>#N/A Connection</v>
      </c>
      <c r="AW196" t="str">
        <f ca="1">_xll.BDP($B$45,$C$45,CONCATENATE("PX391=", $AW$158), CONCATENATE("PX392=",$AW$159), CONCATENATE("DS004=",$B$151), "Fill=B")</f>
        <v>#N/A Connection</v>
      </c>
      <c r="AX196" t="str">
        <f ca="1">_xll.BDP($B$45,$C$45,CONCATENATE("PX391=", $AX$158), CONCATENATE("PX392=",$AX$159), CONCATENATE("DS004=",$B$151), "Fill=B")</f>
        <v>#N/A Connection</v>
      </c>
      <c r="AY196" t="str">
        <f ca="1">_xll.BDP($B$45,$C$45,CONCATENATE("PX391=", $AY$158), CONCATENATE("PX392=",$AY$159), CONCATENATE("DS004=",$B$151), "Fill=B")</f>
        <v>#N/A Connection</v>
      </c>
      <c r="AZ196" t="str">
        <f ca="1">_xll.BDP($B$45,$C$45,CONCATENATE("PX391=", $AZ$158), CONCATENATE("PX392=",$AZ$159), CONCATENATE("DS004=",$B$151), "Fill=B")</f>
        <v>#N/A Connection</v>
      </c>
      <c r="BA196" t="str">
        <f ca="1">_xll.BDP($B$45,$C$45,CONCATENATE("PX391=", $BA$158), CONCATENATE("PX392=",$BA$159), CONCATENATE("DS004=",$B$151), "Fill=B")</f>
        <v>#N/A Connection</v>
      </c>
      <c r="BB196" t="str">
        <f ca="1">_xll.BDP($B$45,$C$45,CONCATENATE("PX391=", $BB$158), CONCATENATE("PX392=",$BB$159), CONCATENATE("DS004=",$B$151), "Fill=B")</f>
        <v>#N/A Connection</v>
      </c>
      <c r="BC196" t="str">
        <f ca="1">_xll.BDP($B$45,$C$45,CONCATENATE("PX391=", $BC$158), CONCATENATE("PX392=",$BC$159), CONCATENATE("DS004=",$B$151), "Fill=B")</f>
        <v>#N/A Connection</v>
      </c>
      <c r="BD196" t="str">
        <f ca="1">_xll.BDP($B$45,$C$45,CONCATENATE("PX391=", $BD$158), CONCATENATE("PX392=",$BD$159), CONCATENATE("DS004=",$B$151), "Fill=B")</f>
        <v>#N/A Connection</v>
      </c>
      <c r="BE196" t="str">
        <f ca="1">_xll.BDP($B$45,$C$45,CONCATENATE("PX391=", $BE$158), CONCATENATE("PX392=",$BE$159), CONCATENATE("DS004=",$B$151), "Fill=B")</f>
        <v>#N/A Connection</v>
      </c>
      <c r="BF196" t="str">
        <f ca="1">_xll.BDP($B$45,$C$45,CONCATENATE("PX391=", $BF$158), CONCATENATE("PX392=",$BF$159), CONCATENATE("DS004=",$B$151), "Fill=B")</f>
        <v>#N/A Connection</v>
      </c>
      <c r="BG196" t="str">
        <f ca="1">_xll.BDP($B$45,$C$45,CONCATENATE("PX391=", $BG$158), CONCATENATE("PX392=",$BG$159), CONCATENATE("DS004=",$B$151), "Fill=B")</f>
        <v>#N/A Connection</v>
      </c>
      <c r="BH196" t="str">
        <f ca="1">_xll.BDP($B$45,$C$45,CONCATENATE("PX391=", $BH$158), CONCATENATE("PX392=",$BH$159), CONCATENATE("DS004=",$B$151), "Fill=B")</f>
        <v>#N/A Connection</v>
      </c>
      <c r="BI196" t="str">
        <f ca="1">_xll.BDP($B$45,$C$45,CONCATENATE("PX391=", $BI$158), CONCATENATE("PX392=",$BI$159), CONCATENATE("DS004=",$B$151), "Fill=B")</f>
        <v>#N/A Connection</v>
      </c>
      <c r="BJ196" t="str">
        <f ca="1">_xll.BDP($B$45,$C$45,CONCATENATE("PX391=", $BJ$158), CONCATENATE("PX392=",$BJ$159), CONCATENATE("DS004=",$B$151), "Fill=B")</f>
        <v>#N/A Connection</v>
      </c>
      <c r="BK196" t="str">
        <f ca="1">_xll.BDP($B$45,$C$45,CONCATENATE("PX391=", $BK$158), CONCATENATE("PX392=",$BK$159), CONCATENATE("DS004=",$B$151), "Fill=B")</f>
        <v>#N/A Connection</v>
      </c>
      <c r="BL196" t="str">
        <f ca="1">_xll.BDP($B$45,$C$45,CONCATENATE("PX391=", $BL$158), CONCATENATE("PX392=",$BL$159), CONCATENATE("DS004=",$B$151), "Fill=B")</f>
        <v>#N/A Connection</v>
      </c>
      <c r="BM196" t="str">
        <f ca="1">_xll.BDP($B$45,$C$45,CONCATENATE("PX391=", $BM$158), CONCATENATE("PX392=",$BM$159), CONCATENATE("DS004=",$B$151), "Fill=B")</f>
        <v>#N/A Connection</v>
      </c>
      <c r="BN196" t="str">
        <f>""</f>
        <v/>
      </c>
      <c r="BO196" t="str">
        <f>""</f>
        <v/>
      </c>
      <c r="BP196" t="str">
        <f>""</f>
        <v/>
      </c>
      <c r="BQ196" t="str">
        <f>""</f>
        <v/>
      </c>
      <c r="BR196" t="str">
        <f>""</f>
        <v/>
      </c>
      <c r="BS196" t="str">
        <f>""</f>
        <v/>
      </c>
      <c r="BT196" t="str">
        <f>""</f>
        <v/>
      </c>
      <c r="BU196" t="str">
        <f>""</f>
        <v/>
      </c>
      <c r="BV196" t="str">
        <f>""</f>
        <v/>
      </c>
      <c r="BW196" t="str">
        <f>""</f>
        <v/>
      </c>
      <c r="BX196" t="str">
        <f>""</f>
        <v/>
      </c>
      <c r="BY196" t="str">
        <f>""</f>
        <v/>
      </c>
      <c r="BZ196" t="str">
        <f>""</f>
        <v/>
      </c>
      <c r="CA196" t="str">
        <f>""</f>
        <v/>
      </c>
      <c r="CB196" t="str">
        <f>""</f>
        <v/>
      </c>
      <c r="CC196" t="str">
        <f>""</f>
        <v/>
      </c>
      <c r="CD196" t="str">
        <f>""</f>
        <v/>
      </c>
      <c r="CE196" t="str">
        <f>""</f>
        <v/>
      </c>
      <c r="CF196" t="str">
        <f>""</f>
        <v/>
      </c>
      <c r="CG196" t="str">
        <f>""</f>
        <v/>
      </c>
      <c r="CH196" t="str">
        <f>""</f>
        <v/>
      </c>
      <c r="CI196" t="str">
        <f>""</f>
        <v/>
      </c>
      <c r="CJ196" t="str">
        <f>""</f>
        <v/>
      </c>
      <c r="CK196" t="str">
        <f>""</f>
        <v/>
      </c>
      <c r="CL196" t="str">
        <f>""</f>
        <v/>
      </c>
      <c r="CM196" t="str">
        <f>""</f>
        <v/>
      </c>
      <c r="CN196" t="str">
        <f>""</f>
        <v/>
      </c>
      <c r="CO196" t="str">
        <f>""</f>
        <v/>
      </c>
      <c r="CP196" t="str">
        <f>""</f>
        <v/>
      </c>
      <c r="CQ196" t="str">
        <f>""</f>
        <v/>
      </c>
      <c r="CR196" t="str">
        <f>""</f>
        <v/>
      </c>
      <c r="CS196" t="str">
        <f>""</f>
        <v/>
      </c>
      <c r="CT196" t="str">
        <f>""</f>
        <v/>
      </c>
      <c r="CU196" t="str">
        <f>""</f>
        <v/>
      </c>
      <c r="CV196" t="str">
        <f>""</f>
        <v/>
      </c>
      <c r="CW196" t="str">
        <f>""</f>
        <v/>
      </c>
      <c r="CX196" t="str">
        <f>""</f>
        <v/>
      </c>
      <c r="CY196" t="str">
        <f>""</f>
        <v/>
      </c>
      <c r="CZ196" t="str">
        <f>""</f>
        <v/>
      </c>
      <c r="DA196" t="str">
        <f>""</f>
        <v/>
      </c>
      <c r="DB196" t="str">
        <f>""</f>
        <v/>
      </c>
      <c r="DC196" t="str">
        <f>""</f>
        <v/>
      </c>
      <c r="DD196" t="str">
        <f>""</f>
        <v/>
      </c>
      <c r="DE196" t="str">
        <f>""</f>
        <v/>
      </c>
      <c r="DF196" t="str">
        <f>""</f>
        <v/>
      </c>
      <c r="DG196" t="str">
        <f>""</f>
        <v/>
      </c>
      <c r="DH196" t="str">
        <f>""</f>
        <v/>
      </c>
      <c r="DI196" t="str">
        <f>""</f>
        <v/>
      </c>
      <c r="DJ196" t="str">
        <f>""</f>
        <v/>
      </c>
      <c r="DK196" t="str">
        <f>""</f>
        <v/>
      </c>
      <c r="DL196" t="str">
        <f>""</f>
        <v/>
      </c>
      <c r="DM196" t="str">
        <f>""</f>
        <v/>
      </c>
      <c r="DN196" t="str">
        <f>""</f>
        <v/>
      </c>
      <c r="DO196" t="str">
        <f>""</f>
        <v/>
      </c>
      <c r="DP196" t="str">
        <f>""</f>
        <v/>
      </c>
      <c r="DQ196" t="str">
        <f>""</f>
        <v/>
      </c>
      <c r="DR196" t="str">
        <f>""</f>
        <v/>
      </c>
      <c r="DS196" t="str">
        <f>""</f>
        <v/>
      </c>
      <c r="DT196" t="str">
        <f>""</f>
        <v/>
      </c>
      <c r="DU196" t="str">
        <f>""</f>
        <v/>
      </c>
    </row>
    <row r="197" spans="1:125" x14ac:dyDescent="0.25">
      <c r="A197" t="str">
        <f>$A$46</f>
        <v xml:space="preserve">            Czech Republic</v>
      </c>
      <c r="B197" t="str">
        <f>$B$46</f>
        <v>WCARCZ Index</v>
      </c>
      <c r="C197" t="str">
        <f>$C$46</f>
        <v>PX385</v>
      </c>
      <c r="D197" t="str">
        <f>$D$46</f>
        <v>INTERVAL_SUM</v>
      </c>
      <c r="E197" t="str">
        <f>$E$46</f>
        <v>Dynamic</v>
      </c>
      <c r="F197" t="str">
        <f ca="1">_xll.BDP($B$46,$C$46,CONCATENATE("PX391=", $F$158), CONCATENATE("PX392=",$F$159), CONCATENATE("DS004=",$B$151), "Fill=B")</f>
        <v>#N/A Connection</v>
      </c>
      <c r="G197" t="str">
        <f ca="1">_xll.BDP($B$46,$C$46,CONCATENATE("PX391=", $G$158), CONCATENATE("PX392=",$G$159), CONCATENATE("DS004=",$B$151), "Fill=B")</f>
        <v>#N/A Connection</v>
      </c>
      <c r="H197" t="str">
        <f ca="1">_xll.BDP($B$46,$C$46,CONCATENATE("PX391=", $H$158), CONCATENATE("PX392=",$H$159), CONCATENATE("DS004=",$B$151), "Fill=B")</f>
        <v>#N/A Connection</v>
      </c>
      <c r="I197" t="str">
        <f ca="1">_xll.BDP($B$46,$C$46,CONCATENATE("PX391=", $I$158), CONCATENATE("PX392=",$I$159), CONCATENATE("DS004=",$B$151), "Fill=B")</f>
        <v>#N/A Connection</v>
      </c>
      <c r="J197" t="str">
        <f ca="1">_xll.BDP($B$46,$C$46,CONCATENATE("PX391=", $J$158), CONCATENATE("PX392=",$J$159), CONCATENATE("DS004=",$B$151), "Fill=B")</f>
        <v>#N/A Connection</v>
      </c>
      <c r="K197" t="str">
        <f ca="1">_xll.BDP($B$46,$C$46,CONCATENATE("PX391=", $K$158), CONCATENATE("PX392=",$K$159), CONCATENATE("DS004=",$B$151), "Fill=B")</f>
        <v>#N/A Connection</v>
      </c>
      <c r="L197" t="str">
        <f ca="1">_xll.BDP($B$46,$C$46,CONCATENATE("PX391=", $L$158), CONCATENATE("PX392=",$L$159), CONCATENATE("DS004=",$B$151), "Fill=B")</f>
        <v>#N/A Connection</v>
      </c>
      <c r="M197" t="str">
        <f ca="1">_xll.BDP($B$46,$C$46,CONCATENATE("PX391=", $M$158), CONCATENATE("PX392=",$M$159), CONCATENATE("DS004=",$B$151), "Fill=B")</f>
        <v>#N/A Connection</v>
      </c>
      <c r="N197" t="str">
        <f ca="1">_xll.BDP($B$46,$C$46,CONCATENATE("PX391=", $N$158), CONCATENATE("PX392=",$N$159), CONCATENATE("DS004=",$B$151), "Fill=B")</f>
        <v>#N/A Connection</v>
      </c>
      <c r="O197" t="str">
        <f ca="1">_xll.BDP($B$46,$C$46,CONCATENATE("PX391=", $O$158), CONCATENATE("PX392=",$O$159), CONCATENATE("DS004=",$B$151), "Fill=B")</f>
        <v>#N/A Connection</v>
      </c>
      <c r="P197" t="str">
        <f ca="1">_xll.BDP($B$46,$C$46,CONCATENATE("PX391=", $P$158), CONCATENATE("PX392=",$P$159), CONCATENATE("DS004=",$B$151), "Fill=B")</f>
        <v>#N/A Connection</v>
      </c>
      <c r="Q197" t="str">
        <f ca="1">_xll.BDP($B$46,$C$46,CONCATENATE("PX391=", $Q$158), CONCATENATE("PX392=",$Q$159), CONCATENATE("DS004=",$B$151), "Fill=B")</f>
        <v>#N/A Connection</v>
      </c>
      <c r="R197" t="str">
        <f ca="1">_xll.BDP($B$46,$C$46,CONCATENATE("PX391=", $R$158), CONCATENATE("PX392=",$R$159), CONCATENATE("DS004=",$B$151), "Fill=B")</f>
        <v>#N/A Connection</v>
      </c>
      <c r="S197" t="str">
        <f ca="1">_xll.BDP($B$46,$C$46,CONCATENATE("PX391=", $S$158), CONCATENATE("PX392=",$S$159), CONCATENATE("DS004=",$B$151), "Fill=B")</f>
        <v>#N/A Connection</v>
      </c>
      <c r="T197" t="str">
        <f ca="1">_xll.BDP($B$46,$C$46,CONCATENATE("PX391=", $T$158), CONCATENATE("PX392=",$T$159), CONCATENATE("DS004=",$B$151), "Fill=B")</f>
        <v>#N/A Connection</v>
      </c>
      <c r="U197" t="str">
        <f ca="1">_xll.BDP($B$46,$C$46,CONCATENATE("PX391=", $U$158), CONCATENATE("PX392=",$U$159), CONCATENATE("DS004=",$B$151), "Fill=B")</f>
        <v>#N/A Connection</v>
      </c>
      <c r="V197" t="str">
        <f ca="1">_xll.BDP($B$46,$C$46,CONCATENATE("PX391=", $V$158), CONCATENATE("PX392=",$V$159), CONCATENATE("DS004=",$B$151), "Fill=B")</f>
        <v>#N/A Connection</v>
      </c>
      <c r="W197" t="str">
        <f ca="1">_xll.BDP($B$46,$C$46,CONCATENATE("PX391=", $W$158), CONCATENATE("PX392=",$W$159), CONCATENATE("DS004=",$B$151), "Fill=B")</f>
        <v>#N/A Connection</v>
      </c>
      <c r="X197" t="str">
        <f ca="1">_xll.BDP($B$46,$C$46,CONCATENATE("PX391=", $X$158), CONCATENATE("PX392=",$X$159), CONCATENATE("DS004=",$B$151), "Fill=B")</f>
        <v>#N/A Connection</v>
      </c>
      <c r="Y197" t="str">
        <f ca="1">_xll.BDP($B$46,$C$46,CONCATENATE("PX391=", $Y$158), CONCATENATE("PX392=",$Y$159), CONCATENATE("DS004=",$B$151), "Fill=B")</f>
        <v>#N/A Connection</v>
      </c>
      <c r="Z197" t="str">
        <f ca="1">_xll.BDP($B$46,$C$46,CONCATENATE("PX391=", $Z$158), CONCATENATE("PX392=",$Z$159), CONCATENATE("DS004=",$B$151), "Fill=B")</f>
        <v>#N/A Connection</v>
      </c>
      <c r="AA197" t="str">
        <f ca="1">_xll.BDP($B$46,$C$46,CONCATENATE("PX391=", $AA$158), CONCATENATE("PX392=",$AA$159), CONCATENATE("DS004=",$B$151), "Fill=B")</f>
        <v>#N/A Connection</v>
      </c>
      <c r="AB197" t="str">
        <f ca="1">_xll.BDP($B$46,$C$46,CONCATENATE("PX391=", $AB$158), CONCATENATE("PX392=",$AB$159), CONCATENATE("DS004=",$B$151), "Fill=B")</f>
        <v>#N/A Connection</v>
      </c>
      <c r="AC197" t="str">
        <f ca="1">_xll.BDP($B$46,$C$46,CONCATENATE("PX391=", $AC$158), CONCATENATE("PX392=",$AC$159), CONCATENATE("DS004=",$B$151), "Fill=B")</f>
        <v>#N/A Connection</v>
      </c>
      <c r="AD197" t="str">
        <f ca="1">_xll.BDP($B$46,$C$46,CONCATENATE("PX391=", $AD$158), CONCATENATE("PX392=",$AD$159), CONCATENATE("DS004=",$B$151), "Fill=B")</f>
        <v>#N/A Connection</v>
      </c>
      <c r="AE197" t="str">
        <f ca="1">_xll.BDP($B$46,$C$46,CONCATENATE("PX391=", $AE$158), CONCATENATE("PX392=",$AE$159), CONCATENATE("DS004=",$B$151), "Fill=B")</f>
        <v>#N/A Connection</v>
      </c>
      <c r="AF197" t="str">
        <f ca="1">_xll.BDP($B$46,$C$46,CONCATENATE("PX391=", $AF$158), CONCATENATE("PX392=",$AF$159), CONCATENATE("DS004=",$B$151), "Fill=B")</f>
        <v>#N/A Connection</v>
      </c>
      <c r="AG197" t="str">
        <f ca="1">_xll.BDP($B$46,$C$46,CONCATENATE("PX391=", $AG$158), CONCATENATE("PX392=",$AG$159), CONCATENATE("DS004=",$B$151), "Fill=B")</f>
        <v>#N/A Connection</v>
      </c>
      <c r="AH197" t="str">
        <f ca="1">_xll.BDP($B$46,$C$46,CONCATENATE("PX391=", $AH$158), CONCATENATE("PX392=",$AH$159), CONCATENATE("DS004=",$B$151), "Fill=B")</f>
        <v>#N/A Connection</v>
      </c>
      <c r="AI197" t="str">
        <f ca="1">_xll.BDP($B$46,$C$46,CONCATENATE("PX391=", $AI$158), CONCATENATE("PX392=",$AI$159), CONCATENATE("DS004=",$B$151), "Fill=B")</f>
        <v>#N/A Connection</v>
      </c>
      <c r="AJ197" t="str">
        <f ca="1">_xll.BDP($B$46,$C$46,CONCATENATE("PX391=", $AJ$158), CONCATENATE("PX392=",$AJ$159), CONCATENATE("DS004=",$B$151), "Fill=B")</f>
        <v>#N/A Connection</v>
      </c>
      <c r="AK197" t="str">
        <f ca="1">_xll.BDP($B$46,$C$46,CONCATENATE("PX391=", $AK$158), CONCATENATE("PX392=",$AK$159), CONCATENATE("DS004=",$B$151), "Fill=B")</f>
        <v>#N/A Connection</v>
      </c>
      <c r="AL197" t="str">
        <f ca="1">_xll.BDP($B$46,$C$46,CONCATENATE("PX391=", $AL$158), CONCATENATE("PX392=",$AL$159), CONCATENATE("DS004=",$B$151), "Fill=B")</f>
        <v>#N/A Connection</v>
      </c>
      <c r="AM197" t="str">
        <f ca="1">_xll.BDP($B$46,$C$46,CONCATENATE("PX391=", $AM$158), CONCATENATE("PX392=",$AM$159), CONCATENATE("DS004=",$B$151), "Fill=B")</f>
        <v>#N/A Connection</v>
      </c>
      <c r="AN197" t="str">
        <f ca="1">_xll.BDP($B$46,$C$46,CONCATENATE("PX391=", $AN$158), CONCATENATE("PX392=",$AN$159), CONCATENATE("DS004=",$B$151), "Fill=B")</f>
        <v>#N/A Connection</v>
      </c>
      <c r="AO197" t="str">
        <f ca="1">_xll.BDP($B$46,$C$46,CONCATENATE("PX391=", $AO$158), CONCATENATE("PX392=",$AO$159), CONCATENATE("DS004=",$B$151), "Fill=B")</f>
        <v>#N/A Connection</v>
      </c>
      <c r="AP197" t="str">
        <f ca="1">_xll.BDP($B$46,$C$46,CONCATENATE("PX391=", $AP$158), CONCATENATE("PX392=",$AP$159), CONCATENATE("DS004=",$B$151), "Fill=B")</f>
        <v>#N/A Connection</v>
      </c>
      <c r="AQ197" t="str">
        <f ca="1">_xll.BDP($B$46,$C$46,CONCATENATE("PX391=", $AQ$158), CONCATENATE("PX392=",$AQ$159), CONCATENATE("DS004=",$B$151), "Fill=B")</f>
        <v>#N/A Connection</v>
      </c>
      <c r="AR197" t="str">
        <f ca="1">_xll.BDP($B$46,$C$46,CONCATENATE("PX391=", $AR$158), CONCATENATE("PX392=",$AR$159), CONCATENATE("DS004=",$B$151), "Fill=B")</f>
        <v>#N/A Connection</v>
      </c>
      <c r="AS197" t="str">
        <f ca="1">_xll.BDP($B$46,$C$46,CONCATENATE("PX391=", $AS$158), CONCATENATE("PX392=",$AS$159), CONCATENATE("DS004=",$B$151), "Fill=B")</f>
        <v>#N/A Connection</v>
      </c>
      <c r="AT197" t="str">
        <f ca="1">_xll.BDP($B$46,$C$46,CONCATENATE("PX391=", $AT$158), CONCATENATE("PX392=",$AT$159), CONCATENATE("DS004=",$B$151), "Fill=B")</f>
        <v>#N/A Connection</v>
      </c>
      <c r="AU197" t="str">
        <f ca="1">_xll.BDP($B$46,$C$46,CONCATENATE("PX391=", $AU$158), CONCATENATE("PX392=",$AU$159), CONCATENATE("DS004=",$B$151), "Fill=B")</f>
        <v>#N/A Connection</v>
      </c>
      <c r="AV197" t="str">
        <f ca="1">_xll.BDP($B$46,$C$46,CONCATENATE("PX391=", $AV$158), CONCATENATE("PX392=",$AV$159), CONCATENATE("DS004=",$B$151), "Fill=B")</f>
        <v>#N/A Connection</v>
      </c>
      <c r="AW197" t="str">
        <f ca="1">_xll.BDP($B$46,$C$46,CONCATENATE("PX391=", $AW$158), CONCATENATE("PX392=",$AW$159), CONCATENATE("DS004=",$B$151), "Fill=B")</f>
        <v>#N/A Connection</v>
      </c>
      <c r="AX197" t="str">
        <f ca="1">_xll.BDP($B$46,$C$46,CONCATENATE("PX391=", $AX$158), CONCATENATE("PX392=",$AX$159), CONCATENATE("DS004=",$B$151), "Fill=B")</f>
        <v>#N/A Connection</v>
      </c>
      <c r="AY197" t="str">
        <f ca="1">_xll.BDP($B$46,$C$46,CONCATENATE("PX391=", $AY$158), CONCATENATE("PX392=",$AY$159), CONCATENATE("DS004=",$B$151), "Fill=B")</f>
        <v>#N/A Connection</v>
      </c>
      <c r="AZ197" t="str">
        <f ca="1">_xll.BDP($B$46,$C$46,CONCATENATE("PX391=", $AZ$158), CONCATENATE("PX392=",$AZ$159), CONCATENATE("DS004=",$B$151), "Fill=B")</f>
        <v>#N/A Connection</v>
      </c>
      <c r="BA197" t="str">
        <f ca="1">_xll.BDP($B$46,$C$46,CONCATENATE("PX391=", $BA$158), CONCATENATE("PX392=",$BA$159), CONCATENATE("DS004=",$B$151), "Fill=B")</f>
        <v>#N/A Connection</v>
      </c>
      <c r="BB197" t="str">
        <f ca="1">_xll.BDP($B$46,$C$46,CONCATENATE("PX391=", $BB$158), CONCATENATE("PX392=",$BB$159), CONCATENATE("DS004=",$B$151), "Fill=B")</f>
        <v>#N/A Connection</v>
      </c>
      <c r="BC197" t="str">
        <f ca="1">_xll.BDP($B$46,$C$46,CONCATENATE("PX391=", $BC$158), CONCATENATE("PX392=",$BC$159), CONCATENATE("DS004=",$B$151), "Fill=B")</f>
        <v>#N/A Connection</v>
      </c>
      <c r="BD197" t="str">
        <f ca="1">_xll.BDP($B$46,$C$46,CONCATENATE("PX391=", $BD$158), CONCATENATE("PX392=",$BD$159), CONCATENATE("DS004=",$B$151), "Fill=B")</f>
        <v>#N/A Connection</v>
      </c>
      <c r="BE197" t="str">
        <f ca="1">_xll.BDP($B$46,$C$46,CONCATENATE("PX391=", $BE$158), CONCATENATE("PX392=",$BE$159), CONCATENATE("DS004=",$B$151), "Fill=B")</f>
        <v>#N/A Connection</v>
      </c>
      <c r="BF197" t="str">
        <f ca="1">_xll.BDP($B$46,$C$46,CONCATENATE("PX391=", $BF$158), CONCATENATE("PX392=",$BF$159), CONCATENATE("DS004=",$B$151), "Fill=B")</f>
        <v>#N/A Connection</v>
      </c>
      <c r="BG197" t="str">
        <f ca="1">_xll.BDP($B$46,$C$46,CONCATENATE("PX391=", $BG$158), CONCATENATE("PX392=",$BG$159), CONCATENATE("DS004=",$B$151), "Fill=B")</f>
        <v>#N/A Connection</v>
      </c>
      <c r="BH197" t="str">
        <f ca="1">_xll.BDP($B$46,$C$46,CONCATENATE("PX391=", $BH$158), CONCATENATE("PX392=",$BH$159), CONCATENATE("DS004=",$B$151), "Fill=B")</f>
        <v>#N/A Connection</v>
      </c>
      <c r="BI197" t="str">
        <f ca="1">_xll.BDP($B$46,$C$46,CONCATENATE("PX391=", $BI$158), CONCATENATE("PX392=",$BI$159), CONCATENATE("DS004=",$B$151), "Fill=B")</f>
        <v>#N/A Connection</v>
      </c>
      <c r="BJ197" t="str">
        <f ca="1">_xll.BDP($B$46,$C$46,CONCATENATE("PX391=", $BJ$158), CONCATENATE("PX392=",$BJ$159), CONCATENATE("DS004=",$B$151), "Fill=B")</f>
        <v>#N/A Connection</v>
      </c>
      <c r="BK197" t="str">
        <f ca="1">_xll.BDP($B$46,$C$46,CONCATENATE("PX391=", $BK$158), CONCATENATE("PX392=",$BK$159), CONCATENATE("DS004=",$B$151), "Fill=B")</f>
        <v>#N/A Connection</v>
      </c>
      <c r="BL197" t="str">
        <f ca="1">_xll.BDP($B$46,$C$46,CONCATENATE("PX391=", $BL$158), CONCATENATE("PX392=",$BL$159), CONCATENATE("DS004=",$B$151), "Fill=B")</f>
        <v>#N/A Connection</v>
      </c>
      <c r="BM197" t="str">
        <f ca="1">_xll.BDP($B$46,$C$46,CONCATENATE("PX391=", $BM$158), CONCATENATE("PX392=",$BM$159), CONCATENATE("DS004=",$B$151), "Fill=B")</f>
        <v>#N/A Connection</v>
      </c>
      <c r="BN197" t="str">
        <f>""</f>
        <v/>
      </c>
      <c r="BO197" t="str">
        <f>""</f>
        <v/>
      </c>
      <c r="BP197" t="str">
        <f>""</f>
        <v/>
      </c>
      <c r="BQ197" t="str">
        <f>""</f>
        <v/>
      </c>
      <c r="BR197" t="str">
        <f>""</f>
        <v/>
      </c>
      <c r="BS197" t="str">
        <f>""</f>
        <v/>
      </c>
      <c r="BT197" t="str">
        <f>""</f>
        <v/>
      </c>
      <c r="BU197" t="str">
        <f>""</f>
        <v/>
      </c>
      <c r="BV197" t="str">
        <f>""</f>
        <v/>
      </c>
      <c r="BW197" t="str">
        <f>""</f>
        <v/>
      </c>
      <c r="BX197" t="str">
        <f>""</f>
        <v/>
      </c>
      <c r="BY197" t="str">
        <f>""</f>
        <v/>
      </c>
      <c r="BZ197" t="str">
        <f>""</f>
        <v/>
      </c>
      <c r="CA197" t="str">
        <f>""</f>
        <v/>
      </c>
      <c r="CB197" t="str">
        <f>""</f>
        <v/>
      </c>
      <c r="CC197" t="str">
        <f>""</f>
        <v/>
      </c>
      <c r="CD197" t="str">
        <f>""</f>
        <v/>
      </c>
      <c r="CE197" t="str">
        <f>""</f>
        <v/>
      </c>
      <c r="CF197" t="str">
        <f>""</f>
        <v/>
      </c>
      <c r="CG197" t="str">
        <f>""</f>
        <v/>
      </c>
      <c r="CH197" t="str">
        <f>""</f>
        <v/>
      </c>
      <c r="CI197" t="str">
        <f>""</f>
        <v/>
      </c>
      <c r="CJ197" t="str">
        <f>""</f>
        <v/>
      </c>
      <c r="CK197" t="str">
        <f>""</f>
        <v/>
      </c>
      <c r="CL197" t="str">
        <f>""</f>
        <v/>
      </c>
      <c r="CM197" t="str">
        <f>""</f>
        <v/>
      </c>
      <c r="CN197" t="str">
        <f>""</f>
        <v/>
      </c>
      <c r="CO197" t="str">
        <f>""</f>
        <v/>
      </c>
      <c r="CP197" t="str">
        <f>""</f>
        <v/>
      </c>
      <c r="CQ197" t="str">
        <f>""</f>
        <v/>
      </c>
      <c r="CR197" t="str">
        <f>""</f>
        <v/>
      </c>
      <c r="CS197" t="str">
        <f>""</f>
        <v/>
      </c>
      <c r="CT197" t="str">
        <f>""</f>
        <v/>
      </c>
      <c r="CU197" t="str">
        <f>""</f>
        <v/>
      </c>
      <c r="CV197" t="str">
        <f>""</f>
        <v/>
      </c>
      <c r="CW197" t="str">
        <f>""</f>
        <v/>
      </c>
      <c r="CX197" t="str">
        <f>""</f>
        <v/>
      </c>
      <c r="CY197" t="str">
        <f>""</f>
        <v/>
      </c>
      <c r="CZ197" t="str">
        <f>""</f>
        <v/>
      </c>
      <c r="DA197" t="str">
        <f>""</f>
        <v/>
      </c>
      <c r="DB197" t="str">
        <f>""</f>
        <v/>
      </c>
      <c r="DC197" t="str">
        <f>""</f>
        <v/>
      </c>
      <c r="DD197" t="str">
        <f>""</f>
        <v/>
      </c>
      <c r="DE197" t="str">
        <f>""</f>
        <v/>
      </c>
      <c r="DF197" t="str">
        <f>""</f>
        <v/>
      </c>
      <c r="DG197" t="str">
        <f>""</f>
        <v/>
      </c>
      <c r="DH197" t="str">
        <f>""</f>
        <v/>
      </c>
      <c r="DI197" t="str">
        <f>""</f>
        <v/>
      </c>
      <c r="DJ197" t="str">
        <f>""</f>
        <v/>
      </c>
      <c r="DK197" t="str">
        <f>""</f>
        <v/>
      </c>
      <c r="DL197" t="str">
        <f>""</f>
        <v/>
      </c>
      <c r="DM197" t="str">
        <f>""</f>
        <v/>
      </c>
      <c r="DN197" t="str">
        <f>""</f>
        <v/>
      </c>
      <c r="DO197" t="str">
        <f>""</f>
        <v/>
      </c>
      <c r="DP197" t="str">
        <f>""</f>
        <v/>
      </c>
      <c r="DQ197" t="str">
        <f>""</f>
        <v/>
      </c>
      <c r="DR197" t="str">
        <f>""</f>
        <v/>
      </c>
      <c r="DS197" t="str">
        <f>""</f>
        <v/>
      </c>
      <c r="DT197" t="str">
        <f>""</f>
        <v/>
      </c>
      <c r="DU197" t="str">
        <f>""</f>
        <v/>
      </c>
    </row>
    <row r="198" spans="1:125" x14ac:dyDescent="0.25">
      <c r="A198" t="str">
        <f>$A$47</f>
        <v xml:space="preserve">            Estonia</v>
      </c>
      <c r="B198" t="str">
        <f>$B$47</f>
        <v>WCAREE Index</v>
      </c>
      <c r="C198" t="str">
        <f>$C$47</f>
        <v>PX385</v>
      </c>
      <c r="D198" t="str">
        <f>$D$47</f>
        <v>INTERVAL_SUM</v>
      </c>
      <c r="E198" t="str">
        <f>$E$47</f>
        <v>Dynamic</v>
      </c>
      <c r="F198" t="str">
        <f ca="1">_xll.BDP($B$47,$C$47,CONCATENATE("PX391=", $F$158), CONCATENATE("PX392=",$F$159), CONCATENATE("DS004=",$B$151), "Fill=B")</f>
        <v>#N/A Connection</v>
      </c>
      <c r="G198" t="str">
        <f ca="1">_xll.BDP($B$47,$C$47,CONCATENATE("PX391=", $G$158), CONCATENATE("PX392=",$G$159), CONCATENATE("DS004=",$B$151), "Fill=B")</f>
        <v>#N/A Connection</v>
      </c>
      <c r="H198" t="str">
        <f ca="1">_xll.BDP($B$47,$C$47,CONCATENATE("PX391=", $H$158), CONCATENATE("PX392=",$H$159), CONCATENATE("DS004=",$B$151), "Fill=B")</f>
        <v>#N/A Connection</v>
      </c>
      <c r="I198" t="str">
        <f ca="1">_xll.BDP($B$47,$C$47,CONCATENATE("PX391=", $I$158), CONCATENATE("PX392=",$I$159), CONCATENATE("DS004=",$B$151), "Fill=B")</f>
        <v>#N/A Connection</v>
      </c>
      <c r="J198" t="str">
        <f ca="1">_xll.BDP($B$47,$C$47,CONCATENATE("PX391=", $J$158), CONCATENATE("PX392=",$J$159), CONCATENATE("DS004=",$B$151), "Fill=B")</f>
        <v>#N/A Connection</v>
      </c>
      <c r="K198" t="str">
        <f ca="1">_xll.BDP($B$47,$C$47,CONCATENATE("PX391=", $K$158), CONCATENATE("PX392=",$K$159), CONCATENATE("DS004=",$B$151), "Fill=B")</f>
        <v>#N/A Connection</v>
      </c>
      <c r="L198" t="str">
        <f ca="1">_xll.BDP($B$47,$C$47,CONCATENATE("PX391=", $L$158), CONCATENATE("PX392=",$L$159), CONCATENATE("DS004=",$B$151), "Fill=B")</f>
        <v>#N/A Connection</v>
      </c>
      <c r="M198" t="str">
        <f ca="1">_xll.BDP($B$47,$C$47,CONCATENATE("PX391=", $M$158), CONCATENATE("PX392=",$M$159), CONCATENATE("DS004=",$B$151), "Fill=B")</f>
        <v>#N/A Connection</v>
      </c>
      <c r="N198" t="str">
        <f ca="1">_xll.BDP($B$47,$C$47,CONCATENATE("PX391=", $N$158), CONCATENATE("PX392=",$N$159), CONCATENATE("DS004=",$B$151), "Fill=B")</f>
        <v>#N/A Connection</v>
      </c>
      <c r="O198" t="str">
        <f ca="1">_xll.BDP($B$47,$C$47,CONCATENATE("PX391=", $O$158), CONCATENATE("PX392=",$O$159), CONCATENATE("DS004=",$B$151), "Fill=B")</f>
        <v>#N/A Connection</v>
      </c>
      <c r="P198" t="str">
        <f ca="1">_xll.BDP($B$47,$C$47,CONCATENATE("PX391=", $P$158), CONCATENATE("PX392=",$P$159), CONCATENATE("DS004=",$B$151), "Fill=B")</f>
        <v>#N/A Connection</v>
      </c>
      <c r="Q198" t="str">
        <f ca="1">_xll.BDP($B$47,$C$47,CONCATENATE("PX391=", $Q$158), CONCATENATE("PX392=",$Q$159), CONCATENATE("DS004=",$B$151), "Fill=B")</f>
        <v>#N/A Connection</v>
      </c>
      <c r="R198" t="str">
        <f ca="1">_xll.BDP($B$47,$C$47,CONCATENATE("PX391=", $R$158), CONCATENATE("PX392=",$R$159), CONCATENATE("DS004=",$B$151), "Fill=B")</f>
        <v>#N/A Connection</v>
      </c>
      <c r="S198" t="str">
        <f ca="1">_xll.BDP($B$47,$C$47,CONCATENATE("PX391=", $S$158), CONCATENATE("PX392=",$S$159), CONCATENATE("DS004=",$B$151), "Fill=B")</f>
        <v>#N/A Connection</v>
      </c>
      <c r="T198" t="str">
        <f ca="1">_xll.BDP($B$47,$C$47,CONCATENATE("PX391=", $T$158), CONCATENATE("PX392=",$T$159), CONCATENATE("DS004=",$B$151), "Fill=B")</f>
        <v>#N/A Connection</v>
      </c>
      <c r="U198" t="str">
        <f ca="1">_xll.BDP($B$47,$C$47,CONCATENATE("PX391=", $U$158), CONCATENATE("PX392=",$U$159), CONCATENATE("DS004=",$B$151), "Fill=B")</f>
        <v>#N/A Connection</v>
      </c>
      <c r="V198" t="str">
        <f ca="1">_xll.BDP($B$47,$C$47,CONCATENATE("PX391=", $V$158), CONCATENATE("PX392=",$V$159), CONCATENATE("DS004=",$B$151), "Fill=B")</f>
        <v>#N/A Connection</v>
      </c>
      <c r="W198" t="str">
        <f ca="1">_xll.BDP($B$47,$C$47,CONCATENATE("PX391=", $W$158), CONCATENATE("PX392=",$W$159), CONCATENATE("DS004=",$B$151), "Fill=B")</f>
        <v>#N/A Connection</v>
      </c>
      <c r="X198" t="str">
        <f ca="1">_xll.BDP($B$47,$C$47,CONCATENATE("PX391=", $X$158), CONCATENATE("PX392=",$X$159), CONCATENATE("DS004=",$B$151), "Fill=B")</f>
        <v>#N/A Connection</v>
      </c>
      <c r="Y198" t="str">
        <f ca="1">_xll.BDP($B$47,$C$47,CONCATENATE("PX391=", $Y$158), CONCATENATE("PX392=",$Y$159), CONCATENATE("DS004=",$B$151), "Fill=B")</f>
        <v>#N/A Connection</v>
      </c>
      <c r="Z198" t="str">
        <f ca="1">_xll.BDP($B$47,$C$47,CONCATENATE("PX391=", $Z$158), CONCATENATE("PX392=",$Z$159), CONCATENATE("DS004=",$B$151), "Fill=B")</f>
        <v>#N/A Connection</v>
      </c>
      <c r="AA198" t="str">
        <f ca="1">_xll.BDP($B$47,$C$47,CONCATENATE("PX391=", $AA$158), CONCATENATE("PX392=",$AA$159), CONCATENATE("DS004=",$B$151), "Fill=B")</f>
        <v>#N/A Connection</v>
      </c>
      <c r="AB198" t="str">
        <f ca="1">_xll.BDP($B$47,$C$47,CONCATENATE("PX391=", $AB$158), CONCATENATE("PX392=",$AB$159), CONCATENATE("DS004=",$B$151), "Fill=B")</f>
        <v>#N/A Connection</v>
      </c>
      <c r="AC198" t="str">
        <f ca="1">_xll.BDP($B$47,$C$47,CONCATENATE("PX391=", $AC$158), CONCATENATE("PX392=",$AC$159), CONCATENATE("DS004=",$B$151), "Fill=B")</f>
        <v>#N/A Connection</v>
      </c>
      <c r="AD198" t="str">
        <f ca="1">_xll.BDP($B$47,$C$47,CONCATENATE("PX391=", $AD$158), CONCATENATE("PX392=",$AD$159), CONCATENATE("DS004=",$B$151), "Fill=B")</f>
        <v>#N/A Connection</v>
      </c>
      <c r="AE198" t="str">
        <f ca="1">_xll.BDP($B$47,$C$47,CONCATENATE("PX391=", $AE$158), CONCATENATE("PX392=",$AE$159), CONCATENATE("DS004=",$B$151), "Fill=B")</f>
        <v>#N/A Connection</v>
      </c>
      <c r="AF198" t="str">
        <f ca="1">_xll.BDP($B$47,$C$47,CONCATENATE("PX391=", $AF$158), CONCATENATE("PX392=",$AF$159), CONCATENATE("DS004=",$B$151), "Fill=B")</f>
        <v>#N/A Connection</v>
      </c>
      <c r="AG198" t="str">
        <f ca="1">_xll.BDP($B$47,$C$47,CONCATENATE("PX391=", $AG$158), CONCATENATE("PX392=",$AG$159), CONCATENATE("DS004=",$B$151), "Fill=B")</f>
        <v>#N/A Connection</v>
      </c>
      <c r="AH198" t="str">
        <f ca="1">_xll.BDP($B$47,$C$47,CONCATENATE("PX391=", $AH$158), CONCATENATE("PX392=",$AH$159), CONCATENATE("DS004=",$B$151), "Fill=B")</f>
        <v>#N/A Connection</v>
      </c>
      <c r="AI198" t="str">
        <f ca="1">_xll.BDP($B$47,$C$47,CONCATENATE("PX391=", $AI$158), CONCATENATE("PX392=",$AI$159), CONCATENATE("DS004=",$B$151), "Fill=B")</f>
        <v>#N/A Connection</v>
      </c>
      <c r="AJ198" t="str">
        <f ca="1">_xll.BDP($B$47,$C$47,CONCATENATE("PX391=", $AJ$158), CONCATENATE("PX392=",$AJ$159), CONCATENATE("DS004=",$B$151), "Fill=B")</f>
        <v>#N/A Connection</v>
      </c>
      <c r="AK198" t="str">
        <f ca="1">_xll.BDP($B$47,$C$47,CONCATENATE("PX391=", $AK$158), CONCATENATE("PX392=",$AK$159), CONCATENATE("DS004=",$B$151), "Fill=B")</f>
        <v>#N/A Connection</v>
      </c>
      <c r="AL198" t="str">
        <f ca="1">_xll.BDP($B$47,$C$47,CONCATENATE("PX391=", $AL$158), CONCATENATE("PX392=",$AL$159), CONCATENATE("DS004=",$B$151), "Fill=B")</f>
        <v>#N/A Connection</v>
      </c>
      <c r="AM198" t="str">
        <f ca="1">_xll.BDP($B$47,$C$47,CONCATENATE("PX391=", $AM$158), CONCATENATE("PX392=",$AM$159), CONCATENATE("DS004=",$B$151), "Fill=B")</f>
        <v>#N/A Connection</v>
      </c>
      <c r="AN198" t="str">
        <f ca="1">_xll.BDP($B$47,$C$47,CONCATENATE("PX391=", $AN$158), CONCATENATE("PX392=",$AN$159), CONCATENATE("DS004=",$B$151), "Fill=B")</f>
        <v>#N/A Connection</v>
      </c>
      <c r="AO198" t="str">
        <f ca="1">_xll.BDP($B$47,$C$47,CONCATENATE("PX391=", $AO$158), CONCATENATE("PX392=",$AO$159), CONCATENATE("DS004=",$B$151), "Fill=B")</f>
        <v>#N/A Connection</v>
      </c>
      <c r="AP198" t="str">
        <f ca="1">_xll.BDP($B$47,$C$47,CONCATENATE("PX391=", $AP$158), CONCATENATE("PX392=",$AP$159), CONCATENATE("DS004=",$B$151), "Fill=B")</f>
        <v>#N/A Connection</v>
      </c>
      <c r="AQ198" t="str">
        <f ca="1">_xll.BDP($B$47,$C$47,CONCATENATE("PX391=", $AQ$158), CONCATENATE("PX392=",$AQ$159), CONCATENATE("DS004=",$B$151), "Fill=B")</f>
        <v>#N/A Connection</v>
      </c>
      <c r="AR198" t="str">
        <f ca="1">_xll.BDP($B$47,$C$47,CONCATENATE("PX391=", $AR$158), CONCATENATE("PX392=",$AR$159), CONCATENATE("DS004=",$B$151), "Fill=B")</f>
        <v>#N/A Connection</v>
      </c>
      <c r="AS198" t="str">
        <f ca="1">_xll.BDP($B$47,$C$47,CONCATENATE("PX391=", $AS$158), CONCATENATE("PX392=",$AS$159), CONCATENATE("DS004=",$B$151), "Fill=B")</f>
        <v>#N/A Connection</v>
      </c>
      <c r="AT198" t="str">
        <f ca="1">_xll.BDP($B$47,$C$47,CONCATENATE("PX391=", $AT$158), CONCATENATE("PX392=",$AT$159), CONCATENATE("DS004=",$B$151), "Fill=B")</f>
        <v>#N/A Connection</v>
      </c>
      <c r="AU198" t="str">
        <f ca="1">_xll.BDP($B$47,$C$47,CONCATENATE("PX391=", $AU$158), CONCATENATE("PX392=",$AU$159), CONCATENATE("DS004=",$B$151), "Fill=B")</f>
        <v>#N/A Connection</v>
      </c>
      <c r="AV198" t="str">
        <f ca="1">_xll.BDP($B$47,$C$47,CONCATENATE("PX391=", $AV$158), CONCATENATE("PX392=",$AV$159), CONCATENATE("DS004=",$B$151), "Fill=B")</f>
        <v>#N/A Connection</v>
      </c>
      <c r="AW198" t="str">
        <f ca="1">_xll.BDP($B$47,$C$47,CONCATENATE("PX391=", $AW$158), CONCATENATE("PX392=",$AW$159), CONCATENATE("DS004=",$B$151), "Fill=B")</f>
        <v>#N/A Connection</v>
      </c>
      <c r="AX198" t="str">
        <f ca="1">_xll.BDP($B$47,$C$47,CONCATENATE("PX391=", $AX$158), CONCATENATE("PX392=",$AX$159), CONCATENATE("DS004=",$B$151), "Fill=B")</f>
        <v>#N/A Connection</v>
      </c>
      <c r="AY198" t="str">
        <f ca="1">_xll.BDP($B$47,$C$47,CONCATENATE("PX391=", $AY$158), CONCATENATE("PX392=",$AY$159), CONCATENATE("DS004=",$B$151), "Fill=B")</f>
        <v>#N/A Connection</v>
      </c>
      <c r="AZ198" t="str">
        <f ca="1">_xll.BDP($B$47,$C$47,CONCATENATE("PX391=", $AZ$158), CONCATENATE("PX392=",$AZ$159), CONCATENATE("DS004=",$B$151), "Fill=B")</f>
        <v>#N/A Connection</v>
      </c>
      <c r="BA198" t="str">
        <f ca="1">_xll.BDP($B$47,$C$47,CONCATENATE("PX391=", $BA$158), CONCATENATE("PX392=",$BA$159), CONCATENATE("DS004=",$B$151), "Fill=B")</f>
        <v>#N/A Connection</v>
      </c>
      <c r="BB198" t="str">
        <f ca="1">_xll.BDP($B$47,$C$47,CONCATENATE("PX391=", $BB$158), CONCATENATE("PX392=",$BB$159), CONCATENATE("DS004=",$B$151), "Fill=B")</f>
        <v>#N/A Connection</v>
      </c>
      <c r="BC198" t="str">
        <f ca="1">_xll.BDP($B$47,$C$47,CONCATENATE("PX391=", $BC$158), CONCATENATE("PX392=",$BC$159), CONCATENATE("DS004=",$B$151), "Fill=B")</f>
        <v>#N/A Connection</v>
      </c>
      <c r="BD198" t="str">
        <f ca="1">_xll.BDP($B$47,$C$47,CONCATENATE("PX391=", $BD$158), CONCATENATE("PX392=",$BD$159), CONCATENATE("DS004=",$B$151), "Fill=B")</f>
        <v>#N/A Connection</v>
      </c>
      <c r="BE198" t="str">
        <f ca="1">_xll.BDP($B$47,$C$47,CONCATENATE("PX391=", $BE$158), CONCATENATE("PX392=",$BE$159), CONCATENATE("DS004=",$B$151), "Fill=B")</f>
        <v>#N/A Connection</v>
      </c>
      <c r="BF198" t="str">
        <f ca="1">_xll.BDP($B$47,$C$47,CONCATENATE("PX391=", $BF$158), CONCATENATE("PX392=",$BF$159), CONCATENATE("DS004=",$B$151), "Fill=B")</f>
        <v>#N/A Connection</v>
      </c>
      <c r="BG198" t="str">
        <f ca="1">_xll.BDP($B$47,$C$47,CONCATENATE("PX391=", $BG$158), CONCATENATE("PX392=",$BG$159), CONCATENATE("DS004=",$B$151), "Fill=B")</f>
        <v>#N/A Connection</v>
      </c>
      <c r="BH198" t="str">
        <f ca="1">_xll.BDP($B$47,$C$47,CONCATENATE("PX391=", $BH$158), CONCATENATE("PX392=",$BH$159), CONCATENATE("DS004=",$B$151), "Fill=B")</f>
        <v>#N/A Connection</v>
      </c>
      <c r="BI198" t="str">
        <f ca="1">_xll.BDP($B$47,$C$47,CONCATENATE("PX391=", $BI$158), CONCATENATE("PX392=",$BI$159), CONCATENATE("DS004=",$B$151), "Fill=B")</f>
        <v>#N/A Connection</v>
      </c>
      <c r="BJ198" t="str">
        <f ca="1">_xll.BDP($B$47,$C$47,CONCATENATE("PX391=", $BJ$158), CONCATENATE("PX392=",$BJ$159), CONCATENATE("DS004=",$B$151), "Fill=B")</f>
        <v>#N/A Connection</v>
      </c>
      <c r="BK198" t="str">
        <f ca="1">_xll.BDP($B$47,$C$47,CONCATENATE("PX391=", $BK$158), CONCATENATE("PX392=",$BK$159), CONCATENATE("DS004=",$B$151), "Fill=B")</f>
        <v>#N/A Connection</v>
      </c>
      <c r="BL198" t="str">
        <f ca="1">_xll.BDP($B$47,$C$47,CONCATENATE("PX391=", $BL$158), CONCATENATE("PX392=",$BL$159), CONCATENATE("DS004=",$B$151), "Fill=B")</f>
        <v>#N/A Connection</v>
      </c>
      <c r="BM198" t="str">
        <f ca="1">_xll.BDP($B$47,$C$47,CONCATENATE("PX391=", $BM$158), CONCATENATE("PX392=",$BM$159), CONCATENATE("DS004=",$B$151), "Fill=B")</f>
        <v>#N/A Connection</v>
      </c>
      <c r="BN198" t="str">
        <f>""</f>
        <v/>
      </c>
      <c r="BO198" t="str">
        <f>""</f>
        <v/>
      </c>
      <c r="BP198" t="str">
        <f>""</f>
        <v/>
      </c>
      <c r="BQ198" t="str">
        <f>""</f>
        <v/>
      </c>
      <c r="BR198" t="str">
        <f>""</f>
        <v/>
      </c>
      <c r="BS198" t="str">
        <f>""</f>
        <v/>
      </c>
      <c r="BT198" t="str">
        <f>""</f>
        <v/>
      </c>
      <c r="BU198" t="str">
        <f>""</f>
        <v/>
      </c>
      <c r="BV198" t="str">
        <f>""</f>
        <v/>
      </c>
      <c r="BW198" t="str">
        <f>""</f>
        <v/>
      </c>
      <c r="BX198" t="str">
        <f>""</f>
        <v/>
      </c>
      <c r="BY198" t="str">
        <f>""</f>
        <v/>
      </c>
      <c r="BZ198" t="str">
        <f>""</f>
        <v/>
      </c>
      <c r="CA198" t="str">
        <f>""</f>
        <v/>
      </c>
      <c r="CB198" t="str">
        <f>""</f>
        <v/>
      </c>
      <c r="CC198" t="str">
        <f>""</f>
        <v/>
      </c>
      <c r="CD198" t="str">
        <f>""</f>
        <v/>
      </c>
      <c r="CE198" t="str">
        <f>""</f>
        <v/>
      </c>
      <c r="CF198" t="str">
        <f>""</f>
        <v/>
      </c>
      <c r="CG198" t="str">
        <f>""</f>
        <v/>
      </c>
      <c r="CH198" t="str">
        <f>""</f>
        <v/>
      </c>
      <c r="CI198" t="str">
        <f>""</f>
        <v/>
      </c>
      <c r="CJ198" t="str">
        <f>""</f>
        <v/>
      </c>
      <c r="CK198" t="str">
        <f>""</f>
        <v/>
      </c>
      <c r="CL198" t="str">
        <f>""</f>
        <v/>
      </c>
      <c r="CM198" t="str">
        <f>""</f>
        <v/>
      </c>
      <c r="CN198" t="str">
        <f>""</f>
        <v/>
      </c>
      <c r="CO198" t="str">
        <f>""</f>
        <v/>
      </c>
      <c r="CP198" t="str">
        <f>""</f>
        <v/>
      </c>
      <c r="CQ198" t="str">
        <f>""</f>
        <v/>
      </c>
      <c r="CR198" t="str">
        <f>""</f>
        <v/>
      </c>
      <c r="CS198" t="str">
        <f>""</f>
        <v/>
      </c>
      <c r="CT198" t="str">
        <f>""</f>
        <v/>
      </c>
      <c r="CU198" t="str">
        <f>""</f>
        <v/>
      </c>
      <c r="CV198" t="str">
        <f>""</f>
        <v/>
      </c>
      <c r="CW198" t="str">
        <f>""</f>
        <v/>
      </c>
      <c r="CX198" t="str">
        <f>""</f>
        <v/>
      </c>
      <c r="CY198" t="str">
        <f>""</f>
        <v/>
      </c>
      <c r="CZ198" t="str">
        <f>""</f>
        <v/>
      </c>
      <c r="DA198" t="str">
        <f>""</f>
        <v/>
      </c>
      <c r="DB198" t="str">
        <f>""</f>
        <v/>
      </c>
      <c r="DC198" t="str">
        <f>""</f>
        <v/>
      </c>
      <c r="DD198" t="str">
        <f>""</f>
        <v/>
      </c>
      <c r="DE198" t="str">
        <f>""</f>
        <v/>
      </c>
      <c r="DF198" t="str">
        <f>""</f>
        <v/>
      </c>
      <c r="DG198" t="str">
        <f>""</f>
        <v/>
      </c>
      <c r="DH198" t="str">
        <f>""</f>
        <v/>
      </c>
      <c r="DI198" t="str">
        <f>""</f>
        <v/>
      </c>
      <c r="DJ198" t="str">
        <f>""</f>
        <v/>
      </c>
      <c r="DK198" t="str">
        <f>""</f>
        <v/>
      </c>
      <c r="DL198" t="str">
        <f>""</f>
        <v/>
      </c>
      <c r="DM198" t="str">
        <f>""</f>
        <v/>
      </c>
      <c r="DN198" t="str">
        <f>""</f>
        <v/>
      </c>
      <c r="DO198" t="str">
        <f>""</f>
        <v/>
      </c>
      <c r="DP198" t="str">
        <f>""</f>
        <v/>
      </c>
      <c r="DQ198" t="str">
        <f>""</f>
        <v/>
      </c>
      <c r="DR198" t="str">
        <f>""</f>
        <v/>
      </c>
      <c r="DS198" t="str">
        <f>""</f>
        <v/>
      </c>
      <c r="DT198" t="str">
        <f>""</f>
        <v/>
      </c>
      <c r="DU198" t="str">
        <f>""</f>
        <v/>
      </c>
    </row>
    <row r="199" spans="1:125" x14ac:dyDescent="0.25">
      <c r="A199" t="str">
        <f>$A$48</f>
        <v xml:space="preserve">            Hungary</v>
      </c>
      <c r="B199" t="str">
        <f>$B$48</f>
        <v>WCARHU Index</v>
      </c>
      <c r="C199" t="str">
        <f>$C$48</f>
        <v>PX385</v>
      </c>
      <c r="D199" t="str">
        <f>$D$48</f>
        <v>INTERVAL_SUM</v>
      </c>
      <c r="E199" t="str">
        <f>$E$48</f>
        <v>Dynamic</v>
      </c>
      <c r="F199" t="str">
        <f ca="1">_xll.BDP($B$48,$C$48,CONCATENATE("PX391=", $F$158), CONCATENATE("PX392=",$F$159), CONCATENATE("DS004=",$B$151), "Fill=B")</f>
        <v>#N/A Connection</v>
      </c>
      <c r="G199" t="str">
        <f ca="1">_xll.BDP($B$48,$C$48,CONCATENATE("PX391=", $G$158), CONCATENATE("PX392=",$G$159), CONCATENATE("DS004=",$B$151), "Fill=B")</f>
        <v>#N/A Connection</v>
      </c>
      <c r="H199" t="str">
        <f ca="1">_xll.BDP($B$48,$C$48,CONCATENATE("PX391=", $H$158), CONCATENATE("PX392=",$H$159), CONCATENATE("DS004=",$B$151), "Fill=B")</f>
        <v>#N/A Connection</v>
      </c>
      <c r="I199" t="str">
        <f ca="1">_xll.BDP($B$48,$C$48,CONCATENATE("PX391=", $I$158), CONCATENATE("PX392=",$I$159), CONCATENATE("DS004=",$B$151), "Fill=B")</f>
        <v>#N/A Connection</v>
      </c>
      <c r="J199" t="str">
        <f ca="1">_xll.BDP($B$48,$C$48,CONCATENATE("PX391=", $J$158), CONCATENATE("PX392=",$J$159), CONCATENATE("DS004=",$B$151), "Fill=B")</f>
        <v>#N/A Connection</v>
      </c>
      <c r="K199" t="str">
        <f ca="1">_xll.BDP($B$48,$C$48,CONCATENATE("PX391=", $K$158), CONCATENATE("PX392=",$K$159), CONCATENATE("DS004=",$B$151), "Fill=B")</f>
        <v>#N/A Connection</v>
      </c>
      <c r="L199" t="str">
        <f ca="1">_xll.BDP($B$48,$C$48,CONCATENATE("PX391=", $L$158), CONCATENATE("PX392=",$L$159), CONCATENATE("DS004=",$B$151), "Fill=B")</f>
        <v>#N/A Connection</v>
      </c>
      <c r="M199" t="str">
        <f ca="1">_xll.BDP($B$48,$C$48,CONCATENATE("PX391=", $M$158), CONCATENATE("PX392=",$M$159), CONCATENATE("DS004=",$B$151), "Fill=B")</f>
        <v>#N/A Connection</v>
      </c>
      <c r="N199" t="str">
        <f ca="1">_xll.BDP($B$48,$C$48,CONCATENATE("PX391=", $N$158), CONCATENATE("PX392=",$N$159), CONCATENATE("DS004=",$B$151), "Fill=B")</f>
        <v>#N/A Connection</v>
      </c>
      <c r="O199" t="str">
        <f ca="1">_xll.BDP($B$48,$C$48,CONCATENATE("PX391=", $O$158), CONCATENATE("PX392=",$O$159), CONCATENATE("DS004=",$B$151), "Fill=B")</f>
        <v>#N/A Connection</v>
      </c>
      <c r="P199" t="str">
        <f ca="1">_xll.BDP($B$48,$C$48,CONCATENATE("PX391=", $P$158), CONCATENATE("PX392=",$P$159), CONCATENATE("DS004=",$B$151), "Fill=B")</f>
        <v>#N/A Connection</v>
      </c>
      <c r="Q199" t="str">
        <f ca="1">_xll.BDP($B$48,$C$48,CONCATENATE("PX391=", $Q$158), CONCATENATE("PX392=",$Q$159), CONCATENATE("DS004=",$B$151), "Fill=B")</f>
        <v>#N/A Connection</v>
      </c>
      <c r="R199" t="str">
        <f ca="1">_xll.BDP($B$48,$C$48,CONCATENATE("PX391=", $R$158), CONCATENATE("PX392=",$R$159), CONCATENATE("DS004=",$B$151), "Fill=B")</f>
        <v>#N/A Connection</v>
      </c>
      <c r="S199" t="str">
        <f ca="1">_xll.BDP($B$48,$C$48,CONCATENATE("PX391=", $S$158), CONCATENATE("PX392=",$S$159), CONCATENATE("DS004=",$B$151), "Fill=B")</f>
        <v>#N/A Connection</v>
      </c>
      <c r="T199" t="str">
        <f ca="1">_xll.BDP($B$48,$C$48,CONCATENATE("PX391=", $T$158), CONCATENATE("PX392=",$T$159), CONCATENATE("DS004=",$B$151), "Fill=B")</f>
        <v>#N/A Connection</v>
      </c>
      <c r="U199" t="str">
        <f ca="1">_xll.BDP($B$48,$C$48,CONCATENATE("PX391=", $U$158), CONCATENATE("PX392=",$U$159), CONCATENATE("DS004=",$B$151), "Fill=B")</f>
        <v>#N/A Connection</v>
      </c>
      <c r="V199" t="str">
        <f ca="1">_xll.BDP($B$48,$C$48,CONCATENATE("PX391=", $V$158), CONCATENATE("PX392=",$V$159), CONCATENATE("DS004=",$B$151), "Fill=B")</f>
        <v>#N/A Connection</v>
      </c>
      <c r="W199" t="str">
        <f ca="1">_xll.BDP($B$48,$C$48,CONCATENATE("PX391=", $W$158), CONCATENATE("PX392=",$W$159), CONCATENATE("DS004=",$B$151), "Fill=B")</f>
        <v>#N/A Connection</v>
      </c>
      <c r="X199" t="str">
        <f ca="1">_xll.BDP($B$48,$C$48,CONCATENATE("PX391=", $X$158), CONCATENATE("PX392=",$X$159), CONCATENATE("DS004=",$B$151), "Fill=B")</f>
        <v>#N/A Connection</v>
      </c>
      <c r="Y199" t="str">
        <f ca="1">_xll.BDP($B$48,$C$48,CONCATENATE("PX391=", $Y$158), CONCATENATE("PX392=",$Y$159), CONCATENATE("DS004=",$B$151), "Fill=B")</f>
        <v>#N/A Connection</v>
      </c>
      <c r="Z199" t="str">
        <f ca="1">_xll.BDP($B$48,$C$48,CONCATENATE("PX391=", $Z$158), CONCATENATE("PX392=",$Z$159), CONCATENATE("DS004=",$B$151), "Fill=B")</f>
        <v>#N/A Connection</v>
      </c>
      <c r="AA199" t="str">
        <f ca="1">_xll.BDP($B$48,$C$48,CONCATENATE("PX391=", $AA$158), CONCATENATE("PX392=",$AA$159), CONCATENATE("DS004=",$B$151), "Fill=B")</f>
        <v>#N/A Connection</v>
      </c>
      <c r="AB199" t="str">
        <f ca="1">_xll.BDP($B$48,$C$48,CONCATENATE("PX391=", $AB$158), CONCATENATE("PX392=",$AB$159), CONCATENATE("DS004=",$B$151), "Fill=B")</f>
        <v>#N/A Connection</v>
      </c>
      <c r="AC199" t="str">
        <f ca="1">_xll.BDP($B$48,$C$48,CONCATENATE("PX391=", $AC$158), CONCATENATE("PX392=",$AC$159), CONCATENATE("DS004=",$B$151), "Fill=B")</f>
        <v>#N/A Connection</v>
      </c>
      <c r="AD199" t="str">
        <f ca="1">_xll.BDP($B$48,$C$48,CONCATENATE("PX391=", $AD$158), CONCATENATE("PX392=",$AD$159), CONCATENATE("DS004=",$B$151), "Fill=B")</f>
        <v>#N/A Connection</v>
      </c>
      <c r="AE199" t="str">
        <f ca="1">_xll.BDP($B$48,$C$48,CONCATENATE("PX391=", $AE$158), CONCATENATE("PX392=",$AE$159), CONCATENATE("DS004=",$B$151), "Fill=B")</f>
        <v>#N/A Connection</v>
      </c>
      <c r="AF199" t="str">
        <f ca="1">_xll.BDP($B$48,$C$48,CONCATENATE("PX391=", $AF$158), CONCATENATE("PX392=",$AF$159), CONCATENATE("DS004=",$B$151), "Fill=B")</f>
        <v>#N/A Connection</v>
      </c>
      <c r="AG199" t="str">
        <f ca="1">_xll.BDP($B$48,$C$48,CONCATENATE("PX391=", $AG$158), CONCATENATE("PX392=",$AG$159), CONCATENATE("DS004=",$B$151), "Fill=B")</f>
        <v>#N/A Connection</v>
      </c>
      <c r="AH199" t="str">
        <f ca="1">_xll.BDP($B$48,$C$48,CONCATENATE("PX391=", $AH$158), CONCATENATE("PX392=",$AH$159), CONCATENATE("DS004=",$B$151), "Fill=B")</f>
        <v>#N/A Connection</v>
      </c>
      <c r="AI199" t="str">
        <f ca="1">_xll.BDP($B$48,$C$48,CONCATENATE("PX391=", $AI$158), CONCATENATE("PX392=",$AI$159), CONCATENATE("DS004=",$B$151), "Fill=B")</f>
        <v>#N/A Connection</v>
      </c>
      <c r="AJ199" t="str">
        <f ca="1">_xll.BDP($B$48,$C$48,CONCATENATE("PX391=", $AJ$158), CONCATENATE("PX392=",$AJ$159), CONCATENATE("DS004=",$B$151), "Fill=B")</f>
        <v>#N/A Connection</v>
      </c>
      <c r="AK199" t="str">
        <f ca="1">_xll.BDP($B$48,$C$48,CONCATENATE("PX391=", $AK$158), CONCATENATE("PX392=",$AK$159), CONCATENATE("DS004=",$B$151), "Fill=B")</f>
        <v>#N/A Connection</v>
      </c>
      <c r="AL199" t="str">
        <f ca="1">_xll.BDP($B$48,$C$48,CONCATENATE("PX391=", $AL$158), CONCATENATE("PX392=",$AL$159), CONCATENATE("DS004=",$B$151), "Fill=B")</f>
        <v>#N/A Connection</v>
      </c>
      <c r="AM199" t="str">
        <f ca="1">_xll.BDP($B$48,$C$48,CONCATENATE("PX391=", $AM$158), CONCATENATE("PX392=",$AM$159), CONCATENATE("DS004=",$B$151), "Fill=B")</f>
        <v>#N/A Connection</v>
      </c>
      <c r="AN199" t="str">
        <f ca="1">_xll.BDP($B$48,$C$48,CONCATENATE("PX391=", $AN$158), CONCATENATE("PX392=",$AN$159), CONCATENATE("DS004=",$B$151), "Fill=B")</f>
        <v>#N/A Connection</v>
      </c>
      <c r="AO199" t="str">
        <f ca="1">_xll.BDP($B$48,$C$48,CONCATENATE("PX391=", $AO$158), CONCATENATE("PX392=",$AO$159), CONCATENATE("DS004=",$B$151), "Fill=B")</f>
        <v>#N/A Connection</v>
      </c>
      <c r="AP199" t="str">
        <f ca="1">_xll.BDP($B$48,$C$48,CONCATENATE("PX391=", $AP$158), CONCATENATE("PX392=",$AP$159), CONCATENATE("DS004=",$B$151), "Fill=B")</f>
        <v>#N/A Connection</v>
      </c>
      <c r="AQ199" t="str">
        <f ca="1">_xll.BDP($B$48,$C$48,CONCATENATE("PX391=", $AQ$158), CONCATENATE("PX392=",$AQ$159), CONCATENATE("DS004=",$B$151), "Fill=B")</f>
        <v>#N/A Connection</v>
      </c>
      <c r="AR199" t="str">
        <f ca="1">_xll.BDP($B$48,$C$48,CONCATENATE("PX391=", $AR$158), CONCATENATE("PX392=",$AR$159), CONCATENATE("DS004=",$B$151), "Fill=B")</f>
        <v>#N/A Connection</v>
      </c>
      <c r="AS199" t="str">
        <f ca="1">_xll.BDP($B$48,$C$48,CONCATENATE("PX391=", $AS$158), CONCATENATE("PX392=",$AS$159), CONCATENATE("DS004=",$B$151), "Fill=B")</f>
        <v>#N/A Connection</v>
      </c>
      <c r="AT199" t="str">
        <f ca="1">_xll.BDP($B$48,$C$48,CONCATENATE("PX391=", $AT$158), CONCATENATE("PX392=",$AT$159), CONCATENATE("DS004=",$B$151), "Fill=B")</f>
        <v>#N/A Connection</v>
      </c>
      <c r="AU199" t="str">
        <f ca="1">_xll.BDP($B$48,$C$48,CONCATENATE("PX391=", $AU$158), CONCATENATE("PX392=",$AU$159), CONCATENATE("DS004=",$B$151), "Fill=B")</f>
        <v>#N/A Connection</v>
      </c>
      <c r="AV199" t="str">
        <f ca="1">_xll.BDP($B$48,$C$48,CONCATENATE("PX391=", $AV$158), CONCATENATE("PX392=",$AV$159), CONCATENATE("DS004=",$B$151), "Fill=B")</f>
        <v>#N/A Connection</v>
      </c>
      <c r="AW199" t="str">
        <f ca="1">_xll.BDP($B$48,$C$48,CONCATENATE("PX391=", $AW$158), CONCATENATE("PX392=",$AW$159), CONCATENATE("DS004=",$B$151), "Fill=B")</f>
        <v>#N/A Connection</v>
      </c>
      <c r="AX199" t="str">
        <f ca="1">_xll.BDP($B$48,$C$48,CONCATENATE("PX391=", $AX$158), CONCATENATE("PX392=",$AX$159), CONCATENATE("DS004=",$B$151), "Fill=B")</f>
        <v>#N/A Connection</v>
      </c>
      <c r="AY199" t="str">
        <f ca="1">_xll.BDP($B$48,$C$48,CONCATENATE("PX391=", $AY$158), CONCATENATE("PX392=",$AY$159), CONCATENATE("DS004=",$B$151), "Fill=B")</f>
        <v>#N/A Connection</v>
      </c>
      <c r="AZ199" t="str">
        <f ca="1">_xll.BDP($B$48,$C$48,CONCATENATE("PX391=", $AZ$158), CONCATENATE("PX392=",$AZ$159), CONCATENATE("DS004=",$B$151), "Fill=B")</f>
        <v>#N/A Connection</v>
      </c>
      <c r="BA199" t="str">
        <f ca="1">_xll.BDP($B$48,$C$48,CONCATENATE("PX391=", $BA$158), CONCATENATE("PX392=",$BA$159), CONCATENATE("DS004=",$B$151), "Fill=B")</f>
        <v>#N/A Connection</v>
      </c>
      <c r="BB199" t="str">
        <f ca="1">_xll.BDP($B$48,$C$48,CONCATENATE("PX391=", $BB$158), CONCATENATE("PX392=",$BB$159), CONCATENATE("DS004=",$B$151), "Fill=B")</f>
        <v>#N/A Connection</v>
      </c>
      <c r="BC199" t="str">
        <f ca="1">_xll.BDP($B$48,$C$48,CONCATENATE("PX391=", $BC$158), CONCATENATE("PX392=",$BC$159), CONCATENATE("DS004=",$B$151), "Fill=B")</f>
        <v>#N/A Connection</v>
      </c>
      <c r="BD199" t="str">
        <f ca="1">_xll.BDP($B$48,$C$48,CONCATENATE("PX391=", $BD$158), CONCATENATE("PX392=",$BD$159), CONCATENATE("DS004=",$B$151), "Fill=B")</f>
        <v>#N/A Connection</v>
      </c>
      <c r="BE199" t="str">
        <f ca="1">_xll.BDP($B$48,$C$48,CONCATENATE("PX391=", $BE$158), CONCATENATE("PX392=",$BE$159), CONCATENATE("DS004=",$B$151), "Fill=B")</f>
        <v>#N/A Connection</v>
      </c>
      <c r="BF199" t="str">
        <f ca="1">_xll.BDP($B$48,$C$48,CONCATENATE("PX391=", $BF$158), CONCATENATE("PX392=",$BF$159), CONCATENATE("DS004=",$B$151), "Fill=B")</f>
        <v>#N/A Connection</v>
      </c>
      <c r="BG199" t="str">
        <f ca="1">_xll.BDP($B$48,$C$48,CONCATENATE("PX391=", $BG$158), CONCATENATE("PX392=",$BG$159), CONCATENATE("DS004=",$B$151), "Fill=B")</f>
        <v>#N/A Connection</v>
      </c>
      <c r="BH199" t="str">
        <f ca="1">_xll.BDP($B$48,$C$48,CONCATENATE("PX391=", $BH$158), CONCATENATE("PX392=",$BH$159), CONCATENATE("DS004=",$B$151), "Fill=B")</f>
        <v>#N/A Connection</v>
      </c>
      <c r="BI199" t="str">
        <f ca="1">_xll.BDP($B$48,$C$48,CONCATENATE("PX391=", $BI$158), CONCATENATE("PX392=",$BI$159), CONCATENATE("DS004=",$B$151), "Fill=B")</f>
        <v>#N/A Connection</v>
      </c>
      <c r="BJ199" t="str">
        <f ca="1">_xll.BDP($B$48,$C$48,CONCATENATE("PX391=", $BJ$158), CONCATENATE("PX392=",$BJ$159), CONCATENATE("DS004=",$B$151), "Fill=B")</f>
        <v>#N/A Connection</v>
      </c>
      <c r="BK199" t="str">
        <f ca="1">_xll.BDP($B$48,$C$48,CONCATENATE("PX391=", $BK$158), CONCATENATE("PX392=",$BK$159), CONCATENATE("DS004=",$B$151), "Fill=B")</f>
        <v>#N/A Connection</v>
      </c>
      <c r="BL199" t="str">
        <f ca="1">_xll.BDP($B$48,$C$48,CONCATENATE("PX391=", $BL$158), CONCATENATE("PX392=",$BL$159), CONCATENATE("DS004=",$B$151), "Fill=B")</f>
        <v>#N/A Connection</v>
      </c>
      <c r="BM199" t="str">
        <f ca="1">_xll.BDP($B$48,$C$48,CONCATENATE("PX391=", $BM$158), CONCATENATE("PX392=",$BM$159), CONCATENATE("DS004=",$B$151), "Fill=B")</f>
        <v>#N/A Connection</v>
      </c>
      <c r="BN199" t="str">
        <f>""</f>
        <v/>
      </c>
      <c r="BO199" t="str">
        <f>""</f>
        <v/>
      </c>
      <c r="BP199" t="str">
        <f>""</f>
        <v/>
      </c>
      <c r="BQ199" t="str">
        <f>""</f>
        <v/>
      </c>
      <c r="BR199" t="str">
        <f>""</f>
        <v/>
      </c>
      <c r="BS199" t="str">
        <f>""</f>
        <v/>
      </c>
      <c r="BT199" t="str">
        <f>""</f>
        <v/>
      </c>
      <c r="BU199" t="str">
        <f>""</f>
        <v/>
      </c>
      <c r="BV199" t="str">
        <f>""</f>
        <v/>
      </c>
      <c r="BW199" t="str">
        <f>""</f>
        <v/>
      </c>
      <c r="BX199" t="str">
        <f>""</f>
        <v/>
      </c>
      <c r="BY199" t="str">
        <f>""</f>
        <v/>
      </c>
      <c r="BZ199" t="str">
        <f>""</f>
        <v/>
      </c>
      <c r="CA199" t="str">
        <f>""</f>
        <v/>
      </c>
      <c r="CB199" t="str">
        <f>""</f>
        <v/>
      </c>
      <c r="CC199" t="str">
        <f>""</f>
        <v/>
      </c>
      <c r="CD199" t="str">
        <f>""</f>
        <v/>
      </c>
      <c r="CE199" t="str">
        <f>""</f>
        <v/>
      </c>
      <c r="CF199" t="str">
        <f>""</f>
        <v/>
      </c>
      <c r="CG199" t="str">
        <f>""</f>
        <v/>
      </c>
      <c r="CH199" t="str">
        <f>""</f>
        <v/>
      </c>
      <c r="CI199" t="str">
        <f>""</f>
        <v/>
      </c>
      <c r="CJ199" t="str">
        <f>""</f>
        <v/>
      </c>
      <c r="CK199" t="str">
        <f>""</f>
        <v/>
      </c>
      <c r="CL199" t="str">
        <f>""</f>
        <v/>
      </c>
      <c r="CM199" t="str">
        <f>""</f>
        <v/>
      </c>
      <c r="CN199" t="str">
        <f>""</f>
        <v/>
      </c>
      <c r="CO199" t="str">
        <f>""</f>
        <v/>
      </c>
      <c r="CP199" t="str">
        <f>""</f>
        <v/>
      </c>
      <c r="CQ199" t="str">
        <f>""</f>
        <v/>
      </c>
      <c r="CR199" t="str">
        <f>""</f>
        <v/>
      </c>
      <c r="CS199" t="str">
        <f>""</f>
        <v/>
      </c>
      <c r="CT199" t="str">
        <f>""</f>
        <v/>
      </c>
      <c r="CU199" t="str">
        <f>""</f>
        <v/>
      </c>
      <c r="CV199" t="str">
        <f>""</f>
        <v/>
      </c>
      <c r="CW199" t="str">
        <f>""</f>
        <v/>
      </c>
      <c r="CX199" t="str">
        <f>""</f>
        <v/>
      </c>
      <c r="CY199" t="str">
        <f>""</f>
        <v/>
      </c>
      <c r="CZ199" t="str">
        <f>""</f>
        <v/>
      </c>
      <c r="DA199" t="str">
        <f>""</f>
        <v/>
      </c>
      <c r="DB199" t="str">
        <f>""</f>
        <v/>
      </c>
      <c r="DC199" t="str">
        <f>""</f>
        <v/>
      </c>
      <c r="DD199" t="str">
        <f>""</f>
        <v/>
      </c>
      <c r="DE199" t="str">
        <f>""</f>
        <v/>
      </c>
      <c r="DF199" t="str">
        <f>""</f>
        <v/>
      </c>
      <c r="DG199" t="str">
        <f>""</f>
        <v/>
      </c>
      <c r="DH199" t="str">
        <f>""</f>
        <v/>
      </c>
      <c r="DI199" t="str">
        <f>""</f>
        <v/>
      </c>
      <c r="DJ199" t="str">
        <f>""</f>
        <v/>
      </c>
      <c r="DK199" t="str">
        <f>""</f>
        <v/>
      </c>
      <c r="DL199" t="str">
        <f>""</f>
        <v/>
      </c>
      <c r="DM199" t="str">
        <f>""</f>
        <v/>
      </c>
      <c r="DN199" t="str">
        <f>""</f>
        <v/>
      </c>
      <c r="DO199" t="str">
        <f>""</f>
        <v/>
      </c>
      <c r="DP199" t="str">
        <f>""</f>
        <v/>
      </c>
      <c r="DQ199" t="str">
        <f>""</f>
        <v/>
      </c>
      <c r="DR199" t="str">
        <f>""</f>
        <v/>
      </c>
      <c r="DS199" t="str">
        <f>""</f>
        <v/>
      </c>
      <c r="DT199" t="str">
        <f>""</f>
        <v/>
      </c>
      <c r="DU199" t="str">
        <f>""</f>
        <v/>
      </c>
    </row>
    <row r="200" spans="1:125" x14ac:dyDescent="0.25">
      <c r="A200" t="str">
        <f>$A$49</f>
        <v xml:space="preserve">            Latvia</v>
      </c>
      <c r="B200" t="str">
        <f>$B$49</f>
        <v>WCARLV Index</v>
      </c>
      <c r="C200" t="str">
        <f>$C$49</f>
        <v>PX385</v>
      </c>
      <c r="D200" t="str">
        <f>$D$49</f>
        <v>INTERVAL_SUM</v>
      </c>
      <c r="E200" t="str">
        <f>$E$49</f>
        <v>Dynamic</v>
      </c>
      <c r="F200" t="str">
        <f ca="1">_xll.BDP($B$49,$C$49,CONCATENATE("PX391=", $F$158), CONCATENATE("PX392=",$F$159), CONCATENATE("DS004=",$B$151), "Fill=B")</f>
        <v>#N/A Connection</v>
      </c>
      <c r="G200" t="str">
        <f ca="1">_xll.BDP($B$49,$C$49,CONCATENATE("PX391=", $G$158), CONCATENATE("PX392=",$G$159), CONCATENATE("DS004=",$B$151), "Fill=B")</f>
        <v>#N/A Connection</v>
      </c>
      <c r="H200" t="str">
        <f ca="1">_xll.BDP($B$49,$C$49,CONCATENATE("PX391=", $H$158), CONCATENATE("PX392=",$H$159), CONCATENATE("DS004=",$B$151), "Fill=B")</f>
        <v>#N/A Connection</v>
      </c>
      <c r="I200" t="str">
        <f ca="1">_xll.BDP($B$49,$C$49,CONCATENATE("PX391=", $I$158), CONCATENATE("PX392=",$I$159), CONCATENATE("DS004=",$B$151), "Fill=B")</f>
        <v>#N/A Connection</v>
      </c>
      <c r="J200" t="str">
        <f ca="1">_xll.BDP($B$49,$C$49,CONCATENATE("PX391=", $J$158), CONCATENATE("PX392=",$J$159), CONCATENATE("DS004=",$B$151), "Fill=B")</f>
        <v>#N/A Connection</v>
      </c>
      <c r="K200" t="str">
        <f ca="1">_xll.BDP($B$49,$C$49,CONCATENATE("PX391=", $K$158), CONCATENATE("PX392=",$K$159), CONCATENATE("DS004=",$B$151), "Fill=B")</f>
        <v>#N/A Connection</v>
      </c>
      <c r="L200" t="str">
        <f ca="1">_xll.BDP($B$49,$C$49,CONCATENATE("PX391=", $L$158), CONCATENATE("PX392=",$L$159), CONCATENATE("DS004=",$B$151), "Fill=B")</f>
        <v>#N/A Connection</v>
      </c>
      <c r="M200" t="str">
        <f ca="1">_xll.BDP($B$49,$C$49,CONCATENATE("PX391=", $M$158), CONCATENATE("PX392=",$M$159), CONCATENATE("DS004=",$B$151), "Fill=B")</f>
        <v>#N/A Connection</v>
      </c>
      <c r="N200" t="str">
        <f ca="1">_xll.BDP($B$49,$C$49,CONCATENATE("PX391=", $N$158), CONCATENATE("PX392=",$N$159), CONCATENATE("DS004=",$B$151), "Fill=B")</f>
        <v>#N/A Connection</v>
      </c>
      <c r="O200" t="str">
        <f ca="1">_xll.BDP($B$49,$C$49,CONCATENATE("PX391=", $O$158), CONCATENATE("PX392=",$O$159), CONCATENATE("DS004=",$B$151), "Fill=B")</f>
        <v>#N/A Connection</v>
      </c>
      <c r="P200" t="str">
        <f ca="1">_xll.BDP($B$49,$C$49,CONCATENATE("PX391=", $P$158), CONCATENATE("PX392=",$P$159), CONCATENATE("DS004=",$B$151), "Fill=B")</f>
        <v>#N/A Connection</v>
      </c>
      <c r="Q200" t="str">
        <f ca="1">_xll.BDP($B$49,$C$49,CONCATENATE("PX391=", $Q$158), CONCATENATE("PX392=",$Q$159), CONCATENATE("DS004=",$B$151), "Fill=B")</f>
        <v>#N/A Connection</v>
      </c>
      <c r="R200" t="str">
        <f ca="1">_xll.BDP($B$49,$C$49,CONCATENATE("PX391=", $R$158), CONCATENATE("PX392=",$R$159), CONCATENATE("DS004=",$B$151), "Fill=B")</f>
        <v>#N/A Connection</v>
      </c>
      <c r="S200" t="str">
        <f ca="1">_xll.BDP($B$49,$C$49,CONCATENATE("PX391=", $S$158), CONCATENATE("PX392=",$S$159), CONCATENATE("DS004=",$B$151), "Fill=B")</f>
        <v>#N/A Connection</v>
      </c>
      <c r="T200" t="str">
        <f ca="1">_xll.BDP($B$49,$C$49,CONCATENATE("PX391=", $T$158), CONCATENATE("PX392=",$T$159), CONCATENATE("DS004=",$B$151), "Fill=B")</f>
        <v>#N/A Connection</v>
      </c>
      <c r="U200" t="str">
        <f ca="1">_xll.BDP($B$49,$C$49,CONCATENATE("PX391=", $U$158), CONCATENATE("PX392=",$U$159), CONCATENATE("DS004=",$B$151), "Fill=B")</f>
        <v>#N/A Connection</v>
      </c>
      <c r="V200" t="str">
        <f ca="1">_xll.BDP($B$49,$C$49,CONCATENATE("PX391=", $V$158), CONCATENATE("PX392=",$V$159), CONCATENATE("DS004=",$B$151), "Fill=B")</f>
        <v>#N/A Connection</v>
      </c>
      <c r="W200" t="str">
        <f ca="1">_xll.BDP($B$49,$C$49,CONCATENATE("PX391=", $W$158), CONCATENATE("PX392=",$W$159), CONCATENATE("DS004=",$B$151), "Fill=B")</f>
        <v>#N/A Connection</v>
      </c>
      <c r="X200" t="str">
        <f ca="1">_xll.BDP($B$49,$C$49,CONCATENATE("PX391=", $X$158), CONCATENATE("PX392=",$X$159), CONCATENATE("DS004=",$B$151), "Fill=B")</f>
        <v>#N/A Connection</v>
      </c>
      <c r="Y200" t="str">
        <f ca="1">_xll.BDP($B$49,$C$49,CONCATENATE("PX391=", $Y$158), CONCATENATE("PX392=",$Y$159), CONCATENATE("DS004=",$B$151), "Fill=B")</f>
        <v>#N/A Connection</v>
      </c>
      <c r="Z200" t="str">
        <f ca="1">_xll.BDP($B$49,$C$49,CONCATENATE("PX391=", $Z$158), CONCATENATE("PX392=",$Z$159), CONCATENATE("DS004=",$B$151), "Fill=B")</f>
        <v>#N/A Connection</v>
      </c>
      <c r="AA200" t="str">
        <f ca="1">_xll.BDP($B$49,$C$49,CONCATENATE("PX391=", $AA$158), CONCATENATE("PX392=",$AA$159), CONCATENATE("DS004=",$B$151), "Fill=B")</f>
        <v>#N/A Connection</v>
      </c>
      <c r="AB200" t="str">
        <f ca="1">_xll.BDP($B$49,$C$49,CONCATENATE("PX391=", $AB$158), CONCATENATE("PX392=",$AB$159), CONCATENATE("DS004=",$B$151), "Fill=B")</f>
        <v>#N/A Connection</v>
      </c>
      <c r="AC200" t="str">
        <f ca="1">_xll.BDP($B$49,$C$49,CONCATENATE("PX391=", $AC$158), CONCATENATE("PX392=",$AC$159), CONCATENATE("DS004=",$B$151), "Fill=B")</f>
        <v>#N/A Connection</v>
      </c>
      <c r="AD200" t="str">
        <f ca="1">_xll.BDP($B$49,$C$49,CONCATENATE("PX391=", $AD$158), CONCATENATE("PX392=",$AD$159), CONCATENATE("DS004=",$B$151), "Fill=B")</f>
        <v>#N/A Connection</v>
      </c>
      <c r="AE200" t="str">
        <f ca="1">_xll.BDP($B$49,$C$49,CONCATENATE("PX391=", $AE$158), CONCATENATE("PX392=",$AE$159), CONCATENATE("DS004=",$B$151), "Fill=B")</f>
        <v>#N/A Connection</v>
      </c>
      <c r="AF200" t="str">
        <f ca="1">_xll.BDP($B$49,$C$49,CONCATENATE("PX391=", $AF$158), CONCATENATE("PX392=",$AF$159), CONCATENATE("DS004=",$B$151), "Fill=B")</f>
        <v>#N/A Connection</v>
      </c>
      <c r="AG200" t="str">
        <f ca="1">_xll.BDP($B$49,$C$49,CONCATENATE("PX391=", $AG$158), CONCATENATE("PX392=",$AG$159), CONCATENATE("DS004=",$B$151), "Fill=B")</f>
        <v>#N/A Connection</v>
      </c>
      <c r="AH200" t="str">
        <f ca="1">_xll.BDP($B$49,$C$49,CONCATENATE("PX391=", $AH$158), CONCATENATE("PX392=",$AH$159), CONCATENATE("DS004=",$B$151), "Fill=B")</f>
        <v>#N/A Connection</v>
      </c>
      <c r="AI200" t="str">
        <f ca="1">_xll.BDP($B$49,$C$49,CONCATENATE("PX391=", $AI$158), CONCATENATE("PX392=",$AI$159), CONCATENATE("DS004=",$B$151), "Fill=B")</f>
        <v>#N/A Connection</v>
      </c>
      <c r="AJ200" t="str">
        <f ca="1">_xll.BDP($B$49,$C$49,CONCATENATE("PX391=", $AJ$158), CONCATENATE("PX392=",$AJ$159), CONCATENATE("DS004=",$B$151), "Fill=B")</f>
        <v>#N/A Connection</v>
      </c>
      <c r="AK200" t="str">
        <f ca="1">_xll.BDP($B$49,$C$49,CONCATENATE("PX391=", $AK$158), CONCATENATE("PX392=",$AK$159), CONCATENATE("DS004=",$B$151), "Fill=B")</f>
        <v>#N/A Connection</v>
      </c>
      <c r="AL200" t="str">
        <f ca="1">_xll.BDP($B$49,$C$49,CONCATENATE("PX391=", $AL$158), CONCATENATE("PX392=",$AL$159), CONCATENATE("DS004=",$B$151), "Fill=B")</f>
        <v>#N/A Connection</v>
      </c>
      <c r="AM200" t="str">
        <f ca="1">_xll.BDP($B$49,$C$49,CONCATENATE("PX391=", $AM$158), CONCATENATE("PX392=",$AM$159), CONCATENATE("DS004=",$B$151), "Fill=B")</f>
        <v>#N/A Connection</v>
      </c>
      <c r="AN200" t="str">
        <f ca="1">_xll.BDP($B$49,$C$49,CONCATENATE("PX391=", $AN$158), CONCATENATE("PX392=",$AN$159), CONCATENATE("DS004=",$B$151), "Fill=B")</f>
        <v>#N/A Connection</v>
      </c>
      <c r="AO200" t="str">
        <f ca="1">_xll.BDP($B$49,$C$49,CONCATENATE("PX391=", $AO$158), CONCATENATE("PX392=",$AO$159), CONCATENATE("DS004=",$B$151), "Fill=B")</f>
        <v>#N/A Connection</v>
      </c>
      <c r="AP200" t="str">
        <f ca="1">_xll.BDP($B$49,$C$49,CONCATENATE("PX391=", $AP$158), CONCATENATE("PX392=",$AP$159), CONCATENATE("DS004=",$B$151), "Fill=B")</f>
        <v>#N/A Connection</v>
      </c>
      <c r="AQ200" t="str">
        <f ca="1">_xll.BDP($B$49,$C$49,CONCATENATE("PX391=", $AQ$158), CONCATENATE("PX392=",$AQ$159), CONCATENATE("DS004=",$B$151), "Fill=B")</f>
        <v>#N/A Connection</v>
      </c>
      <c r="AR200" t="str">
        <f ca="1">_xll.BDP($B$49,$C$49,CONCATENATE("PX391=", $AR$158), CONCATENATE("PX392=",$AR$159), CONCATENATE("DS004=",$B$151), "Fill=B")</f>
        <v>#N/A Connection</v>
      </c>
      <c r="AS200" t="str">
        <f ca="1">_xll.BDP($B$49,$C$49,CONCATENATE("PX391=", $AS$158), CONCATENATE("PX392=",$AS$159), CONCATENATE("DS004=",$B$151), "Fill=B")</f>
        <v>#N/A Connection</v>
      </c>
      <c r="AT200" t="str">
        <f ca="1">_xll.BDP($B$49,$C$49,CONCATENATE("PX391=", $AT$158), CONCATENATE("PX392=",$AT$159), CONCATENATE("DS004=",$B$151), "Fill=B")</f>
        <v>#N/A Connection</v>
      </c>
      <c r="AU200" t="str">
        <f ca="1">_xll.BDP($B$49,$C$49,CONCATENATE("PX391=", $AU$158), CONCATENATE("PX392=",$AU$159), CONCATENATE("DS004=",$B$151), "Fill=B")</f>
        <v>#N/A Connection</v>
      </c>
      <c r="AV200" t="str">
        <f ca="1">_xll.BDP($B$49,$C$49,CONCATENATE("PX391=", $AV$158), CONCATENATE("PX392=",$AV$159), CONCATENATE("DS004=",$B$151), "Fill=B")</f>
        <v>#N/A Connection</v>
      </c>
      <c r="AW200" t="str">
        <f ca="1">_xll.BDP($B$49,$C$49,CONCATENATE("PX391=", $AW$158), CONCATENATE("PX392=",$AW$159), CONCATENATE("DS004=",$B$151), "Fill=B")</f>
        <v>#N/A Connection</v>
      </c>
      <c r="AX200" t="str">
        <f ca="1">_xll.BDP($B$49,$C$49,CONCATENATE("PX391=", $AX$158), CONCATENATE("PX392=",$AX$159), CONCATENATE("DS004=",$B$151), "Fill=B")</f>
        <v>#N/A Connection</v>
      </c>
      <c r="AY200" t="str">
        <f ca="1">_xll.BDP($B$49,$C$49,CONCATENATE("PX391=", $AY$158), CONCATENATE("PX392=",$AY$159), CONCATENATE("DS004=",$B$151), "Fill=B")</f>
        <v>#N/A Connection</v>
      </c>
      <c r="AZ200" t="str">
        <f ca="1">_xll.BDP($B$49,$C$49,CONCATENATE("PX391=", $AZ$158), CONCATENATE("PX392=",$AZ$159), CONCATENATE("DS004=",$B$151), "Fill=B")</f>
        <v>#N/A Connection</v>
      </c>
      <c r="BA200" t="str">
        <f ca="1">_xll.BDP($B$49,$C$49,CONCATENATE("PX391=", $BA$158), CONCATENATE("PX392=",$BA$159), CONCATENATE("DS004=",$B$151), "Fill=B")</f>
        <v>#N/A Connection</v>
      </c>
      <c r="BB200" t="str">
        <f ca="1">_xll.BDP($B$49,$C$49,CONCATENATE("PX391=", $BB$158), CONCATENATE("PX392=",$BB$159), CONCATENATE("DS004=",$B$151), "Fill=B")</f>
        <v>#N/A Connection</v>
      </c>
      <c r="BC200" t="str">
        <f ca="1">_xll.BDP($B$49,$C$49,CONCATENATE("PX391=", $BC$158), CONCATENATE("PX392=",$BC$159), CONCATENATE("DS004=",$B$151), "Fill=B")</f>
        <v>#N/A Connection</v>
      </c>
      <c r="BD200" t="str">
        <f ca="1">_xll.BDP($B$49,$C$49,CONCATENATE("PX391=", $BD$158), CONCATENATE("PX392=",$BD$159), CONCATENATE("DS004=",$B$151), "Fill=B")</f>
        <v>#N/A Connection</v>
      </c>
      <c r="BE200" t="str">
        <f ca="1">_xll.BDP($B$49,$C$49,CONCATENATE("PX391=", $BE$158), CONCATENATE("PX392=",$BE$159), CONCATENATE("DS004=",$B$151), "Fill=B")</f>
        <v>#N/A Connection</v>
      </c>
      <c r="BF200" t="str">
        <f ca="1">_xll.BDP($B$49,$C$49,CONCATENATE("PX391=", $BF$158), CONCATENATE("PX392=",$BF$159), CONCATENATE("DS004=",$B$151), "Fill=B")</f>
        <v>#N/A Connection</v>
      </c>
      <c r="BG200" t="str">
        <f ca="1">_xll.BDP($B$49,$C$49,CONCATENATE("PX391=", $BG$158), CONCATENATE("PX392=",$BG$159), CONCATENATE("DS004=",$B$151), "Fill=B")</f>
        <v>#N/A Connection</v>
      </c>
      <c r="BH200" t="str">
        <f ca="1">_xll.BDP($B$49,$C$49,CONCATENATE("PX391=", $BH$158), CONCATENATE("PX392=",$BH$159), CONCATENATE("DS004=",$B$151), "Fill=B")</f>
        <v>#N/A Connection</v>
      </c>
      <c r="BI200" t="str">
        <f ca="1">_xll.BDP($B$49,$C$49,CONCATENATE("PX391=", $BI$158), CONCATENATE("PX392=",$BI$159), CONCATENATE("DS004=",$B$151), "Fill=B")</f>
        <v>#N/A Connection</v>
      </c>
      <c r="BJ200" t="str">
        <f ca="1">_xll.BDP($B$49,$C$49,CONCATENATE("PX391=", $BJ$158), CONCATENATE("PX392=",$BJ$159), CONCATENATE("DS004=",$B$151), "Fill=B")</f>
        <v>#N/A Connection</v>
      </c>
      <c r="BK200" t="str">
        <f ca="1">_xll.BDP($B$49,$C$49,CONCATENATE("PX391=", $BK$158), CONCATENATE("PX392=",$BK$159), CONCATENATE("DS004=",$B$151), "Fill=B")</f>
        <v>#N/A Connection</v>
      </c>
      <c r="BL200" t="str">
        <f ca="1">_xll.BDP($B$49,$C$49,CONCATENATE("PX391=", $BL$158), CONCATENATE("PX392=",$BL$159), CONCATENATE("DS004=",$B$151), "Fill=B")</f>
        <v>#N/A Connection</v>
      </c>
      <c r="BM200" t="str">
        <f ca="1">_xll.BDP($B$49,$C$49,CONCATENATE("PX391=", $BM$158), CONCATENATE("PX392=",$BM$159), CONCATENATE("DS004=",$B$151), "Fill=B")</f>
        <v>#N/A Connection</v>
      </c>
      <c r="BN200" t="str">
        <f>""</f>
        <v/>
      </c>
      <c r="BO200" t="str">
        <f>""</f>
        <v/>
      </c>
      <c r="BP200" t="str">
        <f>""</f>
        <v/>
      </c>
      <c r="BQ200" t="str">
        <f>""</f>
        <v/>
      </c>
      <c r="BR200" t="str">
        <f>""</f>
        <v/>
      </c>
      <c r="BS200" t="str">
        <f>""</f>
        <v/>
      </c>
      <c r="BT200" t="str">
        <f>""</f>
        <v/>
      </c>
      <c r="BU200" t="str">
        <f>""</f>
        <v/>
      </c>
      <c r="BV200" t="str">
        <f>""</f>
        <v/>
      </c>
      <c r="BW200" t="str">
        <f>""</f>
        <v/>
      </c>
      <c r="BX200" t="str">
        <f>""</f>
        <v/>
      </c>
      <c r="BY200" t="str">
        <f>""</f>
        <v/>
      </c>
      <c r="BZ200" t="str">
        <f>""</f>
        <v/>
      </c>
      <c r="CA200" t="str">
        <f>""</f>
        <v/>
      </c>
      <c r="CB200" t="str">
        <f>""</f>
        <v/>
      </c>
      <c r="CC200" t="str">
        <f>""</f>
        <v/>
      </c>
      <c r="CD200" t="str">
        <f>""</f>
        <v/>
      </c>
      <c r="CE200" t="str">
        <f>""</f>
        <v/>
      </c>
      <c r="CF200" t="str">
        <f>""</f>
        <v/>
      </c>
      <c r="CG200" t="str">
        <f>""</f>
        <v/>
      </c>
      <c r="CH200" t="str">
        <f>""</f>
        <v/>
      </c>
      <c r="CI200" t="str">
        <f>""</f>
        <v/>
      </c>
      <c r="CJ200" t="str">
        <f>""</f>
        <v/>
      </c>
      <c r="CK200" t="str">
        <f>""</f>
        <v/>
      </c>
      <c r="CL200" t="str">
        <f>""</f>
        <v/>
      </c>
      <c r="CM200" t="str">
        <f>""</f>
        <v/>
      </c>
      <c r="CN200" t="str">
        <f>""</f>
        <v/>
      </c>
      <c r="CO200" t="str">
        <f>""</f>
        <v/>
      </c>
      <c r="CP200" t="str">
        <f>""</f>
        <v/>
      </c>
      <c r="CQ200" t="str">
        <f>""</f>
        <v/>
      </c>
      <c r="CR200" t="str">
        <f>""</f>
        <v/>
      </c>
      <c r="CS200" t="str">
        <f>""</f>
        <v/>
      </c>
      <c r="CT200" t="str">
        <f>""</f>
        <v/>
      </c>
      <c r="CU200" t="str">
        <f>""</f>
        <v/>
      </c>
      <c r="CV200" t="str">
        <f>""</f>
        <v/>
      </c>
      <c r="CW200" t="str">
        <f>""</f>
        <v/>
      </c>
      <c r="CX200" t="str">
        <f>""</f>
        <v/>
      </c>
      <c r="CY200" t="str">
        <f>""</f>
        <v/>
      </c>
      <c r="CZ200" t="str">
        <f>""</f>
        <v/>
      </c>
      <c r="DA200" t="str">
        <f>""</f>
        <v/>
      </c>
      <c r="DB200" t="str">
        <f>""</f>
        <v/>
      </c>
      <c r="DC200" t="str">
        <f>""</f>
        <v/>
      </c>
      <c r="DD200" t="str">
        <f>""</f>
        <v/>
      </c>
      <c r="DE200" t="str">
        <f>""</f>
        <v/>
      </c>
      <c r="DF200" t="str">
        <f>""</f>
        <v/>
      </c>
      <c r="DG200" t="str">
        <f>""</f>
        <v/>
      </c>
      <c r="DH200" t="str">
        <f>""</f>
        <v/>
      </c>
      <c r="DI200" t="str">
        <f>""</f>
        <v/>
      </c>
      <c r="DJ200" t="str">
        <f>""</f>
        <v/>
      </c>
      <c r="DK200" t="str">
        <f>""</f>
        <v/>
      </c>
      <c r="DL200" t="str">
        <f>""</f>
        <v/>
      </c>
      <c r="DM200" t="str">
        <f>""</f>
        <v/>
      </c>
      <c r="DN200" t="str">
        <f>""</f>
        <v/>
      </c>
      <c r="DO200" t="str">
        <f>""</f>
        <v/>
      </c>
      <c r="DP200" t="str">
        <f>""</f>
        <v/>
      </c>
      <c r="DQ200" t="str">
        <f>""</f>
        <v/>
      </c>
      <c r="DR200" t="str">
        <f>""</f>
        <v/>
      </c>
      <c r="DS200" t="str">
        <f>""</f>
        <v/>
      </c>
      <c r="DT200" t="str">
        <f>""</f>
        <v/>
      </c>
      <c r="DU200" t="str">
        <f>""</f>
        <v/>
      </c>
    </row>
    <row r="201" spans="1:125" x14ac:dyDescent="0.25">
      <c r="A201" t="str">
        <f>$A$50</f>
        <v xml:space="preserve">            Lithuania</v>
      </c>
      <c r="B201" t="str">
        <f>$B$50</f>
        <v>WCARLI Index</v>
      </c>
      <c r="C201" t="str">
        <f>$C$50</f>
        <v>PX385</v>
      </c>
      <c r="D201" t="str">
        <f>$D$50</f>
        <v>INTERVAL_SUM</v>
      </c>
      <c r="E201" t="str">
        <f>$E$50</f>
        <v>Dynamic</v>
      </c>
      <c r="F201" t="str">
        <f ca="1">_xll.BDP($B$50,$C$50,CONCATENATE("PX391=", $F$158), CONCATENATE("PX392=",$F$159), CONCATENATE("DS004=",$B$151), "Fill=B")</f>
        <v>#N/A Connection</v>
      </c>
      <c r="G201" t="str">
        <f ca="1">_xll.BDP($B$50,$C$50,CONCATENATE("PX391=", $G$158), CONCATENATE("PX392=",$G$159), CONCATENATE("DS004=",$B$151), "Fill=B")</f>
        <v>#N/A Connection</v>
      </c>
      <c r="H201" t="str">
        <f ca="1">_xll.BDP($B$50,$C$50,CONCATENATE("PX391=", $H$158), CONCATENATE("PX392=",$H$159), CONCATENATE("DS004=",$B$151), "Fill=B")</f>
        <v>#N/A Connection</v>
      </c>
      <c r="I201" t="str">
        <f ca="1">_xll.BDP($B$50,$C$50,CONCATENATE("PX391=", $I$158), CONCATENATE("PX392=",$I$159), CONCATENATE("DS004=",$B$151), "Fill=B")</f>
        <v>#N/A Connection</v>
      </c>
      <c r="J201" t="str">
        <f ca="1">_xll.BDP($B$50,$C$50,CONCATENATE("PX391=", $J$158), CONCATENATE("PX392=",$J$159), CONCATENATE("DS004=",$B$151), "Fill=B")</f>
        <v>#N/A Connection</v>
      </c>
      <c r="K201" t="str">
        <f ca="1">_xll.BDP($B$50,$C$50,CONCATENATE("PX391=", $K$158), CONCATENATE("PX392=",$K$159), CONCATENATE("DS004=",$B$151), "Fill=B")</f>
        <v>#N/A Connection</v>
      </c>
      <c r="L201" t="str">
        <f ca="1">_xll.BDP($B$50,$C$50,CONCATENATE("PX391=", $L$158), CONCATENATE("PX392=",$L$159), CONCATENATE("DS004=",$B$151), "Fill=B")</f>
        <v>#N/A Connection</v>
      </c>
      <c r="M201" t="str">
        <f ca="1">_xll.BDP($B$50,$C$50,CONCATENATE("PX391=", $M$158), CONCATENATE("PX392=",$M$159), CONCATENATE("DS004=",$B$151), "Fill=B")</f>
        <v>#N/A Connection</v>
      </c>
      <c r="N201" t="str">
        <f ca="1">_xll.BDP($B$50,$C$50,CONCATENATE("PX391=", $N$158), CONCATENATE("PX392=",$N$159), CONCATENATE("DS004=",$B$151), "Fill=B")</f>
        <v>#N/A Connection</v>
      </c>
      <c r="O201" t="str">
        <f ca="1">_xll.BDP($B$50,$C$50,CONCATENATE("PX391=", $O$158), CONCATENATE("PX392=",$O$159), CONCATENATE("DS004=",$B$151), "Fill=B")</f>
        <v>#N/A Connection</v>
      </c>
      <c r="P201" t="str">
        <f ca="1">_xll.BDP($B$50,$C$50,CONCATENATE("PX391=", $P$158), CONCATENATE("PX392=",$P$159), CONCATENATE("DS004=",$B$151), "Fill=B")</f>
        <v>#N/A Connection</v>
      </c>
      <c r="Q201" t="str">
        <f ca="1">_xll.BDP($B$50,$C$50,CONCATENATE("PX391=", $Q$158), CONCATENATE("PX392=",$Q$159), CONCATENATE("DS004=",$B$151), "Fill=B")</f>
        <v>#N/A Connection</v>
      </c>
      <c r="R201" t="str">
        <f ca="1">_xll.BDP($B$50,$C$50,CONCATENATE("PX391=", $R$158), CONCATENATE("PX392=",$R$159), CONCATENATE("DS004=",$B$151), "Fill=B")</f>
        <v>#N/A Connection</v>
      </c>
      <c r="S201" t="str">
        <f ca="1">_xll.BDP($B$50,$C$50,CONCATENATE("PX391=", $S$158), CONCATENATE("PX392=",$S$159), CONCATENATE("DS004=",$B$151), "Fill=B")</f>
        <v>#N/A Connection</v>
      </c>
      <c r="T201" t="str">
        <f ca="1">_xll.BDP($B$50,$C$50,CONCATENATE("PX391=", $T$158), CONCATENATE("PX392=",$T$159), CONCATENATE("DS004=",$B$151), "Fill=B")</f>
        <v>#N/A Connection</v>
      </c>
      <c r="U201" t="str">
        <f ca="1">_xll.BDP($B$50,$C$50,CONCATENATE("PX391=", $U$158), CONCATENATE("PX392=",$U$159), CONCATENATE("DS004=",$B$151), "Fill=B")</f>
        <v>#N/A Connection</v>
      </c>
      <c r="V201" t="str">
        <f ca="1">_xll.BDP($B$50,$C$50,CONCATENATE("PX391=", $V$158), CONCATENATE("PX392=",$V$159), CONCATENATE("DS004=",$B$151), "Fill=B")</f>
        <v>#N/A Connection</v>
      </c>
      <c r="W201" t="str">
        <f ca="1">_xll.BDP($B$50,$C$50,CONCATENATE("PX391=", $W$158), CONCATENATE("PX392=",$W$159), CONCATENATE("DS004=",$B$151), "Fill=B")</f>
        <v>#N/A Connection</v>
      </c>
      <c r="X201" t="str">
        <f ca="1">_xll.BDP($B$50,$C$50,CONCATENATE("PX391=", $X$158), CONCATENATE("PX392=",$X$159), CONCATENATE("DS004=",$B$151), "Fill=B")</f>
        <v>#N/A Connection</v>
      </c>
      <c r="Y201" t="str">
        <f ca="1">_xll.BDP($B$50,$C$50,CONCATENATE("PX391=", $Y$158), CONCATENATE("PX392=",$Y$159), CONCATENATE("DS004=",$B$151), "Fill=B")</f>
        <v>#N/A Connection</v>
      </c>
      <c r="Z201" t="str">
        <f ca="1">_xll.BDP($B$50,$C$50,CONCATENATE("PX391=", $Z$158), CONCATENATE("PX392=",$Z$159), CONCATENATE("DS004=",$B$151), "Fill=B")</f>
        <v>#N/A Connection</v>
      </c>
      <c r="AA201" t="str">
        <f ca="1">_xll.BDP($B$50,$C$50,CONCATENATE("PX391=", $AA$158), CONCATENATE("PX392=",$AA$159), CONCATENATE("DS004=",$B$151), "Fill=B")</f>
        <v>#N/A Connection</v>
      </c>
      <c r="AB201" t="str">
        <f ca="1">_xll.BDP($B$50,$C$50,CONCATENATE("PX391=", $AB$158), CONCATENATE("PX392=",$AB$159), CONCATENATE("DS004=",$B$151), "Fill=B")</f>
        <v>#N/A Connection</v>
      </c>
      <c r="AC201" t="str">
        <f ca="1">_xll.BDP($B$50,$C$50,CONCATENATE("PX391=", $AC$158), CONCATENATE("PX392=",$AC$159), CONCATENATE("DS004=",$B$151), "Fill=B")</f>
        <v>#N/A Connection</v>
      </c>
      <c r="AD201" t="str">
        <f ca="1">_xll.BDP($B$50,$C$50,CONCATENATE("PX391=", $AD$158), CONCATENATE("PX392=",$AD$159), CONCATENATE("DS004=",$B$151), "Fill=B")</f>
        <v>#N/A Connection</v>
      </c>
      <c r="AE201" t="str">
        <f ca="1">_xll.BDP($B$50,$C$50,CONCATENATE("PX391=", $AE$158), CONCATENATE("PX392=",$AE$159), CONCATENATE("DS004=",$B$151), "Fill=B")</f>
        <v>#N/A Connection</v>
      </c>
      <c r="AF201" t="str">
        <f ca="1">_xll.BDP($B$50,$C$50,CONCATENATE("PX391=", $AF$158), CONCATENATE("PX392=",$AF$159), CONCATENATE("DS004=",$B$151), "Fill=B")</f>
        <v>#N/A Connection</v>
      </c>
      <c r="AG201" t="str">
        <f ca="1">_xll.BDP($B$50,$C$50,CONCATENATE("PX391=", $AG$158), CONCATENATE("PX392=",$AG$159), CONCATENATE("DS004=",$B$151), "Fill=B")</f>
        <v>#N/A Connection</v>
      </c>
      <c r="AH201" t="str">
        <f ca="1">_xll.BDP($B$50,$C$50,CONCATENATE("PX391=", $AH$158), CONCATENATE("PX392=",$AH$159), CONCATENATE("DS004=",$B$151), "Fill=B")</f>
        <v>#N/A Connection</v>
      </c>
      <c r="AI201" t="str">
        <f ca="1">_xll.BDP($B$50,$C$50,CONCATENATE("PX391=", $AI$158), CONCATENATE("PX392=",$AI$159), CONCATENATE("DS004=",$B$151), "Fill=B")</f>
        <v>#N/A Connection</v>
      </c>
      <c r="AJ201" t="str">
        <f ca="1">_xll.BDP($B$50,$C$50,CONCATENATE("PX391=", $AJ$158), CONCATENATE("PX392=",$AJ$159), CONCATENATE("DS004=",$B$151), "Fill=B")</f>
        <v>#N/A Connection</v>
      </c>
      <c r="AK201" t="str">
        <f ca="1">_xll.BDP($B$50,$C$50,CONCATENATE("PX391=", $AK$158), CONCATENATE("PX392=",$AK$159), CONCATENATE("DS004=",$B$151), "Fill=B")</f>
        <v>#N/A Connection</v>
      </c>
      <c r="AL201" t="str">
        <f ca="1">_xll.BDP($B$50,$C$50,CONCATENATE("PX391=", $AL$158), CONCATENATE("PX392=",$AL$159), CONCATENATE("DS004=",$B$151), "Fill=B")</f>
        <v>#N/A Connection</v>
      </c>
      <c r="AM201" t="str">
        <f ca="1">_xll.BDP($B$50,$C$50,CONCATENATE("PX391=", $AM$158), CONCATENATE("PX392=",$AM$159), CONCATENATE("DS004=",$B$151), "Fill=B")</f>
        <v>#N/A Connection</v>
      </c>
      <c r="AN201" t="str">
        <f ca="1">_xll.BDP($B$50,$C$50,CONCATENATE("PX391=", $AN$158), CONCATENATE("PX392=",$AN$159), CONCATENATE("DS004=",$B$151), "Fill=B")</f>
        <v>#N/A Connection</v>
      </c>
      <c r="AO201" t="str">
        <f ca="1">_xll.BDP($B$50,$C$50,CONCATENATE("PX391=", $AO$158), CONCATENATE("PX392=",$AO$159), CONCATENATE("DS004=",$B$151), "Fill=B")</f>
        <v>#N/A Connection</v>
      </c>
      <c r="AP201" t="str">
        <f ca="1">_xll.BDP($B$50,$C$50,CONCATENATE("PX391=", $AP$158), CONCATENATE("PX392=",$AP$159), CONCATENATE("DS004=",$B$151), "Fill=B")</f>
        <v>#N/A Connection</v>
      </c>
      <c r="AQ201" t="str">
        <f ca="1">_xll.BDP($B$50,$C$50,CONCATENATE("PX391=", $AQ$158), CONCATENATE("PX392=",$AQ$159), CONCATENATE("DS004=",$B$151), "Fill=B")</f>
        <v>#N/A Connection</v>
      </c>
      <c r="AR201" t="str">
        <f ca="1">_xll.BDP($B$50,$C$50,CONCATENATE("PX391=", $AR$158), CONCATENATE("PX392=",$AR$159), CONCATENATE("DS004=",$B$151), "Fill=B")</f>
        <v>#N/A Connection</v>
      </c>
      <c r="AS201" t="str">
        <f ca="1">_xll.BDP($B$50,$C$50,CONCATENATE("PX391=", $AS$158), CONCATENATE("PX392=",$AS$159), CONCATENATE("DS004=",$B$151), "Fill=B")</f>
        <v>#N/A Connection</v>
      </c>
      <c r="AT201" t="str">
        <f ca="1">_xll.BDP($B$50,$C$50,CONCATENATE("PX391=", $AT$158), CONCATENATE("PX392=",$AT$159), CONCATENATE("DS004=",$B$151), "Fill=B")</f>
        <v>#N/A Connection</v>
      </c>
      <c r="AU201" t="str">
        <f ca="1">_xll.BDP($B$50,$C$50,CONCATENATE("PX391=", $AU$158), CONCATENATE("PX392=",$AU$159), CONCATENATE("DS004=",$B$151), "Fill=B")</f>
        <v>#N/A Connection</v>
      </c>
      <c r="AV201" t="str">
        <f ca="1">_xll.BDP($B$50,$C$50,CONCATENATE("PX391=", $AV$158), CONCATENATE("PX392=",$AV$159), CONCATENATE("DS004=",$B$151), "Fill=B")</f>
        <v>#N/A Connection</v>
      </c>
      <c r="AW201" t="str">
        <f ca="1">_xll.BDP($B$50,$C$50,CONCATENATE("PX391=", $AW$158), CONCATENATE("PX392=",$AW$159), CONCATENATE("DS004=",$B$151), "Fill=B")</f>
        <v>#N/A Connection</v>
      </c>
      <c r="AX201" t="str">
        <f ca="1">_xll.BDP($B$50,$C$50,CONCATENATE("PX391=", $AX$158), CONCATENATE("PX392=",$AX$159), CONCATENATE("DS004=",$B$151), "Fill=B")</f>
        <v>#N/A Connection</v>
      </c>
      <c r="AY201" t="str">
        <f ca="1">_xll.BDP($B$50,$C$50,CONCATENATE("PX391=", $AY$158), CONCATENATE("PX392=",$AY$159), CONCATENATE("DS004=",$B$151), "Fill=B")</f>
        <v>#N/A Connection</v>
      </c>
      <c r="AZ201" t="str">
        <f ca="1">_xll.BDP($B$50,$C$50,CONCATENATE("PX391=", $AZ$158), CONCATENATE("PX392=",$AZ$159), CONCATENATE("DS004=",$B$151), "Fill=B")</f>
        <v>#N/A Connection</v>
      </c>
      <c r="BA201" t="str">
        <f ca="1">_xll.BDP($B$50,$C$50,CONCATENATE("PX391=", $BA$158), CONCATENATE("PX392=",$BA$159), CONCATENATE("DS004=",$B$151), "Fill=B")</f>
        <v>#N/A Connection</v>
      </c>
      <c r="BB201" t="str">
        <f ca="1">_xll.BDP($B$50,$C$50,CONCATENATE("PX391=", $BB$158), CONCATENATE("PX392=",$BB$159), CONCATENATE("DS004=",$B$151), "Fill=B")</f>
        <v>#N/A Connection</v>
      </c>
      <c r="BC201" t="str">
        <f ca="1">_xll.BDP($B$50,$C$50,CONCATENATE("PX391=", $BC$158), CONCATENATE("PX392=",$BC$159), CONCATENATE("DS004=",$B$151), "Fill=B")</f>
        <v>#N/A Connection</v>
      </c>
      <c r="BD201" t="str">
        <f ca="1">_xll.BDP($B$50,$C$50,CONCATENATE("PX391=", $BD$158), CONCATENATE("PX392=",$BD$159), CONCATENATE("DS004=",$B$151), "Fill=B")</f>
        <v>#N/A Connection</v>
      </c>
      <c r="BE201" t="str">
        <f ca="1">_xll.BDP($B$50,$C$50,CONCATENATE("PX391=", $BE$158), CONCATENATE("PX392=",$BE$159), CONCATENATE("DS004=",$B$151), "Fill=B")</f>
        <v>#N/A Connection</v>
      </c>
      <c r="BF201" t="str">
        <f ca="1">_xll.BDP($B$50,$C$50,CONCATENATE("PX391=", $BF$158), CONCATENATE("PX392=",$BF$159), CONCATENATE("DS004=",$B$151), "Fill=B")</f>
        <v>#N/A Connection</v>
      </c>
      <c r="BG201" t="str">
        <f ca="1">_xll.BDP($B$50,$C$50,CONCATENATE("PX391=", $BG$158), CONCATENATE("PX392=",$BG$159), CONCATENATE("DS004=",$B$151), "Fill=B")</f>
        <v>#N/A Connection</v>
      </c>
      <c r="BH201" t="str">
        <f ca="1">_xll.BDP($B$50,$C$50,CONCATENATE("PX391=", $BH$158), CONCATENATE("PX392=",$BH$159), CONCATENATE("DS004=",$B$151), "Fill=B")</f>
        <v>#N/A Connection</v>
      </c>
      <c r="BI201" t="str">
        <f ca="1">_xll.BDP($B$50,$C$50,CONCATENATE("PX391=", $BI$158), CONCATENATE("PX392=",$BI$159), CONCATENATE("DS004=",$B$151), "Fill=B")</f>
        <v>#N/A Connection</v>
      </c>
      <c r="BJ201" t="str">
        <f ca="1">_xll.BDP($B$50,$C$50,CONCATENATE("PX391=", $BJ$158), CONCATENATE("PX392=",$BJ$159), CONCATENATE("DS004=",$B$151), "Fill=B")</f>
        <v>#N/A Connection</v>
      </c>
      <c r="BK201" t="str">
        <f ca="1">_xll.BDP($B$50,$C$50,CONCATENATE("PX391=", $BK$158), CONCATENATE("PX392=",$BK$159), CONCATENATE("DS004=",$B$151), "Fill=B")</f>
        <v>#N/A Connection</v>
      </c>
      <c r="BL201" t="str">
        <f ca="1">_xll.BDP($B$50,$C$50,CONCATENATE("PX391=", $BL$158), CONCATENATE("PX392=",$BL$159), CONCATENATE("DS004=",$B$151), "Fill=B")</f>
        <v>#N/A Connection</v>
      </c>
      <c r="BM201" t="str">
        <f ca="1">_xll.BDP($B$50,$C$50,CONCATENATE("PX391=", $BM$158), CONCATENATE("PX392=",$BM$159), CONCATENATE("DS004=",$B$151), "Fill=B")</f>
        <v>#N/A Connection</v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  <c r="BT201" t="str">
        <f>""</f>
        <v/>
      </c>
      <c r="BU201" t="str">
        <f>""</f>
        <v/>
      </c>
      <c r="BV201" t="str">
        <f>""</f>
        <v/>
      </c>
      <c r="BW201" t="str">
        <f>""</f>
        <v/>
      </c>
      <c r="BX201" t="str">
        <f>""</f>
        <v/>
      </c>
      <c r="BY201" t="str">
        <f>""</f>
        <v/>
      </c>
      <c r="BZ201" t="str">
        <f>""</f>
        <v/>
      </c>
      <c r="CA201" t="str">
        <f>""</f>
        <v/>
      </c>
      <c r="CB201" t="str">
        <f>""</f>
        <v/>
      </c>
      <c r="CC201" t="str">
        <f>""</f>
        <v/>
      </c>
      <c r="CD201" t="str">
        <f>""</f>
        <v/>
      </c>
      <c r="CE201" t="str">
        <f>""</f>
        <v/>
      </c>
      <c r="CF201" t="str">
        <f>""</f>
        <v/>
      </c>
      <c r="CG201" t="str">
        <f>""</f>
        <v/>
      </c>
      <c r="CH201" t="str">
        <f>""</f>
        <v/>
      </c>
      <c r="CI201" t="str">
        <f>""</f>
        <v/>
      </c>
      <c r="CJ201" t="str">
        <f>""</f>
        <v/>
      </c>
      <c r="CK201" t="str">
        <f>""</f>
        <v/>
      </c>
      <c r="CL201" t="str">
        <f>""</f>
        <v/>
      </c>
      <c r="CM201" t="str">
        <f>""</f>
        <v/>
      </c>
      <c r="CN201" t="str">
        <f>""</f>
        <v/>
      </c>
      <c r="CO201" t="str">
        <f>""</f>
        <v/>
      </c>
      <c r="CP201" t="str">
        <f>""</f>
        <v/>
      </c>
      <c r="CQ201" t="str">
        <f>""</f>
        <v/>
      </c>
      <c r="CR201" t="str">
        <f>""</f>
        <v/>
      </c>
      <c r="CS201" t="str">
        <f>""</f>
        <v/>
      </c>
      <c r="CT201" t="str">
        <f>""</f>
        <v/>
      </c>
      <c r="CU201" t="str">
        <f>""</f>
        <v/>
      </c>
      <c r="CV201" t="str">
        <f>""</f>
        <v/>
      </c>
      <c r="CW201" t="str">
        <f>""</f>
        <v/>
      </c>
      <c r="CX201" t="str">
        <f>""</f>
        <v/>
      </c>
      <c r="CY201" t="str">
        <f>""</f>
        <v/>
      </c>
      <c r="CZ201" t="str">
        <f>""</f>
        <v/>
      </c>
      <c r="DA201" t="str">
        <f>""</f>
        <v/>
      </c>
      <c r="DB201" t="str">
        <f>""</f>
        <v/>
      </c>
      <c r="DC201" t="str">
        <f>""</f>
        <v/>
      </c>
      <c r="DD201" t="str">
        <f>""</f>
        <v/>
      </c>
      <c r="DE201" t="str">
        <f>""</f>
        <v/>
      </c>
      <c r="DF201" t="str">
        <f>""</f>
        <v/>
      </c>
      <c r="DG201" t="str">
        <f>""</f>
        <v/>
      </c>
      <c r="DH201" t="str">
        <f>""</f>
        <v/>
      </c>
      <c r="DI201" t="str">
        <f>""</f>
        <v/>
      </c>
      <c r="DJ201" t="str">
        <f>""</f>
        <v/>
      </c>
      <c r="DK201" t="str">
        <f>""</f>
        <v/>
      </c>
      <c r="DL201" t="str">
        <f>""</f>
        <v/>
      </c>
      <c r="DM201" t="str">
        <f>""</f>
        <v/>
      </c>
      <c r="DN201" t="str">
        <f>""</f>
        <v/>
      </c>
      <c r="DO201" t="str">
        <f>""</f>
        <v/>
      </c>
      <c r="DP201" t="str">
        <f>""</f>
        <v/>
      </c>
      <c r="DQ201" t="str">
        <f>""</f>
        <v/>
      </c>
      <c r="DR201" t="str">
        <f>""</f>
        <v/>
      </c>
      <c r="DS201" t="str">
        <f>""</f>
        <v/>
      </c>
      <c r="DT201" t="str">
        <f>""</f>
        <v/>
      </c>
      <c r="DU201" t="str">
        <f>""</f>
        <v/>
      </c>
    </row>
    <row r="202" spans="1:125" x14ac:dyDescent="0.25">
      <c r="A202" t="str">
        <f>$A$51</f>
        <v xml:space="preserve">            Poland</v>
      </c>
      <c r="B202" t="str">
        <f>$B$51</f>
        <v>WCARPO Index</v>
      </c>
      <c r="C202" t="str">
        <f>$C$51</f>
        <v>PX385</v>
      </c>
      <c r="D202" t="str">
        <f>$D$51</f>
        <v>INTERVAL_SUM</v>
      </c>
      <c r="E202" t="str">
        <f>$E$51</f>
        <v>Dynamic</v>
      </c>
      <c r="F202" t="str">
        <f ca="1">_xll.BDP($B$51,$C$51,CONCATENATE("PX391=", $F$158), CONCATENATE("PX392=",$F$159), CONCATENATE("DS004=",$B$151), "Fill=B")</f>
        <v>#N/A Connection</v>
      </c>
      <c r="G202" t="str">
        <f ca="1">_xll.BDP($B$51,$C$51,CONCATENATE("PX391=", $G$158), CONCATENATE("PX392=",$G$159), CONCATENATE("DS004=",$B$151), "Fill=B")</f>
        <v>#N/A Connection</v>
      </c>
      <c r="H202" t="str">
        <f ca="1">_xll.BDP($B$51,$C$51,CONCATENATE("PX391=", $H$158), CONCATENATE("PX392=",$H$159), CONCATENATE("DS004=",$B$151), "Fill=B")</f>
        <v>#N/A Connection</v>
      </c>
      <c r="I202" t="str">
        <f ca="1">_xll.BDP($B$51,$C$51,CONCATENATE("PX391=", $I$158), CONCATENATE("PX392=",$I$159), CONCATENATE("DS004=",$B$151), "Fill=B")</f>
        <v>#N/A Connection</v>
      </c>
      <c r="J202" t="str">
        <f ca="1">_xll.BDP($B$51,$C$51,CONCATENATE("PX391=", $J$158), CONCATENATE("PX392=",$J$159), CONCATENATE("DS004=",$B$151), "Fill=B")</f>
        <v>#N/A Connection</v>
      </c>
      <c r="K202" t="str">
        <f ca="1">_xll.BDP($B$51,$C$51,CONCATENATE("PX391=", $K$158), CONCATENATE("PX392=",$K$159), CONCATENATE("DS004=",$B$151), "Fill=B")</f>
        <v>#N/A Connection</v>
      </c>
      <c r="L202" t="str">
        <f ca="1">_xll.BDP($B$51,$C$51,CONCATENATE("PX391=", $L$158), CONCATENATE("PX392=",$L$159), CONCATENATE("DS004=",$B$151), "Fill=B")</f>
        <v>#N/A Connection</v>
      </c>
      <c r="M202" t="str">
        <f ca="1">_xll.BDP($B$51,$C$51,CONCATENATE("PX391=", $M$158), CONCATENATE("PX392=",$M$159), CONCATENATE("DS004=",$B$151), "Fill=B")</f>
        <v>#N/A Connection</v>
      </c>
      <c r="N202" t="str">
        <f ca="1">_xll.BDP($B$51,$C$51,CONCATENATE("PX391=", $N$158), CONCATENATE("PX392=",$N$159), CONCATENATE("DS004=",$B$151), "Fill=B")</f>
        <v>#N/A Connection</v>
      </c>
      <c r="O202" t="str">
        <f ca="1">_xll.BDP($B$51,$C$51,CONCATENATE("PX391=", $O$158), CONCATENATE("PX392=",$O$159), CONCATENATE("DS004=",$B$151), "Fill=B")</f>
        <v>#N/A Connection</v>
      </c>
      <c r="P202" t="str">
        <f ca="1">_xll.BDP($B$51,$C$51,CONCATENATE("PX391=", $P$158), CONCATENATE("PX392=",$P$159), CONCATENATE("DS004=",$B$151), "Fill=B")</f>
        <v>#N/A Connection</v>
      </c>
      <c r="Q202" t="str">
        <f ca="1">_xll.BDP($B$51,$C$51,CONCATENATE("PX391=", $Q$158), CONCATENATE("PX392=",$Q$159), CONCATENATE("DS004=",$B$151), "Fill=B")</f>
        <v>#N/A Connection</v>
      </c>
      <c r="R202" t="str">
        <f ca="1">_xll.BDP($B$51,$C$51,CONCATENATE("PX391=", $R$158), CONCATENATE("PX392=",$R$159), CONCATENATE("DS004=",$B$151), "Fill=B")</f>
        <v>#N/A Connection</v>
      </c>
      <c r="S202" t="str">
        <f ca="1">_xll.BDP($B$51,$C$51,CONCATENATE("PX391=", $S$158), CONCATENATE("PX392=",$S$159), CONCATENATE("DS004=",$B$151), "Fill=B")</f>
        <v>#N/A Connection</v>
      </c>
      <c r="T202" t="str">
        <f ca="1">_xll.BDP($B$51,$C$51,CONCATENATE("PX391=", $T$158), CONCATENATE("PX392=",$T$159), CONCATENATE("DS004=",$B$151), "Fill=B")</f>
        <v>#N/A Connection</v>
      </c>
      <c r="U202" t="str">
        <f ca="1">_xll.BDP($B$51,$C$51,CONCATENATE("PX391=", $U$158), CONCATENATE("PX392=",$U$159), CONCATENATE("DS004=",$B$151), "Fill=B")</f>
        <v>#N/A Connection</v>
      </c>
      <c r="V202" t="str">
        <f ca="1">_xll.BDP($B$51,$C$51,CONCATENATE("PX391=", $V$158), CONCATENATE("PX392=",$V$159), CONCATENATE("DS004=",$B$151), "Fill=B")</f>
        <v>#N/A Connection</v>
      </c>
      <c r="W202" t="str">
        <f ca="1">_xll.BDP($B$51,$C$51,CONCATENATE("PX391=", $W$158), CONCATENATE("PX392=",$W$159), CONCATENATE("DS004=",$B$151), "Fill=B")</f>
        <v>#N/A Connection</v>
      </c>
      <c r="X202" t="str">
        <f ca="1">_xll.BDP($B$51,$C$51,CONCATENATE("PX391=", $X$158), CONCATENATE("PX392=",$X$159), CONCATENATE("DS004=",$B$151), "Fill=B")</f>
        <v>#N/A Connection</v>
      </c>
      <c r="Y202" t="str">
        <f ca="1">_xll.BDP($B$51,$C$51,CONCATENATE("PX391=", $Y$158), CONCATENATE("PX392=",$Y$159), CONCATENATE("DS004=",$B$151), "Fill=B")</f>
        <v>#N/A Connection</v>
      </c>
      <c r="Z202" t="str">
        <f ca="1">_xll.BDP($B$51,$C$51,CONCATENATE("PX391=", $Z$158), CONCATENATE("PX392=",$Z$159), CONCATENATE("DS004=",$B$151), "Fill=B")</f>
        <v>#N/A Connection</v>
      </c>
      <c r="AA202" t="str">
        <f ca="1">_xll.BDP($B$51,$C$51,CONCATENATE("PX391=", $AA$158), CONCATENATE("PX392=",$AA$159), CONCATENATE("DS004=",$B$151), "Fill=B")</f>
        <v>#N/A Connection</v>
      </c>
      <c r="AB202" t="str">
        <f ca="1">_xll.BDP($B$51,$C$51,CONCATENATE("PX391=", $AB$158), CONCATENATE("PX392=",$AB$159), CONCATENATE("DS004=",$B$151), "Fill=B")</f>
        <v>#N/A Connection</v>
      </c>
      <c r="AC202" t="str">
        <f ca="1">_xll.BDP($B$51,$C$51,CONCATENATE("PX391=", $AC$158), CONCATENATE("PX392=",$AC$159), CONCATENATE("DS004=",$B$151), "Fill=B")</f>
        <v>#N/A Connection</v>
      </c>
      <c r="AD202" t="str">
        <f ca="1">_xll.BDP($B$51,$C$51,CONCATENATE("PX391=", $AD$158), CONCATENATE("PX392=",$AD$159), CONCATENATE("DS004=",$B$151), "Fill=B")</f>
        <v>#N/A Connection</v>
      </c>
      <c r="AE202" t="str">
        <f ca="1">_xll.BDP($B$51,$C$51,CONCATENATE("PX391=", $AE$158), CONCATENATE("PX392=",$AE$159), CONCATENATE("DS004=",$B$151), "Fill=B")</f>
        <v>#N/A Connection</v>
      </c>
      <c r="AF202" t="str">
        <f ca="1">_xll.BDP($B$51,$C$51,CONCATENATE("PX391=", $AF$158), CONCATENATE("PX392=",$AF$159), CONCATENATE("DS004=",$B$151), "Fill=B")</f>
        <v>#N/A Connection</v>
      </c>
      <c r="AG202" t="str">
        <f ca="1">_xll.BDP($B$51,$C$51,CONCATENATE("PX391=", $AG$158), CONCATENATE("PX392=",$AG$159), CONCATENATE("DS004=",$B$151), "Fill=B")</f>
        <v>#N/A Connection</v>
      </c>
      <c r="AH202" t="str">
        <f ca="1">_xll.BDP($B$51,$C$51,CONCATENATE("PX391=", $AH$158), CONCATENATE("PX392=",$AH$159), CONCATENATE("DS004=",$B$151), "Fill=B")</f>
        <v>#N/A Connection</v>
      </c>
      <c r="AI202" t="str">
        <f ca="1">_xll.BDP($B$51,$C$51,CONCATENATE("PX391=", $AI$158), CONCATENATE("PX392=",$AI$159), CONCATENATE("DS004=",$B$151), "Fill=B")</f>
        <v>#N/A Connection</v>
      </c>
      <c r="AJ202" t="str">
        <f ca="1">_xll.BDP($B$51,$C$51,CONCATENATE("PX391=", $AJ$158), CONCATENATE("PX392=",$AJ$159), CONCATENATE("DS004=",$B$151), "Fill=B")</f>
        <v>#N/A Connection</v>
      </c>
      <c r="AK202" t="str">
        <f ca="1">_xll.BDP($B$51,$C$51,CONCATENATE("PX391=", $AK$158), CONCATENATE("PX392=",$AK$159), CONCATENATE("DS004=",$B$151), "Fill=B")</f>
        <v>#N/A Connection</v>
      </c>
      <c r="AL202" t="str">
        <f ca="1">_xll.BDP($B$51,$C$51,CONCATENATE("PX391=", $AL$158), CONCATENATE("PX392=",$AL$159), CONCATENATE("DS004=",$B$151), "Fill=B")</f>
        <v>#N/A Connection</v>
      </c>
      <c r="AM202" t="str">
        <f ca="1">_xll.BDP($B$51,$C$51,CONCATENATE("PX391=", $AM$158), CONCATENATE("PX392=",$AM$159), CONCATENATE("DS004=",$B$151), "Fill=B")</f>
        <v>#N/A Connection</v>
      </c>
      <c r="AN202" t="str">
        <f ca="1">_xll.BDP($B$51,$C$51,CONCATENATE("PX391=", $AN$158), CONCATENATE("PX392=",$AN$159), CONCATENATE("DS004=",$B$151), "Fill=B")</f>
        <v>#N/A Connection</v>
      </c>
      <c r="AO202" t="str">
        <f ca="1">_xll.BDP($B$51,$C$51,CONCATENATE("PX391=", $AO$158), CONCATENATE("PX392=",$AO$159), CONCATENATE("DS004=",$B$151), "Fill=B")</f>
        <v>#N/A Connection</v>
      </c>
      <c r="AP202" t="str">
        <f ca="1">_xll.BDP($B$51,$C$51,CONCATENATE("PX391=", $AP$158), CONCATENATE("PX392=",$AP$159), CONCATENATE("DS004=",$B$151), "Fill=B")</f>
        <v>#N/A Connection</v>
      </c>
      <c r="AQ202" t="str">
        <f ca="1">_xll.BDP($B$51,$C$51,CONCATENATE("PX391=", $AQ$158), CONCATENATE("PX392=",$AQ$159), CONCATENATE("DS004=",$B$151), "Fill=B")</f>
        <v>#N/A Connection</v>
      </c>
      <c r="AR202" t="str">
        <f ca="1">_xll.BDP($B$51,$C$51,CONCATENATE("PX391=", $AR$158), CONCATENATE("PX392=",$AR$159), CONCATENATE("DS004=",$B$151), "Fill=B")</f>
        <v>#N/A Connection</v>
      </c>
      <c r="AS202" t="str">
        <f ca="1">_xll.BDP($B$51,$C$51,CONCATENATE("PX391=", $AS$158), CONCATENATE("PX392=",$AS$159), CONCATENATE("DS004=",$B$151), "Fill=B")</f>
        <v>#N/A Connection</v>
      </c>
      <c r="AT202" t="str">
        <f ca="1">_xll.BDP($B$51,$C$51,CONCATENATE("PX391=", $AT$158), CONCATENATE("PX392=",$AT$159), CONCATENATE("DS004=",$B$151), "Fill=B")</f>
        <v>#N/A Connection</v>
      </c>
      <c r="AU202" t="str">
        <f ca="1">_xll.BDP($B$51,$C$51,CONCATENATE("PX391=", $AU$158), CONCATENATE("PX392=",$AU$159), CONCATENATE("DS004=",$B$151), "Fill=B")</f>
        <v>#N/A Connection</v>
      </c>
      <c r="AV202" t="str">
        <f ca="1">_xll.BDP($B$51,$C$51,CONCATENATE("PX391=", $AV$158), CONCATENATE("PX392=",$AV$159), CONCATENATE("DS004=",$B$151), "Fill=B")</f>
        <v>#N/A Connection</v>
      </c>
      <c r="AW202" t="str">
        <f ca="1">_xll.BDP($B$51,$C$51,CONCATENATE("PX391=", $AW$158), CONCATENATE("PX392=",$AW$159), CONCATENATE("DS004=",$B$151), "Fill=B")</f>
        <v>#N/A Connection</v>
      </c>
      <c r="AX202" t="str">
        <f ca="1">_xll.BDP($B$51,$C$51,CONCATENATE("PX391=", $AX$158), CONCATENATE("PX392=",$AX$159), CONCATENATE("DS004=",$B$151), "Fill=B")</f>
        <v>#N/A Connection</v>
      </c>
      <c r="AY202" t="str">
        <f ca="1">_xll.BDP($B$51,$C$51,CONCATENATE("PX391=", $AY$158), CONCATENATE("PX392=",$AY$159), CONCATENATE("DS004=",$B$151), "Fill=B")</f>
        <v>#N/A Connection</v>
      </c>
      <c r="AZ202" t="str">
        <f ca="1">_xll.BDP($B$51,$C$51,CONCATENATE("PX391=", $AZ$158), CONCATENATE("PX392=",$AZ$159), CONCATENATE("DS004=",$B$151), "Fill=B")</f>
        <v>#N/A Connection</v>
      </c>
      <c r="BA202" t="str">
        <f ca="1">_xll.BDP($B$51,$C$51,CONCATENATE("PX391=", $BA$158), CONCATENATE("PX392=",$BA$159), CONCATENATE("DS004=",$B$151), "Fill=B")</f>
        <v>#N/A Connection</v>
      </c>
      <c r="BB202" t="str">
        <f ca="1">_xll.BDP($B$51,$C$51,CONCATENATE("PX391=", $BB$158), CONCATENATE("PX392=",$BB$159), CONCATENATE("DS004=",$B$151), "Fill=B")</f>
        <v>#N/A Connection</v>
      </c>
      <c r="BC202" t="str">
        <f ca="1">_xll.BDP($B$51,$C$51,CONCATENATE("PX391=", $BC$158), CONCATENATE("PX392=",$BC$159), CONCATENATE("DS004=",$B$151), "Fill=B")</f>
        <v>#N/A Connection</v>
      </c>
      <c r="BD202" t="str">
        <f ca="1">_xll.BDP($B$51,$C$51,CONCATENATE("PX391=", $BD$158), CONCATENATE("PX392=",$BD$159), CONCATENATE("DS004=",$B$151), "Fill=B")</f>
        <v>#N/A Connection</v>
      </c>
      <c r="BE202" t="str">
        <f ca="1">_xll.BDP($B$51,$C$51,CONCATENATE("PX391=", $BE$158), CONCATENATE("PX392=",$BE$159), CONCATENATE("DS004=",$B$151), "Fill=B")</f>
        <v>#N/A Connection</v>
      </c>
      <c r="BF202" t="str">
        <f ca="1">_xll.BDP($B$51,$C$51,CONCATENATE("PX391=", $BF$158), CONCATENATE("PX392=",$BF$159), CONCATENATE("DS004=",$B$151), "Fill=B")</f>
        <v>#N/A Connection</v>
      </c>
      <c r="BG202" t="str">
        <f ca="1">_xll.BDP($B$51,$C$51,CONCATENATE("PX391=", $BG$158), CONCATENATE("PX392=",$BG$159), CONCATENATE("DS004=",$B$151), "Fill=B")</f>
        <v>#N/A Connection</v>
      </c>
      <c r="BH202" t="str">
        <f ca="1">_xll.BDP($B$51,$C$51,CONCATENATE("PX391=", $BH$158), CONCATENATE("PX392=",$BH$159), CONCATENATE("DS004=",$B$151), "Fill=B")</f>
        <v>#N/A Connection</v>
      </c>
      <c r="BI202" t="str">
        <f ca="1">_xll.BDP($B$51,$C$51,CONCATENATE("PX391=", $BI$158), CONCATENATE("PX392=",$BI$159), CONCATENATE("DS004=",$B$151), "Fill=B")</f>
        <v>#N/A Connection</v>
      </c>
      <c r="BJ202" t="str">
        <f ca="1">_xll.BDP($B$51,$C$51,CONCATENATE("PX391=", $BJ$158), CONCATENATE("PX392=",$BJ$159), CONCATENATE("DS004=",$B$151), "Fill=B")</f>
        <v>#N/A Connection</v>
      </c>
      <c r="BK202" t="str">
        <f ca="1">_xll.BDP($B$51,$C$51,CONCATENATE("PX391=", $BK$158), CONCATENATE("PX392=",$BK$159), CONCATENATE("DS004=",$B$151), "Fill=B")</f>
        <v>#N/A Connection</v>
      </c>
      <c r="BL202" t="str">
        <f ca="1">_xll.BDP($B$51,$C$51,CONCATENATE("PX391=", $BL$158), CONCATENATE("PX392=",$BL$159), CONCATENATE("DS004=",$B$151), "Fill=B")</f>
        <v>#N/A Connection</v>
      </c>
      <c r="BM202" t="str">
        <f ca="1">_xll.BDP($B$51,$C$51,CONCATENATE("PX391=", $BM$158), CONCATENATE("PX392=",$BM$159), CONCATENATE("DS004=",$B$151), "Fill=B")</f>
        <v>#N/A Connection</v>
      </c>
      <c r="BN202" t="str">
        <f>""</f>
        <v/>
      </c>
      <c r="BO202" t="str">
        <f>""</f>
        <v/>
      </c>
      <c r="BP202" t="str">
        <f>""</f>
        <v/>
      </c>
      <c r="BQ202" t="str">
        <f>""</f>
        <v/>
      </c>
      <c r="BR202" t="str">
        <f>""</f>
        <v/>
      </c>
      <c r="BS202" t="str">
        <f>""</f>
        <v/>
      </c>
      <c r="BT202" t="str">
        <f>""</f>
        <v/>
      </c>
      <c r="BU202" t="str">
        <f>""</f>
        <v/>
      </c>
      <c r="BV202" t="str">
        <f>""</f>
        <v/>
      </c>
      <c r="BW202" t="str">
        <f>""</f>
        <v/>
      </c>
      <c r="BX202" t="str">
        <f>""</f>
        <v/>
      </c>
      <c r="BY202" t="str">
        <f>""</f>
        <v/>
      </c>
      <c r="BZ202" t="str">
        <f>""</f>
        <v/>
      </c>
      <c r="CA202" t="str">
        <f>""</f>
        <v/>
      </c>
      <c r="CB202" t="str">
        <f>""</f>
        <v/>
      </c>
      <c r="CC202" t="str">
        <f>""</f>
        <v/>
      </c>
      <c r="CD202" t="str">
        <f>""</f>
        <v/>
      </c>
      <c r="CE202" t="str">
        <f>""</f>
        <v/>
      </c>
      <c r="CF202" t="str">
        <f>""</f>
        <v/>
      </c>
      <c r="CG202" t="str">
        <f>""</f>
        <v/>
      </c>
      <c r="CH202" t="str">
        <f>""</f>
        <v/>
      </c>
      <c r="CI202" t="str">
        <f>""</f>
        <v/>
      </c>
      <c r="CJ202" t="str">
        <f>""</f>
        <v/>
      </c>
      <c r="CK202" t="str">
        <f>""</f>
        <v/>
      </c>
      <c r="CL202" t="str">
        <f>""</f>
        <v/>
      </c>
      <c r="CM202" t="str">
        <f>""</f>
        <v/>
      </c>
      <c r="CN202" t="str">
        <f>""</f>
        <v/>
      </c>
      <c r="CO202" t="str">
        <f>""</f>
        <v/>
      </c>
      <c r="CP202" t="str">
        <f>""</f>
        <v/>
      </c>
      <c r="CQ202" t="str">
        <f>""</f>
        <v/>
      </c>
      <c r="CR202" t="str">
        <f>""</f>
        <v/>
      </c>
      <c r="CS202" t="str">
        <f>""</f>
        <v/>
      </c>
      <c r="CT202" t="str">
        <f>""</f>
        <v/>
      </c>
      <c r="CU202" t="str">
        <f>""</f>
        <v/>
      </c>
      <c r="CV202" t="str">
        <f>""</f>
        <v/>
      </c>
      <c r="CW202" t="str">
        <f>""</f>
        <v/>
      </c>
      <c r="CX202" t="str">
        <f>""</f>
        <v/>
      </c>
      <c r="CY202" t="str">
        <f>""</f>
        <v/>
      </c>
      <c r="CZ202" t="str">
        <f>""</f>
        <v/>
      </c>
      <c r="DA202" t="str">
        <f>""</f>
        <v/>
      </c>
      <c r="DB202" t="str">
        <f>""</f>
        <v/>
      </c>
      <c r="DC202" t="str">
        <f>""</f>
        <v/>
      </c>
      <c r="DD202" t="str">
        <f>""</f>
        <v/>
      </c>
      <c r="DE202" t="str">
        <f>""</f>
        <v/>
      </c>
      <c r="DF202" t="str">
        <f>""</f>
        <v/>
      </c>
      <c r="DG202" t="str">
        <f>""</f>
        <v/>
      </c>
      <c r="DH202" t="str">
        <f>""</f>
        <v/>
      </c>
      <c r="DI202" t="str">
        <f>""</f>
        <v/>
      </c>
      <c r="DJ202" t="str">
        <f>""</f>
        <v/>
      </c>
      <c r="DK202" t="str">
        <f>""</f>
        <v/>
      </c>
      <c r="DL202" t="str">
        <f>""</f>
        <v/>
      </c>
      <c r="DM202" t="str">
        <f>""</f>
        <v/>
      </c>
      <c r="DN202" t="str">
        <f>""</f>
        <v/>
      </c>
      <c r="DO202" t="str">
        <f>""</f>
        <v/>
      </c>
      <c r="DP202" t="str">
        <f>""</f>
        <v/>
      </c>
      <c r="DQ202" t="str">
        <f>""</f>
        <v/>
      </c>
      <c r="DR202" t="str">
        <f>""</f>
        <v/>
      </c>
      <c r="DS202" t="str">
        <f>""</f>
        <v/>
      </c>
      <c r="DT202" t="str">
        <f>""</f>
        <v/>
      </c>
      <c r="DU202" t="str">
        <f>""</f>
        <v/>
      </c>
    </row>
    <row r="203" spans="1:125" x14ac:dyDescent="0.25">
      <c r="A203" t="str">
        <f>$A$52</f>
        <v xml:space="preserve">            Romania</v>
      </c>
      <c r="B203" t="str">
        <f>$B$52</f>
        <v>WCARRO Index</v>
      </c>
      <c r="C203" t="str">
        <f>$C$52</f>
        <v>PX385</v>
      </c>
      <c r="D203" t="str">
        <f>$D$52</f>
        <v>INTERVAL_SUM</v>
      </c>
      <c r="E203" t="str">
        <f>$E$52</f>
        <v>Dynamic</v>
      </c>
      <c r="F203" t="str">
        <f ca="1">_xll.BDP($B$52,$C$52,CONCATENATE("PX391=", $F$158), CONCATENATE("PX392=",$F$159), CONCATENATE("DS004=",$B$151), "Fill=B")</f>
        <v>#N/A Connection</v>
      </c>
      <c r="G203" t="str">
        <f ca="1">_xll.BDP($B$52,$C$52,CONCATENATE("PX391=", $G$158), CONCATENATE("PX392=",$G$159), CONCATENATE("DS004=",$B$151), "Fill=B")</f>
        <v>#N/A Connection</v>
      </c>
      <c r="H203" t="str">
        <f ca="1">_xll.BDP($B$52,$C$52,CONCATENATE("PX391=", $H$158), CONCATENATE("PX392=",$H$159), CONCATENATE("DS004=",$B$151), "Fill=B")</f>
        <v>#N/A Connection</v>
      </c>
      <c r="I203" t="str">
        <f ca="1">_xll.BDP($B$52,$C$52,CONCATENATE("PX391=", $I$158), CONCATENATE("PX392=",$I$159), CONCATENATE("DS004=",$B$151), "Fill=B")</f>
        <v>#N/A Connection</v>
      </c>
      <c r="J203" t="str">
        <f ca="1">_xll.BDP($B$52,$C$52,CONCATENATE("PX391=", $J$158), CONCATENATE("PX392=",$J$159), CONCATENATE("DS004=",$B$151), "Fill=B")</f>
        <v>#N/A Connection</v>
      </c>
      <c r="K203" t="str">
        <f ca="1">_xll.BDP($B$52,$C$52,CONCATENATE("PX391=", $K$158), CONCATENATE("PX392=",$K$159), CONCATENATE("DS004=",$B$151), "Fill=B")</f>
        <v>#N/A Connection</v>
      </c>
      <c r="L203" t="str">
        <f ca="1">_xll.BDP($B$52,$C$52,CONCATENATE("PX391=", $L$158), CONCATENATE("PX392=",$L$159), CONCATENATE("DS004=",$B$151), "Fill=B")</f>
        <v>#N/A Connection</v>
      </c>
      <c r="M203" t="str">
        <f ca="1">_xll.BDP($B$52,$C$52,CONCATENATE("PX391=", $M$158), CONCATENATE("PX392=",$M$159), CONCATENATE("DS004=",$B$151), "Fill=B")</f>
        <v>#N/A Connection</v>
      </c>
      <c r="N203" t="str">
        <f ca="1">_xll.BDP($B$52,$C$52,CONCATENATE("PX391=", $N$158), CONCATENATE("PX392=",$N$159), CONCATENATE("DS004=",$B$151), "Fill=B")</f>
        <v>#N/A Connection</v>
      </c>
      <c r="O203" t="str">
        <f ca="1">_xll.BDP($B$52,$C$52,CONCATENATE("PX391=", $O$158), CONCATENATE("PX392=",$O$159), CONCATENATE("DS004=",$B$151), "Fill=B")</f>
        <v>#N/A Connection</v>
      </c>
      <c r="P203" t="str">
        <f ca="1">_xll.BDP($B$52,$C$52,CONCATENATE("PX391=", $P$158), CONCATENATE("PX392=",$P$159), CONCATENATE("DS004=",$B$151), "Fill=B")</f>
        <v>#N/A Connection</v>
      </c>
      <c r="Q203" t="str">
        <f ca="1">_xll.BDP($B$52,$C$52,CONCATENATE("PX391=", $Q$158), CONCATENATE("PX392=",$Q$159), CONCATENATE("DS004=",$B$151), "Fill=B")</f>
        <v>#N/A Connection</v>
      </c>
      <c r="R203" t="str">
        <f ca="1">_xll.BDP($B$52,$C$52,CONCATENATE("PX391=", $R$158), CONCATENATE("PX392=",$R$159), CONCATENATE("DS004=",$B$151), "Fill=B")</f>
        <v>#N/A Connection</v>
      </c>
      <c r="S203" t="str">
        <f ca="1">_xll.BDP($B$52,$C$52,CONCATENATE("PX391=", $S$158), CONCATENATE("PX392=",$S$159), CONCATENATE("DS004=",$B$151), "Fill=B")</f>
        <v>#N/A Connection</v>
      </c>
      <c r="T203" t="str">
        <f ca="1">_xll.BDP($B$52,$C$52,CONCATENATE("PX391=", $T$158), CONCATENATE("PX392=",$T$159), CONCATENATE("DS004=",$B$151), "Fill=B")</f>
        <v>#N/A Connection</v>
      </c>
      <c r="U203" t="str">
        <f ca="1">_xll.BDP($B$52,$C$52,CONCATENATE("PX391=", $U$158), CONCATENATE("PX392=",$U$159), CONCATENATE("DS004=",$B$151), "Fill=B")</f>
        <v>#N/A Connection</v>
      </c>
      <c r="V203" t="str">
        <f ca="1">_xll.BDP($B$52,$C$52,CONCATENATE("PX391=", $V$158), CONCATENATE("PX392=",$V$159), CONCATENATE("DS004=",$B$151), "Fill=B")</f>
        <v>#N/A Connection</v>
      </c>
      <c r="W203" t="str">
        <f ca="1">_xll.BDP($B$52,$C$52,CONCATENATE("PX391=", $W$158), CONCATENATE("PX392=",$W$159), CONCATENATE("DS004=",$B$151), "Fill=B")</f>
        <v>#N/A Connection</v>
      </c>
      <c r="X203" t="str">
        <f ca="1">_xll.BDP($B$52,$C$52,CONCATENATE("PX391=", $X$158), CONCATENATE("PX392=",$X$159), CONCATENATE("DS004=",$B$151), "Fill=B")</f>
        <v>#N/A Connection</v>
      </c>
      <c r="Y203" t="str">
        <f ca="1">_xll.BDP($B$52,$C$52,CONCATENATE("PX391=", $Y$158), CONCATENATE("PX392=",$Y$159), CONCATENATE("DS004=",$B$151), "Fill=B")</f>
        <v>#N/A Connection</v>
      </c>
      <c r="Z203" t="str">
        <f ca="1">_xll.BDP($B$52,$C$52,CONCATENATE("PX391=", $Z$158), CONCATENATE("PX392=",$Z$159), CONCATENATE("DS004=",$B$151), "Fill=B")</f>
        <v>#N/A Connection</v>
      </c>
      <c r="AA203" t="str">
        <f ca="1">_xll.BDP($B$52,$C$52,CONCATENATE("PX391=", $AA$158), CONCATENATE("PX392=",$AA$159), CONCATENATE("DS004=",$B$151), "Fill=B")</f>
        <v>#N/A Connection</v>
      </c>
      <c r="AB203" t="str">
        <f ca="1">_xll.BDP($B$52,$C$52,CONCATENATE("PX391=", $AB$158), CONCATENATE("PX392=",$AB$159), CONCATENATE("DS004=",$B$151), "Fill=B")</f>
        <v>#N/A Connection</v>
      </c>
      <c r="AC203" t="str">
        <f ca="1">_xll.BDP($B$52,$C$52,CONCATENATE("PX391=", $AC$158), CONCATENATE("PX392=",$AC$159), CONCATENATE("DS004=",$B$151), "Fill=B")</f>
        <v>#N/A Connection</v>
      </c>
      <c r="AD203" t="str">
        <f ca="1">_xll.BDP($B$52,$C$52,CONCATENATE("PX391=", $AD$158), CONCATENATE("PX392=",$AD$159), CONCATENATE("DS004=",$B$151), "Fill=B")</f>
        <v>#N/A Connection</v>
      </c>
      <c r="AE203" t="str">
        <f ca="1">_xll.BDP($B$52,$C$52,CONCATENATE("PX391=", $AE$158), CONCATENATE("PX392=",$AE$159), CONCATENATE("DS004=",$B$151), "Fill=B")</f>
        <v>#N/A Connection</v>
      </c>
      <c r="AF203" t="str">
        <f ca="1">_xll.BDP($B$52,$C$52,CONCATENATE("PX391=", $AF$158), CONCATENATE("PX392=",$AF$159), CONCATENATE("DS004=",$B$151), "Fill=B")</f>
        <v>#N/A Connection</v>
      </c>
      <c r="AG203" t="str">
        <f ca="1">_xll.BDP($B$52,$C$52,CONCATENATE("PX391=", $AG$158), CONCATENATE("PX392=",$AG$159), CONCATENATE("DS004=",$B$151), "Fill=B")</f>
        <v>#N/A Connection</v>
      </c>
      <c r="AH203" t="str">
        <f ca="1">_xll.BDP($B$52,$C$52,CONCATENATE("PX391=", $AH$158), CONCATENATE("PX392=",$AH$159), CONCATENATE("DS004=",$B$151), "Fill=B")</f>
        <v>#N/A Connection</v>
      </c>
      <c r="AI203" t="str">
        <f ca="1">_xll.BDP($B$52,$C$52,CONCATENATE("PX391=", $AI$158), CONCATENATE("PX392=",$AI$159), CONCATENATE("DS004=",$B$151), "Fill=B")</f>
        <v>#N/A Connection</v>
      </c>
      <c r="AJ203" t="str">
        <f ca="1">_xll.BDP($B$52,$C$52,CONCATENATE("PX391=", $AJ$158), CONCATENATE("PX392=",$AJ$159), CONCATENATE("DS004=",$B$151), "Fill=B")</f>
        <v>#N/A Connection</v>
      </c>
      <c r="AK203" t="str">
        <f ca="1">_xll.BDP($B$52,$C$52,CONCATENATE("PX391=", $AK$158), CONCATENATE("PX392=",$AK$159), CONCATENATE("DS004=",$B$151), "Fill=B")</f>
        <v>#N/A Connection</v>
      </c>
      <c r="AL203" t="str">
        <f ca="1">_xll.BDP($B$52,$C$52,CONCATENATE("PX391=", $AL$158), CONCATENATE("PX392=",$AL$159), CONCATENATE("DS004=",$B$151), "Fill=B")</f>
        <v>#N/A Connection</v>
      </c>
      <c r="AM203" t="str">
        <f ca="1">_xll.BDP($B$52,$C$52,CONCATENATE("PX391=", $AM$158), CONCATENATE("PX392=",$AM$159), CONCATENATE("DS004=",$B$151), "Fill=B")</f>
        <v>#N/A Connection</v>
      </c>
      <c r="AN203" t="str">
        <f ca="1">_xll.BDP($B$52,$C$52,CONCATENATE("PX391=", $AN$158), CONCATENATE("PX392=",$AN$159), CONCATENATE("DS004=",$B$151), "Fill=B")</f>
        <v>#N/A Connection</v>
      </c>
      <c r="AO203" t="str">
        <f ca="1">_xll.BDP($B$52,$C$52,CONCATENATE("PX391=", $AO$158), CONCATENATE("PX392=",$AO$159), CONCATENATE("DS004=",$B$151), "Fill=B")</f>
        <v>#N/A Connection</v>
      </c>
      <c r="AP203" t="str">
        <f ca="1">_xll.BDP($B$52,$C$52,CONCATENATE("PX391=", $AP$158), CONCATENATE("PX392=",$AP$159), CONCATENATE("DS004=",$B$151), "Fill=B")</f>
        <v>#N/A Connection</v>
      </c>
      <c r="AQ203" t="str">
        <f ca="1">_xll.BDP($B$52,$C$52,CONCATENATE("PX391=", $AQ$158), CONCATENATE("PX392=",$AQ$159), CONCATENATE("DS004=",$B$151), "Fill=B")</f>
        <v>#N/A Connection</v>
      </c>
      <c r="AR203" t="str">
        <f ca="1">_xll.BDP($B$52,$C$52,CONCATENATE("PX391=", $AR$158), CONCATENATE("PX392=",$AR$159), CONCATENATE("DS004=",$B$151), "Fill=B")</f>
        <v>#N/A Connection</v>
      </c>
      <c r="AS203" t="str">
        <f ca="1">_xll.BDP($B$52,$C$52,CONCATENATE("PX391=", $AS$158), CONCATENATE("PX392=",$AS$159), CONCATENATE("DS004=",$B$151), "Fill=B")</f>
        <v>#N/A Connection</v>
      </c>
      <c r="AT203" t="str">
        <f ca="1">_xll.BDP($B$52,$C$52,CONCATENATE("PX391=", $AT$158), CONCATENATE("PX392=",$AT$159), CONCATENATE("DS004=",$B$151), "Fill=B")</f>
        <v>#N/A Connection</v>
      </c>
      <c r="AU203" t="str">
        <f ca="1">_xll.BDP($B$52,$C$52,CONCATENATE("PX391=", $AU$158), CONCATENATE("PX392=",$AU$159), CONCATENATE("DS004=",$B$151), "Fill=B")</f>
        <v>#N/A Connection</v>
      </c>
      <c r="AV203" t="str">
        <f ca="1">_xll.BDP($B$52,$C$52,CONCATENATE("PX391=", $AV$158), CONCATENATE("PX392=",$AV$159), CONCATENATE("DS004=",$B$151), "Fill=B")</f>
        <v>#N/A Connection</v>
      </c>
      <c r="AW203" t="str">
        <f ca="1">_xll.BDP($B$52,$C$52,CONCATENATE("PX391=", $AW$158), CONCATENATE("PX392=",$AW$159), CONCATENATE("DS004=",$B$151), "Fill=B")</f>
        <v>#N/A Connection</v>
      </c>
      <c r="AX203" t="str">
        <f ca="1">_xll.BDP($B$52,$C$52,CONCATENATE("PX391=", $AX$158), CONCATENATE("PX392=",$AX$159), CONCATENATE("DS004=",$B$151), "Fill=B")</f>
        <v>#N/A Connection</v>
      </c>
      <c r="AY203" t="str">
        <f ca="1">_xll.BDP($B$52,$C$52,CONCATENATE("PX391=", $AY$158), CONCATENATE("PX392=",$AY$159), CONCATENATE("DS004=",$B$151), "Fill=B")</f>
        <v>#N/A Connection</v>
      </c>
      <c r="AZ203" t="str">
        <f ca="1">_xll.BDP($B$52,$C$52,CONCATENATE("PX391=", $AZ$158), CONCATENATE("PX392=",$AZ$159), CONCATENATE("DS004=",$B$151), "Fill=B")</f>
        <v>#N/A Connection</v>
      </c>
      <c r="BA203" t="str">
        <f ca="1">_xll.BDP($B$52,$C$52,CONCATENATE("PX391=", $BA$158), CONCATENATE("PX392=",$BA$159), CONCATENATE("DS004=",$B$151), "Fill=B")</f>
        <v>#N/A Connection</v>
      </c>
      <c r="BB203" t="str">
        <f ca="1">_xll.BDP($B$52,$C$52,CONCATENATE("PX391=", $BB$158), CONCATENATE("PX392=",$BB$159), CONCATENATE("DS004=",$B$151), "Fill=B")</f>
        <v>#N/A Connection</v>
      </c>
      <c r="BC203" t="str">
        <f ca="1">_xll.BDP($B$52,$C$52,CONCATENATE("PX391=", $BC$158), CONCATENATE("PX392=",$BC$159), CONCATENATE("DS004=",$B$151), "Fill=B")</f>
        <v>#N/A Connection</v>
      </c>
      <c r="BD203" t="str">
        <f ca="1">_xll.BDP($B$52,$C$52,CONCATENATE("PX391=", $BD$158), CONCATENATE("PX392=",$BD$159), CONCATENATE("DS004=",$B$151), "Fill=B")</f>
        <v>#N/A Connection</v>
      </c>
      <c r="BE203" t="str">
        <f ca="1">_xll.BDP($B$52,$C$52,CONCATENATE("PX391=", $BE$158), CONCATENATE("PX392=",$BE$159), CONCATENATE("DS004=",$B$151), "Fill=B")</f>
        <v>#N/A Connection</v>
      </c>
      <c r="BF203" t="str">
        <f ca="1">_xll.BDP($B$52,$C$52,CONCATENATE("PX391=", $BF$158), CONCATENATE("PX392=",$BF$159), CONCATENATE("DS004=",$B$151), "Fill=B")</f>
        <v>#N/A Connection</v>
      </c>
      <c r="BG203" t="str">
        <f ca="1">_xll.BDP($B$52,$C$52,CONCATENATE("PX391=", $BG$158), CONCATENATE("PX392=",$BG$159), CONCATENATE("DS004=",$B$151), "Fill=B")</f>
        <v>#N/A Connection</v>
      </c>
      <c r="BH203" t="str">
        <f ca="1">_xll.BDP($B$52,$C$52,CONCATENATE("PX391=", $BH$158), CONCATENATE("PX392=",$BH$159), CONCATENATE("DS004=",$B$151), "Fill=B")</f>
        <v>#N/A Connection</v>
      </c>
      <c r="BI203" t="str">
        <f ca="1">_xll.BDP($B$52,$C$52,CONCATENATE("PX391=", $BI$158), CONCATENATE("PX392=",$BI$159), CONCATENATE("DS004=",$B$151), "Fill=B")</f>
        <v>#N/A Connection</v>
      </c>
      <c r="BJ203" t="str">
        <f ca="1">_xll.BDP($B$52,$C$52,CONCATENATE("PX391=", $BJ$158), CONCATENATE("PX392=",$BJ$159), CONCATENATE("DS004=",$B$151), "Fill=B")</f>
        <v>#N/A Connection</v>
      </c>
      <c r="BK203" t="str">
        <f ca="1">_xll.BDP($B$52,$C$52,CONCATENATE("PX391=", $BK$158), CONCATENATE("PX392=",$BK$159), CONCATENATE("DS004=",$B$151), "Fill=B")</f>
        <v>#N/A Connection</v>
      </c>
      <c r="BL203" t="str">
        <f ca="1">_xll.BDP($B$52,$C$52,CONCATENATE("PX391=", $BL$158), CONCATENATE("PX392=",$BL$159), CONCATENATE("DS004=",$B$151), "Fill=B")</f>
        <v>#N/A Connection</v>
      </c>
      <c r="BM203" t="str">
        <f ca="1">_xll.BDP($B$52,$C$52,CONCATENATE("PX391=", $BM$158), CONCATENATE("PX392=",$BM$159), CONCATENATE("DS004=",$B$151), "Fill=B")</f>
        <v>#N/A Connection</v>
      </c>
      <c r="BN203" t="str">
        <f>""</f>
        <v/>
      </c>
      <c r="BO203" t="str">
        <f>""</f>
        <v/>
      </c>
      <c r="BP203" t="str">
        <f>""</f>
        <v/>
      </c>
      <c r="BQ203" t="str">
        <f>""</f>
        <v/>
      </c>
      <c r="BR203" t="str">
        <f>""</f>
        <v/>
      </c>
      <c r="BS203" t="str">
        <f>""</f>
        <v/>
      </c>
      <c r="BT203" t="str">
        <f>""</f>
        <v/>
      </c>
      <c r="BU203" t="str">
        <f>""</f>
        <v/>
      </c>
      <c r="BV203" t="str">
        <f>""</f>
        <v/>
      </c>
      <c r="BW203" t="str">
        <f>""</f>
        <v/>
      </c>
      <c r="BX203" t="str">
        <f>""</f>
        <v/>
      </c>
      <c r="BY203" t="str">
        <f>""</f>
        <v/>
      </c>
      <c r="BZ203" t="str">
        <f>""</f>
        <v/>
      </c>
      <c r="CA203" t="str">
        <f>""</f>
        <v/>
      </c>
      <c r="CB203" t="str">
        <f>""</f>
        <v/>
      </c>
      <c r="CC203" t="str">
        <f>""</f>
        <v/>
      </c>
      <c r="CD203" t="str">
        <f>""</f>
        <v/>
      </c>
      <c r="CE203" t="str">
        <f>""</f>
        <v/>
      </c>
      <c r="CF203" t="str">
        <f>""</f>
        <v/>
      </c>
      <c r="CG203" t="str">
        <f>""</f>
        <v/>
      </c>
      <c r="CH203" t="str">
        <f>""</f>
        <v/>
      </c>
      <c r="CI203" t="str">
        <f>""</f>
        <v/>
      </c>
      <c r="CJ203" t="str">
        <f>""</f>
        <v/>
      </c>
      <c r="CK203" t="str">
        <f>""</f>
        <v/>
      </c>
      <c r="CL203" t="str">
        <f>""</f>
        <v/>
      </c>
      <c r="CM203" t="str">
        <f>""</f>
        <v/>
      </c>
      <c r="CN203" t="str">
        <f>""</f>
        <v/>
      </c>
      <c r="CO203" t="str">
        <f>""</f>
        <v/>
      </c>
      <c r="CP203" t="str">
        <f>""</f>
        <v/>
      </c>
      <c r="CQ203" t="str">
        <f>""</f>
        <v/>
      </c>
      <c r="CR203" t="str">
        <f>""</f>
        <v/>
      </c>
      <c r="CS203" t="str">
        <f>""</f>
        <v/>
      </c>
      <c r="CT203" t="str">
        <f>""</f>
        <v/>
      </c>
      <c r="CU203" t="str">
        <f>""</f>
        <v/>
      </c>
      <c r="CV203" t="str">
        <f>""</f>
        <v/>
      </c>
      <c r="CW203" t="str">
        <f>""</f>
        <v/>
      </c>
      <c r="CX203" t="str">
        <f>""</f>
        <v/>
      </c>
      <c r="CY203" t="str">
        <f>""</f>
        <v/>
      </c>
      <c r="CZ203" t="str">
        <f>""</f>
        <v/>
      </c>
      <c r="DA203" t="str">
        <f>""</f>
        <v/>
      </c>
      <c r="DB203" t="str">
        <f>""</f>
        <v/>
      </c>
      <c r="DC203" t="str">
        <f>""</f>
        <v/>
      </c>
      <c r="DD203" t="str">
        <f>""</f>
        <v/>
      </c>
      <c r="DE203" t="str">
        <f>""</f>
        <v/>
      </c>
      <c r="DF203" t="str">
        <f>""</f>
        <v/>
      </c>
      <c r="DG203" t="str">
        <f>""</f>
        <v/>
      </c>
      <c r="DH203" t="str">
        <f>""</f>
        <v/>
      </c>
      <c r="DI203" t="str">
        <f>""</f>
        <v/>
      </c>
      <c r="DJ203" t="str">
        <f>""</f>
        <v/>
      </c>
      <c r="DK203" t="str">
        <f>""</f>
        <v/>
      </c>
      <c r="DL203" t="str">
        <f>""</f>
        <v/>
      </c>
      <c r="DM203" t="str">
        <f>""</f>
        <v/>
      </c>
      <c r="DN203" t="str">
        <f>""</f>
        <v/>
      </c>
      <c r="DO203" t="str">
        <f>""</f>
        <v/>
      </c>
      <c r="DP203" t="str">
        <f>""</f>
        <v/>
      </c>
      <c r="DQ203" t="str">
        <f>""</f>
        <v/>
      </c>
      <c r="DR203" t="str">
        <f>""</f>
        <v/>
      </c>
      <c r="DS203" t="str">
        <f>""</f>
        <v/>
      </c>
      <c r="DT203" t="str">
        <f>""</f>
        <v/>
      </c>
      <c r="DU203" t="str">
        <f>""</f>
        <v/>
      </c>
    </row>
    <row r="204" spans="1:125" x14ac:dyDescent="0.25">
      <c r="A204" t="str">
        <f>$A$53</f>
        <v xml:space="preserve">            Russia</v>
      </c>
      <c r="B204" t="str">
        <f>$B$53</f>
        <v>RUAUTOTL Index</v>
      </c>
      <c r="C204" t="str">
        <f>$C$53</f>
        <v>PX385</v>
      </c>
      <c r="D204" t="str">
        <f>$D$53</f>
        <v>INTERVAL_SUM</v>
      </c>
      <c r="E204" t="str">
        <f>$E$53</f>
        <v>Dynamic</v>
      </c>
      <c r="F204" t="str">
        <f ca="1">_xll.BDP($B$53,$C$53,CONCATENATE("PX391=", $F$158), CONCATENATE("PX392=",$F$159), CONCATENATE("DS004=",$B$151), "Fill=B")</f>
        <v>#N/A Connection</v>
      </c>
      <c r="G204" t="str">
        <f ca="1">_xll.BDP($B$53,$C$53,CONCATENATE("PX391=", $G$158), CONCATENATE("PX392=",$G$159), CONCATENATE("DS004=",$B$151), "Fill=B")</f>
        <v>#N/A Connection</v>
      </c>
      <c r="H204" t="str">
        <f ca="1">_xll.BDP($B$53,$C$53,CONCATENATE("PX391=", $H$158), CONCATENATE("PX392=",$H$159), CONCATENATE("DS004=",$B$151), "Fill=B")</f>
        <v>#N/A Connection</v>
      </c>
      <c r="I204" t="str">
        <f ca="1">_xll.BDP($B$53,$C$53,CONCATENATE("PX391=", $I$158), CONCATENATE("PX392=",$I$159), CONCATENATE("DS004=",$B$151), "Fill=B")</f>
        <v>#N/A Connection</v>
      </c>
      <c r="J204" t="str">
        <f ca="1">_xll.BDP($B$53,$C$53,CONCATENATE("PX391=", $J$158), CONCATENATE("PX392=",$J$159), CONCATENATE("DS004=",$B$151), "Fill=B")</f>
        <v>#N/A Connection</v>
      </c>
      <c r="K204" t="str">
        <f ca="1">_xll.BDP($B$53,$C$53,CONCATENATE("PX391=", $K$158), CONCATENATE("PX392=",$K$159), CONCATENATE("DS004=",$B$151), "Fill=B")</f>
        <v>#N/A Connection</v>
      </c>
      <c r="L204" t="str">
        <f ca="1">_xll.BDP($B$53,$C$53,CONCATENATE("PX391=", $L$158), CONCATENATE("PX392=",$L$159), CONCATENATE("DS004=",$B$151), "Fill=B")</f>
        <v>#N/A Connection</v>
      </c>
      <c r="M204" t="str">
        <f ca="1">_xll.BDP($B$53,$C$53,CONCATENATE("PX391=", $M$158), CONCATENATE("PX392=",$M$159), CONCATENATE("DS004=",$B$151), "Fill=B")</f>
        <v>#N/A Connection</v>
      </c>
      <c r="N204" t="str">
        <f ca="1">_xll.BDP($B$53,$C$53,CONCATENATE("PX391=", $N$158), CONCATENATE("PX392=",$N$159), CONCATENATE("DS004=",$B$151), "Fill=B")</f>
        <v>#N/A Connection</v>
      </c>
      <c r="O204" t="str">
        <f ca="1">_xll.BDP($B$53,$C$53,CONCATENATE("PX391=", $O$158), CONCATENATE("PX392=",$O$159), CONCATENATE("DS004=",$B$151), "Fill=B")</f>
        <v>#N/A Connection</v>
      </c>
      <c r="P204" t="str">
        <f ca="1">_xll.BDP($B$53,$C$53,CONCATENATE("PX391=", $P$158), CONCATENATE("PX392=",$P$159), CONCATENATE("DS004=",$B$151), "Fill=B")</f>
        <v>#N/A Connection</v>
      </c>
      <c r="Q204" t="str">
        <f ca="1">_xll.BDP($B$53,$C$53,CONCATENATE("PX391=", $Q$158), CONCATENATE("PX392=",$Q$159), CONCATENATE("DS004=",$B$151), "Fill=B")</f>
        <v>#N/A Connection</v>
      </c>
      <c r="R204" t="str">
        <f ca="1">_xll.BDP($B$53,$C$53,CONCATENATE("PX391=", $R$158), CONCATENATE("PX392=",$R$159), CONCATENATE("DS004=",$B$151), "Fill=B")</f>
        <v>#N/A Connection</v>
      </c>
      <c r="S204" t="str">
        <f ca="1">_xll.BDP($B$53,$C$53,CONCATENATE("PX391=", $S$158), CONCATENATE("PX392=",$S$159), CONCATENATE("DS004=",$B$151), "Fill=B")</f>
        <v>#N/A Connection</v>
      </c>
      <c r="T204" t="str">
        <f ca="1">_xll.BDP($B$53,$C$53,CONCATENATE("PX391=", $T$158), CONCATENATE("PX392=",$T$159), CONCATENATE("DS004=",$B$151), "Fill=B")</f>
        <v>#N/A Connection</v>
      </c>
      <c r="U204" t="str">
        <f ca="1">_xll.BDP($B$53,$C$53,CONCATENATE("PX391=", $U$158), CONCATENATE("PX392=",$U$159), CONCATENATE("DS004=",$B$151), "Fill=B")</f>
        <v>#N/A Connection</v>
      </c>
      <c r="V204" t="str">
        <f ca="1">_xll.BDP($B$53,$C$53,CONCATENATE("PX391=", $V$158), CONCATENATE("PX392=",$V$159), CONCATENATE("DS004=",$B$151), "Fill=B")</f>
        <v>#N/A Connection</v>
      </c>
      <c r="W204" t="str">
        <f ca="1">_xll.BDP($B$53,$C$53,CONCATENATE("PX391=", $W$158), CONCATENATE("PX392=",$W$159), CONCATENATE("DS004=",$B$151), "Fill=B")</f>
        <v>#N/A Connection</v>
      </c>
      <c r="X204" t="str">
        <f ca="1">_xll.BDP($B$53,$C$53,CONCATENATE("PX391=", $X$158), CONCATENATE("PX392=",$X$159), CONCATENATE("DS004=",$B$151), "Fill=B")</f>
        <v>#N/A Connection</v>
      </c>
      <c r="Y204" t="str">
        <f ca="1">_xll.BDP($B$53,$C$53,CONCATENATE("PX391=", $Y$158), CONCATENATE("PX392=",$Y$159), CONCATENATE("DS004=",$B$151), "Fill=B")</f>
        <v>#N/A Connection</v>
      </c>
      <c r="Z204" t="str">
        <f ca="1">_xll.BDP($B$53,$C$53,CONCATENATE("PX391=", $Z$158), CONCATENATE("PX392=",$Z$159), CONCATENATE("DS004=",$B$151), "Fill=B")</f>
        <v>#N/A Connection</v>
      </c>
      <c r="AA204" t="str">
        <f ca="1">_xll.BDP($B$53,$C$53,CONCATENATE("PX391=", $AA$158), CONCATENATE("PX392=",$AA$159), CONCATENATE("DS004=",$B$151), "Fill=B")</f>
        <v>#N/A Connection</v>
      </c>
      <c r="AB204" t="str">
        <f ca="1">_xll.BDP($B$53,$C$53,CONCATENATE("PX391=", $AB$158), CONCATENATE("PX392=",$AB$159), CONCATENATE("DS004=",$B$151), "Fill=B")</f>
        <v>#N/A Connection</v>
      </c>
      <c r="AC204" t="str">
        <f ca="1">_xll.BDP($B$53,$C$53,CONCATENATE("PX391=", $AC$158), CONCATENATE("PX392=",$AC$159), CONCATENATE("DS004=",$B$151), "Fill=B")</f>
        <v>#N/A Connection</v>
      </c>
      <c r="AD204" t="str">
        <f ca="1">_xll.BDP($B$53,$C$53,CONCATENATE("PX391=", $AD$158), CONCATENATE("PX392=",$AD$159), CONCATENATE("DS004=",$B$151), "Fill=B")</f>
        <v>#N/A Connection</v>
      </c>
      <c r="AE204" t="str">
        <f ca="1">_xll.BDP($B$53,$C$53,CONCATENATE("PX391=", $AE$158), CONCATENATE("PX392=",$AE$159), CONCATENATE("DS004=",$B$151), "Fill=B")</f>
        <v>#N/A Connection</v>
      </c>
      <c r="AF204" t="str">
        <f ca="1">_xll.BDP($B$53,$C$53,CONCATENATE("PX391=", $AF$158), CONCATENATE("PX392=",$AF$159), CONCATENATE("DS004=",$B$151), "Fill=B")</f>
        <v>#N/A Connection</v>
      </c>
      <c r="AG204" t="str">
        <f ca="1">_xll.BDP($B$53,$C$53,CONCATENATE("PX391=", $AG$158), CONCATENATE("PX392=",$AG$159), CONCATENATE("DS004=",$B$151), "Fill=B")</f>
        <v>#N/A Connection</v>
      </c>
      <c r="AH204" t="str">
        <f ca="1">_xll.BDP($B$53,$C$53,CONCATENATE("PX391=", $AH$158), CONCATENATE("PX392=",$AH$159), CONCATENATE("DS004=",$B$151), "Fill=B")</f>
        <v>#N/A Connection</v>
      </c>
      <c r="AI204" t="str">
        <f ca="1">_xll.BDP($B$53,$C$53,CONCATENATE("PX391=", $AI$158), CONCATENATE("PX392=",$AI$159), CONCATENATE("DS004=",$B$151), "Fill=B")</f>
        <v>#N/A Connection</v>
      </c>
      <c r="AJ204" t="str">
        <f ca="1">_xll.BDP($B$53,$C$53,CONCATENATE("PX391=", $AJ$158), CONCATENATE("PX392=",$AJ$159), CONCATENATE("DS004=",$B$151), "Fill=B")</f>
        <v>#N/A Connection</v>
      </c>
      <c r="AK204" t="str">
        <f ca="1">_xll.BDP($B$53,$C$53,CONCATENATE("PX391=", $AK$158), CONCATENATE("PX392=",$AK$159), CONCATENATE("DS004=",$B$151), "Fill=B")</f>
        <v>#N/A Connection</v>
      </c>
      <c r="AL204" t="str">
        <f ca="1">_xll.BDP($B$53,$C$53,CONCATENATE("PX391=", $AL$158), CONCATENATE("PX392=",$AL$159), CONCATENATE("DS004=",$B$151), "Fill=B")</f>
        <v>#N/A Connection</v>
      </c>
      <c r="AM204" t="str">
        <f ca="1">_xll.BDP($B$53,$C$53,CONCATENATE("PX391=", $AM$158), CONCATENATE("PX392=",$AM$159), CONCATENATE("DS004=",$B$151), "Fill=B")</f>
        <v>#N/A Connection</v>
      </c>
      <c r="AN204" t="str">
        <f ca="1">_xll.BDP($B$53,$C$53,CONCATENATE("PX391=", $AN$158), CONCATENATE("PX392=",$AN$159), CONCATENATE("DS004=",$B$151), "Fill=B")</f>
        <v>#N/A Connection</v>
      </c>
      <c r="AO204" t="str">
        <f ca="1">_xll.BDP($B$53,$C$53,CONCATENATE("PX391=", $AO$158), CONCATENATE("PX392=",$AO$159), CONCATENATE("DS004=",$B$151), "Fill=B")</f>
        <v>#N/A Connection</v>
      </c>
      <c r="AP204" t="str">
        <f ca="1">_xll.BDP($B$53,$C$53,CONCATENATE("PX391=", $AP$158), CONCATENATE("PX392=",$AP$159), CONCATENATE("DS004=",$B$151), "Fill=B")</f>
        <v>#N/A Connection</v>
      </c>
      <c r="AQ204" t="str">
        <f ca="1">_xll.BDP($B$53,$C$53,CONCATENATE("PX391=", $AQ$158), CONCATENATE("PX392=",$AQ$159), CONCATENATE("DS004=",$B$151), "Fill=B")</f>
        <v>#N/A Connection</v>
      </c>
      <c r="AR204" t="str">
        <f ca="1">_xll.BDP($B$53,$C$53,CONCATENATE("PX391=", $AR$158), CONCATENATE("PX392=",$AR$159), CONCATENATE("DS004=",$B$151), "Fill=B")</f>
        <v>#N/A Connection</v>
      </c>
      <c r="AS204" t="str">
        <f ca="1">_xll.BDP($B$53,$C$53,CONCATENATE("PX391=", $AS$158), CONCATENATE("PX392=",$AS$159), CONCATENATE("DS004=",$B$151), "Fill=B")</f>
        <v>#N/A Connection</v>
      </c>
      <c r="AT204" t="str">
        <f ca="1">_xll.BDP($B$53,$C$53,CONCATENATE("PX391=", $AT$158), CONCATENATE("PX392=",$AT$159), CONCATENATE("DS004=",$B$151), "Fill=B")</f>
        <v>#N/A Connection</v>
      </c>
      <c r="AU204" t="str">
        <f ca="1">_xll.BDP($B$53,$C$53,CONCATENATE("PX391=", $AU$158), CONCATENATE("PX392=",$AU$159), CONCATENATE("DS004=",$B$151), "Fill=B")</f>
        <v>#N/A Connection</v>
      </c>
      <c r="AV204" t="str">
        <f ca="1">_xll.BDP($B$53,$C$53,CONCATENATE("PX391=", $AV$158), CONCATENATE("PX392=",$AV$159), CONCATENATE("DS004=",$B$151), "Fill=B")</f>
        <v>#N/A Connection</v>
      </c>
      <c r="AW204" t="str">
        <f ca="1">_xll.BDP($B$53,$C$53,CONCATENATE("PX391=", $AW$158), CONCATENATE("PX392=",$AW$159), CONCATENATE("DS004=",$B$151), "Fill=B")</f>
        <v>#N/A Connection</v>
      </c>
      <c r="AX204" t="str">
        <f ca="1">_xll.BDP($B$53,$C$53,CONCATENATE("PX391=", $AX$158), CONCATENATE("PX392=",$AX$159), CONCATENATE("DS004=",$B$151), "Fill=B")</f>
        <v>#N/A Connection</v>
      </c>
      <c r="AY204" t="str">
        <f ca="1">_xll.BDP($B$53,$C$53,CONCATENATE("PX391=", $AY$158), CONCATENATE("PX392=",$AY$159), CONCATENATE("DS004=",$B$151), "Fill=B")</f>
        <v>#N/A Connection</v>
      </c>
      <c r="AZ204" t="str">
        <f ca="1">_xll.BDP($B$53,$C$53,CONCATENATE("PX391=", $AZ$158), CONCATENATE("PX392=",$AZ$159), CONCATENATE("DS004=",$B$151), "Fill=B")</f>
        <v>#N/A Connection</v>
      </c>
      <c r="BA204" t="str">
        <f ca="1">_xll.BDP($B$53,$C$53,CONCATENATE("PX391=", $BA$158), CONCATENATE("PX392=",$BA$159), CONCATENATE("DS004=",$B$151), "Fill=B")</f>
        <v>#N/A Connection</v>
      </c>
      <c r="BB204" t="str">
        <f ca="1">_xll.BDP($B$53,$C$53,CONCATENATE("PX391=", $BB$158), CONCATENATE("PX392=",$BB$159), CONCATENATE("DS004=",$B$151), "Fill=B")</f>
        <v>#N/A Connection</v>
      </c>
      <c r="BC204" t="str">
        <f ca="1">_xll.BDP($B$53,$C$53,CONCATENATE("PX391=", $BC$158), CONCATENATE("PX392=",$BC$159), CONCATENATE("DS004=",$B$151), "Fill=B")</f>
        <v>#N/A Connection</v>
      </c>
      <c r="BD204" t="str">
        <f ca="1">_xll.BDP($B$53,$C$53,CONCATENATE("PX391=", $BD$158), CONCATENATE("PX392=",$BD$159), CONCATENATE("DS004=",$B$151), "Fill=B")</f>
        <v>#N/A Connection</v>
      </c>
      <c r="BE204" t="str">
        <f ca="1">_xll.BDP($B$53,$C$53,CONCATENATE("PX391=", $BE$158), CONCATENATE("PX392=",$BE$159), CONCATENATE("DS004=",$B$151), "Fill=B")</f>
        <v>#N/A Connection</v>
      </c>
      <c r="BF204" t="str">
        <f ca="1">_xll.BDP($B$53,$C$53,CONCATENATE("PX391=", $BF$158), CONCATENATE("PX392=",$BF$159), CONCATENATE("DS004=",$B$151), "Fill=B")</f>
        <v>#N/A Connection</v>
      </c>
      <c r="BG204" t="str">
        <f ca="1">_xll.BDP($B$53,$C$53,CONCATENATE("PX391=", $BG$158), CONCATENATE("PX392=",$BG$159), CONCATENATE("DS004=",$B$151), "Fill=B")</f>
        <v>#N/A Connection</v>
      </c>
      <c r="BH204" t="str">
        <f ca="1">_xll.BDP($B$53,$C$53,CONCATENATE("PX391=", $BH$158), CONCATENATE("PX392=",$BH$159), CONCATENATE("DS004=",$B$151), "Fill=B")</f>
        <v>#N/A Connection</v>
      </c>
      <c r="BI204" t="str">
        <f ca="1">_xll.BDP($B$53,$C$53,CONCATENATE("PX391=", $BI$158), CONCATENATE("PX392=",$BI$159), CONCATENATE("DS004=",$B$151), "Fill=B")</f>
        <v>#N/A Connection</v>
      </c>
      <c r="BJ204" t="str">
        <f ca="1">_xll.BDP($B$53,$C$53,CONCATENATE("PX391=", $BJ$158), CONCATENATE("PX392=",$BJ$159), CONCATENATE("DS004=",$B$151), "Fill=B")</f>
        <v>#N/A Connection</v>
      </c>
      <c r="BK204" t="str">
        <f ca="1">_xll.BDP($B$53,$C$53,CONCATENATE("PX391=", $BK$158), CONCATENATE("PX392=",$BK$159), CONCATENATE("DS004=",$B$151), "Fill=B")</f>
        <v>#N/A Connection</v>
      </c>
      <c r="BL204" t="str">
        <f ca="1">_xll.BDP($B$53,$C$53,CONCATENATE("PX391=", $BL$158), CONCATENATE("PX392=",$BL$159), CONCATENATE("DS004=",$B$151), "Fill=B")</f>
        <v>#N/A Connection</v>
      </c>
      <c r="BM204" t="str">
        <f ca="1">_xll.BDP($B$53,$C$53,CONCATENATE("PX391=", $BM$158), CONCATENATE("PX392=",$BM$159), CONCATENATE("DS004=",$B$151), "Fill=B")</f>
        <v>#N/A Connection</v>
      </c>
      <c r="BN204" t="str">
        <f>""</f>
        <v/>
      </c>
      <c r="BO204" t="str">
        <f>""</f>
        <v/>
      </c>
      <c r="BP204" t="str">
        <f>""</f>
        <v/>
      </c>
      <c r="BQ204" t="str">
        <f>""</f>
        <v/>
      </c>
      <c r="BR204" t="str">
        <f>""</f>
        <v/>
      </c>
      <c r="BS204" t="str">
        <f>""</f>
        <v/>
      </c>
      <c r="BT204" t="str">
        <f>""</f>
        <v/>
      </c>
      <c r="BU204" t="str">
        <f>""</f>
        <v/>
      </c>
      <c r="BV204" t="str">
        <f>""</f>
        <v/>
      </c>
      <c r="BW204" t="str">
        <f>""</f>
        <v/>
      </c>
      <c r="BX204" t="str">
        <f>""</f>
        <v/>
      </c>
      <c r="BY204" t="str">
        <f>""</f>
        <v/>
      </c>
      <c r="BZ204" t="str">
        <f>""</f>
        <v/>
      </c>
      <c r="CA204" t="str">
        <f>""</f>
        <v/>
      </c>
      <c r="CB204" t="str">
        <f>""</f>
        <v/>
      </c>
      <c r="CC204" t="str">
        <f>""</f>
        <v/>
      </c>
      <c r="CD204" t="str">
        <f>""</f>
        <v/>
      </c>
      <c r="CE204" t="str">
        <f>""</f>
        <v/>
      </c>
      <c r="CF204" t="str">
        <f>""</f>
        <v/>
      </c>
      <c r="CG204" t="str">
        <f>""</f>
        <v/>
      </c>
      <c r="CH204" t="str">
        <f>""</f>
        <v/>
      </c>
      <c r="CI204" t="str">
        <f>""</f>
        <v/>
      </c>
      <c r="CJ204" t="str">
        <f>""</f>
        <v/>
      </c>
      <c r="CK204" t="str">
        <f>""</f>
        <v/>
      </c>
      <c r="CL204" t="str">
        <f>""</f>
        <v/>
      </c>
      <c r="CM204" t="str">
        <f>""</f>
        <v/>
      </c>
      <c r="CN204" t="str">
        <f>""</f>
        <v/>
      </c>
      <c r="CO204" t="str">
        <f>""</f>
        <v/>
      </c>
      <c r="CP204" t="str">
        <f>""</f>
        <v/>
      </c>
      <c r="CQ204" t="str">
        <f>""</f>
        <v/>
      </c>
      <c r="CR204" t="str">
        <f>""</f>
        <v/>
      </c>
      <c r="CS204" t="str">
        <f>""</f>
        <v/>
      </c>
      <c r="CT204" t="str">
        <f>""</f>
        <v/>
      </c>
      <c r="CU204" t="str">
        <f>""</f>
        <v/>
      </c>
      <c r="CV204" t="str">
        <f>""</f>
        <v/>
      </c>
      <c r="CW204" t="str">
        <f>""</f>
        <v/>
      </c>
      <c r="CX204" t="str">
        <f>""</f>
        <v/>
      </c>
      <c r="CY204" t="str">
        <f>""</f>
        <v/>
      </c>
      <c r="CZ204" t="str">
        <f>""</f>
        <v/>
      </c>
      <c r="DA204" t="str">
        <f>""</f>
        <v/>
      </c>
      <c r="DB204" t="str">
        <f>""</f>
        <v/>
      </c>
      <c r="DC204" t="str">
        <f>""</f>
        <v/>
      </c>
      <c r="DD204" t="str">
        <f>""</f>
        <v/>
      </c>
      <c r="DE204" t="str">
        <f>""</f>
        <v/>
      </c>
      <c r="DF204" t="str">
        <f>""</f>
        <v/>
      </c>
      <c r="DG204" t="str">
        <f>""</f>
        <v/>
      </c>
      <c r="DH204" t="str">
        <f>""</f>
        <v/>
      </c>
      <c r="DI204" t="str">
        <f>""</f>
        <v/>
      </c>
      <c r="DJ204" t="str">
        <f>""</f>
        <v/>
      </c>
      <c r="DK204" t="str">
        <f>""</f>
        <v/>
      </c>
      <c r="DL204" t="str">
        <f>""</f>
        <v/>
      </c>
      <c r="DM204" t="str">
        <f>""</f>
        <v/>
      </c>
      <c r="DN204" t="str">
        <f>""</f>
        <v/>
      </c>
      <c r="DO204" t="str">
        <f>""</f>
        <v/>
      </c>
      <c r="DP204" t="str">
        <f>""</f>
        <v/>
      </c>
      <c r="DQ204" t="str">
        <f>""</f>
        <v/>
      </c>
      <c r="DR204" t="str">
        <f>""</f>
        <v/>
      </c>
      <c r="DS204" t="str">
        <f>""</f>
        <v/>
      </c>
      <c r="DT204" t="str">
        <f>""</f>
        <v/>
      </c>
      <c r="DU204" t="str">
        <f>""</f>
        <v/>
      </c>
    </row>
    <row r="205" spans="1:125" x14ac:dyDescent="0.25">
      <c r="A205" t="str">
        <f>$A$54</f>
        <v xml:space="preserve">            Slovakia</v>
      </c>
      <c r="B205" t="str">
        <f>$B$54</f>
        <v>WCARSK Index</v>
      </c>
      <c r="C205" t="str">
        <f>$C$54</f>
        <v>PX385</v>
      </c>
      <c r="D205" t="str">
        <f>$D$54</f>
        <v>INTERVAL_SUM</v>
      </c>
      <c r="E205" t="str">
        <f>$E$54</f>
        <v>Dynamic</v>
      </c>
      <c r="F205" t="str">
        <f ca="1">_xll.BDP($B$54,$C$54,CONCATENATE("PX391=", $F$158), CONCATENATE("PX392=",$F$159), CONCATENATE("DS004=",$B$151), "Fill=B")</f>
        <v>#N/A Connection</v>
      </c>
      <c r="G205" t="str">
        <f ca="1">_xll.BDP($B$54,$C$54,CONCATENATE("PX391=", $G$158), CONCATENATE("PX392=",$G$159), CONCATENATE("DS004=",$B$151), "Fill=B")</f>
        <v>#N/A Connection</v>
      </c>
      <c r="H205" t="str">
        <f ca="1">_xll.BDP($B$54,$C$54,CONCATENATE("PX391=", $H$158), CONCATENATE("PX392=",$H$159), CONCATENATE("DS004=",$B$151), "Fill=B")</f>
        <v>#N/A Connection</v>
      </c>
      <c r="I205" t="str">
        <f ca="1">_xll.BDP($B$54,$C$54,CONCATENATE("PX391=", $I$158), CONCATENATE("PX392=",$I$159), CONCATENATE("DS004=",$B$151), "Fill=B")</f>
        <v>#N/A Connection</v>
      </c>
      <c r="J205" t="str">
        <f ca="1">_xll.BDP($B$54,$C$54,CONCATENATE("PX391=", $J$158), CONCATENATE("PX392=",$J$159), CONCATENATE("DS004=",$B$151), "Fill=B")</f>
        <v>#N/A Connection</v>
      </c>
      <c r="K205" t="str">
        <f ca="1">_xll.BDP($B$54,$C$54,CONCATENATE("PX391=", $K$158), CONCATENATE("PX392=",$K$159), CONCATENATE("DS004=",$B$151), "Fill=B")</f>
        <v>#N/A Connection</v>
      </c>
      <c r="L205" t="str">
        <f ca="1">_xll.BDP($B$54,$C$54,CONCATENATE("PX391=", $L$158), CONCATENATE("PX392=",$L$159), CONCATENATE("DS004=",$B$151), "Fill=B")</f>
        <v>#N/A Connection</v>
      </c>
      <c r="M205" t="str">
        <f ca="1">_xll.BDP($B$54,$C$54,CONCATENATE("PX391=", $M$158), CONCATENATE("PX392=",$M$159), CONCATENATE("DS004=",$B$151), "Fill=B")</f>
        <v>#N/A Connection</v>
      </c>
      <c r="N205" t="str">
        <f ca="1">_xll.BDP($B$54,$C$54,CONCATENATE("PX391=", $N$158), CONCATENATE("PX392=",$N$159), CONCATENATE("DS004=",$B$151), "Fill=B")</f>
        <v>#N/A Connection</v>
      </c>
      <c r="O205" t="str">
        <f ca="1">_xll.BDP($B$54,$C$54,CONCATENATE("PX391=", $O$158), CONCATENATE("PX392=",$O$159), CONCATENATE("DS004=",$B$151), "Fill=B")</f>
        <v>#N/A Connection</v>
      </c>
      <c r="P205" t="str">
        <f ca="1">_xll.BDP($B$54,$C$54,CONCATENATE("PX391=", $P$158), CONCATENATE("PX392=",$P$159), CONCATENATE("DS004=",$B$151), "Fill=B")</f>
        <v>#N/A Connection</v>
      </c>
      <c r="Q205" t="str">
        <f ca="1">_xll.BDP($B$54,$C$54,CONCATENATE("PX391=", $Q$158), CONCATENATE("PX392=",$Q$159), CONCATENATE("DS004=",$B$151), "Fill=B")</f>
        <v>#N/A Connection</v>
      </c>
      <c r="R205" t="str">
        <f ca="1">_xll.BDP($B$54,$C$54,CONCATENATE("PX391=", $R$158), CONCATENATE("PX392=",$R$159), CONCATENATE("DS004=",$B$151), "Fill=B")</f>
        <v>#N/A Connection</v>
      </c>
      <c r="S205" t="str">
        <f ca="1">_xll.BDP($B$54,$C$54,CONCATENATE("PX391=", $S$158), CONCATENATE("PX392=",$S$159), CONCATENATE("DS004=",$B$151), "Fill=B")</f>
        <v>#N/A Connection</v>
      </c>
      <c r="T205" t="str">
        <f ca="1">_xll.BDP($B$54,$C$54,CONCATENATE("PX391=", $T$158), CONCATENATE("PX392=",$T$159), CONCATENATE("DS004=",$B$151), "Fill=B")</f>
        <v>#N/A Connection</v>
      </c>
      <c r="U205" t="str">
        <f ca="1">_xll.BDP($B$54,$C$54,CONCATENATE("PX391=", $U$158), CONCATENATE("PX392=",$U$159), CONCATENATE("DS004=",$B$151), "Fill=B")</f>
        <v>#N/A Connection</v>
      </c>
      <c r="V205" t="str">
        <f ca="1">_xll.BDP($B$54,$C$54,CONCATENATE("PX391=", $V$158), CONCATENATE("PX392=",$V$159), CONCATENATE("DS004=",$B$151), "Fill=B")</f>
        <v>#N/A Connection</v>
      </c>
      <c r="W205" t="str">
        <f ca="1">_xll.BDP($B$54,$C$54,CONCATENATE("PX391=", $W$158), CONCATENATE("PX392=",$W$159), CONCATENATE("DS004=",$B$151), "Fill=B")</f>
        <v>#N/A Connection</v>
      </c>
      <c r="X205" t="str">
        <f ca="1">_xll.BDP($B$54,$C$54,CONCATENATE("PX391=", $X$158), CONCATENATE("PX392=",$X$159), CONCATENATE("DS004=",$B$151), "Fill=B")</f>
        <v>#N/A Connection</v>
      </c>
      <c r="Y205" t="str">
        <f ca="1">_xll.BDP($B$54,$C$54,CONCATENATE("PX391=", $Y$158), CONCATENATE("PX392=",$Y$159), CONCATENATE("DS004=",$B$151), "Fill=B")</f>
        <v>#N/A Connection</v>
      </c>
      <c r="Z205" t="str">
        <f ca="1">_xll.BDP($B$54,$C$54,CONCATENATE("PX391=", $Z$158), CONCATENATE("PX392=",$Z$159), CONCATENATE("DS004=",$B$151), "Fill=B")</f>
        <v>#N/A Connection</v>
      </c>
      <c r="AA205" t="str">
        <f ca="1">_xll.BDP($B$54,$C$54,CONCATENATE("PX391=", $AA$158), CONCATENATE("PX392=",$AA$159), CONCATENATE("DS004=",$B$151), "Fill=B")</f>
        <v>#N/A Connection</v>
      </c>
      <c r="AB205" t="str">
        <f ca="1">_xll.BDP($B$54,$C$54,CONCATENATE("PX391=", $AB$158), CONCATENATE("PX392=",$AB$159), CONCATENATE("DS004=",$B$151), "Fill=B")</f>
        <v>#N/A Connection</v>
      </c>
      <c r="AC205" t="str">
        <f ca="1">_xll.BDP($B$54,$C$54,CONCATENATE("PX391=", $AC$158), CONCATENATE("PX392=",$AC$159), CONCATENATE("DS004=",$B$151), "Fill=B")</f>
        <v>#N/A Connection</v>
      </c>
      <c r="AD205" t="str">
        <f ca="1">_xll.BDP($B$54,$C$54,CONCATENATE("PX391=", $AD$158), CONCATENATE("PX392=",$AD$159), CONCATENATE("DS004=",$B$151), "Fill=B")</f>
        <v>#N/A Connection</v>
      </c>
      <c r="AE205" t="str">
        <f ca="1">_xll.BDP($B$54,$C$54,CONCATENATE("PX391=", $AE$158), CONCATENATE("PX392=",$AE$159), CONCATENATE("DS004=",$B$151), "Fill=B")</f>
        <v>#N/A Connection</v>
      </c>
      <c r="AF205" t="str">
        <f ca="1">_xll.BDP($B$54,$C$54,CONCATENATE("PX391=", $AF$158), CONCATENATE("PX392=",$AF$159), CONCATENATE("DS004=",$B$151), "Fill=B")</f>
        <v>#N/A Connection</v>
      </c>
      <c r="AG205" t="str">
        <f ca="1">_xll.BDP($B$54,$C$54,CONCATENATE("PX391=", $AG$158), CONCATENATE("PX392=",$AG$159), CONCATENATE("DS004=",$B$151), "Fill=B")</f>
        <v>#N/A Connection</v>
      </c>
      <c r="AH205" t="str">
        <f ca="1">_xll.BDP($B$54,$C$54,CONCATENATE("PX391=", $AH$158), CONCATENATE("PX392=",$AH$159), CONCATENATE("DS004=",$B$151), "Fill=B")</f>
        <v>#N/A Connection</v>
      </c>
      <c r="AI205" t="str">
        <f ca="1">_xll.BDP($B$54,$C$54,CONCATENATE("PX391=", $AI$158), CONCATENATE("PX392=",$AI$159), CONCATENATE("DS004=",$B$151), "Fill=B")</f>
        <v>#N/A Connection</v>
      </c>
      <c r="AJ205" t="str">
        <f ca="1">_xll.BDP($B$54,$C$54,CONCATENATE("PX391=", $AJ$158), CONCATENATE("PX392=",$AJ$159), CONCATENATE("DS004=",$B$151), "Fill=B")</f>
        <v>#N/A Connection</v>
      </c>
      <c r="AK205" t="str">
        <f ca="1">_xll.BDP($B$54,$C$54,CONCATENATE("PX391=", $AK$158), CONCATENATE("PX392=",$AK$159), CONCATENATE("DS004=",$B$151), "Fill=B")</f>
        <v>#N/A Connection</v>
      </c>
      <c r="AL205" t="str">
        <f ca="1">_xll.BDP($B$54,$C$54,CONCATENATE("PX391=", $AL$158), CONCATENATE("PX392=",$AL$159), CONCATENATE("DS004=",$B$151), "Fill=B")</f>
        <v>#N/A Connection</v>
      </c>
      <c r="AM205" t="str">
        <f ca="1">_xll.BDP($B$54,$C$54,CONCATENATE("PX391=", $AM$158), CONCATENATE("PX392=",$AM$159), CONCATENATE("DS004=",$B$151), "Fill=B")</f>
        <v>#N/A Connection</v>
      </c>
      <c r="AN205" t="str">
        <f ca="1">_xll.BDP($B$54,$C$54,CONCATENATE("PX391=", $AN$158), CONCATENATE("PX392=",$AN$159), CONCATENATE("DS004=",$B$151), "Fill=B")</f>
        <v>#N/A Connection</v>
      </c>
      <c r="AO205" t="str">
        <f ca="1">_xll.BDP($B$54,$C$54,CONCATENATE("PX391=", $AO$158), CONCATENATE("PX392=",$AO$159), CONCATENATE("DS004=",$B$151), "Fill=B")</f>
        <v>#N/A Connection</v>
      </c>
      <c r="AP205" t="str">
        <f ca="1">_xll.BDP($B$54,$C$54,CONCATENATE("PX391=", $AP$158), CONCATENATE("PX392=",$AP$159), CONCATENATE("DS004=",$B$151), "Fill=B")</f>
        <v>#N/A Connection</v>
      </c>
      <c r="AQ205" t="str">
        <f ca="1">_xll.BDP($B$54,$C$54,CONCATENATE("PX391=", $AQ$158), CONCATENATE("PX392=",$AQ$159), CONCATENATE("DS004=",$B$151), "Fill=B")</f>
        <v>#N/A Connection</v>
      </c>
      <c r="AR205" t="str">
        <f ca="1">_xll.BDP($B$54,$C$54,CONCATENATE("PX391=", $AR$158), CONCATENATE("PX392=",$AR$159), CONCATENATE("DS004=",$B$151), "Fill=B")</f>
        <v>#N/A Connection</v>
      </c>
      <c r="AS205" t="str">
        <f ca="1">_xll.BDP($B$54,$C$54,CONCATENATE("PX391=", $AS$158), CONCATENATE("PX392=",$AS$159), CONCATENATE("DS004=",$B$151), "Fill=B")</f>
        <v>#N/A Connection</v>
      </c>
      <c r="AT205" t="str">
        <f ca="1">_xll.BDP($B$54,$C$54,CONCATENATE("PX391=", $AT$158), CONCATENATE("PX392=",$AT$159), CONCATENATE("DS004=",$B$151), "Fill=B")</f>
        <v>#N/A Connection</v>
      </c>
      <c r="AU205" t="str">
        <f ca="1">_xll.BDP($B$54,$C$54,CONCATENATE("PX391=", $AU$158), CONCATENATE("PX392=",$AU$159), CONCATENATE("DS004=",$B$151), "Fill=B")</f>
        <v>#N/A Connection</v>
      </c>
      <c r="AV205" t="str">
        <f ca="1">_xll.BDP($B$54,$C$54,CONCATENATE("PX391=", $AV$158), CONCATENATE("PX392=",$AV$159), CONCATENATE("DS004=",$B$151), "Fill=B")</f>
        <v>#N/A Connection</v>
      </c>
      <c r="AW205" t="str">
        <f ca="1">_xll.BDP($B$54,$C$54,CONCATENATE("PX391=", $AW$158), CONCATENATE("PX392=",$AW$159), CONCATENATE("DS004=",$B$151), "Fill=B")</f>
        <v>#N/A Connection</v>
      </c>
      <c r="AX205" t="str">
        <f ca="1">_xll.BDP($B$54,$C$54,CONCATENATE("PX391=", $AX$158), CONCATENATE("PX392=",$AX$159), CONCATENATE("DS004=",$B$151), "Fill=B")</f>
        <v>#N/A Connection</v>
      </c>
      <c r="AY205" t="str">
        <f ca="1">_xll.BDP($B$54,$C$54,CONCATENATE("PX391=", $AY$158), CONCATENATE("PX392=",$AY$159), CONCATENATE("DS004=",$B$151), "Fill=B")</f>
        <v>#N/A Connection</v>
      </c>
      <c r="AZ205" t="str">
        <f ca="1">_xll.BDP($B$54,$C$54,CONCATENATE("PX391=", $AZ$158), CONCATENATE("PX392=",$AZ$159), CONCATENATE("DS004=",$B$151), "Fill=B")</f>
        <v>#N/A Connection</v>
      </c>
      <c r="BA205" t="str">
        <f ca="1">_xll.BDP($B$54,$C$54,CONCATENATE("PX391=", $BA$158), CONCATENATE("PX392=",$BA$159), CONCATENATE("DS004=",$B$151), "Fill=B")</f>
        <v>#N/A Connection</v>
      </c>
      <c r="BB205" t="str">
        <f ca="1">_xll.BDP($B$54,$C$54,CONCATENATE("PX391=", $BB$158), CONCATENATE("PX392=",$BB$159), CONCATENATE("DS004=",$B$151), "Fill=B")</f>
        <v>#N/A Connection</v>
      </c>
      <c r="BC205" t="str">
        <f ca="1">_xll.BDP($B$54,$C$54,CONCATENATE("PX391=", $BC$158), CONCATENATE("PX392=",$BC$159), CONCATENATE("DS004=",$B$151), "Fill=B")</f>
        <v>#N/A Connection</v>
      </c>
      <c r="BD205" t="str">
        <f ca="1">_xll.BDP($B$54,$C$54,CONCATENATE("PX391=", $BD$158), CONCATENATE("PX392=",$BD$159), CONCATENATE("DS004=",$B$151), "Fill=B")</f>
        <v>#N/A Connection</v>
      </c>
      <c r="BE205" t="str">
        <f ca="1">_xll.BDP($B$54,$C$54,CONCATENATE("PX391=", $BE$158), CONCATENATE("PX392=",$BE$159), CONCATENATE("DS004=",$B$151), "Fill=B")</f>
        <v>#N/A Connection</v>
      </c>
      <c r="BF205" t="str">
        <f ca="1">_xll.BDP($B$54,$C$54,CONCATENATE("PX391=", $BF$158), CONCATENATE("PX392=",$BF$159), CONCATENATE("DS004=",$B$151), "Fill=B")</f>
        <v>#N/A Connection</v>
      </c>
      <c r="BG205" t="str">
        <f ca="1">_xll.BDP($B$54,$C$54,CONCATENATE("PX391=", $BG$158), CONCATENATE("PX392=",$BG$159), CONCATENATE("DS004=",$B$151), "Fill=B")</f>
        <v>#N/A Connection</v>
      </c>
      <c r="BH205" t="str">
        <f ca="1">_xll.BDP($B$54,$C$54,CONCATENATE("PX391=", $BH$158), CONCATENATE("PX392=",$BH$159), CONCATENATE("DS004=",$B$151), "Fill=B")</f>
        <v>#N/A Connection</v>
      </c>
      <c r="BI205" t="str">
        <f ca="1">_xll.BDP($B$54,$C$54,CONCATENATE("PX391=", $BI$158), CONCATENATE("PX392=",$BI$159), CONCATENATE("DS004=",$B$151), "Fill=B")</f>
        <v>#N/A Connection</v>
      </c>
      <c r="BJ205" t="str">
        <f ca="1">_xll.BDP($B$54,$C$54,CONCATENATE("PX391=", $BJ$158), CONCATENATE("PX392=",$BJ$159), CONCATENATE("DS004=",$B$151), "Fill=B")</f>
        <v>#N/A Connection</v>
      </c>
      <c r="BK205" t="str">
        <f ca="1">_xll.BDP($B$54,$C$54,CONCATENATE("PX391=", $BK$158), CONCATENATE("PX392=",$BK$159), CONCATENATE("DS004=",$B$151), "Fill=B")</f>
        <v>#N/A Connection</v>
      </c>
      <c r="BL205" t="str">
        <f ca="1">_xll.BDP($B$54,$C$54,CONCATENATE("PX391=", $BL$158), CONCATENATE("PX392=",$BL$159), CONCATENATE("DS004=",$B$151), "Fill=B")</f>
        <v>#N/A Connection</v>
      </c>
      <c r="BM205" t="str">
        <f ca="1">_xll.BDP($B$54,$C$54,CONCATENATE("PX391=", $BM$158), CONCATENATE("PX392=",$BM$159), CONCATENATE("DS004=",$B$151), "Fill=B")</f>
        <v>#N/A Connection</v>
      </c>
      <c r="BN205" t="str">
        <f>""</f>
        <v/>
      </c>
      <c r="BO205" t="str">
        <f>""</f>
        <v/>
      </c>
      <c r="BP205" t="str">
        <f>""</f>
        <v/>
      </c>
      <c r="BQ205" t="str">
        <f>""</f>
        <v/>
      </c>
      <c r="BR205" t="str">
        <f>""</f>
        <v/>
      </c>
      <c r="BS205" t="str">
        <f>""</f>
        <v/>
      </c>
      <c r="BT205" t="str">
        <f>""</f>
        <v/>
      </c>
      <c r="BU205" t="str">
        <f>""</f>
        <v/>
      </c>
      <c r="BV205" t="str">
        <f>""</f>
        <v/>
      </c>
      <c r="BW205" t="str">
        <f>""</f>
        <v/>
      </c>
      <c r="BX205" t="str">
        <f>""</f>
        <v/>
      </c>
      <c r="BY205" t="str">
        <f>""</f>
        <v/>
      </c>
      <c r="BZ205" t="str">
        <f>""</f>
        <v/>
      </c>
      <c r="CA205" t="str">
        <f>""</f>
        <v/>
      </c>
      <c r="CB205" t="str">
        <f>""</f>
        <v/>
      </c>
      <c r="CC205" t="str">
        <f>""</f>
        <v/>
      </c>
      <c r="CD205" t="str">
        <f>""</f>
        <v/>
      </c>
      <c r="CE205" t="str">
        <f>""</f>
        <v/>
      </c>
      <c r="CF205" t="str">
        <f>""</f>
        <v/>
      </c>
      <c r="CG205" t="str">
        <f>""</f>
        <v/>
      </c>
      <c r="CH205" t="str">
        <f>""</f>
        <v/>
      </c>
      <c r="CI205" t="str">
        <f>""</f>
        <v/>
      </c>
      <c r="CJ205" t="str">
        <f>""</f>
        <v/>
      </c>
      <c r="CK205" t="str">
        <f>""</f>
        <v/>
      </c>
      <c r="CL205" t="str">
        <f>""</f>
        <v/>
      </c>
      <c r="CM205" t="str">
        <f>""</f>
        <v/>
      </c>
      <c r="CN205" t="str">
        <f>""</f>
        <v/>
      </c>
      <c r="CO205" t="str">
        <f>""</f>
        <v/>
      </c>
      <c r="CP205" t="str">
        <f>""</f>
        <v/>
      </c>
      <c r="CQ205" t="str">
        <f>""</f>
        <v/>
      </c>
      <c r="CR205" t="str">
        <f>""</f>
        <v/>
      </c>
      <c r="CS205" t="str">
        <f>""</f>
        <v/>
      </c>
      <c r="CT205" t="str">
        <f>""</f>
        <v/>
      </c>
      <c r="CU205" t="str">
        <f>""</f>
        <v/>
      </c>
      <c r="CV205" t="str">
        <f>""</f>
        <v/>
      </c>
      <c r="CW205" t="str">
        <f>""</f>
        <v/>
      </c>
      <c r="CX205" t="str">
        <f>""</f>
        <v/>
      </c>
      <c r="CY205" t="str">
        <f>""</f>
        <v/>
      </c>
      <c r="CZ205" t="str">
        <f>""</f>
        <v/>
      </c>
      <c r="DA205" t="str">
        <f>""</f>
        <v/>
      </c>
      <c r="DB205" t="str">
        <f>""</f>
        <v/>
      </c>
      <c r="DC205" t="str">
        <f>""</f>
        <v/>
      </c>
      <c r="DD205" t="str">
        <f>""</f>
        <v/>
      </c>
      <c r="DE205" t="str">
        <f>""</f>
        <v/>
      </c>
      <c r="DF205" t="str">
        <f>""</f>
        <v/>
      </c>
      <c r="DG205" t="str">
        <f>""</f>
        <v/>
      </c>
      <c r="DH205" t="str">
        <f>""</f>
        <v/>
      </c>
      <c r="DI205" t="str">
        <f>""</f>
        <v/>
      </c>
      <c r="DJ205" t="str">
        <f>""</f>
        <v/>
      </c>
      <c r="DK205" t="str">
        <f>""</f>
        <v/>
      </c>
      <c r="DL205" t="str">
        <f>""</f>
        <v/>
      </c>
      <c r="DM205" t="str">
        <f>""</f>
        <v/>
      </c>
      <c r="DN205" t="str">
        <f>""</f>
        <v/>
      </c>
      <c r="DO205" t="str">
        <f>""</f>
        <v/>
      </c>
      <c r="DP205" t="str">
        <f>""</f>
        <v/>
      </c>
      <c r="DQ205" t="str">
        <f>""</f>
        <v/>
      </c>
      <c r="DR205" t="str">
        <f>""</f>
        <v/>
      </c>
      <c r="DS205" t="str">
        <f>""</f>
        <v/>
      </c>
      <c r="DT205" t="str">
        <f>""</f>
        <v/>
      </c>
      <c r="DU205" t="str">
        <f>""</f>
        <v/>
      </c>
    </row>
    <row r="206" spans="1:125" x14ac:dyDescent="0.25">
      <c r="A206" t="str">
        <f>$A$55</f>
        <v xml:space="preserve">            Slovenia</v>
      </c>
      <c r="B206" t="str">
        <f>$B$55</f>
        <v>WCARSI Index</v>
      </c>
      <c r="C206" t="str">
        <f>$C$55</f>
        <v>PX385</v>
      </c>
      <c r="D206" t="str">
        <f>$D$55</f>
        <v>INTERVAL_SUM</v>
      </c>
      <c r="E206" t="str">
        <f>$E$55</f>
        <v>Dynamic</v>
      </c>
      <c r="F206" t="str">
        <f ca="1">_xll.BDP($B$55,$C$55,CONCATENATE("PX391=", $F$158), CONCATENATE("PX392=",$F$159), CONCATENATE("DS004=",$B$151), "Fill=B")</f>
        <v>#N/A Connection</v>
      </c>
      <c r="G206" t="str">
        <f ca="1">_xll.BDP($B$55,$C$55,CONCATENATE("PX391=", $G$158), CONCATENATE("PX392=",$G$159), CONCATENATE("DS004=",$B$151), "Fill=B")</f>
        <v>#N/A Connection</v>
      </c>
      <c r="H206" t="str">
        <f ca="1">_xll.BDP($B$55,$C$55,CONCATENATE("PX391=", $H$158), CONCATENATE("PX392=",$H$159), CONCATENATE("DS004=",$B$151), "Fill=B")</f>
        <v>#N/A Connection</v>
      </c>
      <c r="I206" t="str">
        <f ca="1">_xll.BDP($B$55,$C$55,CONCATENATE("PX391=", $I$158), CONCATENATE("PX392=",$I$159), CONCATENATE("DS004=",$B$151), "Fill=B")</f>
        <v>#N/A Connection</v>
      </c>
      <c r="J206" t="str">
        <f ca="1">_xll.BDP($B$55,$C$55,CONCATENATE("PX391=", $J$158), CONCATENATE("PX392=",$J$159), CONCATENATE("DS004=",$B$151), "Fill=B")</f>
        <v>#N/A Connection</v>
      </c>
      <c r="K206" t="str">
        <f ca="1">_xll.BDP($B$55,$C$55,CONCATENATE("PX391=", $K$158), CONCATENATE("PX392=",$K$159), CONCATENATE("DS004=",$B$151), "Fill=B")</f>
        <v>#N/A Connection</v>
      </c>
      <c r="L206" t="str">
        <f ca="1">_xll.BDP($B$55,$C$55,CONCATENATE("PX391=", $L$158), CONCATENATE("PX392=",$L$159), CONCATENATE("DS004=",$B$151), "Fill=B")</f>
        <v>#N/A Connection</v>
      </c>
      <c r="M206" t="str">
        <f ca="1">_xll.BDP($B$55,$C$55,CONCATENATE("PX391=", $M$158), CONCATENATE("PX392=",$M$159), CONCATENATE("DS004=",$B$151), "Fill=B")</f>
        <v>#N/A Connection</v>
      </c>
      <c r="N206" t="str">
        <f ca="1">_xll.BDP($B$55,$C$55,CONCATENATE("PX391=", $N$158), CONCATENATE("PX392=",$N$159), CONCATENATE("DS004=",$B$151), "Fill=B")</f>
        <v>#N/A Connection</v>
      </c>
      <c r="O206" t="str">
        <f ca="1">_xll.BDP($B$55,$C$55,CONCATENATE("PX391=", $O$158), CONCATENATE("PX392=",$O$159), CONCATENATE("DS004=",$B$151), "Fill=B")</f>
        <v>#N/A Connection</v>
      </c>
      <c r="P206" t="str">
        <f ca="1">_xll.BDP($B$55,$C$55,CONCATENATE("PX391=", $P$158), CONCATENATE("PX392=",$P$159), CONCATENATE("DS004=",$B$151), "Fill=B")</f>
        <v>#N/A Connection</v>
      </c>
      <c r="Q206" t="str">
        <f ca="1">_xll.BDP($B$55,$C$55,CONCATENATE("PX391=", $Q$158), CONCATENATE("PX392=",$Q$159), CONCATENATE("DS004=",$B$151), "Fill=B")</f>
        <v>#N/A Connection</v>
      </c>
      <c r="R206" t="str">
        <f ca="1">_xll.BDP($B$55,$C$55,CONCATENATE("PX391=", $R$158), CONCATENATE("PX392=",$R$159), CONCATENATE("DS004=",$B$151), "Fill=B")</f>
        <v>#N/A Connection</v>
      </c>
      <c r="S206" t="str">
        <f ca="1">_xll.BDP($B$55,$C$55,CONCATENATE("PX391=", $S$158), CONCATENATE("PX392=",$S$159), CONCATENATE("DS004=",$B$151), "Fill=B")</f>
        <v>#N/A Connection</v>
      </c>
      <c r="T206" t="str">
        <f ca="1">_xll.BDP($B$55,$C$55,CONCATENATE("PX391=", $T$158), CONCATENATE("PX392=",$T$159), CONCATENATE("DS004=",$B$151), "Fill=B")</f>
        <v>#N/A Connection</v>
      </c>
      <c r="U206" t="str">
        <f ca="1">_xll.BDP($B$55,$C$55,CONCATENATE("PX391=", $U$158), CONCATENATE("PX392=",$U$159), CONCATENATE("DS004=",$B$151), "Fill=B")</f>
        <v>#N/A Connection</v>
      </c>
      <c r="V206" t="str">
        <f ca="1">_xll.BDP($B$55,$C$55,CONCATENATE("PX391=", $V$158), CONCATENATE("PX392=",$V$159), CONCATENATE("DS004=",$B$151), "Fill=B")</f>
        <v>#N/A Connection</v>
      </c>
      <c r="W206" t="str">
        <f ca="1">_xll.BDP($B$55,$C$55,CONCATENATE("PX391=", $W$158), CONCATENATE("PX392=",$W$159), CONCATENATE("DS004=",$B$151), "Fill=B")</f>
        <v>#N/A Connection</v>
      </c>
      <c r="X206" t="str">
        <f ca="1">_xll.BDP($B$55,$C$55,CONCATENATE("PX391=", $X$158), CONCATENATE("PX392=",$X$159), CONCATENATE("DS004=",$B$151), "Fill=B")</f>
        <v>#N/A Connection</v>
      </c>
      <c r="Y206" t="str">
        <f ca="1">_xll.BDP($B$55,$C$55,CONCATENATE("PX391=", $Y$158), CONCATENATE("PX392=",$Y$159), CONCATENATE("DS004=",$B$151), "Fill=B")</f>
        <v>#N/A Connection</v>
      </c>
      <c r="Z206" t="str">
        <f ca="1">_xll.BDP($B$55,$C$55,CONCATENATE("PX391=", $Z$158), CONCATENATE("PX392=",$Z$159), CONCATENATE("DS004=",$B$151), "Fill=B")</f>
        <v>#N/A Connection</v>
      </c>
      <c r="AA206" t="str">
        <f ca="1">_xll.BDP($B$55,$C$55,CONCATENATE("PX391=", $AA$158), CONCATENATE("PX392=",$AA$159), CONCATENATE("DS004=",$B$151), "Fill=B")</f>
        <v>#N/A Connection</v>
      </c>
      <c r="AB206" t="str">
        <f ca="1">_xll.BDP($B$55,$C$55,CONCATENATE("PX391=", $AB$158), CONCATENATE("PX392=",$AB$159), CONCATENATE("DS004=",$B$151), "Fill=B")</f>
        <v>#N/A Connection</v>
      </c>
      <c r="AC206" t="str">
        <f ca="1">_xll.BDP($B$55,$C$55,CONCATENATE("PX391=", $AC$158), CONCATENATE("PX392=",$AC$159), CONCATENATE("DS004=",$B$151), "Fill=B")</f>
        <v>#N/A Connection</v>
      </c>
      <c r="AD206" t="str">
        <f ca="1">_xll.BDP($B$55,$C$55,CONCATENATE("PX391=", $AD$158), CONCATENATE("PX392=",$AD$159), CONCATENATE("DS004=",$B$151), "Fill=B")</f>
        <v>#N/A Connection</v>
      </c>
      <c r="AE206" t="str">
        <f ca="1">_xll.BDP($B$55,$C$55,CONCATENATE("PX391=", $AE$158), CONCATENATE("PX392=",$AE$159), CONCATENATE("DS004=",$B$151), "Fill=B")</f>
        <v>#N/A Connection</v>
      </c>
      <c r="AF206" t="str">
        <f ca="1">_xll.BDP($B$55,$C$55,CONCATENATE("PX391=", $AF$158), CONCATENATE("PX392=",$AF$159), CONCATENATE("DS004=",$B$151), "Fill=B")</f>
        <v>#N/A Connection</v>
      </c>
      <c r="AG206" t="str">
        <f ca="1">_xll.BDP($B$55,$C$55,CONCATENATE("PX391=", $AG$158), CONCATENATE("PX392=",$AG$159), CONCATENATE("DS004=",$B$151), "Fill=B")</f>
        <v>#N/A Connection</v>
      </c>
      <c r="AH206" t="str">
        <f ca="1">_xll.BDP($B$55,$C$55,CONCATENATE("PX391=", $AH$158), CONCATENATE("PX392=",$AH$159), CONCATENATE("DS004=",$B$151), "Fill=B")</f>
        <v>#N/A Connection</v>
      </c>
      <c r="AI206" t="str">
        <f ca="1">_xll.BDP($B$55,$C$55,CONCATENATE("PX391=", $AI$158), CONCATENATE("PX392=",$AI$159), CONCATENATE("DS004=",$B$151), "Fill=B")</f>
        <v>#N/A Connection</v>
      </c>
      <c r="AJ206" t="str">
        <f ca="1">_xll.BDP($B$55,$C$55,CONCATENATE("PX391=", $AJ$158), CONCATENATE("PX392=",$AJ$159), CONCATENATE("DS004=",$B$151), "Fill=B")</f>
        <v>#N/A Connection</v>
      </c>
      <c r="AK206" t="str">
        <f ca="1">_xll.BDP($B$55,$C$55,CONCATENATE("PX391=", $AK$158), CONCATENATE("PX392=",$AK$159), CONCATENATE("DS004=",$B$151), "Fill=B")</f>
        <v>#N/A Connection</v>
      </c>
      <c r="AL206" t="str">
        <f ca="1">_xll.BDP($B$55,$C$55,CONCATENATE("PX391=", $AL$158), CONCATENATE("PX392=",$AL$159), CONCATENATE("DS004=",$B$151), "Fill=B")</f>
        <v>#N/A Connection</v>
      </c>
      <c r="AM206" t="str">
        <f ca="1">_xll.BDP($B$55,$C$55,CONCATENATE("PX391=", $AM$158), CONCATENATE("PX392=",$AM$159), CONCATENATE("DS004=",$B$151), "Fill=B")</f>
        <v>#N/A Connection</v>
      </c>
      <c r="AN206" t="str">
        <f ca="1">_xll.BDP($B$55,$C$55,CONCATENATE("PX391=", $AN$158), CONCATENATE("PX392=",$AN$159), CONCATENATE("DS004=",$B$151), "Fill=B")</f>
        <v>#N/A Connection</v>
      </c>
      <c r="AO206" t="str">
        <f ca="1">_xll.BDP($B$55,$C$55,CONCATENATE("PX391=", $AO$158), CONCATENATE("PX392=",$AO$159), CONCATENATE("DS004=",$B$151), "Fill=B")</f>
        <v>#N/A Connection</v>
      </c>
      <c r="AP206" t="str">
        <f ca="1">_xll.BDP($B$55,$C$55,CONCATENATE("PX391=", $AP$158), CONCATENATE("PX392=",$AP$159), CONCATENATE("DS004=",$B$151), "Fill=B")</f>
        <v>#N/A Connection</v>
      </c>
      <c r="AQ206" t="str">
        <f ca="1">_xll.BDP($B$55,$C$55,CONCATENATE("PX391=", $AQ$158), CONCATENATE("PX392=",$AQ$159), CONCATENATE("DS004=",$B$151), "Fill=B")</f>
        <v>#N/A Connection</v>
      </c>
      <c r="AR206" t="str">
        <f ca="1">_xll.BDP($B$55,$C$55,CONCATENATE("PX391=", $AR$158), CONCATENATE("PX392=",$AR$159), CONCATENATE("DS004=",$B$151), "Fill=B")</f>
        <v>#N/A Connection</v>
      </c>
      <c r="AS206" t="str">
        <f ca="1">_xll.BDP($B$55,$C$55,CONCATENATE("PX391=", $AS$158), CONCATENATE("PX392=",$AS$159), CONCATENATE("DS004=",$B$151), "Fill=B")</f>
        <v>#N/A Connection</v>
      </c>
      <c r="AT206" t="str">
        <f ca="1">_xll.BDP($B$55,$C$55,CONCATENATE("PX391=", $AT$158), CONCATENATE("PX392=",$AT$159), CONCATENATE("DS004=",$B$151), "Fill=B")</f>
        <v>#N/A Connection</v>
      </c>
      <c r="AU206" t="str">
        <f ca="1">_xll.BDP($B$55,$C$55,CONCATENATE("PX391=", $AU$158), CONCATENATE("PX392=",$AU$159), CONCATENATE("DS004=",$B$151), "Fill=B")</f>
        <v>#N/A Connection</v>
      </c>
      <c r="AV206" t="str">
        <f ca="1">_xll.BDP($B$55,$C$55,CONCATENATE("PX391=", $AV$158), CONCATENATE("PX392=",$AV$159), CONCATENATE("DS004=",$B$151), "Fill=B")</f>
        <v>#N/A Connection</v>
      </c>
      <c r="AW206" t="str">
        <f ca="1">_xll.BDP($B$55,$C$55,CONCATENATE("PX391=", $AW$158), CONCATENATE("PX392=",$AW$159), CONCATENATE("DS004=",$B$151), "Fill=B")</f>
        <v>#N/A Connection</v>
      </c>
      <c r="AX206" t="str">
        <f ca="1">_xll.BDP($B$55,$C$55,CONCATENATE("PX391=", $AX$158), CONCATENATE("PX392=",$AX$159), CONCATENATE("DS004=",$B$151), "Fill=B")</f>
        <v>#N/A Connection</v>
      </c>
      <c r="AY206" t="str">
        <f ca="1">_xll.BDP($B$55,$C$55,CONCATENATE("PX391=", $AY$158), CONCATENATE("PX392=",$AY$159), CONCATENATE("DS004=",$B$151), "Fill=B")</f>
        <v>#N/A Connection</v>
      </c>
      <c r="AZ206" t="str">
        <f ca="1">_xll.BDP($B$55,$C$55,CONCATENATE("PX391=", $AZ$158), CONCATENATE("PX392=",$AZ$159), CONCATENATE("DS004=",$B$151), "Fill=B")</f>
        <v>#N/A Connection</v>
      </c>
      <c r="BA206" t="str">
        <f ca="1">_xll.BDP($B$55,$C$55,CONCATENATE("PX391=", $BA$158), CONCATENATE("PX392=",$BA$159), CONCATENATE("DS004=",$B$151), "Fill=B")</f>
        <v>#N/A Connection</v>
      </c>
      <c r="BB206" t="str">
        <f ca="1">_xll.BDP($B$55,$C$55,CONCATENATE("PX391=", $BB$158), CONCATENATE("PX392=",$BB$159), CONCATENATE("DS004=",$B$151), "Fill=B")</f>
        <v>#N/A Connection</v>
      </c>
      <c r="BC206" t="str">
        <f ca="1">_xll.BDP($B$55,$C$55,CONCATENATE("PX391=", $BC$158), CONCATENATE("PX392=",$BC$159), CONCATENATE("DS004=",$B$151), "Fill=B")</f>
        <v>#N/A Connection</v>
      </c>
      <c r="BD206" t="str">
        <f ca="1">_xll.BDP($B$55,$C$55,CONCATENATE("PX391=", $BD$158), CONCATENATE("PX392=",$BD$159), CONCATENATE("DS004=",$B$151), "Fill=B")</f>
        <v>#N/A Connection</v>
      </c>
      <c r="BE206" t="str">
        <f ca="1">_xll.BDP($B$55,$C$55,CONCATENATE("PX391=", $BE$158), CONCATENATE("PX392=",$BE$159), CONCATENATE("DS004=",$B$151), "Fill=B")</f>
        <v>#N/A Connection</v>
      </c>
      <c r="BF206" t="str">
        <f ca="1">_xll.BDP($B$55,$C$55,CONCATENATE("PX391=", $BF$158), CONCATENATE("PX392=",$BF$159), CONCATENATE("DS004=",$B$151), "Fill=B")</f>
        <v>#N/A Connection</v>
      </c>
      <c r="BG206" t="str">
        <f ca="1">_xll.BDP($B$55,$C$55,CONCATENATE("PX391=", $BG$158), CONCATENATE("PX392=",$BG$159), CONCATENATE("DS004=",$B$151), "Fill=B")</f>
        <v>#N/A Connection</v>
      </c>
      <c r="BH206" t="str">
        <f ca="1">_xll.BDP($B$55,$C$55,CONCATENATE("PX391=", $BH$158), CONCATENATE("PX392=",$BH$159), CONCATENATE("DS004=",$B$151), "Fill=B")</f>
        <v>#N/A Connection</v>
      </c>
      <c r="BI206" t="str">
        <f ca="1">_xll.BDP($B$55,$C$55,CONCATENATE("PX391=", $BI$158), CONCATENATE("PX392=",$BI$159), CONCATENATE("DS004=",$B$151), "Fill=B")</f>
        <v>#N/A Connection</v>
      </c>
      <c r="BJ206" t="str">
        <f ca="1">_xll.BDP($B$55,$C$55,CONCATENATE("PX391=", $BJ$158), CONCATENATE("PX392=",$BJ$159), CONCATENATE("DS004=",$B$151), "Fill=B")</f>
        <v>#N/A Connection</v>
      </c>
      <c r="BK206" t="str">
        <f ca="1">_xll.BDP($B$55,$C$55,CONCATENATE("PX391=", $BK$158), CONCATENATE("PX392=",$BK$159), CONCATENATE("DS004=",$B$151), "Fill=B")</f>
        <v>#N/A Connection</v>
      </c>
      <c r="BL206" t="str">
        <f ca="1">_xll.BDP($B$55,$C$55,CONCATENATE("PX391=", $BL$158), CONCATENATE("PX392=",$BL$159), CONCATENATE("DS004=",$B$151), "Fill=B")</f>
        <v>#N/A Connection</v>
      </c>
      <c r="BM206" t="str">
        <f ca="1">_xll.BDP($B$55,$C$55,CONCATENATE("PX391=", $BM$158), CONCATENATE("PX392=",$BM$159), CONCATENATE("DS004=",$B$151), "Fill=B")</f>
        <v>#N/A Connection</v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  <c r="BT206" t="str">
        <f>""</f>
        <v/>
      </c>
      <c r="BU206" t="str">
        <f>""</f>
        <v/>
      </c>
      <c r="BV206" t="str">
        <f>""</f>
        <v/>
      </c>
      <c r="BW206" t="str">
        <f>""</f>
        <v/>
      </c>
      <c r="BX206" t="str">
        <f>""</f>
        <v/>
      </c>
      <c r="BY206" t="str">
        <f>""</f>
        <v/>
      </c>
      <c r="BZ206" t="str">
        <f>""</f>
        <v/>
      </c>
      <c r="CA206" t="str">
        <f>""</f>
        <v/>
      </c>
      <c r="CB206" t="str">
        <f>""</f>
        <v/>
      </c>
      <c r="CC206" t="str">
        <f>""</f>
        <v/>
      </c>
      <c r="CD206" t="str">
        <f>""</f>
        <v/>
      </c>
      <c r="CE206" t="str">
        <f>""</f>
        <v/>
      </c>
      <c r="CF206" t="str">
        <f>""</f>
        <v/>
      </c>
      <c r="CG206" t="str">
        <f>""</f>
        <v/>
      </c>
      <c r="CH206" t="str">
        <f>""</f>
        <v/>
      </c>
      <c r="CI206" t="str">
        <f>""</f>
        <v/>
      </c>
      <c r="CJ206" t="str">
        <f>""</f>
        <v/>
      </c>
      <c r="CK206" t="str">
        <f>""</f>
        <v/>
      </c>
      <c r="CL206" t="str">
        <f>""</f>
        <v/>
      </c>
      <c r="CM206" t="str">
        <f>""</f>
        <v/>
      </c>
      <c r="CN206" t="str">
        <f>""</f>
        <v/>
      </c>
      <c r="CO206" t="str">
        <f>""</f>
        <v/>
      </c>
      <c r="CP206" t="str">
        <f>""</f>
        <v/>
      </c>
      <c r="CQ206" t="str">
        <f>""</f>
        <v/>
      </c>
      <c r="CR206" t="str">
        <f>""</f>
        <v/>
      </c>
      <c r="CS206" t="str">
        <f>""</f>
        <v/>
      </c>
      <c r="CT206" t="str">
        <f>""</f>
        <v/>
      </c>
      <c r="CU206" t="str">
        <f>""</f>
        <v/>
      </c>
      <c r="CV206" t="str">
        <f>""</f>
        <v/>
      </c>
      <c r="CW206" t="str">
        <f>""</f>
        <v/>
      </c>
      <c r="CX206" t="str">
        <f>""</f>
        <v/>
      </c>
      <c r="CY206" t="str">
        <f>""</f>
        <v/>
      </c>
      <c r="CZ206" t="str">
        <f>""</f>
        <v/>
      </c>
      <c r="DA206" t="str">
        <f>""</f>
        <v/>
      </c>
      <c r="DB206" t="str">
        <f>""</f>
        <v/>
      </c>
      <c r="DC206" t="str">
        <f>""</f>
        <v/>
      </c>
      <c r="DD206" t="str">
        <f>""</f>
        <v/>
      </c>
      <c r="DE206" t="str">
        <f>""</f>
        <v/>
      </c>
      <c r="DF206" t="str">
        <f>""</f>
        <v/>
      </c>
      <c r="DG206" t="str">
        <f>""</f>
        <v/>
      </c>
      <c r="DH206" t="str">
        <f>""</f>
        <v/>
      </c>
      <c r="DI206" t="str">
        <f>""</f>
        <v/>
      </c>
      <c r="DJ206" t="str">
        <f>""</f>
        <v/>
      </c>
      <c r="DK206" t="str">
        <f>""</f>
        <v/>
      </c>
      <c r="DL206" t="str">
        <f>""</f>
        <v/>
      </c>
      <c r="DM206" t="str">
        <f>""</f>
        <v/>
      </c>
      <c r="DN206" t="str">
        <f>""</f>
        <v/>
      </c>
      <c r="DO206" t="str">
        <f>""</f>
        <v/>
      </c>
      <c r="DP206" t="str">
        <f>""</f>
        <v/>
      </c>
      <c r="DQ206" t="str">
        <f>""</f>
        <v/>
      </c>
      <c r="DR206" t="str">
        <f>""</f>
        <v/>
      </c>
      <c r="DS206" t="str">
        <f>""</f>
        <v/>
      </c>
      <c r="DT206" t="str">
        <f>""</f>
        <v/>
      </c>
      <c r="DU206" t="str">
        <f>""</f>
        <v/>
      </c>
    </row>
    <row r="207" spans="1:125" x14ac:dyDescent="0.25">
      <c r="A207" t="str">
        <f>$A$58</f>
        <v xml:space="preserve">        Mexico</v>
      </c>
      <c r="B207" t="str">
        <f>$B$58</f>
        <v>MXVHTOTL Index</v>
      </c>
      <c r="C207" t="str">
        <f>$C$58</f>
        <v>PX385</v>
      </c>
      <c r="D207" t="str">
        <f>$D$58</f>
        <v>INTERVAL_SUM</v>
      </c>
      <c r="E207" t="str">
        <f>$E$58</f>
        <v>Dynamic</v>
      </c>
      <c r="F207" t="str">
        <f ca="1">_xll.BDP($B$58,$C$58,CONCATENATE("PX391=", $F$158), CONCATENATE("PX392=",$F$159), CONCATENATE("DS004=",$B$151), "Fill=B")</f>
        <v>#N/A Connection</v>
      </c>
      <c r="G207" t="str">
        <f ca="1">_xll.BDP($B$58,$C$58,CONCATENATE("PX391=", $G$158), CONCATENATE("PX392=",$G$159), CONCATENATE("DS004=",$B$151), "Fill=B")</f>
        <v>#N/A Connection</v>
      </c>
      <c r="H207" t="str">
        <f ca="1">_xll.BDP($B$58,$C$58,CONCATENATE("PX391=", $H$158), CONCATENATE("PX392=",$H$159), CONCATENATE("DS004=",$B$151), "Fill=B")</f>
        <v>#N/A Connection</v>
      </c>
      <c r="I207" t="str">
        <f ca="1">_xll.BDP($B$58,$C$58,CONCATENATE("PX391=", $I$158), CONCATENATE("PX392=",$I$159), CONCATENATE("DS004=",$B$151), "Fill=B")</f>
        <v>#N/A Connection</v>
      </c>
      <c r="J207" t="str">
        <f ca="1">_xll.BDP($B$58,$C$58,CONCATENATE("PX391=", $J$158), CONCATENATE("PX392=",$J$159), CONCATENATE("DS004=",$B$151), "Fill=B")</f>
        <v>#N/A Connection</v>
      </c>
      <c r="K207" t="str">
        <f ca="1">_xll.BDP($B$58,$C$58,CONCATENATE("PX391=", $K$158), CONCATENATE("PX392=",$K$159), CONCATENATE("DS004=",$B$151), "Fill=B")</f>
        <v>#N/A Connection</v>
      </c>
      <c r="L207" t="str">
        <f ca="1">_xll.BDP($B$58,$C$58,CONCATENATE("PX391=", $L$158), CONCATENATE("PX392=",$L$159), CONCATENATE("DS004=",$B$151), "Fill=B")</f>
        <v>#N/A Connection</v>
      </c>
      <c r="M207" t="str">
        <f ca="1">_xll.BDP($B$58,$C$58,CONCATENATE("PX391=", $M$158), CONCATENATE("PX392=",$M$159), CONCATENATE("DS004=",$B$151), "Fill=B")</f>
        <v>#N/A Connection</v>
      </c>
      <c r="N207" t="str">
        <f ca="1">_xll.BDP($B$58,$C$58,CONCATENATE("PX391=", $N$158), CONCATENATE("PX392=",$N$159), CONCATENATE("DS004=",$B$151), "Fill=B")</f>
        <v>#N/A Connection</v>
      </c>
      <c r="O207" t="str">
        <f ca="1">_xll.BDP($B$58,$C$58,CONCATENATE("PX391=", $O$158), CONCATENATE("PX392=",$O$159), CONCATENATE("DS004=",$B$151), "Fill=B")</f>
        <v>#N/A Connection</v>
      </c>
      <c r="P207" t="str">
        <f ca="1">_xll.BDP($B$58,$C$58,CONCATENATE("PX391=", $P$158), CONCATENATE("PX392=",$P$159), CONCATENATE("DS004=",$B$151), "Fill=B")</f>
        <v>#N/A Connection</v>
      </c>
      <c r="Q207" t="str">
        <f ca="1">_xll.BDP($B$58,$C$58,CONCATENATE("PX391=", $Q$158), CONCATENATE("PX392=",$Q$159), CONCATENATE("DS004=",$B$151), "Fill=B")</f>
        <v>#N/A Connection</v>
      </c>
      <c r="R207" t="str">
        <f ca="1">_xll.BDP($B$58,$C$58,CONCATENATE("PX391=", $R$158), CONCATENATE("PX392=",$R$159), CONCATENATE("DS004=",$B$151), "Fill=B")</f>
        <v>#N/A Connection</v>
      </c>
      <c r="S207" t="str">
        <f ca="1">_xll.BDP($B$58,$C$58,CONCATENATE("PX391=", $S$158), CONCATENATE("PX392=",$S$159), CONCATENATE("DS004=",$B$151), "Fill=B")</f>
        <v>#N/A Connection</v>
      </c>
      <c r="T207" t="str">
        <f ca="1">_xll.BDP($B$58,$C$58,CONCATENATE("PX391=", $T$158), CONCATENATE("PX392=",$T$159), CONCATENATE("DS004=",$B$151), "Fill=B")</f>
        <v>#N/A Connection</v>
      </c>
      <c r="U207" t="str">
        <f ca="1">_xll.BDP($B$58,$C$58,CONCATENATE("PX391=", $U$158), CONCATENATE("PX392=",$U$159), CONCATENATE("DS004=",$B$151), "Fill=B")</f>
        <v>#N/A Connection</v>
      </c>
      <c r="V207" t="str">
        <f ca="1">_xll.BDP($B$58,$C$58,CONCATENATE("PX391=", $V$158), CONCATENATE("PX392=",$V$159), CONCATENATE("DS004=",$B$151), "Fill=B")</f>
        <v>#N/A Connection</v>
      </c>
      <c r="W207" t="str">
        <f ca="1">_xll.BDP($B$58,$C$58,CONCATENATE("PX391=", $W$158), CONCATENATE("PX392=",$W$159), CONCATENATE("DS004=",$B$151), "Fill=B")</f>
        <v>#N/A Connection</v>
      </c>
      <c r="X207" t="str">
        <f ca="1">_xll.BDP($B$58,$C$58,CONCATENATE("PX391=", $X$158), CONCATENATE("PX392=",$X$159), CONCATENATE("DS004=",$B$151), "Fill=B")</f>
        <v>#N/A Connection</v>
      </c>
      <c r="Y207" t="str">
        <f ca="1">_xll.BDP($B$58,$C$58,CONCATENATE("PX391=", $Y$158), CONCATENATE("PX392=",$Y$159), CONCATENATE("DS004=",$B$151), "Fill=B")</f>
        <v>#N/A Connection</v>
      </c>
      <c r="Z207" t="str">
        <f ca="1">_xll.BDP($B$58,$C$58,CONCATENATE("PX391=", $Z$158), CONCATENATE("PX392=",$Z$159), CONCATENATE("DS004=",$B$151), "Fill=B")</f>
        <v>#N/A Connection</v>
      </c>
      <c r="AA207" t="str">
        <f ca="1">_xll.BDP($B$58,$C$58,CONCATENATE("PX391=", $AA$158), CONCATENATE("PX392=",$AA$159), CONCATENATE("DS004=",$B$151), "Fill=B")</f>
        <v>#N/A Connection</v>
      </c>
      <c r="AB207" t="str">
        <f ca="1">_xll.BDP($B$58,$C$58,CONCATENATE("PX391=", $AB$158), CONCATENATE("PX392=",$AB$159), CONCATENATE("DS004=",$B$151), "Fill=B")</f>
        <v>#N/A Connection</v>
      </c>
      <c r="AC207" t="str">
        <f ca="1">_xll.BDP($B$58,$C$58,CONCATENATE("PX391=", $AC$158), CONCATENATE("PX392=",$AC$159), CONCATENATE("DS004=",$B$151), "Fill=B")</f>
        <v>#N/A Connection</v>
      </c>
      <c r="AD207" t="str">
        <f ca="1">_xll.BDP($B$58,$C$58,CONCATENATE("PX391=", $AD$158), CONCATENATE("PX392=",$AD$159), CONCATENATE("DS004=",$B$151), "Fill=B")</f>
        <v>#N/A Connection</v>
      </c>
      <c r="AE207" t="str">
        <f ca="1">_xll.BDP($B$58,$C$58,CONCATENATE("PX391=", $AE$158), CONCATENATE("PX392=",$AE$159), CONCATENATE("DS004=",$B$151), "Fill=B")</f>
        <v>#N/A Connection</v>
      </c>
      <c r="AF207" t="str">
        <f ca="1">_xll.BDP($B$58,$C$58,CONCATENATE("PX391=", $AF$158), CONCATENATE("PX392=",$AF$159), CONCATENATE("DS004=",$B$151), "Fill=B")</f>
        <v>#N/A Connection</v>
      </c>
      <c r="AG207" t="str">
        <f ca="1">_xll.BDP($B$58,$C$58,CONCATENATE("PX391=", $AG$158), CONCATENATE("PX392=",$AG$159), CONCATENATE("DS004=",$B$151), "Fill=B")</f>
        <v>#N/A Connection</v>
      </c>
      <c r="AH207" t="str">
        <f ca="1">_xll.BDP($B$58,$C$58,CONCATENATE("PX391=", $AH$158), CONCATENATE("PX392=",$AH$159), CONCATENATE("DS004=",$B$151), "Fill=B")</f>
        <v>#N/A Connection</v>
      </c>
      <c r="AI207" t="str">
        <f ca="1">_xll.BDP($B$58,$C$58,CONCATENATE("PX391=", $AI$158), CONCATENATE("PX392=",$AI$159), CONCATENATE("DS004=",$B$151), "Fill=B")</f>
        <v>#N/A Connection</v>
      </c>
      <c r="AJ207" t="str">
        <f ca="1">_xll.BDP($B$58,$C$58,CONCATENATE("PX391=", $AJ$158), CONCATENATE("PX392=",$AJ$159), CONCATENATE("DS004=",$B$151), "Fill=B")</f>
        <v>#N/A Connection</v>
      </c>
      <c r="AK207" t="str">
        <f ca="1">_xll.BDP($B$58,$C$58,CONCATENATE("PX391=", $AK$158), CONCATENATE("PX392=",$AK$159), CONCATENATE("DS004=",$B$151), "Fill=B")</f>
        <v>#N/A Connection</v>
      </c>
      <c r="AL207" t="str">
        <f ca="1">_xll.BDP($B$58,$C$58,CONCATENATE("PX391=", $AL$158), CONCATENATE("PX392=",$AL$159), CONCATENATE("DS004=",$B$151), "Fill=B")</f>
        <v>#N/A Connection</v>
      </c>
      <c r="AM207" t="str">
        <f ca="1">_xll.BDP($B$58,$C$58,CONCATENATE("PX391=", $AM$158), CONCATENATE("PX392=",$AM$159), CONCATENATE("DS004=",$B$151), "Fill=B")</f>
        <v>#N/A Connection</v>
      </c>
      <c r="AN207" t="str">
        <f ca="1">_xll.BDP($B$58,$C$58,CONCATENATE("PX391=", $AN$158), CONCATENATE("PX392=",$AN$159), CONCATENATE("DS004=",$B$151), "Fill=B")</f>
        <v>#N/A Connection</v>
      </c>
      <c r="AO207" t="str">
        <f ca="1">_xll.BDP($B$58,$C$58,CONCATENATE("PX391=", $AO$158), CONCATENATE("PX392=",$AO$159), CONCATENATE("DS004=",$B$151), "Fill=B")</f>
        <v>#N/A Connection</v>
      </c>
      <c r="AP207" t="str">
        <f ca="1">_xll.BDP($B$58,$C$58,CONCATENATE("PX391=", $AP$158), CONCATENATE("PX392=",$AP$159), CONCATENATE("DS004=",$B$151), "Fill=B")</f>
        <v>#N/A Connection</v>
      </c>
      <c r="AQ207" t="str">
        <f ca="1">_xll.BDP($B$58,$C$58,CONCATENATE("PX391=", $AQ$158), CONCATENATE("PX392=",$AQ$159), CONCATENATE("DS004=",$B$151), "Fill=B")</f>
        <v>#N/A Connection</v>
      </c>
      <c r="AR207" t="str">
        <f ca="1">_xll.BDP($B$58,$C$58,CONCATENATE("PX391=", $AR$158), CONCATENATE("PX392=",$AR$159), CONCATENATE("DS004=",$B$151), "Fill=B")</f>
        <v>#N/A Connection</v>
      </c>
      <c r="AS207" t="str">
        <f ca="1">_xll.BDP($B$58,$C$58,CONCATENATE("PX391=", $AS$158), CONCATENATE("PX392=",$AS$159), CONCATENATE("DS004=",$B$151), "Fill=B")</f>
        <v>#N/A Connection</v>
      </c>
      <c r="AT207" t="str">
        <f ca="1">_xll.BDP($B$58,$C$58,CONCATENATE("PX391=", $AT$158), CONCATENATE("PX392=",$AT$159), CONCATENATE("DS004=",$B$151), "Fill=B")</f>
        <v>#N/A Connection</v>
      </c>
      <c r="AU207" t="str">
        <f ca="1">_xll.BDP($B$58,$C$58,CONCATENATE("PX391=", $AU$158), CONCATENATE("PX392=",$AU$159), CONCATENATE("DS004=",$B$151), "Fill=B")</f>
        <v>#N/A Connection</v>
      </c>
      <c r="AV207" t="str">
        <f ca="1">_xll.BDP($B$58,$C$58,CONCATENATE("PX391=", $AV$158), CONCATENATE("PX392=",$AV$159), CONCATENATE("DS004=",$B$151), "Fill=B")</f>
        <v>#N/A Connection</v>
      </c>
      <c r="AW207" t="str">
        <f ca="1">_xll.BDP($B$58,$C$58,CONCATENATE("PX391=", $AW$158), CONCATENATE("PX392=",$AW$159), CONCATENATE("DS004=",$B$151), "Fill=B")</f>
        <v>#N/A Connection</v>
      </c>
      <c r="AX207" t="str">
        <f ca="1">_xll.BDP($B$58,$C$58,CONCATENATE("PX391=", $AX$158), CONCATENATE("PX392=",$AX$159), CONCATENATE("DS004=",$B$151), "Fill=B")</f>
        <v>#N/A Connection</v>
      </c>
      <c r="AY207" t="str">
        <f ca="1">_xll.BDP($B$58,$C$58,CONCATENATE("PX391=", $AY$158), CONCATENATE("PX392=",$AY$159), CONCATENATE("DS004=",$B$151), "Fill=B")</f>
        <v>#N/A Connection</v>
      </c>
      <c r="AZ207" t="str">
        <f ca="1">_xll.BDP($B$58,$C$58,CONCATENATE("PX391=", $AZ$158), CONCATENATE("PX392=",$AZ$159), CONCATENATE("DS004=",$B$151), "Fill=B")</f>
        <v>#N/A Connection</v>
      </c>
      <c r="BA207" t="str">
        <f ca="1">_xll.BDP($B$58,$C$58,CONCATENATE("PX391=", $BA$158), CONCATENATE("PX392=",$BA$159), CONCATENATE("DS004=",$B$151), "Fill=B")</f>
        <v>#N/A Connection</v>
      </c>
      <c r="BB207" t="str">
        <f ca="1">_xll.BDP($B$58,$C$58,CONCATENATE("PX391=", $BB$158), CONCATENATE("PX392=",$BB$159), CONCATENATE("DS004=",$B$151), "Fill=B")</f>
        <v>#N/A Connection</v>
      </c>
      <c r="BC207" t="str">
        <f ca="1">_xll.BDP($B$58,$C$58,CONCATENATE("PX391=", $BC$158), CONCATENATE("PX392=",$BC$159), CONCATENATE("DS004=",$B$151), "Fill=B")</f>
        <v>#N/A Connection</v>
      </c>
      <c r="BD207" t="str">
        <f ca="1">_xll.BDP($B$58,$C$58,CONCATENATE("PX391=", $BD$158), CONCATENATE("PX392=",$BD$159), CONCATENATE("DS004=",$B$151), "Fill=B")</f>
        <v>#N/A Connection</v>
      </c>
      <c r="BE207" t="str">
        <f ca="1">_xll.BDP($B$58,$C$58,CONCATENATE("PX391=", $BE$158), CONCATENATE("PX392=",$BE$159), CONCATENATE("DS004=",$B$151), "Fill=B")</f>
        <v>#N/A Connection</v>
      </c>
      <c r="BF207" t="str">
        <f ca="1">_xll.BDP($B$58,$C$58,CONCATENATE("PX391=", $BF$158), CONCATENATE("PX392=",$BF$159), CONCATENATE("DS004=",$B$151), "Fill=B")</f>
        <v>#N/A Connection</v>
      </c>
      <c r="BG207" t="str">
        <f ca="1">_xll.BDP($B$58,$C$58,CONCATENATE("PX391=", $BG$158), CONCATENATE("PX392=",$BG$159), CONCATENATE("DS004=",$B$151), "Fill=B")</f>
        <v>#N/A Connection</v>
      </c>
      <c r="BH207" t="str">
        <f ca="1">_xll.BDP($B$58,$C$58,CONCATENATE("PX391=", $BH$158), CONCATENATE("PX392=",$BH$159), CONCATENATE("DS004=",$B$151), "Fill=B")</f>
        <v>#N/A Connection</v>
      </c>
      <c r="BI207" t="str">
        <f ca="1">_xll.BDP($B$58,$C$58,CONCATENATE("PX391=", $BI$158), CONCATENATE("PX392=",$BI$159), CONCATENATE("DS004=",$B$151), "Fill=B")</f>
        <v>#N/A Connection</v>
      </c>
      <c r="BJ207" t="str">
        <f ca="1">_xll.BDP($B$58,$C$58,CONCATENATE("PX391=", $BJ$158), CONCATENATE("PX392=",$BJ$159), CONCATENATE("DS004=",$B$151), "Fill=B")</f>
        <v>#N/A Connection</v>
      </c>
      <c r="BK207" t="str">
        <f ca="1">_xll.BDP($B$58,$C$58,CONCATENATE("PX391=", $BK$158), CONCATENATE("PX392=",$BK$159), CONCATENATE("DS004=",$B$151), "Fill=B")</f>
        <v>#N/A Connection</v>
      </c>
      <c r="BL207" t="str">
        <f ca="1">_xll.BDP($B$58,$C$58,CONCATENATE("PX391=", $BL$158), CONCATENATE("PX392=",$BL$159), CONCATENATE("DS004=",$B$151), "Fill=B")</f>
        <v>#N/A Connection</v>
      </c>
      <c r="BM207" t="str">
        <f ca="1">_xll.BDP($B$58,$C$58,CONCATENATE("PX391=", $BM$158), CONCATENATE("PX392=",$BM$159), CONCATENATE("DS004=",$B$151), "Fill=B")</f>
        <v>#N/A Connection</v>
      </c>
      <c r="BN207" t="str">
        <f>""</f>
        <v/>
      </c>
      <c r="BO207" t="str">
        <f>""</f>
        <v/>
      </c>
      <c r="BP207" t="str">
        <f>""</f>
        <v/>
      </c>
      <c r="BQ207" t="str">
        <f>""</f>
        <v/>
      </c>
      <c r="BR207" t="str">
        <f>""</f>
        <v/>
      </c>
      <c r="BS207" t="str">
        <f>""</f>
        <v/>
      </c>
      <c r="BT207" t="str">
        <f>""</f>
        <v/>
      </c>
      <c r="BU207" t="str">
        <f>""</f>
        <v/>
      </c>
      <c r="BV207" t="str">
        <f>""</f>
        <v/>
      </c>
      <c r="BW207" t="str">
        <f>""</f>
        <v/>
      </c>
      <c r="BX207" t="str">
        <f>""</f>
        <v/>
      </c>
      <c r="BY207" t="str">
        <f>""</f>
        <v/>
      </c>
      <c r="BZ207" t="str">
        <f>""</f>
        <v/>
      </c>
      <c r="CA207" t="str">
        <f>""</f>
        <v/>
      </c>
      <c r="CB207" t="str">
        <f>""</f>
        <v/>
      </c>
      <c r="CC207" t="str">
        <f>""</f>
        <v/>
      </c>
      <c r="CD207" t="str">
        <f>""</f>
        <v/>
      </c>
      <c r="CE207" t="str">
        <f>""</f>
        <v/>
      </c>
      <c r="CF207" t="str">
        <f>""</f>
        <v/>
      </c>
      <c r="CG207" t="str">
        <f>""</f>
        <v/>
      </c>
      <c r="CH207" t="str">
        <f>""</f>
        <v/>
      </c>
      <c r="CI207" t="str">
        <f>""</f>
        <v/>
      </c>
      <c r="CJ207" t="str">
        <f>""</f>
        <v/>
      </c>
      <c r="CK207" t="str">
        <f>""</f>
        <v/>
      </c>
      <c r="CL207" t="str">
        <f>""</f>
        <v/>
      </c>
      <c r="CM207" t="str">
        <f>""</f>
        <v/>
      </c>
      <c r="CN207" t="str">
        <f>""</f>
        <v/>
      </c>
      <c r="CO207" t="str">
        <f>""</f>
        <v/>
      </c>
      <c r="CP207" t="str">
        <f>""</f>
        <v/>
      </c>
      <c r="CQ207" t="str">
        <f>""</f>
        <v/>
      </c>
      <c r="CR207" t="str">
        <f>""</f>
        <v/>
      </c>
      <c r="CS207" t="str">
        <f>""</f>
        <v/>
      </c>
      <c r="CT207" t="str">
        <f>""</f>
        <v/>
      </c>
      <c r="CU207" t="str">
        <f>""</f>
        <v/>
      </c>
      <c r="CV207" t="str">
        <f>""</f>
        <v/>
      </c>
      <c r="CW207" t="str">
        <f>""</f>
        <v/>
      </c>
      <c r="CX207" t="str">
        <f>""</f>
        <v/>
      </c>
      <c r="CY207" t="str">
        <f>""</f>
        <v/>
      </c>
      <c r="CZ207" t="str">
        <f>""</f>
        <v/>
      </c>
      <c r="DA207" t="str">
        <f>""</f>
        <v/>
      </c>
      <c r="DB207" t="str">
        <f>""</f>
        <v/>
      </c>
      <c r="DC207" t="str">
        <f>""</f>
        <v/>
      </c>
      <c r="DD207" t="str">
        <f>""</f>
        <v/>
      </c>
      <c r="DE207" t="str">
        <f>""</f>
        <v/>
      </c>
      <c r="DF207" t="str">
        <f>""</f>
        <v/>
      </c>
      <c r="DG207" t="str">
        <f>""</f>
        <v/>
      </c>
      <c r="DH207" t="str">
        <f>""</f>
        <v/>
      </c>
      <c r="DI207" t="str">
        <f>""</f>
        <v/>
      </c>
      <c r="DJ207" t="str">
        <f>""</f>
        <v/>
      </c>
      <c r="DK207" t="str">
        <f>""</f>
        <v/>
      </c>
      <c r="DL207" t="str">
        <f>""</f>
        <v/>
      </c>
      <c r="DM207" t="str">
        <f>""</f>
        <v/>
      </c>
      <c r="DN207" t="str">
        <f>""</f>
        <v/>
      </c>
      <c r="DO207" t="str">
        <f>""</f>
        <v/>
      </c>
      <c r="DP207" t="str">
        <f>""</f>
        <v/>
      </c>
      <c r="DQ207" t="str">
        <f>""</f>
        <v/>
      </c>
      <c r="DR207" t="str">
        <f>""</f>
        <v/>
      </c>
      <c r="DS207" t="str">
        <f>""</f>
        <v/>
      </c>
      <c r="DT207" t="str">
        <f>""</f>
        <v/>
      </c>
      <c r="DU207" t="str">
        <f>""</f>
        <v/>
      </c>
    </row>
    <row r="208" spans="1:125" x14ac:dyDescent="0.25">
      <c r="A208" t="str">
        <f>$A$59</f>
        <v xml:space="preserve">        United States</v>
      </c>
      <c r="B208" t="str">
        <f>$B$59</f>
        <v>ASTOT Index</v>
      </c>
      <c r="C208" t="str">
        <f>$C$59</f>
        <v>PX385</v>
      </c>
      <c r="D208" t="str">
        <f>$D$59</f>
        <v>INTERVAL_SUM</v>
      </c>
      <c r="E208" t="str">
        <f>$E$59</f>
        <v>Dynamic</v>
      </c>
      <c r="F208" t="str">
        <f ca="1">_xll.BDP($B$59,$C$59,CONCATENATE("PX391=", $F$158), CONCATENATE("PX392=",$F$159), CONCATENATE("DS004=",$B$151), "Fill=B")</f>
        <v>#N/A Connection</v>
      </c>
      <c r="G208" t="str">
        <f ca="1">_xll.BDP($B$59,$C$59,CONCATENATE("PX391=", $G$158), CONCATENATE("PX392=",$G$159), CONCATENATE("DS004=",$B$151), "Fill=B")</f>
        <v>#N/A Connection</v>
      </c>
      <c r="H208" t="str">
        <f ca="1">_xll.BDP($B$59,$C$59,CONCATENATE("PX391=", $H$158), CONCATENATE("PX392=",$H$159), CONCATENATE("DS004=",$B$151), "Fill=B")</f>
        <v>#N/A Connection</v>
      </c>
      <c r="I208" t="str">
        <f ca="1">_xll.BDP($B$59,$C$59,CONCATENATE("PX391=", $I$158), CONCATENATE("PX392=",$I$159), CONCATENATE("DS004=",$B$151), "Fill=B")</f>
        <v>#N/A Connection</v>
      </c>
      <c r="J208" t="str">
        <f ca="1">_xll.BDP($B$59,$C$59,CONCATENATE("PX391=", $J$158), CONCATENATE("PX392=",$J$159), CONCATENATE("DS004=",$B$151), "Fill=B")</f>
        <v>#N/A Connection</v>
      </c>
      <c r="K208" t="str">
        <f ca="1">_xll.BDP($B$59,$C$59,CONCATENATE("PX391=", $K$158), CONCATENATE("PX392=",$K$159), CONCATENATE("DS004=",$B$151), "Fill=B")</f>
        <v>#N/A Connection</v>
      </c>
      <c r="L208" t="str">
        <f ca="1">_xll.BDP($B$59,$C$59,CONCATENATE("PX391=", $L$158), CONCATENATE("PX392=",$L$159), CONCATENATE("DS004=",$B$151), "Fill=B")</f>
        <v>#N/A Connection</v>
      </c>
      <c r="M208" t="str">
        <f ca="1">_xll.BDP($B$59,$C$59,CONCATENATE("PX391=", $M$158), CONCATENATE("PX392=",$M$159), CONCATENATE("DS004=",$B$151), "Fill=B")</f>
        <v>#N/A Connection</v>
      </c>
      <c r="N208" t="str">
        <f ca="1">_xll.BDP($B$59,$C$59,CONCATENATE("PX391=", $N$158), CONCATENATE("PX392=",$N$159), CONCATENATE("DS004=",$B$151), "Fill=B")</f>
        <v>#N/A Connection</v>
      </c>
      <c r="O208" t="str">
        <f ca="1">_xll.BDP($B$59,$C$59,CONCATENATE("PX391=", $O$158), CONCATENATE("PX392=",$O$159), CONCATENATE("DS004=",$B$151), "Fill=B")</f>
        <v>#N/A Connection</v>
      </c>
      <c r="P208" t="str">
        <f ca="1">_xll.BDP($B$59,$C$59,CONCATENATE("PX391=", $P$158), CONCATENATE("PX392=",$P$159), CONCATENATE("DS004=",$B$151), "Fill=B")</f>
        <v>#N/A Connection</v>
      </c>
      <c r="Q208" t="str">
        <f ca="1">_xll.BDP($B$59,$C$59,CONCATENATE("PX391=", $Q$158), CONCATENATE("PX392=",$Q$159), CONCATENATE("DS004=",$B$151), "Fill=B")</f>
        <v>#N/A Connection</v>
      </c>
      <c r="R208" t="str">
        <f ca="1">_xll.BDP($B$59,$C$59,CONCATENATE("PX391=", $R$158), CONCATENATE("PX392=",$R$159), CONCATENATE("DS004=",$B$151), "Fill=B")</f>
        <v>#N/A Connection</v>
      </c>
      <c r="S208" t="str">
        <f ca="1">_xll.BDP($B$59,$C$59,CONCATENATE("PX391=", $S$158), CONCATENATE("PX392=",$S$159), CONCATENATE("DS004=",$B$151), "Fill=B")</f>
        <v>#N/A Connection</v>
      </c>
      <c r="T208" t="str">
        <f ca="1">_xll.BDP($B$59,$C$59,CONCATENATE("PX391=", $T$158), CONCATENATE("PX392=",$T$159), CONCATENATE("DS004=",$B$151), "Fill=B")</f>
        <v>#N/A Connection</v>
      </c>
      <c r="U208" t="str">
        <f ca="1">_xll.BDP($B$59,$C$59,CONCATENATE("PX391=", $U$158), CONCATENATE("PX392=",$U$159), CONCATENATE("DS004=",$B$151), "Fill=B")</f>
        <v>#N/A Connection</v>
      </c>
      <c r="V208" t="str">
        <f ca="1">_xll.BDP($B$59,$C$59,CONCATENATE("PX391=", $V$158), CONCATENATE("PX392=",$V$159), CONCATENATE("DS004=",$B$151), "Fill=B")</f>
        <v>#N/A Connection</v>
      </c>
      <c r="W208" t="str">
        <f ca="1">_xll.BDP($B$59,$C$59,CONCATENATE("PX391=", $W$158), CONCATENATE("PX392=",$W$159), CONCATENATE("DS004=",$B$151), "Fill=B")</f>
        <v>#N/A Connection</v>
      </c>
      <c r="X208" t="str">
        <f ca="1">_xll.BDP($B$59,$C$59,CONCATENATE("PX391=", $X$158), CONCATENATE("PX392=",$X$159), CONCATENATE("DS004=",$B$151), "Fill=B")</f>
        <v>#N/A Connection</v>
      </c>
      <c r="Y208" t="str">
        <f ca="1">_xll.BDP($B$59,$C$59,CONCATENATE("PX391=", $Y$158), CONCATENATE("PX392=",$Y$159), CONCATENATE("DS004=",$B$151), "Fill=B")</f>
        <v>#N/A Connection</v>
      </c>
      <c r="Z208" t="str">
        <f ca="1">_xll.BDP($B$59,$C$59,CONCATENATE("PX391=", $Z$158), CONCATENATE("PX392=",$Z$159), CONCATENATE("DS004=",$B$151), "Fill=B")</f>
        <v>#N/A Connection</v>
      </c>
      <c r="AA208" t="str">
        <f ca="1">_xll.BDP($B$59,$C$59,CONCATENATE("PX391=", $AA$158), CONCATENATE("PX392=",$AA$159), CONCATENATE("DS004=",$B$151), "Fill=B")</f>
        <v>#N/A Connection</v>
      </c>
      <c r="AB208" t="str">
        <f ca="1">_xll.BDP($B$59,$C$59,CONCATENATE("PX391=", $AB$158), CONCATENATE("PX392=",$AB$159), CONCATENATE("DS004=",$B$151), "Fill=B")</f>
        <v>#N/A Connection</v>
      </c>
      <c r="AC208" t="str">
        <f ca="1">_xll.BDP($B$59,$C$59,CONCATENATE("PX391=", $AC$158), CONCATENATE("PX392=",$AC$159), CONCATENATE("DS004=",$B$151), "Fill=B")</f>
        <v>#N/A Connection</v>
      </c>
      <c r="AD208" t="str">
        <f ca="1">_xll.BDP($B$59,$C$59,CONCATENATE("PX391=", $AD$158), CONCATENATE("PX392=",$AD$159), CONCATENATE("DS004=",$B$151), "Fill=B")</f>
        <v>#N/A Connection</v>
      </c>
      <c r="AE208" t="str">
        <f ca="1">_xll.BDP($B$59,$C$59,CONCATENATE("PX391=", $AE$158), CONCATENATE("PX392=",$AE$159), CONCATENATE("DS004=",$B$151), "Fill=B")</f>
        <v>#N/A Connection</v>
      </c>
      <c r="AF208" t="str">
        <f ca="1">_xll.BDP($B$59,$C$59,CONCATENATE("PX391=", $AF$158), CONCATENATE("PX392=",$AF$159), CONCATENATE("DS004=",$B$151), "Fill=B")</f>
        <v>#N/A Connection</v>
      </c>
      <c r="AG208" t="str">
        <f ca="1">_xll.BDP($B$59,$C$59,CONCATENATE("PX391=", $AG$158), CONCATENATE("PX392=",$AG$159), CONCATENATE("DS004=",$B$151), "Fill=B")</f>
        <v>#N/A Connection</v>
      </c>
      <c r="AH208" t="str">
        <f ca="1">_xll.BDP($B$59,$C$59,CONCATENATE("PX391=", $AH$158), CONCATENATE("PX392=",$AH$159), CONCATENATE("DS004=",$B$151), "Fill=B")</f>
        <v>#N/A Connection</v>
      </c>
      <c r="AI208" t="str">
        <f ca="1">_xll.BDP($B$59,$C$59,CONCATENATE("PX391=", $AI$158), CONCATENATE("PX392=",$AI$159), CONCATENATE("DS004=",$B$151), "Fill=B")</f>
        <v>#N/A Connection</v>
      </c>
      <c r="AJ208" t="str">
        <f ca="1">_xll.BDP($B$59,$C$59,CONCATENATE("PX391=", $AJ$158), CONCATENATE("PX392=",$AJ$159), CONCATENATE("DS004=",$B$151), "Fill=B")</f>
        <v>#N/A Connection</v>
      </c>
      <c r="AK208" t="str">
        <f ca="1">_xll.BDP($B$59,$C$59,CONCATENATE("PX391=", $AK$158), CONCATENATE("PX392=",$AK$159), CONCATENATE("DS004=",$B$151), "Fill=B")</f>
        <v>#N/A Connection</v>
      </c>
      <c r="AL208" t="str">
        <f ca="1">_xll.BDP($B$59,$C$59,CONCATENATE("PX391=", $AL$158), CONCATENATE("PX392=",$AL$159), CONCATENATE("DS004=",$B$151), "Fill=B")</f>
        <v>#N/A Connection</v>
      </c>
      <c r="AM208" t="str">
        <f ca="1">_xll.BDP($B$59,$C$59,CONCATENATE("PX391=", $AM$158), CONCATENATE("PX392=",$AM$159), CONCATENATE("DS004=",$B$151), "Fill=B")</f>
        <v>#N/A Connection</v>
      </c>
      <c r="AN208" t="str">
        <f ca="1">_xll.BDP($B$59,$C$59,CONCATENATE("PX391=", $AN$158), CONCATENATE("PX392=",$AN$159), CONCATENATE("DS004=",$B$151), "Fill=B")</f>
        <v>#N/A Connection</v>
      </c>
      <c r="AO208" t="str">
        <f ca="1">_xll.BDP($B$59,$C$59,CONCATENATE("PX391=", $AO$158), CONCATENATE("PX392=",$AO$159), CONCATENATE("DS004=",$B$151), "Fill=B")</f>
        <v>#N/A Connection</v>
      </c>
      <c r="AP208" t="str">
        <f ca="1">_xll.BDP($B$59,$C$59,CONCATENATE("PX391=", $AP$158), CONCATENATE("PX392=",$AP$159), CONCATENATE("DS004=",$B$151), "Fill=B")</f>
        <v>#N/A Connection</v>
      </c>
      <c r="AQ208" t="str">
        <f ca="1">_xll.BDP($B$59,$C$59,CONCATENATE("PX391=", $AQ$158), CONCATENATE("PX392=",$AQ$159), CONCATENATE("DS004=",$B$151), "Fill=B")</f>
        <v>#N/A Connection</v>
      </c>
      <c r="AR208" t="str">
        <f ca="1">_xll.BDP($B$59,$C$59,CONCATENATE("PX391=", $AR$158), CONCATENATE("PX392=",$AR$159), CONCATENATE("DS004=",$B$151), "Fill=B")</f>
        <v>#N/A Connection</v>
      </c>
      <c r="AS208" t="str">
        <f ca="1">_xll.BDP($B$59,$C$59,CONCATENATE("PX391=", $AS$158), CONCATENATE("PX392=",$AS$159), CONCATENATE("DS004=",$B$151), "Fill=B")</f>
        <v>#N/A Connection</v>
      </c>
      <c r="AT208" t="str">
        <f ca="1">_xll.BDP($B$59,$C$59,CONCATENATE("PX391=", $AT$158), CONCATENATE("PX392=",$AT$159), CONCATENATE("DS004=",$B$151), "Fill=B")</f>
        <v>#N/A Connection</v>
      </c>
      <c r="AU208" t="str">
        <f ca="1">_xll.BDP($B$59,$C$59,CONCATENATE("PX391=", $AU$158), CONCATENATE("PX392=",$AU$159), CONCATENATE("DS004=",$B$151), "Fill=B")</f>
        <v>#N/A Connection</v>
      </c>
      <c r="AV208" t="str">
        <f ca="1">_xll.BDP($B$59,$C$59,CONCATENATE("PX391=", $AV$158), CONCATENATE("PX392=",$AV$159), CONCATENATE("DS004=",$B$151), "Fill=B")</f>
        <v>#N/A Connection</v>
      </c>
      <c r="AW208" t="str">
        <f ca="1">_xll.BDP($B$59,$C$59,CONCATENATE("PX391=", $AW$158), CONCATENATE("PX392=",$AW$159), CONCATENATE("DS004=",$B$151), "Fill=B")</f>
        <v>#N/A Connection</v>
      </c>
      <c r="AX208" t="str">
        <f ca="1">_xll.BDP($B$59,$C$59,CONCATENATE("PX391=", $AX$158), CONCATENATE("PX392=",$AX$159), CONCATENATE("DS004=",$B$151), "Fill=B")</f>
        <v>#N/A Connection</v>
      </c>
      <c r="AY208" t="str">
        <f ca="1">_xll.BDP($B$59,$C$59,CONCATENATE("PX391=", $AY$158), CONCATENATE("PX392=",$AY$159), CONCATENATE("DS004=",$B$151), "Fill=B")</f>
        <v>#N/A Connection</v>
      </c>
      <c r="AZ208" t="str">
        <f ca="1">_xll.BDP($B$59,$C$59,CONCATENATE("PX391=", $AZ$158), CONCATENATE("PX392=",$AZ$159), CONCATENATE("DS004=",$B$151), "Fill=B")</f>
        <v>#N/A Connection</v>
      </c>
      <c r="BA208" t="str">
        <f ca="1">_xll.BDP($B$59,$C$59,CONCATENATE("PX391=", $BA$158), CONCATENATE("PX392=",$BA$159), CONCATENATE("DS004=",$B$151), "Fill=B")</f>
        <v>#N/A Connection</v>
      </c>
      <c r="BB208" t="str">
        <f ca="1">_xll.BDP($B$59,$C$59,CONCATENATE("PX391=", $BB$158), CONCATENATE("PX392=",$BB$159), CONCATENATE("DS004=",$B$151), "Fill=B")</f>
        <v>#N/A Connection</v>
      </c>
      <c r="BC208" t="str">
        <f ca="1">_xll.BDP($B$59,$C$59,CONCATENATE("PX391=", $BC$158), CONCATENATE("PX392=",$BC$159), CONCATENATE("DS004=",$B$151), "Fill=B")</f>
        <v>#N/A Connection</v>
      </c>
      <c r="BD208" t="str">
        <f ca="1">_xll.BDP($B$59,$C$59,CONCATENATE("PX391=", $BD$158), CONCATENATE("PX392=",$BD$159), CONCATENATE("DS004=",$B$151), "Fill=B")</f>
        <v>#N/A Connection</v>
      </c>
      <c r="BE208" t="str">
        <f ca="1">_xll.BDP($B$59,$C$59,CONCATENATE("PX391=", $BE$158), CONCATENATE("PX392=",$BE$159), CONCATENATE("DS004=",$B$151), "Fill=B")</f>
        <v>#N/A Connection</v>
      </c>
      <c r="BF208" t="str">
        <f ca="1">_xll.BDP($B$59,$C$59,CONCATENATE("PX391=", $BF$158), CONCATENATE("PX392=",$BF$159), CONCATENATE("DS004=",$B$151), "Fill=B")</f>
        <v>#N/A Connection</v>
      </c>
      <c r="BG208" t="str">
        <f ca="1">_xll.BDP($B$59,$C$59,CONCATENATE("PX391=", $BG$158), CONCATENATE("PX392=",$BG$159), CONCATENATE("DS004=",$B$151), "Fill=B")</f>
        <v>#N/A Connection</v>
      </c>
      <c r="BH208" t="str">
        <f ca="1">_xll.BDP($B$59,$C$59,CONCATENATE("PX391=", $BH$158), CONCATENATE("PX392=",$BH$159), CONCATENATE("DS004=",$B$151), "Fill=B")</f>
        <v>#N/A Connection</v>
      </c>
      <c r="BI208" t="str">
        <f ca="1">_xll.BDP($B$59,$C$59,CONCATENATE("PX391=", $BI$158), CONCATENATE("PX392=",$BI$159), CONCATENATE("DS004=",$B$151), "Fill=B")</f>
        <v>#N/A Connection</v>
      </c>
      <c r="BJ208" t="str">
        <f ca="1">_xll.BDP($B$59,$C$59,CONCATENATE("PX391=", $BJ$158), CONCATENATE("PX392=",$BJ$159), CONCATENATE("DS004=",$B$151), "Fill=B")</f>
        <v>#N/A Connection</v>
      </c>
      <c r="BK208" t="str">
        <f ca="1">_xll.BDP($B$59,$C$59,CONCATENATE("PX391=", $BK$158), CONCATENATE("PX392=",$BK$159), CONCATENATE("DS004=",$B$151), "Fill=B")</f>
        <v>#N/A Connection</v>
      </c>
      <c r="BL208" t="str">
        <f ca="1">_xll.BDP($B$59,$C$59,CONCATENATE("PX391=", $BL$158), CONCATENATE("PX392=",$BL$159), CONCATENATE("DS004=",$B$151), "Fill=B")</f>
        <v>#N/A Connection</v>
      </c>
      <c r="BM208" t="str">
        <f ca="1">_xll.BDP($B$59,$C$59,CONCATENATE("PX391=", $BM$158), CONCATENATE("PX392=",$BM$159), CONCATENATE("DS004=",$B$151), "Fill=B")</f>
        <v>#N/A Connection</v>
      </c>
      <c r="BN208" t="str">
        <f>""</f>
        <v/>
      </c>
      <c r="BO208" t="str">
        <f>""</f>
        <v/>
      </c>
      <c r="BP208" t="str">
        <f>""</f>
        <v/>
      </c>
      <c r="BQ208" t="str">
        <f>""</f>
        <v/>
      </c>
      <c r="BR208" t="str">
        <f>""</f>
        <v/>
      </c>
      <c r="BS208" t="str">
        <f>""</f>
        <v/>
      </c>
      <c r="BT208" t="str">
        <f>""</f>
        <v/>
      </c>
      <c r="BU208" t="str">
        <f>""</f>
        <v/>
      </c>
      <c r="BV208" t="str">
        <f>""</f>
        <v/>
      </c>
      <c r="BW208" t="str">
        <f>""</f>
        <v/>
      </c>
      <c r="BX208" t="str">
        <f>""</f>
        <v/>
      </c>
      <c r="BY208" t="str">
        <f>""</f>
        <v/>
      </c>
      <c r="BZ208" t="str">
        <f>""</f>
        <v/>
      </c>
      <c r="CA208" t="str">
        <f>""</f>
        <v/>
      </c>
      <c r="CB208" t="str">
        <f>""</f>
        <v/>
      </c>
      <c r="CC208" t="str">
        <f>""</f>
        <v/>
      </c>
      <c r="CD208" t="str">
        <f>""</f>
        <v/>
      </c>
      <c r="CE208" t="str">
        <f>""</f>
        <v/>
      </c>
      <c r="CF208" t="str">
        <f>""</f>
        <v/>
      </c>
      <c r="CG208" t="str">
        <f>""</f>
        <v/>
      </c>
      <c r="CH208" t="str">
        <f>""</f>
        <v/>
      </c>
      <c r="CI208" t="str">
        <f>""</f>
        <v/>
      </c>
      <c r="CJ208" t="str">
        <f>""</f>
        <v/>
      </c>
      <c r="CK208" t="str">
        <f>""</f>
        <v/>
      </c>
      <c r="CL208" t="str">
        <f>""</f>
        <v/>
      </c>
      <c r="CM208" t="str">
        <f>""</f>
        <v/>
      </c>
      <c r="CN208" t="str">
        <f>""</f>
        <v/>
      </c>
      <c r="CO208" t="str">
        <f>""</f>
        <v/>
      </c>
      <c r="CP208" t="str">
        <f>""</f>
        <v/>
      </c>
      <c r="CQ208" t="str">
        <f>""</f>
        <v/>
      </c>
      <c r="CR208" t="str">
        <f>""</f>
        <v/>
      </c>
      <c r="CS208" t="str">
        <f>""</f>
        <v/>
      </c>
      <c r="CT208" t="str">
        <f>""</f>
        <v/>
      </c>
      <c r="CU208" t="str">
        <f>""</f>
        <v/>
      </c>
      <c r="CV208" t="str">
        <f>""</f>
        <v/>
      </c>
      <c r="CW208" t="str">
        <f>""</f>
        <v/>
      </c>
      <c r="CX208" t="str">
        <f>""</f>
        <v/>
      </c>
      <c r="CY208" t="str">
        <f>""</f>
        <v/>
      </c>
      <c r="CZ208" t="str">
        <f>""</f>
        <v/>
      </c>
      <c r="DA208" t="str">
        <f>""</f>
        <v/>
      </c>
      <c r="DB208" t="str">
        <f>""</f>
        <v/>
      </c>
      <c r="DC208" t="str">
        <f>""</f>
        <v/>
      </c>
      <c r="DD208" t="str">
        <f>""</f>
        <v/>
      </c>
      <c r="DE208" t="str">
        <f>""</f>
        <v/>
      </c>
      <c r="DF208" t="str">
        <f>""</f>
        <v/>
      </c>
      <c r="DG208" t="str">
        <f>""</f>
        <v/>
      </c>
      <c r="DH208" t="str">
        <f>""</f>
        <v/>
      </c>
      <c r="DI208" t="str">
        <f>""</f>
        <v/>
      </c>
      <c r="DJ208" t="str">
        <f>""</f>
        <v/>
      </c>
      <c r="DK208" t="str">
        <f>""</f>
        <v/>
      </c>
      <c r="DL208" t="str">
        <f>""</f>
        <v/>
      </c>
      <c r="DM208" t="str">
        <f>""</f>
        <v/>
      </c>
      <c r="DN208" t="str">
        <f>""</f>
        <v/>
      </c>
      <c r="DO208" t="str">
        <f>""</f>
        <v/>
      </c>
      <c r="DP208" t="str">
        <f>""</f>
        <v/>
      </c>
      <c r="DQ208" t="str">
        <f>""</f>
        <v/>
      </c>
      <c r="DR208" t="str">
        <f>""</f>
        <v/>
      </c>
      <c r="DS208" t="str">
        <f>""</f>
        <v/>
      </c>
      <c r="DT208" t="str">
        <f>""</f>
        <v/>
      </c>
      <c r="DU208" t="str">
        <f>""</f>
        <v/>
      </c>
    </row>
    <row r="209" spans="1:125" x14ac:dyDescent="0.25">
      <c r="A209" t="str">
        <f>$A$60</f>
        <v xml:space="preserve">            US Car &amp; Truck Vehicle Sales NSA - US Truck Vehicle Sales NSA</v>
      </c>
      <c r="B209" t="str">
        <f>$B$60</f>
        <v>ASTOTTRK Index</v>
      </c>
      <c r="C209" t="str">
        <f>$C$60</f>
        <v>PX385</v>
      </c>
      <c r="D209" t="str">
        <f>$D$60</f>
        <v>INTERVAL_SUM</v>
      </c>
      <c r="E209" t="str">
        <f>$E$60</f>
        <v>Dynamic</v>
      </c>
      <c r="F209" t="str">
        <f ca="1">_xll.BDP($B$60,$C$60,CONCATENATE("PX391=", $F$158), CONCATENATE("PX392=",$F$159), CONCATENATE("DS004=",$B$151), "Fill=B")</f>
        <v>#N/A Connection</v>
      </c>
      <c r="G209" t="str">
        <f ca="1">_xll.BDP($B$60,$C$60,CONCATENATE("PX391=", $G$158), CONCATENATE("PX392=",$G$159), CONCATENATE("DS004=",$B$151), "Fill=B")</f>
        <v>#N/A Connection</v>
      </c>
      <c r="H209" t="str">
        <f ca="1">_xll.BDP($B$60,$C$60,CONCATENATE("PX391=", $H$158), CONCATENATE("PX392=",$H$159), CONCATENATE("DS004=",$B$151), "Fill=B")</f>
        <v>#N/A Connection</v>
      </c>
      <c r="I209" t="str">
        <f ca="1">_xll.BDP($B$60,$C$60,CONCATENATE("PX391=", $I$158), CONCATENATE("PX392=",$I$159), CONCATENATE("DS004=",$B$151), "Fill=B")</f>
        <v>#N/A Connection</v>
      </c>
      <c r="J209" t="str">
        <f ca="1">_xll.BDP($B$60,$C$60,CONCATENATE("PX391=", $J$158), CONCATENATE("PX392=",$J$159), CONCATENATE("DS004=",$B$151), "Fill=B")</f>
        <v>#N/A Connection</v>
      </c>
      <c r="K209" t="str">
        <f ca="1">_xll.BDP($B$60,$C$60,CONCATENATE("PX391=", $K$158), CONCATENATE("PX392=",$K$159), CONCATENATE("DS004=",$B$151), "Fill=B")</f>
        <v>#N/A Connection</v>
      </c>
      <c r="L209" t="str">
        <f ca="1">_xll.BDP($B$60,$C$60,CONCATENATE("PX391=", $L$158), CONCATENATE("PX392=",$L$159), CONCATENATE("DS004=",$B$151), "Fill=B")</f>
        <v>#N/A Connection</v>
      </c>
      <c r="M209" t="str">
        <f ca="1">_xll.BDP($B$60,$C$60,CONCATENATE("PX391=", $M$158), CONCATENATE("PX392=",$M$159), CONCATENATE("DS004=",$B$151), "Fill=B")</f>
        <v>#N/A Connection</v>
      </c>
      <c r="N209" t="str">
        <f ca="1">_xll.BDP($B$60,$C$60,CONCATENATE("PX391=", $N$158), CONCATENATE("PX392=",$N$159), CONCATENATE("DS004=",$B$151), "Fill=B")</f>
        <v>#N/A Connection</v>
      </c>
      <c r="O209" t="str">
        <f ca="1">_xll.BDP($B$60,$C$60,CONCATENATE("PX391=", $O$158), CONCATENATE("PX392=",$O$159), CONCATENATE("DS004=",$B$151), "Fill=B")</f>
        <v>#N/A Connection</v>
      </c>
      <c r="P209" t="str">
        <f ca="1">_xll.BDP($B$60,$C$60,CONCATENATE("PX391=", $P$158), CONCATENATE("PX392=",$P$159), CONCATENATE("DS004=",$B$151), "Fill=B")</f>
        <v>#N/A Connection</v>
      </c>
      <c r="Q209" t="str">
        <f ca="1">_xll.BDP($B$60,$C$60,CONCATENATE("PX391=", $Q$158), CONCATENATE("PX392=",$Q$159), CONCATENATE("DS004=",$B$151), "Fill=B")</f>
        <v>#N/A Connection</v>
      </c>
      <c r="R209" t="str">
        <f ca="1">_xll.BDP($B$60,$C$60,CONCATENATE("PX391=", $R$158), CONCATENATE("PX392=",$R$159), CONCATENATE("DS004=",$B$151), "Fill=B")</f>
        <v>#N/A Connection</v>
      </c>
      <c r="S209" t="str">
        <f ca="1">_xll.BDP($B$60,$C$60,CONCATENATE("PX391=", $S$158), CONCATENATE("PX392=",$S$159), CONCATENATE("DS004=",$B$151), "Fill=B")</f>
        <v>#N/A Connection</v>
      </c>
      <c r="T209" t="str">
        <f ca="1">_xll.BDP($B$60,$C$60,CONCATENATE("PX391=", $T$158), CONCATENATE("PX392=",$T$159), CONCATENATE("DS004=",$B$151), "Fill=B")</f>
        <v>#N/A Connection</v>
      </c>
      <c r="U209" t="str">
        <f ca="1">_xll.BDP($B$60,$C$60,CONCATENATE("PX391=", $U$158), CONCATENATE("PX392=",$U$159), CONCATENATE("DS004=",$B$151), "Fill=B")</f>
        <v>#N/A Connection</v>
      </c>
      <c r="V209" t="str">
        <f ca="1">_xll.BDP($B$60,$C$60,CONCATENATE("PX391=", $V$158), CONCATENATE("PX392=",$V$159), CONCATENATE("DS004=",$B$151), "Fill=B")</f>
        <v>#N/A Connection</v>
      </c>
      <c r="W209" t="str">
        <f ca="1">_xll.BDP($B$60,$C$60,CONCATENATE("PX391=", $W$158), CONCATENATE("PX392=",$W$159), CONCATENATE("DS004=",$B$151), "Fill=B")</f>
        <v>#N/A Connection</v>
      </c>
      <c r="X209" t="str">
        <f ca="1">_xll.BDP($B$60,$C$60,CONCATENATE("PX391=", $X$158), CONCATENATE("PX392=",$X$159), CONCATENATE("DS004=",$B$151), "Fill=B")</f>
        <v>#N/A Connection</v>
      </c>
      <c r="Y209" t="str">
        <f ca="1">_xll.BDP($B$60,$C$60,CONCATENATE("PX391=", $Y$158), CONCATENATE("PX392=",$Y$159), CONCATENATE("DS004=",$B$151), "Fill=B")</f>
        <v>#N/A Connection</v>
      </c>
      <c r="Z209" t="str">
        <f ca="1">_xll.BDP($B$60,$C$60,CONCATENATE("PX391=", $Z$158), CONCATENATE("PX392=",$Z$159), CONCATENATE("DS004=",$B$151), "Fill=B")</f>
        <v>#N/A Connection</v>
      </c>
      <c r="AA209" t="str">
        <f ca="1">_xll.BDP($B$60,$C$60,CONCATENATE("PX391=", $AA$158), CONCATENATE("PX392=",$AA$159), CONCATENATE("DS004=",$B$151), "Fill=B")</f>
        <v>#N/A Connection</v>
      </c>
      <c r="AB209" t="str">
        <f ca="1">_xll.BDP($B$60,$C$60,CONCATENATE("PX391=", $AB$158), CONCATENATE("PX392=",$AB$159), CONCATENATE("DS004=",$B$151), "Fill=B")</f>
        <v>#N/A Connection</v>
      </c>
      <c r="AC209" t="str">
        <f ca="1">_xll.BDP($B$60,$C$60,CONCATENATE("PX391=", $AC$158), CONCATENATE("PX392=",$AC$159), CONCATENATE("DS004=",$B$151), "Fill=B")</f>
        <v>#N/A Connection</v>
      </c>
      <c r="AD209" t="str">
        <f ca="1">_xll.BDP($B$60,$C$60,CONCATENATE("PX391=", $AD$158), CONCATENATE("PX392=",$AD$159), CONCATENATE("DS004=",$B$151), "Fill=B")</f>
        <v>#N/A Connection</v>
      </c>
      <c r="AE209" t="str">
        <f ca="1">_xll.BDP($B$60,$C$60,CONCATENATE("PX391=", $AE$158), CONCATENATE("PX392=",$AE$159), CONCATENATE("DS004=",$B$151), "Fill=B")</f>
        <v>#N/A Connection</v>
      </c>
      <c r="AF209" t="str">
        <f ca="1">_xll.BDP($B$60,$C$60,CONCATENATE("PX391=", $AF$158), CONCATENATE("PX392=",$AF$159), CONCATENATE("DS004=",$B$151), "Fill=B")</f>
        <v>#N/A Connection</v>
      </c>
      <c r="AG209" t="str">
        <f ca="1">_xll.BDP($B$60,$C$60,CONCATENATE("PX391=", $AG$158), CONCATENATE("PX392=",$AG$159), CONCATENATE("DS004=",$B$151), "Fill=B")</f>
        <v>#N/A Connection</v>
      </c>
      <c r="AH209" t="str">
        <f ca="1">_xll.BDP($B$60,$C$60,CONCATENATE("PX391=", $AH$158), CONCATENATE("PX392=",$AH$159), CONCATENATE("DS004=",$B$151), "Fill=B")</f>
        <v>#N/A Connection</v>
      </c>
      <c r="AI209" t="str">
        <f ca="1">_xll.BDP($B$60,$C$60,CONCATENATE("PX391=", $AI$158), CONCATENATE("PX392=",$AI$159), CONCATENATE("DS004=",$B$151), "Fill=B")</f>
        <v>#N/A Connection</v>
      </c>
      <c r="AJ209" t="str">
        <f ca="1">_xll.BDP($B$60,$C$60,CONCATENATE("PX391=", $AJ$158), CONCATENATE("PX392=",$AJ$159), CONCATENATE("DS004=",$B$151), "Fill=B")</f>
        <v>#N/A Connection</v>
      </c>
      <c r="AK209" t="str">
        <f ca="1">_xll.BDP($B$60,$C$60,CONCATENATE("PX391=", $AK$158), CONCATENATE("PX392=",$AK$159), CONCATENATE("DS004=",$B$151), "Fill=B")</f>
        <v>#N/A Connection</v>
      </c>
      <c r="AL209" t="str">
        <f ca="1">_xll.BDP($B$60,$C$60,CONCATENATE("PX391=", $AL$158), CONCATENATE("PX392=",$AL$159), CONCATENATE("DS004=",$B$151), "Fill=B")</f>
        <v>#N/A Connection</v>
      </c>
      <c r="AM209" t="str">
        <f ca="1">_xll.BDP($B$60,$C$60,CONCATENATE("PX391=", $AM$158), CONCATENATE("PX392=",$AM$159), CONCATENATE("DS004=",$B$151), "Fill=B")</f>
        <v>#N/A Connection</v>
      </c>
      <c r="AN209" t="str">
        <f ca="1">_xll.BDP($B$60,$C$60,CONCATENATE("PX391=", $AN$158), CONCATENATE("PX392=",$AN$159), CONCATENATE("DS004=",$B$151), "Fill=B")</f>
        <v>#N/A Connection</v>
      </c>
      <c r="AO209" t="str">
        <f ca="1">_xll.BDP($B$60,$C$60,CONCATENATE("PX391=", $AO$158), CONCATENATE("PX392=",$AO$159), CONCATENATE("DS004=",$B$151), "Fill=B")</f>
        <v>#N/A Connection</v>
      </c>
      <c r="AP209" t="str">
        <f ca="1">_xll.BDP($B$60,$C$60,CONCATENATE("PX391=", $AP$158), CONCATENATE("PX392=",$AP$159), CONCATENATE("DS004=",$B$151), "Fill=B")</f>
        <v>#N/A Connection</v>
      </c>
      <c r="AQ209" t="str">
        <f ca="1">_xll.BDP($B$60,$C$60,CONCATENATE("PX391=", $AQ$158), CONCATENATE("PX392=",$AQ$159), CONCATENATE("DS004=",$B$151), "Fill=B")</f>
        <v>#N/A Connection</v>
      </c>
      <c r="AR209" t="str">
        <f ca="1">_xll.BDP($B$60,$C$60,CONCATENATE("PX391=", $AR$158), CONCATENATE("PX392=",$AR$159), CONCATENATE("DS004=",$B$151), "Fill=B")</f>
        <v>#N/A Connection</v>
      </c>
      <c r="AS209" t="str">
        <f ca="1">_xll.BDP($B$60,$C$60,CONCATENATE("PX391=", $AS$158), CONCATENATE("PX392=",$AS$159), CONCATENATE("DS004=",$B$151), "Fill=B")</f>
        <v>#N/A Connection</v>
      </c>
      <c r="AT209" t="str">
        <f ca="1">_xll.BDP($B$60,$C$60,CONCATENATE("PX391=", $AT$158), CONCATENATE("PX392=",$AT$159), CONCATENATE("DS004=",$B$151), "Fill=B")</f>
        <v>#N/A Connection</v>
      </c>
      <c r="AU209" t="str">
        <f ca="1">_xll.BDP($B$60,$C$60,CONCATENATE("PX391=", $AU$158), CONCATENATE("PX392=",$AU$159), CONCATENATE("DS004=",$B$151), "Fill=B")</f>
        <v>#N/A Connection</v>
      </c>
      <c r="AV209" t="str">
        <f ca="1">_xll.BDP($B$60,$C$60,CONCATENATE("PX391=", $AV$158), CONCATENATE("PX392=",$AV$159), CONCATENATE("DS004=",$B$151), "Fill=B")</f>
        <v>#N/A Connection</v>
      </c>
      <c r="AW209" t="str">
        <f ca="1">_xll.BDP($B$60,$C$60,CONCATENATE("PX391=", $AW$158), CONCATENATE("PX392=",$AW$159), CONCATENATE("DS004=",$B$151), "Fill=B")</f>
        <v>#N/A Connection</v>
      </c>
      <c r="AX209" t="str">
        <f ca="1">_xll.BDP($B$60,$C$60,CONCATENATE("PX391=", $AX$158), CONCATENATE("PX392=",$AX$159), CONCATENATE("DS004=",$B$151), "Fill=B")</f>
        <v>#N/A Connection</v>
      </c>
      <c r="AY209" t="str">
        <f ca="1">_xll.BDP($B$60,$C$60,CONCATENATE("PX391=", $AY$158), CONCATENATE("PX392=",$AY$159), CONCATENATE("DS004=",$B$151), "Fill=B")</f>
        <v>#N/A Connection</v>
      </c>
      <c r="AZ209" t="str">
        <f ca="1">_xll.BDP($B$60,$C$60,CONCATENATE("PX391=", $AZ$158), CONCATENATE("PX392=",$AZ$159), CONCATENATE("DS004=",$B$151), "Fill=B")</f>
        <v>#N/A Connection</v>
      </c>
      <c r="BA209" t="str">
        <f ca="1">_xll.BDP($B$60,$C$60,CONCATENATE("PX391=", $BA$158), CONCATENATE("PX392=",$BA$159), CONCATENATE("DS004=",$B$151), "Fill=B")</f>
        <v>#N/A Connection</v>
      </c>
      <c r="BB209" t="str">
        <f ca="1">_xll.BDP($B$60,$C$60,CONCATENATE("PX391=", $BB$158), CONCATENATE("PX392=",$BB$159), CONCATENATE("DS004=",$B$151), "Fill=B")</f>
        <v>#N/A Connection</v>
      </c>
      <c r="BC209" t="str">
        <f ca="1">_xll.BDP($B$60,$C$60,CONCATENATE("PX391=", $BC$158), CONCATENATE("PX392=",$BC$159), CONCATENATE("DS004=",$B$151), "Fill=B")</f>
        <v>#N/A Connection</v>
      </c>
      <c r="BD209" t="str">
        <f ca="1">_xll.BDP($B$60,$C$60,CONCATENATE("PX391=", $BD$158), CONCATENATE("PX392=",$BD$159), CONCATENATE("DS004=",$B$151), "Fill=B")</f>
        <v>#N/A Connection</v>
      </c>
      <c r="BE209" t="str">
        <f ca="1">_xll.BDP($B$60,$C$60,CONCATENATE("PX391=", $BE$158), CONCATENATE("PX392=",$BE$159), CONCATENATE("DS004=",$B$151), "Fill=B")</f>
        <v>#N/A Connection</v>
      </c>
      <c r="BF209" t="str">
        <f ca="1">_xll.BDP($B$60,$C$60,CONCATENATE("PX391=", $BF$158), CONCATENATE("PX392=",$BF$159), CONCATENATE("DS004=",$B$151), "Fill=B")</f>
        <v>#N/A Connection</v>
      </c>
      <c r="BG209" t="str">
        <f ca="1">_xll.BDP($B$60,$C$60,CONCATENATE("PX391=", $BG$158), CONCATENATE("PX392=",$BG$159), CONCATENATE("DS004=",$B$151), "Fill=B")</f>
        <v>#N/A Connection</v>
      </c>
      <c r="BH209" t="str">
        <f ca="1">_xll.BDP($B$60,$C$60,CONCATENATE("PX391=", $BH$158), CONCATENATE("PX392=",$BH$159), CONCATENATE("DS004=",$B$151), "Fill=B")</f>
        <v>#N/A Connection</v>
      </c>
      <c r="BI209" t="str">
        <f ca="1">_xll.BDP($B$60,$C$60,CONCATENATE("PX391=", $BI$158), CONCATENATE("PX392=",$BI$159), CONCATENATE("DS004=",$B$151), "Fill=B")</f>
        <v>#N/A Connection</v>
      </c>
      <c r="BJ209" t="str">
        <f ca="1">_xll.BDP($B$60,$C$60,CONCATENATE("PX391=", $BJ$158), CONCATENATE("PX392=",$BJ$159), CONCATENATE("DS004=",$B$151), "Fill=B")</f>
        <v>#N/A Connection</v>
      </c>
      <c r="BK209" t="str">
        <f ca="1">_xll.BDP($B$60,$C$60,CONCATENATE("PX391=", $BK$158), CONCATENATE("PX392=",$BK$159), CONCATENATE("DS004=",$B$151), "Fill=B")</f>
        <v>#N/A Connection</v>
      </c>
      <c r="BL209" t="str">
        <f ca="1">_xll.BDP($B$60,$C$60,CONCATENATE("PX391=", $BL$158), CONCATENATE("PX392=",$BL$159), CONCATENATE("DS004=",$B$151), "Fill=B")</f>
        <v>#N/A Connection</v>
      </c>
      <c r="BM209" t="str">
        <f ca="1">_xll.BDP($B$60,$C$60,CONCATENATE("PX391=", $BM$158), CONCATENATE("PX392=",$BM$159), CONCATENATE("DS004=",$B$151), "Fill=B")</f>
        <v>#N/A Connection</v>
      </c>
      <c r="BN209" t="str">
        <f>""</f>
        <v/>
      </c>
      <c r="BO209" t="str">
        <f>""</f>
        <v/>
      </c>
      <c r="BP209" t="str">
        <f>""</f>
        <v/>
      </c>
      <c r="BQ209" t="str">
        <f>""</f>
        <v/>
      </c>
      <c r="BR209" t="str">
        <f>""</f>
        <v/>
      </c>
      <c r="BS209" t="str">
        <f>""</f>
        <v/>
      </c>
      <c r="BT209" t="str">
        <f>""</f>
        <v/>
      </c>
      <c r="BU209" t="str">
        <f>""</f>
        <v/>
      </c>
      <c r="BV209" t="str">
        <f>""</f>
        <v/>
      </c>
      <c r="BW209" t="str">
        <f>""</f>
        <v/>
      </c>
      <c r="BX209" t="str">
        <f>""</f>
        <v/>
      </c>
      <c r="BY209" t="str">
        <f>""</f>
        <v/>
      </c>
      <c r="BZ209" t="str">
        <f>""</f>
        <v/>
      </c>
      <c r="CA209" t="str">
        <f>""</f>
        <v/>
      </c>
      <c r="CB209" t="str">
        <f>""</f>
        <v/>
      </c>
      <c r="CC209" t="str">
        <f>""</f>
        <v/>
      </c>
      <c r="CD209" t="str">
        <f>""</f>
        <v/>
      </c>
      <c r="CE209" t="str">
        <f>""</f>
        <v/>
      </c>
      <c r="CF209" t="str">
        <f>""</f>
        <v/>
      </c>
      <c r="CG209" t="str">
        <f>""</f>
        <v/>
      </c>
      <c r="CH209" t="str">
        <f>""</f>
        <v/>
      </c>
      <c r="CI209" t="str">
        <f>""</f>
        <v/>
      </c>
      <c r="CJ209" t="str">
        <f>""</f>
        <v/>
      </c>
      <c r="CK209" t="str">
        <f>""</f>
        <v/>
      </c>
      <c r="CL209" t="str">
        <f>""</f>
        <v/>
      </c>
      <c r="CM209" t="str">
        <f>""</f>
        <v/>
      </c>
      <c r="CN209" t="str">
        <f>""</f>
        <v/>
      </c>
      <c r="CO209" t="str">
        <f>""</f>
        <v/>
      </c>
      <c r="CP209" t="str">
        <f>""</f>
        <v/>
      </c>
      <c r="CQ209" t="str">
        <f>""</f>
        <v/>
      </c>
      <c r="CR209" t="str">
        <f>""</f>
        <v/>
      </c>
      <c r="CS209" t="str">
        <f>""</f>
        <v/>
      </c>
      <c r="CT209" t="str">
        <f>""</f>
        <v/>
      </c>
      <c r="CU209" t="str">
        <f>""</f>
        <v/>
      </c>
      <c r="CV209" t="str">
        <f>""</f>
        <v/>
      </c>
      <c r="CW209" t="str">
        <f>""</f>
        <v/>
      </c>
      <c r="CX209" t="str">
        <f>""</f>
        <v/>
      </c>
      <c r="CY209" t="str">
        <f>""</f>
        <v/>
      </c>
      <c r="CZ209" t="str">
        <f>""</f>
        <v/>
      </c>
      <c r="DA209" t="str">
        <f>""</f>
        <v/>
      </c>
      <c r="DB209" t="str">
        <f>""</f>
        <v/>
      </c>
      <c r="DC209" t="str">
        <f>""</f>
        <v/>
      </c>
      <c r="DD209" t="str">
        <f>""</f>
        <v/>
      </c>
      <c r="DE209" t="str">
        <f>""</f>
        <v/>
      </c>
      <c r="DF209" t="str">
        <f>""</f>
        <v/>
      </c>
      <c r="DG209" t="str">
        <f>""</f>
        <v/>
      </c>
      <c r="DH209" t="str">
        <f>""</f>
        <v/>
      </c>
      <c r="DI209" t="str">
        <f>""</f>
        <v/>
      </c>
      <c r="DJ209" t="str">
        <f>""</f>
        <v/>
      </c>
      <c r="DK209" t="str">
        <f>""</f>
        <v/>
      </c>
      <c r="DL209" t="str">
        <f>""</f>
        <v/>
      </c>
      <c r="DM209" t="str">
        <f>""</f>
        <v/>
      </c>
      <c r="DN209" t="str">
        <f>""</f>
        <v/>
      </c>
      <c r="DO209" t="str">
        <f>""</f>
        <v/>
      </c>
      <c r="DP209" t="str">
        <f>""</f>
        <v/>
      </c>
      <c r="DQ209" t="str">
        <f>""</f>
        <v/>
      </c>
      <c r="DR209" t="str">
        <f>""</f>
        <v/>
      </c>
      <c r="DS209" t="str">
        <f>""</f>
        <v/>
      </c>
      <c r="DT209" t="str">
        <f>""</f>
        <v/>
      </c>
      <c r="DU209" t="str">
        <f>""</f>
        <v/>
      </c>
    </row>
    <row r="210" spans="1:125" x14ac:dyDescent="0.25">
      <c r="A210" t="str">
        <f>$A$62</f>
        <v xml:space="preserve">        Argentina</v>
      </c>
      <c r="B210" t="str">
        <f>$B$62</f>
        <v>ARVSARTL Index</v>
      </c>
      <c r="C210" t="str">
        <f>$C$62</f>
        <v>PX385</v>
      </c>
      <c r="D210" t="str">
        <f>$D$62</f>
        <v>INTERVAL_SUM</v>
      </c>
      <c r="E210" t="str">
        <f>$E$62</f>
        <v>Dynamic</v>
      </c>
      <c r="F210" t="str">
        <f ca="1">_xll.BDP($B$62,$C$62,CONCATENATE("PX391=", $F$158), CONCATENATE("PX392=",$F$159), CONCATENATE("DS004=",$B$151), "Fill=B")</f>
        <v>#N/A Connection</v>
      </c>
      <c r="G210" t="str">
        <f ca="1">_xll.BDP($B$62,$C$62,CONCATENATE("PX391=", $G$158), CONCATENATE("PX392=",$G$159), CONCATENATE("DS004=",$B$151), "Fill=B")</f>
        <v>#N/A Connection</v>
      </c>
      <c r="H210" t="str">
        <f ca="1">_xll.BDP($B$62,$C$62,CONCATENATE("PX391=", $H$158), CONCATENATE("PX392=",$H$159), CONCATENATE("DS004=",$B$151), "Fill=B")</f>
        <v>#N/A Connection</v>
      </c>
      <c r="I210" t="str">
        <f ca="1">_xll.BDP($B$62,$C$62,CONCATENATE("PX391=", $I$158), CONCATENATE("PX392=",$I$159), CONCATENATE("DS004=",$B$151), "Fill=B")</f>
        <v>#N/A Connection</v>
      </c>
      <c r="J210" t="str">
        <f ca="1">_xll.BDP($B$62,$C$62,CONCATENATE("PX391=", $J$158), CONCATENATE("PX392=",$J$159), CONCATENATE("DS004=",$B$151), "Fill=B")</f>
        <v>#N/A Connection</v>
      </c>
      <c r="K210" t="str">
        <f ca="1">_xll.BDP($B$62,$C$62,CONCATENATE("PX391=", $K$158), CONCATENATE("PX392=",$K$159), CONCATENATE("DS004=",$B$151), "Fill=B")</f>
        <v>#N/A Connection</v>
      </c>
      <c r="L210" t="str">
        <f ca="1">_xll.BDP($B$62,$C$62,CONCATENATE("PX391=", $L$158), CONCATENATE("PX392=",$L$159), CONCATENATE("DS004=",$B$151), "Fill=B")</f>
        <v>#N/A Connection</v>
      </c>
      <c r="M210" t="str">
        <f ca="1">_xll.BDP($B$62,$C$62,CONCATENATE("PX391=", $M$158), CONCATENATE("PX392=",$M$159), CONCATENATE("DS004=",$B$151), "Fill=B")</f>
        <v>#N/A Connection</v>
      </c>
      <c r="N210" t="str">
        <f ca="1">_xll.BDP($B$62,$C$62,CONCATENATE("PX391=", $N$158), CONCATENATE("PX392=",$N$159), CONCATENATE("DS004=",$B$151), "Fill=B")</f>
        <v>#N/A Connection</v>
      </c>
      <c r="O210" t="str">
        <f ca="1">_xll.BDP($B$62,$C$62,CONCATENATE("PX391=", $O$158), CONCATENATE("PX392=",$O$159), CONCATENATE("DS004=",$B$151), "Fill=B")</f>
        <v>#N/A Connection</v>
      </c>
      <c r="P210" t="str">
        <f ca="1">_xll.BDP($B$62,$C$62,CONCATENATE("PX391=", $P$158), CONCATENATE("PX392=",$P$159), CONCATENATE("DS004=",$B$151), "Fill=B")</f>
        <v>#N/A Connection</v>
      </c>
      <c r="Q210" t="str">
        <f ca="1">_xll.BDP($B$62,$C$62,CONCATENATE("PX391=", $Q$158), CONCATENATE("PX392=",$Q$159), CONCATENATE("DS004=",$B$151), "Fill=B")</f>
        <v>#N/A Connection</v>
      </c>
      <c r="R210" t="str">
        <f ca="1">_xll.BDP($B$62,$C$62,CONCATENATE("PX391=", $R$158), CONCATENATE("PX392=",$R$159), CONCATENATE("DS004=",$B$151), "Fill=B")</f>
        <v>#N/A Connection</v>
      </c>
      <c r="S210" t="str">
        <f ca="1">_xll.BDP($B$62,$C$62,CONCATENATE("PX391=", $S$158), CONCATENATE("PX392=",$S$159), CONCATENATE("DS004=",$B$151), "Fill=B")</f>
        <v>#N/A Connection</v>
      </c>
      <c r="T210" t="str">
        <f ca="1">_xll.BDP($B$62,$C$62,CONCATENATE("PX391=", $T$158), CONCATENATE("PX392=",$T$159), CONCATENATE("DS004=",$B$151), "Fill=B")</f>
        <v>#N/A Connection</v>
      </c>
      <c r="U210" t="str">
        <f ca="1">_xll.BDP($B$62,$C$62,CONCATENATE("PX391=", $U$158), CONCATENATE("PX392=",$U$159), CONCATENATE("DS004=",$B$151), "Fill=B")</f>
        <v>#N/A Connection</v>
      </c>
      <c r="V210" t="str">
        <f ca="1">_xll.BDP($B$62,$C$62,CONCATENATE("PX391=", $V$158), CONCATENATE("PX392=",$V$159), CONCATENATE("DS004=",$B$151), "Fill=B")</f>
        <v>#N/A Connection</v>
      </c>
      <c r="W210" t="str">
        <f ca="1">_xll.BDP($B$62,$C$62,CONCATENATE("PX391=", $W$158), CONCATENATE("PX392=",$W$159), CONCATENATE("DS004=",$B$151), "Fill=B")</f>
        <v>#N/A Connection</v>
      </c>
      <c r="X210" t="str">
        <f ca="1">_xll.BDP($B$62,$C$62,CONCATENATE("PX391=", $X$158), CONCATENATE("PX392=",$X$159), CONCATENATE("DS004=",$B$151), "Fill=B")</f>
        <v>#N/A Connection</v>
      </c>
      <c r="Y210" t="str">
        <f ca="1">_xll.BDP($B$62,$C$62,CONCATENATE("PX391=", $Y$158), CONCATENATE("PX392=",$Y$159), CONCATENATE("DS004=",$B$151), "Fill=B")</f>
        <v>#N/A Connection</v>
      </c>
      <c r="Z210" t="str">
        <f ca="1">_xll.BDP($B$62,$C$62,CONCATENATE("PX391=", $Z$158), CONCATENATE("PX392=",$Z$159), CONCATENATE("DS004=",$B$151), "Fill=B")</f>
        <v>#N/A Connection</v>
      </c>
      <c r="AA210" t="str">
        <f ca="1">_xll.BDP($B$62,$C$62,CONCATENATE("PX391=", $AA$158), CONCATENATE("PX392=",$AA$159), CONCATENATE("DS004=",$B$151), "Fill=B")</f>
        <v>#N/A Connection</v>
      </c>
      <c r="AB210" t="str">
        <f ca="1">_xll.BDP($B$62,$C$62,CONCATENATE("PX391=", $AB$158), CONCATENATE("PX392=",$AB$159), CONCATENATE("DS004=",$B$151), "Fill=B")</f>
        <v>#N/A Connection</v>
      </c>
      <c r="AC210" t="str">
        <f ca="1">_xll.BDP($B$62,$C$62,CONCATENATE("PX391=", $AC$158), CONCATENATE("PX392=",$AC$159), CONCATENATE("DS004=",$B$151), "Fill=B")</f>
        <v>#N/A Connection</v>
      </c>
      <c r="AD210" t="str">
        <f ca="1">_xll.BDP($B$62,$C$62,CONCATENATE("PX391=", $AD$158), CONCATENATE("PX392=",$AD$159), CONCATENATE("DS004=",$B$151), "Fill=B")</f>
        <v>#N/A Connection</v>
      </c>
      <c r="AE210" t="str">
        <f ca="1">_xll.BDP($B$62,$C$62,CONCATENATE("PX391=", $AE$158), CONCATENATE("PX392=",$AE$159), CONCATENATE("DS004=",$B$151), "Fill=B")</f>
        <v>#N/A Connection</v>
      </c>
      <c r="AF210" t="str">
        <f ca="1">_xll.BDP($B$62,$C$62,CONCATENATE("PX391=", $AF$158), CONCATENATE("PX392=",$AF$159), CONCATENATE("DS004=",$B$151), "Fill=B")</f>
        <v>#N/A Connection</v>
      </c>
      <c r="AG210" t="str">
        <f ca="1">_xll.BDP($B$62,$C$62,CONCATENATE("PX391=", $AG$158), CONCATENATE("PX392=",$AG$159), CONCATENATE("DS004=",$B$151), "Fill=B")</f>
        <v>#N/A Connection</v>
      </c>
      <c r="AH210" t="str">
        <f ca="1">_xll.BDP($B$62,$C$62,CONCATENATE("PX391=", $AH$158), CONCATENATE("PX392=",$AH$159), CONCATENATE("DS004=",$B$151), "Fill=B")</f>
        <v>#N/A Connection</v>
      </c>
      <c r="AI210" t="str">
        <f ca="1">_xll.BDP($B$62,$C$62,CONCATENATE("PX391=", $AI$158), CONCATENATE("PX392=",$AI$159), CONCATENATE("DS004=",$B$151), "Fill=B")</f>
        <v>#N/A Connection</v>
      </c>
      <c r="AJ210" t="str">
        <f ca="1">_xll.BDP($B$62,$C$62,CONCATENATE("PX391=", $AJ$158), CONCATENATE("PX392=",$AJ$159), CONCATENATE("DS004=",$B$151), "Fill=B")</f>
        <v>#N/A Connection</v>
      </c>
      <c r="AK210" t="str">
        <f ca="1">_xll.BDP($B$62,$C$62,CONCATENATE("PX391=", $AK$158), CONCATENATE("PX392=",$AK$159), CONCATENATE("DS004=",$B$151), "Fill=B")</f>
        <v>#N/A Connection</v>
      </c>
      <c r="AL210" t="str">
        <f ca="1">_xll.BDP($B$62,$C$62,CONCATENATE("PX391=", $AL$158), CONCATENATE("PX392=",$AL$159), CONCATENATE("DS004=",$B$151), "Fill=B")</f>
        <v>#N/A Connection</v>
      </c>
      <c r="AM210" t="str">
        <f ca="1">_xll.BDP($B$62,$C$62,CONCATENATE("PX391=", $AM$158), CONCATENATE("PX392=",$AM$159), CONCATENATE("DS004=",$B$151), "Fill=B")</f>
        <v>#N/A Connection</v>
      </c>
      <c r="AN210" t="str">
        <f ca="1">_xll.BDP($B$62,$C$62,CONCATENATE("PX391=", $AN$158), CONCATENATE("PX392=",$AN$159), CONCATENATE("DS004=",$B$151), "Fill=B")</f>
        <v>#N/A Connection</v>
      </c>
      <c r="AO210" t="str">
        <f ca="1">_xll.BDP($B$62,$C$62,CONCATENATE("PX391=", $AO$158), CONCATENATE("PX392=",$AO$159), CONCATENATE("DS004=",$B$151), "Fill=B")</f>
        <v>#N/A Connection</v>
      </c>
      <c r="AP210" t="str">
        <f ca="1">_xll.BDP($B$62,$C$62,CONCATENATE("PX391=", $AP$158), CONCATENATE("PX392=",$AP$159), CONCATENATE("DS004=",$B$151), "Fill=B")</f>
        <v>#N/A Connection</v>
      </c>
      <c r="AQ210" t="str">
        <f ca="1">_xll.BDP($B$62,$C$62,CONCATENATE("PX391=", $AQ$158), CONCATENATE("PX392=",$AQ$159), CONCATENATE("DS004=",$B$151), "Fill=B")</f>
        <v>#N/A Connection</v>
      </c>
      <c r="AR210" t="str">
        <f ca="1">_xll.BDP($B$62,$C$62,CONCATENATE("PX391=", $AR$158), CONCATENATE("PX392=",$AR$159), CONCATENATE("DS004=",$B$151), "Fill=B")</f>
        <v>#N/A Connection</v>
      </c>
      <c r="AS210" t="str">
        <f ca="1">_xll.BDP($B$62,$C$62,CONCATENATE("PX391=", $AS$158), CONCATENATE("PX392=",$AS$159), CONCATENATE("DS004=",$B$151), "Fill=B")</f>
        <v>#N/A Connection</v>
      </c>
      <c r="AT210" t="str">
        <f ca="1">_xll.BDP($B$62,$C$62,CONCATENATE("PX391=", $AT$158), CONCATENATE("PX392=",$AT$159), CONCATENATE("DS004=",$B$151), "Fill=B")</f>
        <v>#N/A Connection</v>
      </c>
      <c r="AU210" t="str">
        <f ca="1">_xll.BDP($B$62,$C$62,CONCATENATE("PX391=", $AU$158), CONCATENATE("PX392=",$AU$159), CONCATENATE("DS004=",$B$151), "Fill=B")</f>
        <v>#N/A Connection</v>
      </c>
      <c r="AV210" t="str">
        <f ca="1">_xll.BDP($B$62,$C$62,CONCATENATE("PX391=", $AV$158), CONCATENATE("PX392=",$AV$159), CONCATENATE("DS004=",$B$151), "Fill=B")</f>
        <v>#N/A Connection</v>
      </c>
      <c r="AW210" t="str">
        <f ca="1">_xll.BDP($B$62,$C$62,CONCATENATE("PX391=", $AW$158), CONCATENATE("PX392=",$AW$159), CONCATENATE("DS004=",$B$151), "Fill=B")</f>
        <v>#N/A Connection</v>
      </c>
      <c r="AX210" t="str">
        <f ca="1">_xll.BDP($B$62,$C$62,CONCATENATE("PX391=", $AX$158), CONCATENATE("PX392=",$AX$159), CONCATENATE("DS004=",$B$151), "Fill=B")</f>
        <v>#N/A Connection</v>
      </c>
      <c r="AY210" t="str">
        <f ca="1">_xll.BDP($B$62,$C$62,CONCATENATE("PX391=", $AY$158), CONCATENATE("PX392=",$AY$159), CONCATENATE("DS004=",$B$151), "Fill=B")</f>
        <v>#N/A Connection</v>
      </c>
      <c r="AZ210" t="str">
        <f ca="1">_xll.BDP($B$62,$C$62,CONCATENATE("PX391=", $AZ$158), CONCATENATE("PX392=",$AZ$159), CONCATENATE("DS004=",$B$151), "Fill=B")</f>
        <v>#N/A Connection</v>
      </c>
      <c r="BA210" t="str">
        <f ca="1">_xll.BDP($B$62,$C$62,CONCATENATE("PX391=", $BA$158), CONCATENATE("PX392=",$BA$159), CONCATENATE("DS004=",$B$151), "Fill=B")</f>
        <v>#N/A Connection</v>
      </c>
      <c r="BB210" t="str">
        <f ca="1">_xll.BDP($B$62,$C$62,CONCATENATE("PX391=", $BB$158), CONCATENATE("PX392=",$BB$159), CONCATENATE("DS004=",$B$151), "Fill=B")</f>
        <v>#N/A Connection</v>
      </c>
      <c r="BC210" t="str">
        <f ca="1">_xll.BDP($B$62,$C$62,CONCATENATE("PX391=", $BC$158), CONCATENATE("PX392=",$BC$159), CONCATENATE("DS004=",$B$151), "Fill=B")</f>
        <v>#N/A Connection</v>
      </c>
      <c r="BD210" t="str">
        <f ca="1">_xll.BDP($B$62,$C$62,CONCATENATE("PX391=", $BD$158), CONCATENATE("PX392=",$BD$159), CONCATENATE("DS004=",$B$151), "Fill=B")</f>
        <v>#N/A Connection</v>
      </c>
      <c r="BE210" t="str">
        <f ca="1">_xll.BDP($B$62,$C$62,CONCATENATE("PX391=", $BE$158), CONCATENATE("PX392=",$BE$159), CONCATENATE("DS004=",$B$151), "Fill=B")</f>
        <v>#N/A Connection</v>
      </c>
      <c r="BF210" t="str">
        <f ca="1">_xll.BDP($B$62,$C$62,CONCATENATE("PX391=", $BF$158), CONCATENATE("PX392=",$BF$159), CONCATENATE("DS004=",$B$151), "Fill=B")</f>
        <v>#N/A Connection</v>
      </c>
      <c r="BG210" t="str">
        <f ca="1">_xll.BDP($B$62,$C$62,CONCATENATE("PX391=", $BG$158), CONCATENATE("PX392=",$BG$159), CONCATENATE("DS004=",$B$151), "Fill=B")</f>
        <v>#N/A Connection</v>
      </c>
      <c r="BH210" t="str">
        <f ca="1">_xll.BDP($B$62,$C$62,CONCATENATE("PX391=", $BH$158), CONCATENATE("PX392=",$BH$159), CONCATENATE("DS004=",$B$151), "Fill=B")</f>
        <v>#N/A Connection</v>
      </c>
      <c r="BI210" t="str">
        <f ca="1">_xll.BDP($B$62,$C$62,CONCATENATE("PX391=", $BI$158), CONCATENATE("PX392=",$BI$159), CONCATENATE("DS004=",$B$151), "Fill=B")</f>
        <v>#N/A Connection</v>
      </c>
      <c r="BJ210" t="str">
        <f ca="1">_xll.BDP($B$62,$C$62,CONCATENATE("PX391=", $BJ$158), CONCATENATE("PX392=",$BJ$159), CONCATENATE("DS004=",$B$151), "Fill=B")</f>
        <v>#N/A Connection</v>
      </c>
      <c r="BK210" t="str">
        <f ca="1">_xll.BDP($B$62,$C$62,CONCATENATE("PX391=", $BK$158), CONCATENATE("PX392=",$BK$159), CONCATENATE("DS004=",$B$151), "Fill=B")</f>
        <v>#N/A Connection</v>
      </c>
      <c r="BL210" t="str">
        <f ca="1">_xll.BDP($B$62,$C$62,CONCATENATE("PX391=", $BL$158), CONCATENATE("PX392=",$BL$159), CONCATENATE("DS004=",$B$151), "Fill=B")</f>
        <v>#N/A Connection</v>
      </c>
      <c r="BM210" t="str">
        <f ca="1">_xll.BDP($B$62,$C$62,CONCATENATE("PX391=", $BM$158), CONCATENATE("PX392=",$BM$159), CONCATENATE("DS004=",$B$151), "Fill=B")</f>
        <v>#N/A Connection</v>
      </c>
      <c r="BN210" t="str">
        <f>""</f>
        <v/>
      </c>
      <c r="BO210" t="str">
        <f>""</f>
        <v/>
      </c>
      <c r="BP210" t="str">
        <f>""</f>
        <v/>
      </c>
      <c r="BQ210" t="str">
        <f>""</f>
        <v/>
      </c>
      <c r="BR210" t="str">
        <f>""</f>
        <v/>
      </c>
      <c r="BS210" t="str">
        <f>""</f>
        <v/>
      </c>
      <c r="BT210" t="str">
        <f>""</f>
        <v/>
      </c>
      <c r="BU210" t="str">
        <f>""</f>
        <v/>
      </c>
      <c r="BV210" t="str">
        <f>""</f>
        <v/>
      </c>
      <c r="BW210" t="str">
        <f>""</f>
        <v/>
      </c>
      <c r="BX210" t="str">
        <f>""</f>
        <v/>
      </c>
      <c r="BY210" t="str">
        <f>""</f>
        <v/>
      </c>
      <c r="BZ210" t="str">
        <f>""</f>
        <v/>
      </c>
      <c r="CA210" t="str">
        <f>""</f>
        <v/>
      </c>
      <c r="CB210" t="str">
        <f>""</f>
        <v/>
      </c>
      <c r="CC210" t="str">
        <f>""</f>
        <v/>
      </c>
      <c r="CD210" t="str">
        <f>""</f>
        <v/>
      </c>
      <c r="CE210" t="str">
        <f>""</f>
        <v/>
      </c>
      <c r="CF210" t="str">
        <f>""</f>
        <v/>
      </c>
      <c r="CG210" t="str">
        <f>""</f>
        <v/>
      </c>
      <c r="CH210" t="str">
        <f>""</f>
        <v/>
      </c>
      <c r="CI210" t="str">
        <f>""</f>
        <v/>
      </c>
      <c r="CJ210" t="str">
        <f>""</f>
        <v/>
      </c>
      <c r="CK210" t="str">
        <f>""</f>
        <v/>
      </c>
      <c r="CL210" t="str">
        <f>""</f>
        <v/>
      </c>
      <c r="CM210" t="str">
        <f>""</f>
        <v/>
      </c>
      <c r="CN210" t="str">
        <f>""</f>
        <v/>
      </c>
      <c r="CO210" t="str">
        <f>""</f>
        <v/>
      </c>
      <c r="CP210" t="str">
        <f>""</f>
        <v/>
      </c>
      <c r="CQ210" t="str">
        <f>""</f>
        <v/>
      </c>
      <c r="CR210" t="str">
        <f>""</f>
        <v/>
      </c>
      <c r="CS210" t="str">
        <f>""</f>
        <v/>
      </c>
      <c r="CT210" t="str">
        <f>""</f>
        <v/>
      </c>
      <c r="CU210" t="str">
        <f>""</f>
        <v/>
      </c>
      <c r="CV210" t="str">
        <f>""</f>
        <v/>
      </c>
      <c r="CW210" t="str">
        <f>""</f>
        <v/>
      </c>
      <c r="CX210" t="str">
        <f>""</f>
        <v/>
      </c>
      <c r="CY210" t="str">
        <f>""</f>
        <v/>
      </c>
      <c r="CZ210" t="str">
        <f>""</f>
        <v/>
      </c>
      <c r="DA210" t="str">
        <f>""</f>
        <v/>
      </c>
      <c r="DB210" t="str">
        <f>""</f>
        <v/>
      </c>
      <c r="DC210" t="str">
        <f>""</f>
        <v/>
      </c>
      <c r="DD210" t="str">
        <f>""</f>
        <v/>
      </c>
      <c r="DE210" t="str">
        <f>""</f>
        <v/>
      </c>
      <c r="DF210" t="str">
        <f>""</f>
        <v/>
      </c>
      <c r="DG210" t="str">
        <f>""</f>
        <v/>
      </c>
      <c r="DH210" t="str">
        <f>""</f>
        <v/>
      </c>
      <c r="DI210" t="str">
        <f>""</f>
        <v/>
      </c>
      <c r="DJ210" t="str">
        <f>""</f>
        <v/>
      </c>
      <c r="DK210" t="str">
        <f>""</f>
        <v/>
      </c>
      <c r="DL210" t="str">
        <f>""</f>
        <v/>
      </c>
      <c r="DM210" t="str">
        <f>""</f>
        <v/>
      </c>
      <c r="DN210" t="str">
        <f>""</f>
        <v/>
      </c>
      <c r="DO210" t="str">
        <f>""</f>
        <v/>
      </c>
      <c r="DP210" t="str">
        <f>""</f>
        <v/>
      </c>
      <c r="DQ210" t="str">
        <f>""</f>
        <v/>
      </c>
      <c r="DR210" t="str">
        <f>""</f>
        <v/>
      </c>
      <c r="DS210" t="str">
        <f>""</f>
        <v/>
      </c>
      <c r="DT210" t="str">
        <f>""</f>
        <v/>
      </c>
      <c r="DU210" t="str">
        <f>""</f>
        <v/>
      </c>
    </row>
    <row r="211" spans="1:125" x14ac:dyDescent="0.25">
      <c r="A211" t="str">
        <f>$A$63</f>
        <v xml:space="preserve">        Brazil</v>
      </c>
      <c r="B211" t="str">
        <f>$B$63</f>
        <v>BZVLTOTL Index</v>
      </c>
      <c r="C211" t="str">
        <f>$C$63</f>
        <v>PX385</v>
      </c>
      <c r="D211" t="str">
        <f>$D$63</f>
        <v>INTERVAL_SUM</v>
      </c>
      <c r="E211" t="str">
        <f>$E$63</f>
        <v>Dynamic</v>
      </c>
      <c r="F211" t="str">
        <f ca="1">_xll.BDP($B$63,$C$63,CONCATENATE("PX391=", $F$158), CONCATENATE("PX392=",$F$159), CONCATENATE("DS004=",$B$151), "Fill=B")</f>
        <v>#N/A Connection</v>
      </c>
      <c r="G211" t="str">
        <f ca="1">_xll.BDP($B$63,$C$63,CONCATENATE("PX391=", $G$158), CONCATENATE("PX392=",$G$159), CONCATENATE("DS004=",$B$151), "Fill=B")</f>
        <v>#N/A Connection</v>
      </c>
      <c r="H211" t="str">
        <f ca="1">_xll.BDP($B$63,$C$63,CONCATENATE("PX391=", $H$158), CONCATENATE("PX392=",$H$159), CONCATENATE("DS004=",$B$151), "Fill=B")</f>
        <v>#N/A Connection</v>
      </c>
      <c r="I211" t="str">
        <f ca="1">_xll.BDP($B$63,$C$63,CONCATENATE("PX391=", $I$158), CONCATENATE("PX392=",$I$159), CONCATENATE("DS004=",$B$151), "Fill=B")</f>
        <v>#N/A Connection</v>
      </c>
      <c r="J211" t="str">
        <f ca="1">_xll.BDP($B$63,$C$63,CONCATENATE("PX391=", $J$158), CONCATENATE("PX392=",$J$159), CONCATENATE("DS004=",$B$151), "Fill=B")</f>
        <v>#N/A Connection</v>
      </c>
      <c r="K211" t="str">
        <f ca="1">_xll.BDP($B$63,$C$63,CONCATENATE("PX391=", $K$158), CONCATENATE("PX392=",$K$159), CONCATENATE("DS004=",$B$151), "Fill=B")</f>
        <v>#N/A Connection</v>
      </c>
      <c r="L211" t="str">
        <f ca="1">_xll.BDP($B$63,$C$63,CONCATENATE("PX391=", $L$158), CONCATENATE("PX392=",$L$159), CONCATENATE("DS004=",$B$151), "Fill=B")</f>
        <v>#N/A Connection</v>
      </c>
      <c r="M211" t="str">
        <f ca="1">_xll.BDP($B$63,$C$63,CONCATENATE("PX391=", $M$158), CONCATENATE("PX392=",$M$159), CONCATENATE("DS004=",$B$151), "Fill=B")</f>
        <v>#N/A Connection</v>
      </c>
      <c r="N211" t="str">
        <f ca="1">_xll.BDP($B$63,$C$63,CONCATENATE("PX391=", $N$158), CONCATENATE("PX392=",$N$159), CONCATENATE("DS004=",$B$151), "Fill=B")</f>
        <v>#N/A Connection</v>
      </c>
      <c r="O211" t="str">
        <f ca="1">_xll.BDP($B$63,$C$63,CONCATENATE("PX391=", $O$158), CONCATENATE("PX392=",$O$159), CONCATENATE("DS004=",$B$151), "Fill=B")</f>
        <v>#N/A Connection</v>
      </c>
      <c r="P211" t="str">
        <f ca="1">_xll.BDP($B$63,$C$63,CONCATENATE("PX391=", $P$158), CONCATENATE("PX392=",$P$159), CONCATENATE("DS004=",$B$151), "Fill=B")</f>
        <v>#N/A Connection</v>
      </c>
      <c r="Q211" t="str">
        <f ca="1">_xll.BDP($B$63,$C$63,CONCATENATE("PX391=", $Q$158), CONCATENATE("PX392=",$Q$159), CONCATENATE("DS004=",$B$151), "Fill=B")</f>
        <v>#N/A Connection</v>
      </c>
      <c r="R211" t="str">
        <f ca="1">_xll.BDP($B$63,$C$63,CONCATENATE("PX391=", $R$158), CONCATENATE("PX392=",$R$159), CONCATENATE("DS004=",$B$151), "Fill=B")</f>
        <v>#N/A Connection</v>
      </c>
      <c r="S211" t="str">
        <f ca="1">_xll.BDP($B$63,$C$63,CONCATENATE("PX391=", $S$158), CONCATENATE("PX392=",$S$159), CONCATENATE("DS004=",$B$151), "Fill=B")</f>
        <v>#N/A Connection</v>
      </c>
      <c r="T211" t="str">
        <f ca="1">_xll.BDP($B$63,$C$63,CONCATENATE("PX391=", $T$158), CONCATENATE("PX392=",$T$159), CONCATENATE("DS004=",$B$151), "Fill=B")</f>
        <v>#N/A Connection</v>
      </c>
      <c r="U211" t="str">
        <f ca="1">_xll.BDP($B$63,$C$63,CONCATENATE("PX391=", $U$158), CONCATENATE("PX392=",$U$159), CONCATENATE("DS004=",$B$151), "Fill=B")</f>
        <v>#N/A Connection</v>
      </c>
      <c r="V211" t="str">
        <f ca="1">_xll.BDP($B$63,$C$63,CONCATENATE("PX391=", $V$158), CONCATENATE("PX392=",$V$159), CONCATENATE("DS004=",$B$151), "Fill=B")</f>
        <v>#N/A Connection</v>
      </c>
      <c r="W211" t="str">
        <f ca="1">_xll.BDP($B$63,$C$63,CONCATENATE("PX391=", $W$158), CONCATENATE("PX392=",$W$159), CONCATENATE("DS004=",$B$151), "Fill=B")</f>
        <v>#N/A Connection</v>
      </c>
      <c r="X211" t="str">
        <f ca="1">_xll.BDP($B$63,$C$63,CONCATENATE("PX391=", $X$158), CONCATENATE("PX392=",$X$159), CONCATENATE("DS004=",$B$151), "Fill=B")</f>
        <v>#N/A Connection</v>
      </c>
      <c r="Y211" t="str">
        <f ca="1">_xll.BDP($B$63,$C$63,CONCATENATE("PX391=", $Y$158), CONCATENATE("PX392=",$Y$159), CONCATENATE("DS004=",$B$151), "Fill=B")</f>
        <v>#N/A Connection</v>
      </c>
      <c r="Z211" t="str">
        <f ca="1">_xll.BDP($B$63,$C$63,CONCATENATE("PX391=", $Z$158), CONCATENATE("PX392=",$Z$159), CONCATENATE("DS004=",$B$151), "Fill=B")</f>
        <v>#N/A Connection</v>
      </c>
      <c r="AA211" t="str">
        <f ca="1">_xll.BDP($B$63,$C$63,CONCATENATE("PX391=", $AA$158), CONCATENATE("PX392=",$AA$159), CONCATENATE("DS004=",$B$151), "Fill=B")</f>
        <v>#N/A Connection</v>
      </c>
      <c r="AB211" t="str">
        <f ca="1">_xll.BDP($B$63,$C$63,CONCATENATE("PX391=", $AB$158), CONCATENATE("PX392=",$AB$159), CONCATENATE("DS004=",$B$151), "Fill=B")</f>
        <v>#N/A Connection</v>
      </c>
      <c r="AC211" t="str">
        <f ca="1">_xll.BDP($B$63,$C$63,CONCATENATE("PX391=", $AC$158), CONCATENATE("PX392=",$AC$159), CONCATENATE("DS004=",$B$151), "Fill=B")</f>
        <v>#N/A Connection</v>
      </c>
      <c r="AD211" t="str">
        <f ca="1">_xll.BDP($B$63,$C$63,CONCATENATE("PX391=", $AD$158), CONCATENATE("PX392=",$AD$159), CONCATENATE("DS004=",$B$151), "Fill=B")</f>
        <v>#N/A Connection</v>
      </c>
      <c r="AE211" t="str">
        <f ca="1">_xll.BDP($B$63,$C$63,CONCATENATE("PX391=", $AE$158), CONCATENATE("PX392=",$AE$159), CONCATENATE("DS004=",$B$151), "Fill=B")</f>
        <v>#N/A Connection</v>
      </c>
      <c r="AF211" t="str">
        <f ca="1">_xll.BDP($B$63,$C$63,CONCATENATE("PX391=", $AF$158), CONCATENATE("PX392=",$AF$159), CONCATENATE("DS004=",$B$151), "Fill=B")</f>
        <v>#N/A Connection</v>
      </c>
      <c r="AG211" t="str">
        <f ca="1">_xll.BDP($B$63,$C$63,CONCATENATE("PX391=", $AG$158), CONCATENATE("PX392=",$AG$159), CONCATENATE("DS004=",$B$151), "Fill=B")</f>
        <v>#N/A Connection</v>
      </c>
      <c r="AH211" t="str">
        <f ca="1">_xll.BDP($B$63,$C$63,CONCATENATE("PX391=", $AH$158), CONCATENATE("PX392=",$AH$159), CONCATENATE("DS004=",$B$151), "Fill=B")</f>
        <v>#N/A Connection</v>
      </c>
      <c r="AI211" t="str">
        <f ca="1">_xll.BDP($B$63,$C$63,CONCATENATE("PX391=", $AI$158), CONCATENATE("PX392=",$AI$159), CONCATENATE("DS004=",$B$151), "Fill=B")</f>
        <v>#N/A Connection</v>
      </c>
      <c r="AJ211" t="str">
        <f ca="1">_xll.BDP($B$63,$C$63,CONCATENATE("PX391=", $AJ$158), CONCATENATE("PX392=",$AJ$159), CONCATENATE("DS004=",$B$151), "Fill=B")</f>
        <v>#N/A Connection</v>
      </c>
      <c r="AK211" t="str">
        <f ca="1">_xll.BDP($B$63,$C$63,CONCATENATE("PX391=", $AK$158), CONCATENATE("PX392=",$AK$159), CONCATENATE("DS004=",$B$151), "Fill=B")</f>
        <v>#N/A Connection</v>
      </c>
      <c r="AL211" t="str">
        <f ca="1">_xll.BDP($B$63,$C$63,CONCATENATE("PX391=", $AL$158), CONCATENATE("PX392=",$AL$159), CONCATENATE("DS004=",$B$151), "Fill=B")</f>
        <v>#N/A Connection</v>
      </c>
      <c r="AM211" t="str">
        <f ca="1">_xll.BDP($B$63,$C$63,CONCATENATE("PX391=", $AM$158), CONCATENATE("PX392=",$AM$159), CONCATENATE("DS004=",$B$151), "Fill=B")</f>
        <v>#N/A Connection</v>
      </c>
      <c r="AN211" t="str">
        <f ca="1">_xll.BDP($B$63,$C$63,CONCATENATE("PX391=", $AN$158), CONCATENATE("PX392=",$AN$159), CONCATENATE("DS004=",$B$151), "Fill=B")</f>
        <v>#N/A Connection</v>
      </c>
      <c r="AO211" t="str">
        <f ca="1">_xll.BDP($B$63,$C$63,CONCATENATE("PX391=", $AO$158), CONCATENATE("PX392=",$AO$159), CONCATENATE("DS004=",$B$151), "Fill=B")</f>
        <v>#N/A Connection</v>
      </c>
      <c r="AP211" t="str">
        <f ca="1">_xll.BDP($B$63,$C$63,CONCATENATE("PX391=", $AP$158), CONCATENATE("PX392=",$AP$159), CONCATENATE("DS004=",$B$151), "Fill=B")</f>
        <v>#N/A Connection</v>
      </c>
      <c r="AQ211" t="str">
        <f ca="1">_xll.BDP($B$63,$C$63,CONCATENATE("PX391=", $AQ$158), CONCATENATE("PX392=",$AQ$159), CONCATENATE("DS004=",$B$151), "Fill=B")</f>
        <v>#N/A Connection</v>
      </c>
      <c r="AR211" t="str">
        <f ca="1">_xll.BDP($B$63,$C$63,CONCATENATE("PX391=", $AR$158), CONCATENATE("PX392=",$AR$159), CONCATENATE("DS004=",$B$151), "Fill=B")</f>
        <v>#N/A Connection</v>
      </c>
      <c r="AS211" t="str">
        <f ca="1">_xll.BDP($B$63,$C$63,CONCATENATE("PX391=", $AS$158), CONCATENATE("PX392=",$AS$159), CONCATENATE("DS004=",$B$151), "Fill=B")</f>
        <v>#N/A Connection</v>
      </c>
      <c r="AT211" t="str">
        <f ca="1">_xll.BDP($B$63,$C$63,CONCATENATE("PX391=", $AT$158), CONCATENATE("PX392=",$AT$159), CONCATENATE("DS004=",$B$151), "Fill=B")</f>
        <v>#N/A Connection</v>
      </c>
      <c r="AU211" t="str">
        <f ca="1">_xll.BDP($B$63,$C$63,CONCATENATE("PX391=", $AU$158), CONCATENATE("PX392=",$AU$159), CONCATENATE("DS004=",$B$151), "Fill=B")</f>
        <v>#N/A Connection</v>
      </c>
      <c r="AV211" t="str">
        <f ca="1">_xll.BDP($B$63,$C$63,CONCATENATE("PX391=", $AV$158), CONCATENATE("PX392=",$AV$159), CONCATENATE("DS004=",$B$151), "Fill=B")</f>
        <v>#N/A Connection</v>
      </c>
      <c r="AW211" t="str">
        <f ca="1">_xll.BDP($B$63,$C$63,CONCATENATE("PX391=", $AW$158), CONCATENATE("PX392=",$AW$159), CONCATENATE("DS004=",$B$151), "Fill=B")</f>
        <v>#N/A Connection</v>
      </c>
      <c r="AX211" t="str">
        <f ca="1">_xll.BDP($B$63,$C$63,CONCATENATE("PX391=", $AX$158), CONCATENATE("PX392=",$AX$159), CONCATENATE("DS004=",$B$151), "Fill=B")</f>
        <v>#N/A Connection</v>
      </c>
      <c r="AY211" t="str">
        <f ca="1">_xll.BDP($B$63,$C$63,CONCATENATE("PX391=", $AY$158), CONCATENATE("PX392=",$AY$159), CONCATENATE("DS004=",$B$151), "Fill=B")</f>
        <v>#N/A Connection</v>
      </c>
      <c r="AZ211" t="str">
        <f ca="1">_xll.BDP($B$63,$C$63,CONCATENATE("PX391=", $AZ$158), CONCATENATE("PX392=",$AZ$159), CONCATENATE("DS004=",$B$151), "Fill=B")</f>
        <v>#N/A Connection</v>
      </c>
      <c r="BA211" t="str">
        <f ca="1">_xll.BDP($B$63,$C$63,CONCATENATE("PX391=", $BA$158), CONCATENATE("PX392=",$BA$159), CONCATENATE("DS004=",$B$151), "Fill=B")</f>
        <v>#N/A Connection</v>
      </c>
      <c r="BB211" t="str">
        <f ca="1">_xll.BDP($B$63,$C$63,CONCATENATE("PX391=", $BB$158), CONCATENATE("PX392=",$BB$159), CONCATENATE("DS004=",$B$151), "Fill=B")</f>
        <v>#N/A Connection</v>
      </c>
      <c r="BC211" t="str">
        <f ca="1">_xll.BDP($B$63,$C$63,CONCATENATE("PX391=", $BC$158), CONCATENATE("PX392=",$BC$159), CONCATENATE("DS004=",$B$151), "Fill=B")</f>
        <v>#N/A Connection</v>
      </c>
      <c r="BD211" t="str">
        <f ca="1">_xll.BDP($B$63,$C$63,CONCATENATE("PX391=", $BD$158), CONCATENATE("PX392=",$BD$159), CONCATENATE("DS004=",$B$151), "Fill=B")</f>
        <v>#N/A Connection</v>
      </c>
      <c r="BE211" t="str">
        <f ca="1">_xll.BDP($B$63,$C$63,CONCATENATE("PX391=", $BE$158), CONCATENATE("PX392=",$BE$159), CONCATENATE("DS004=",$B$151), "Fill=B")</f>
        <v>#N/A Connection</v>
      </c>
      <c r="BF211" t="str">
        <f ca="1">_xll.BDP($B$63,$C$63,CONCATENATE("PX391=", $BF$158), CONCATENATE("PX392=",$BF$159), CONCATENATE("DS004=",$B$151), "Fill=B")</f>
        <v>#N/A Connection</v>
      </c>
      <c r="BG211" t="str">
        <f ca="1">_xll.BDP($B$63,$C$63,CONCATENATE("PX391=", $BG$158), CONCATENATE("PX392=",$BG$159), CONCATENATE("DS004=",$B$151), "Fill=B")</f>
        <v>#N/A Connection</v>
      </c>
      <c r="BH211" t="str">
        <f ca="1">_xll.BDP($B$63,$C$63,CONCATENATE("PX391=", $BH$158), CONCATENATE("PX392=",$BH$159), CONCATENATE("DS004=",$B$151), "Fill=B")</f>
        <v>#N/A Connection</v>
      </c>
      <c r="BI211" t="str">
        <f ca="1">_xll.BDP($B$63,$C$63,CONCATENATE("PX391=", $BI$158), CONCATENATE("PX392=",$BI$159), CONCATENATE("DS004=",$B$151), "Fill=B")</f>
        <v>#N/A Connection</v>
      </c>
      <c r="BJ211" t="str">
        <f ca="1">_xll.BDP($B$63,$C$63,CONCATENATE("PX391=", $BJ$158), CONCATENATE("PX392=",$BJ$159), CONCATENATE("DS004=",$B$151), "Fill=B")</f>
        <v>#N/A Connection</v>
      </c>
      <c r="BK211" t="str">
        <f ca="1">_xll.BDP($B$63,$C$63,CONCATENATE("PX391=", $BK$158), CONCATENATE("PX392=",$BK$159), CONCATENATE("DS004=",$B$151), "Fill=B")</f>
        <v>#N/A Connection</v>
      </c>
      <c r="BL211" t="str">
        <f ca="1">_xll.BDP($B$63,$C$63,CONCATENATE("PX391=", $BL$158), CONCATENATE("PX392=",$BL$159), CONCATENATE("DS004=",$B$151), "Fill=B")</f>
        <v>#N/A Connection</v>
      </c>
      <c r="BM211" t="str">
        <f ca="1">_xll.BDP($B$63,$C$63,CONCATENATE("PX391=", $BM$158), CONCATENATE("PX392=",$BM$159), CONCATENATE("DS004=",$B$151), "Fill=B")</f>
        <v>#N/A Connection</v>
      </c>
      <c r="BN211" t="str">
        <f>""</f>
        <v/>
      </c>
      <c r="BO211" t="str">
        <f>""</f>
        <v/>
      </c>
      <c r="BP211" t="str">
        <f>""</f>
        <v/>
      </c>
      <c r="BQ211" t="str">
        <f>""</f>
        <v/>
      </c>
      <c r="BR211" t="str">
        <f>""</f>
        <v/>
      </c>
      <c r="BS211" t="str">
        <f>""</f>
        <v/>
      </c>
      <c r="BT211" t="str">
        <f>""</f>
        <v/>
      </c>
      <c r="BU211" t="str">
        <f>""</f>
        <v/>
      </c>
      <c r="BV211" t="str">
        <f>""</f>
        <v/>
      </c>
      <c r="BW211" t="str">
        <f>""</f>
        <v/>
      </c>
      <c r="BX211" t="str">
        <f>""</f>
        <v/>
      </c>
      <c r="BY211" t="str">
        <f>""</f>
        <v/>
      </c>
      <c r="BZ211" t="str">
        <f>""</f>
        <v/>
      </c>
      <c r="CA211" t="str">
        <f>""</f>
        <v/>
      </c>
      <c r="CB211" t="str">
        <f>""</f>
        <v/>
      </c>
      <c r="CC211" t="str">
        <f>""</f>
        <v/>
      </c>
      <c r="CD211" t="str">
        <f>""</f>
        <v/>
      </c>
      <c r="CE211" t="str">
        <f>""</f>
        <v/>
      </c>
      <c r="CF211" t="str">
        <f>""</f>
        <v/>
      </c>
      <c r="CG211" t="str">
        <f>""</f>
        <v/>
      </c>
      <c r="CH211" t="str">
        <f>""</f>
        <v/>
      </c>
      <c r="CI211" t="str">
        <f>""</f>
        <v/>
      </c>
      <c r="CJ211" t="str">
        <f>""</f>
        <v/>
      </c>
      <c r="CK211" t="str">
        <f>""</f>
        <v/>
      </c>
      <c r="CL211" t="str">
        <f>""</f>
        <v/>
      </c>
      <c r="CM211" t="str">
        <f>""</f>
        <v/>
      </c>
      <c r="CN211" t="str">
        <f>""</f>
        <v/>
      </c>
      <c r="CO211" t="str">
        <f>""</f>
        <v/>
      </c>
      <c r="CP211" t="str">
        <f>""</f>
        <v/>
      </c>
      <c r="CQ211" t="str">
        <f>""</f>
        <v/>
      </c>
      <c r="CR211" t="str">
        <f>""</f>
        <v/>
      </c>
      <c r="CS211" t="str">
        <f>""</f>
        <v/>
      </c>
      <c r="CT211" t="str">
        <f>""</f>
        <v/>
      </c>
      <c r="CU211" t="str">
        <f>""</f>
        <v/>
      </c>
      <c r="CV211" t="str">
        <f>""</f>
        <v/>
      </c>
      <c r="CW211" t="str">
        <f>""</f>
        <v/>
      </c>
      <c r="CX211" t="str">
        <f>""</f>
        <v/>
      </c>
      <c r="CY211" t="str">
        <f>""</f>
        <v/>
      </c>
      <c r="CZ211" t="str">
        <f>""</f>
        <v/>
      </c>
      <c r="DA211" t="str">
        <f>""</f>
        <v/>
      </c>
      <c r="DB211" t="str">
        <f>""</f>
        <v/>
      </c>
      <c r="DC211" t="str">
        <f>""</f>
        <v/>
      </c>
      <c r="DD211" t="str">
        <f>""</f>
        <v/>
      </c>
      <c r="DE211" t="str">
        <f>""</f>
        <v/>
      </c>
      <c r="DF211" t="str">
        <f>""</f>
        <v/>
      </c>
      <c r="DG211" t="str">
        <f>""</f>
        <v/>
      </c>
      <c r="DH211" t="str">
        <f>""</f>
        <v/>
      </c>
      <c r="DI211" t="str">
        <f>""</f>
        <v/>
      </c>
      <c r="DJ211" t="str">
        <f>""</f>
        <v/>
      </c>
      <c r="DK211" t="str">
        <f>""</f>
        <v/>
      </c>
      <c r="DL211" t="str">
        <f>""</f>
        <v/>
      </c>
      <c r="DM211" t="str">
        <f>""</f>
        <v/>
      </c>
      <c r="DN211" t="str">
        <f>""</f>
        <v/>
      </c>
      <c r="DO211" t="str">
        <f>""</f>
        <v/>
      </c>
      <c r="DP211" t="str">
        <f>""</f>
        <v/>
      </c>
      <c r="DQ211" t="str">
        <f>""</f>
        <v/>
      </c>
      <c r="DR211" t="str">
        <f>""</f>
        <v/>
      </c>
      <c r="DS211" t="str">
        <f>""</f>
        <v/>
      </c>
      <c r="DT211" t="str">
        <f>""</f>
        <v/>
      </c>
      <c r="DU211" t="str">
        <f>""</f>
        <v/>
      </c>
    </row>
    <row r="212" spans="1:125" x14ac:dyDescent="0.25">
      <c r="A212" t="str">
        <f>$A$64</f>
        <v xml:space="preserve">        Chile</v>
      </c>
      <c r="B212" t="str">
        <f>$B$64</f>
        <v>CHVSAUTO Index</v>
      </c>
      <c r="C212" t="str">
        <f>$C$64</f>
        <v>PX385</v>
      </c>
      <c r="D212" t="str">
        <f>$D$64</f>
        <v>INTERVAL_SUM</v>
      </c>
      <c r="E212" t="str">
        <f>$E$64</f>
        <v>Dynamic</v>
      </c>
      <c r="F212" t="str">
        <f ca="1">_xll.BDP($B$64,$C$64,CONCATENATE("PX391=", $F$158), CONCATENATE("PX392=",$F$159), CONCATENATE("DS004=",$B$151), "Fill=B")</f>
        <v>#N/A Connection</v>
      </c>
      <c r="G212" t="str">
        <f ca="1">_xll.BDP($B$64,$C$64,CONCATENATE("PX391=", $G$158), CONCATENATE("PX392=",$G$159), CONCATENATE("DS004=",$B$151), "Fill=B")</f>
        <v>#N/A Connection</v>
      </c>
      <c r="H212" t="str">
        <f ca="1">_xll.BDP($B$64,$C$64,CONCATENATE("PX391=", $H$158), CONCATENATE("PX392=",$H$159), CONCATENATE("DS004=",$B$151), "Fill=B")</f>
        <v>#N/A Connection</v>
      </c>
      <c r="I212" t="str">
        <f ca="1">_xll.BDP($B$64,$C$64,CONCATENATE("PX391=", $I$158), CONCATENATE("PX392=",$I$159), CONCATENATE("DS004=",$B$151), "Fill=B")</f>
        <v>#N/A Connection</v>
      </c>
      <c r="J212" t="str">
        <f ca="1">_xll.BDP($B$64,$C$64,CONCATENATE("PX391=", $J$158), CONCATENATE("PX392=",$J$159), CONCATENATE("DS004=",$B$151), "Fill=B")</f>
        <v>#N/A Connection</v>
      </c>
      <c r="K212" t="str">
        <f ca="1">_xll.BDP($B$64,$C$64,CONCATENATE("PX391=", $K$158), CONCATENATE("PX392=",$K$159), CONCATENATE("DS004=",$B$151), "Fill=B")</f>
        <v>#N/A Connection</v>
      </c>
      <c r="L212" t="str">
        <f ca="1">_xll.BDP($B$64,$C$64,CONCATENATE("PX391=", $L$158), CONCATENATE("PX392=",$L$159), CONCATENATE("DS004=",$B$151), "Fill=B")</f>
        <v>#N/A Connection</v>
      </c>
      <c r="M212" t="str">
        <f ca="1">_xll.BDP($B$64,$C$64,CONCATENATE("PX391=", $M$158), CONCATENATE("PX392=",$M$159), CONCATENATE("DS004=",$B$151), "Fill=B")</f>
        <v>#N/A Connection</v>
      </c>
      <c r="N212" t="str">
        <f ca="1">_xll.BDP($B$64,$C$64,CONCATENATE("PX391=", $N$158), CONCATENATE("PX392=",$N$159), CONCATENATE("DS004=",$B$151), "Fill=B")</f>
        <v>#N/A Connection</v>
      </c>
      <c r="O212" t="str">
        <f ca="1">_xll.BDP($B$64,$C$64,CONCATENATE("PX391=", $O$158), CONCATENATE("PX392=",$O$159), CONCATENATE("DS004=",$B$151), "Fill=B")</f>
        <v>#N/A Connection</v>
      </c>
      <c r="P212" t="str">
        <f ca="1">_xll.BDP($B$64,$C$64,CONCATENATE("PX391=", $P$158), CONCATENATE("PX392=",$P$159), CONCATENATE("DS004=",$B$151), "Fill=B")</f>
        <v>#N/A Connection</v>
      </c>
      <c r="Q212" t="str">
        <f ca="1">_xll.BDP($B$64,$C$64,CONCATENATE("PX391=", $Q$158), CONCATENATE("PX392=",$Q$159), CONCATENATE("DS004=",$B$151), "Fill=B")</f>
        <v>#N/A Connection</v>
      </c>
      <c r="R212" t="str">
        <f ca="1">_xll.BDP($B$64,$C$64,CONCATENATE("PX391=", $R$158), CONCATENATE("PX392=",$R$159), CONCATENATE("DS004=",$B$151), "Fill=B")</f>
        <v>#N/A Connection</v>
      </c>
      <c r="S212" t="str">
        <f ca="1">_xll.BDP($B$64,$C$64,CONCATENATE("PX391=", $S$158), CONCATENATE("PX392=",$S$159), CONCATENATE("DS004=",$B$151), "Fill=B")</f>
        <v>#N/A Connection</v>
      </c>
      <c r="T212" t="str">
        <f ca="1">_xll.BDP($B$64,$C$64,CONCATENATE("PX391=", $T$158), CONCATENATE("PX392=",$T$159), CONCATENATE("DS004=",$B$151), "Fill=B")</f>
        <v>#N/A Connection</v>
      </c>
      <c r="U212" t="str">
        <f ca="1">_xll.BDP($B$64,$C$64,CONCATENATE("PX391=", $U$158), CONCATENATE("PX392=",$U$159), CONCATENATE("DS004=",$B$151), "Fill=B")</f>
        <v>#N/A Connection</v>
      </c>
      <c r="V212" t="str">
        <f ca="1">_xll.BDP($B$64,$C$64,CONCATENATE("PX391=", $V$158), CONCATENATE("PX392=",$V$159), CONCATENATE("DS004=",$B$151), "Fill=B")</f>
        <v>#N/A Connection</v>
      </c>
      <c r="W212" t="str">
        <f ca="1">_xll.BDP($B$64,$C$64,CONCATENATE("PX391=", $W$158), CONCATENATE("PX392=",$W$159), CONCATENATE("DS004=",$B$151), "Fill=B")</f>
        <v>#N/A Connection</v>
      </c>
      <c r="X212" t="str">
        <f ca="1">_xll.BDP($B$64,$C$64,CONCATENATE("PX391=", $X$158), CONCATENATE("PX392=",$X$159), CONCATENATE("DS004=",$B$151), "Fill=B")</f>
        <v>#N/A Connection</v>
      </c>
      <c r="Y212" t="str">
        <f ca="1">_xll.BDP($B$64,$C$64,CONCATENATE("PX391=", $Y$158), CONCATENATE("PX392=",$Y$159), CONCATENATE("DS004=",$B$151), "Fill=B")</f>
        <v>#N/A Connection</v>
      </c>
      <c r="Z212" t="str">
        <f ca="1">_xll.BDP($B$64,$C$64,CONCATENATE("PX391=", $Z$158), CONCATENATE("PX392=",$Z$159), CONCATENATE("DS004=",$B$151), "Fill=B")</f>
        <v>#N/A Connection</v>
      </c>
      <c r="AA212" t="str">
        <f ca="1">_xll.BDP($B$64,$C$64,CONCATENATE("PX391=", $AA$158), CONCATENATE("PX392=",$AA$159), CONCATENATE("DS004=",$B$151), "Fill=B")</f>
        <v>#N/A Connection</v>
      </c>
      <c r="AB212" t="str">
        <f ca="1">_xll.BDP($B$64,$C$64,CONCATENATE("PX391=", $AB$158), CONCATENATE("PX392=",$AB$159), CONCATENATE("DS004=",$B$151), "Fill=B")</f>
        <v>#N/A Connection</v>
      </c>
      <c r="AC212" t="str">
        <f ca="1">_xll.BDP($B$64,$C$64,CONCATENATE("PX391=", $AC$158), CONCATENATE("PX392=",$AC$159), CONCATENATE("DS004=",$B$151), "Fill=B")</f>
        <v>#N/A Connection</v>
      </c>
      <c r="AD212" t="str">
        <f ca="1">_xll.BDP($B$64,$C$64,CONCATENATE("PX391=", $AD$158), CONCATENATE("PX392=",$AD$159), CONCATENATE("DS004=",$B$151), "Fill=B")</f>
        <v>#N/A Connection</v>
      </c>
      <c r="AE212" t="str">
        <f ca="1">_xll.BDP($B$64,$C$64,CONCATENATE("PX391=", $AE$158), CONCATENATE("PX392=",$AE$159), CONCATENATE("DS004=",$B$151), "Fill=B")</f>
        <v>#N/A Connection</v>
      </c>
      <c r="AF212" t="str">
        <f ca="1">_xll.BDP($B$64,$C$64,CONCATENATE("PX391=", $AF$158), CONCATENATE("PX392=",$AF$159), CONCATENATE("DS004=",$B$151), "Fill=B")</f>
        <v>#N/A Connection</v>
      </c>
      <c r="AG212" t="str">
        <f ca="1">_xll.BDP($B$64,$C$64,CONCATENATE("PX391=", $AG$158), CONCATENATE("PX392=",$AG$159), CONCATENATE("DS004=",$B$151), "Fill=B")</f>
        <v>#N/A Connection</v>
      </c>
      <c r="AH212" t="str">
        <f ca="1">_xll.BDP($B$64,$C$64,CONCATENATE("PX391=", $AH$158), CONCATENATE("PX392=",$AH$159), CONCATENATE("DS004=",$B$151), "Fill=B")</f>
        <v>#N/A Connection</v>
      </c>
      <c r="AI212" t="str">
        <f ca="1">_xll.BDP($B$64,$C$64,CONCATENATE("PX391=", $AI$158), CONCATENATE("PX392=",$AI$159), CONCATENATE("DS004=",$B$151), "Fill=B")</f>
        <v>#N/A Connection</v>
      </c>
      <c r="AJ212" t="str">
        <f ca="1">_xll.BDP($B$64,$C$64,CONCATENATE("PX391=", $AJ$158), CONCATENATE("PX392=",$AJ$159), CONCATENATE("DS004=",$B$151), "Fill=B")</f>
        <v>#N/A Connection</v>
      </c>
      <c r="AK212" t="str">
        <f ca="1">_xll.BDP($B$64,$C$64,CONCATENATE("PX391=", $AK$158), CONCATENATE("PX392=",$AK$159), CONCATENATE("DS004=",$B$151), "Fill=B")</f>
        <v>#N/A Connection</v>
      </c>
      <c r="AL212" t="str">
        <f ca="1">_xll.BDP($B$64,$C$64,CONCATENATE("PX391=", $AL$158), CONCATENATE("PX392=",$AL$159), CONCATENATE("DS004=",$B$151), "Fill=B")</f>
        <v>#N/A Connection</v>
      </c>
      <c r="AM212" t="str">
        <f ca="1">_xll.BDP($B$64,$C$64,CONCATENATE("PX391=", $AM$158), CONCATENATE("PX392=",$AM$159), CONCATENATE("DS004=",$B$151), "Fill=B")</f>
        <v>#N/A Connection</v>
      </c>
      <c r="AN212" t="str">
        <f ca="1">_xll.BDP($B$64,$C$64,CONCATENATE("PX391=", $AN$158), CONCATENATE("PX392=",$AN$159), CONCATENATE("DS004=",$B$151), "Fill=B")</f>
        <v>#N/A Connection</v>
      </c>
      <c r="AO212" t="str">
        <f ca="1">_xll.BDP($B$64,$C$64,CONCATENATE("PX391=", $AO$158), CONCATENATE("PX392=",$AO$159), CONCATENATE("DS004=",$B$151), "Fill=B")</f>
        <v>#N/A Connection</v>
      </c>
      <c r="AP212" t="str">
        <f ca="1">_xll.BDP($B$64,$C$64,CONCATENATE("PX391=", $AP$158), CONCATENATE("PX392=",$AP$159), CONCATENATE("DS004=",$B$151), "Fill=B")</f>
        <v>#N/A Connection</v>
      </c>
      <c r="AQ212" t="str">
        <f ca="1">_xll.BDP($B$64,$C$64,CONCATENATE("PX391=", $AQ$158), CONCATENATE("PX392=",$AQ$159), CONCATENATE("DS004=",$B$151), "Fill=B")</f>
        <v>#N/A Connection</v>
      </c>
      <c r="AR212" t="str">
        <f ca="1">_xll.BDP($B$64,$C$64,CONCATENATE("PX391=", $AR$158), CONCATENATE("PX392=",$AR$159), CONCATENATE("DS004=",$B$151), "Fill=B")</f>
        <v>#N/A Connection</v>
      </c>
      <c r="AS212" t="str">
        <f ca="1">_xll.BDP($B$64,$C$64,CONCATENATE("PX391=", $AS$158), CONCATENATE("PX392=",$AS$159), CONCATENATE("DS004=",$B$151), "Fill=B")</f>
        <v>#N/A Connection</v>
      </c>
      <c r="AT212" t="str">
        <f ca="1">_xll.BDP($B$64,$C$64,CONCATENATE("PX391=", $AT$158), CONCATENATE("PX392=",$AT$159), CONCATENATE("DS004=",$B$151), "Fill=B")</f>
        <v>#N/A Connection</v>
      </c>
      <c r="AU212" t="str">
        <f ca="1">_xll.BDP($B$64,$C$64,CONCATENATE("PX391=", $AU$158), CONCATENATE("PX392=",$AU$159), CONCATENATE("DS004=",$B$151), "Fill=B")</f>
        <v>#N/A Connection</v>
      </c>
      <c r="AV212" t="str">
        <f ca="1">_xll.BDP($B$64,$C$64,CONCATENATE("PX391=", $AV$158), CONCATENATE("PX392=",$AV$159), CONCATENATE("DS004=",$B$151), "Fill=B")</f>
        <v>#N/A Connection</v>
      </c>
      <c r="AW212" t="str">
        <f ca="1">_xll.BDP($B$64,$C$64,CONCATENATE("PX391=", $AW$158), CONCATENATE("PX392=",$AW$159), CONCATENATE("DS004=",$B$151), "Fill=B")</f>
        <v>#N/A Connection</v>
      </c>
      <c r="AX212" t="str">
        <f ca="1">_xll.BDP($B$64,$C$64,CONCATENATE("PX391=", $AX$158), CONCATENATE("PX392=",$AX$159), CONCATENATE("DS004=",$B$151), "Fill=B")</f>
        <v>#N/A Connection</v>
      </c>
      <c r="AY212" t="str">
        <f ca="1">_xll.BDP($B$64,$C$64,CONCATENATE("PX391=", $AY$158), CONCATENATE("PX392=",$AY$159), CONCATENATE("DS004=",$B$151), "Fill=B")</f>
        <v>#N/A Connection</v>
      </c>
      <c r="AZ212" t="str">
        <f ca="1">_xll.BDP($B$64,$C$64,CONCATENATE("PX391=", $AZ$158), CONCATENATE("PX392=",$AZ$159), CONCATENATE("DS004=",$B$151), "Fill=B")</f>
        <v>#N/A Connection</v>
      </c>
      <c r="BA212" t="str">
        <f ca="1">_xll.BDP($B$64,$C$64,CONCATENATE("PX391=", $BA$158), CONCATENATE("PX392=",$BA$159), CONCATENATE("DS004=",$B$151), "Fill=B")</f>
        <v>#N/A Connection</v>
      </c>
      <c r="BB212" t="str">
        <f ca="1">_xll.BDP($B$64,$C$64,CONCATENATE("PX391=", $BB$158), CONCATENATE("PX392=",$BB$159), CONCATENATE("DS004=",$B$151), "Fill=B")</f>
        <v>#N/A Connection</v>
      </c>
      <c r="BC212" t="str">
        <f ca="1">_xll.BDP($B$64,$C$64,CONCATENATE("PX391=", $BC$158), CONCATENATE("PX392=",$BC$159), CONCATENATE("DS004=",$B$151), "Fill=B")</f>
        <v>#N/A Connection</v>
      </c>
      <c r="BD212" t="str">
        <f ca="1">_xll.BDP($B$64,$C$64,CONCATENATE("PX391=", $BD$158), CONCATENATE("PX392=",$BD$159), CONCATENATE("DS004=",$B$151), "Fill=B")</f>
        <v>#N/A Connection</v>
      </c>
      <c r="BE212" t="str">
        <f ca="1">_xll.BDP($B$64,$C$64,CONCATENATE("PX391=", $BE$158), CONCATENATE("PX392=",$BE$159), CONCATENATE("DS004=",$B$151), "Fill=B")</f>
        <v>#N/A Connection</v>
      </c>
      <c r="BF212" t="str">
        <f ca="1">_xll.BDP($B$64,$C$64,CONCATENATE("PX391=", $BF$158), CONCATENATE("PX392=",$BF$159), CONCATENATE("DS004=",$B$151), "Fill=B")</f>
        <v>#N/A Connection</v>
      </c>
      <c r="BG212" t="str">
        <f ca="1">_xll.BDP($B$64,$C$64,CONCATENATE("PX391=", $BG$158), CONCATENATE("PX392=",$BG$159), CONCATENATE("DS004=",$B$151), "Fill=B")</f>
        <v>#N/A Connection</v>
      </c>
      <c r="BH212" t="str">
        <f ca="1">_xll.BDP($B$64,$C$64,CONCATENATE("PX391=", $BH$158), CONCATENATE("PX392=",$BH$159), CONCATENATE("DS004=",$B$151), "Fill=B")</f>
        <v>#N/A Connection</v>
      </c>
      <c r="BI212" t="str">
        <f ca="1">_xll.BDP($B$64,$C$64,CONCATENATE("PX391=", $BI$158), CONCATENATE("PX392=",$BI$159), CONCATENATE("DS004=",$B$151), "Fill=B")</f>
        <v>#N/A Connection</v>
      </c>
      <c r="BJ212" t="str">
        <f ca="1">_xll.BDP($B$64,$C$64,CONCATENATE("PX391=", $BJ$158), CONCATENATE("PX392=",$BJ$159), CONCATENATE("DS004=",$B$151), "Fill=B")</f>
        <v>#N/A Connection</v>
      </c>
      <c r="BK212" t="str">
        <f ca="1">_xll.BDP($B$64,$C$64,CONCATENATE("PX391=", $BK$158), CONCATENATE("PX392=",$BK$159), CONCATENATE("DS004=",$B$151), "Fill=B")</f>
        <v>#N/A Connection</v>
      </c>
      <c r="BL212" t="str">
        <f ca="1">_xll.BDP($B$64,$C$64,CONCATENATE("PX391=", $BL$158), CONCATENATE("PX392=",$BL$159), CONCATENATE("DS004=",$B$151), "Fill=B")</f>
        <v>#N/A Connection</v>
      </c>
      <c r="BM212" t="str">
        <f ca="1">_xll.BDP($B$64,$C$64,CONCATENATE("PX391=", $BM$158), CONCATENATE("PX392=",$BM$159), CONCATENATE("DS004=",$B$151), "Fill=B")</f>
        <v>#N/A Connection</v>
      </c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  <c r="BT212" t="str">
        <f>""</f>
        <v/>
      </c>
      <c r="BU212" t="str">
        <f>""</f>
        <v/>
      </c>
      <c r="BV212" t="str">
        <f>""</f>
        <v/>
      </c>
      <c r="BW212" t="str">
        <f>""</f>
        <v/>
      </c>
      <c r="BX212" t="str">
        <f>""</f>
        <v/>
      </c>
      <c r="BY212" t="str">
        <f>""</f>
        <v/>
      </c>
      <c r="BZ212" t="str">
        <f>""</f>
        <v/>
      </c>
      <c r="CA212" t="str">
        <f>""</f>
        <v/>
      </c>
      <c r="CB212" t="str">
        <f>""</f>
        <v/>
      </c>
      <c r="CC212" t="str">
        <f>""</f>
        <v/>
      </c>
      <c r="CD212" t="str">
        <f>""</f>
        <v/>
      </c>
      <c r="CE212" t="str">
        <f>""</f>
        <v/>
      </c>
      <c r="CF212" t="str">
        <f>""</f>
        <v/>
      </c>
      <c r="CG212" t="str">
        <f>""</f>
        <v/>
      </c>
      <c r="CH212" t="str">
        <f>""</f>
        <v/>
      </c>
      <c r="CI212" t="str">
        <f>""</f>
        <v/>
      </c>
      <c r="CJ212" t="str">
        <f>""</f>
        <v/>
      </c>
      <c r="CK212" t="str">
        <f>""</f>
        <v/>
      </c>
      <c r="CL212" t="str">
        <f>""</f>
        <v/>
      </c>
      <c r="CM212" t="str">
        <f>""</f>
        <v/>
      </c>
      <c r="CN212" t="str">
        <f>""</f>
        <v/>
      </c>
      <c r="CO212" t="str">
        <f>""</f>
        <v/>
      </c>
      <c r="CP212" t="str">
        <f>""</f>
        <v/>
      </c>
      <c r="CQ212" t="str">
        <f>""</f>
        <v/>
      </c>
      <c r="CR212" t="str">
        <f>""</f>
        <v/>
      </c>
      <c r="CS212" t="str">
        <f>""</f>
        <v/>
      </c>
      <c r="CT212" t="str">
        <f>""</f>
        <v/>
      </c>
      <c r="CU212" t="str">
        <f>""</f>
        <v/>
      </c>
      <c r="CV212" t="str">
        <f>""</f>
        <v/>
      </c>
      <c r="CW212" t="str">
        <f>""</f>
        <v/>
      </c>
      <c r="CX212" t="str">
        <f>""</f>
        <v/>
      </c>
      <c r="CY212" t="str">
        <f>""</f>
        <v/>
      </c>
      <c r="CZ212" t="str">
        <f>""</f>
        <v/>
      </c>
      <c r="DA212" t="str">
        <f>""</f>
        <v/>
      </c>
      <c r="DB212" t="str">
        <f>""</f>
        <v/>
      </c>
      <c r="DC212" t="str">
        <f>""</f>
        <v/>
      </c>
      <c r="DD212" t="str">
        <f>""</f>
        <v/>
      </c>
      <c r="DE212" t="str">
        <f>""</f>
        <v/>
      </c>
      <c r="DF212" t="str">
        <f>""</f>
        <v/>
      </c>
      <c r="DG212" t="str">
        <f>""</f>
        <v/>
      </c>
      <c r="DH212" t="str">
        <f>""</f>
        <v/>
      </c>
      <c r="DI212" t="str">
        <f>""</f>
        <v/>
      </c>
      <c r="DJ212" t="str">
        <f>""</f>
        <v/>
      </c>
      <c r="DK212" t="str">
        <f>""</f>
        <v/>
      </c>
      <c r="DL212" t="str">
        <f>""</f>
        <v/>
      </c>
      <c r="DM212" t="str">
        <f>""</f>
        <v/>
      </c>
      <c r="DN212" t="str">
        <f>""</f>
        <v/>
      </c>
      <c r="DO212" t="str">
        <f>""</f>
        <v/>
      </c>
      <c r="DP212" t="str">
        <f>""</f>
        <v/>
      </c>
      <c r="DQ212" t="str">
        <f>""</f>
        <v/>
      </c>
      <c r="DR212" t="str">
        <f>""</f>
        <v/>
      </c>
      <c r="DS212" t="str">
        <f>""</f>
        <v/>
      </c>
      <c r="DT212" t="str">
        <f>""</f>
        <v/>
      </c>
      <c r="DU212" t="str">
        <f>""</f>
        <v/>
      </c>
    </row>
    <row r="213" spans="1:125" x14ac:dyDescent="0.25">
      <c r="A213" t="str">
        <f>$A$65</f>
        <v xml:space="preserve">        Colombia</v>
      </c>
      <c r="B213" t="str">
        <f>$B$65</f>
        <v>COVSTCAR Index</v>
      </c>
      <c r="C213" t="str">
        <f>$C$65</f>
        <v>PX385</v>
      </c>
      <c r="D213" t="str">
        <f>$D$65</f>
        <v>INTERVAL_SUM</v>
      </c>
      <c r="E213" t="str">
        <f>$E$65</f>
        <v>Dynamic</v>
      </c>
      <c r="F213" t="str">
        <f ca="1">_xll.BDP($B$65,$C$65,CONCATENATE("PX391=", $F$158), CONCATENATE("PX392=",$F$159), CONCATENATE("DS004=",$B$151), "Fill=B")</f>
        <v>#N/A Connection</v>
      </c>
      <c r="G213" t="str">
        <f ca="1">_xll.BDP($B$65,$C$65,CONCATENATE("PX391=", $G$158), CONCATENATE("PX392=",$G$159), CONCATENATE("DS004=",$B$151), "Fill=B")</f>
        <v>#N/A Connection</v>
      </c>
      <c r="H213" t="str">
        <f ca="1">_xll.BDP($B$65,$C$65,CONCATENATE("PX391=", $H$158), CONCATENATE("PX392=",$H$159), CONCATENATE("DS004=",$B$151), "Fill=B")</f>
        <v>#N/A Connection</v>
      </c>
      <c r="I213" t="str">
        <f ca="1">_xll.BDP($B$65,$C$65,CONCATENATE("PX391=", $I$158), CONCATENATE("PX392=",$I$159), CONCATENATE("DS004=",$B$151), "Fill=B")</f>
        <v>#N/A Connection</v>
      </c>
      <c r="J213" t="str">
        <f ca="1">_xll.BDP($B$65,$C$65,CONCATENATE("PX391=", $J$158), CONCATENATE("PX392=",$J$159), CONCATENATE("DS004=",$B$151), "Fill=B")</f>
        <v>#N/A Connection</v>
      </c>
      <c r="K213" t="str">
        <f ca="1">_xll.BDP($B$65,$C$65,CONCATENATE("PX391=", $K$158), CONCATENATE("PX392=",$K$159), CONCATENATE("DS004=",$B$151), "Fill=B")</f>
        <v>#N/A Connection</v>
      </c>
      <c r="L213" t="str">
        <f ca="1">_xll.BDP($B$65,$C$65,CONCATENATE("PX391=", $L$158), CONCATENATE("PX392=",$L$159), CONCATENATE("DS004=",$B$151), "Fill=B")</f>
        <v>#N/A Connection</v>
      </c>
      <c r="M213" t="str">
        <f ca="1">_xll.BDP($B$65,$C$65,CONCATENATE("PX391=", $M$158), CONCATENATE("PX392=",$M$159), CONCATENATE("DS004=",$B$151), "Fill=B")</f>
        <v>#N/A Connection</v>
      </c>
      <c r="N213" t="str">
        <f ca="1">_xll.BDP($B$65,$C$65,CONCATENATE("PX391=", $N$158), CONCATENATE("PX392=",$N$159), CONCATENATE("DS004=",$B$151), "Fill=B")</f>
        <v>#N/A Connection</v>
      </c>
      <c r="O213" t="str">
        <f ca="1">_xll.BDP($B$65,$C$65,CONCATENATE("PX391=", $O$158), CONCATENATE("PX392=",$O$159), CONCATENATE("DS004=",$B$151), "Fill=B")</f>
        <v>#N/A Connection</v>
      </c>
      <c r="P213" t="str">
        <f ca="1">_xll.BDP($B$65,$C$65,CONCATENATE("PX391=", $P$158), CONCATENATE("PX392=",$P$159), CONCATENATE("DS004=",$B$151), "Fill=B")</f>
        <v>#N/A Connection</v>
      </c>
      <c r="Q213" t="str">
        <f ca="1">_xll.BDP($B$65,$C$65,CONCATENATE("PX391=", $Q$158), CONCATENATE("PX392=",$Q$159), CONCATENATE("DS004=",$B$151), "Fill=B")</f>
        <v>#N/A Connection</v>
      </c>
      <c r="R213" t="str">
        <f ca="1">_xll.BDP($B$65,$C$65,CONCATENATE("PX391=", $R$158), CONCATENATE("PX392=",$R$159), CONCATENATE("DS004=",$B$151), "Fill=B")</f>
        <v>#N/A Connection</v>
      </c>
      <c r="S213" t="str">
        <f ca="1">_xll.BDP($B$65,$C$65,CONCATENATE("PX391=", $S$158), CONCATENATE("PX392=",$S$159), CONCATENATE("DS004=",$B$151), "Fill=B")</f>
        <v>#N/A Connection</v>
      </c>
      <c r="T213" t="str">
        <f ca="1">_xll.BDP($B$65,$C$65,CONCATENATE("PX391=", $T$158), CONCATENATE("PX392=",$T$159), CONCATENATE("DS004=",$B$151), "Fill=B")</f>
        <v>#N/A Connection</v>
      </c>
      <c r="U213" t="str">
        <f ca="1">_xll.BDP($B$65,$C$65,CONCATENATE("PX391=", $U$158), CONCATENATE("PX392=",$U$159), CONCATENATE("DS004=",$B$151), "Fill=B")</f>
        <v>#N/A Connection</v>
      </c>
      <c r="V213" t="str">
        <f ca="1">_xll.BDP($B$65,$C$65,CONCATENATE("PX391=", $V$158), CONCATENATE("PX392=",$V$159), CONCATENATE("DS004=",$B$151), "Fill=B")</f>
        <v>#N/A Connection</v>
      </c>
      <c r="W213" t="str">
        <f ca="1">_xll.BDP($B$65,$C$65,CONCATENATE("PX391=", $W$158), CONCATENATE("PX392=",$W$159), CONCATENATE("DS004=",$B$151), "Fill=B")</f>
        <v>#N/A Connection</v>
      </c>
      <c r="X213" t="str">
        <f ca="1">_xll.BDP($B$65,$C$65,CONCATENATE("PX391=", $X$158), CONCATENATE("PX392=",$X$159), CONCATENATE("DS004=",$B$151), "Fill=B")</f>
        <v>#N/A Connection</v>
      </c>
      <c r="Y213" t="str">
        <f ca="1">_xll.BDP($B$65,$C$65,CONCATENATE("PX391=", $Y$158), CONCATENATE("PX392=",$Y$159), CONCATENATE("DS004=",$B$151), "Fill=B")</f>
        <v>#N/A Connection</v>
      </c>
      <c r="Z213" t="str">
        <f ca="1">_xll.BDP($B$65,$C$65,CONCATENATE("PX391=", $Z$158), CONCATENATE("PX392=",$Z$159), CONCATENATE("DS004=",$B$151), "Fill=B")</f>
        <v>#N/A Connection</v>
      </c>
      <c r="AA213" t="str">
        <f ca="1">_xll.BDP($B$65,$C$65,CONCATENATE("PX391=", $AA$158), CONCATENATE("PX392=",$AA$159), CONCATENATE("DS004=",$B$151), "Fill=B")</f>
        <v>#N/A Connection</v>
      </c>
      <c r="AB213" t="str">
        <f ca="1">_xll.BDP($B$65,$C$65,CONCATENATE("PX391=", $AB$158), CONCATENATE("PX392=",$AB$159), CONCATENATE("DS004=",$B$151), "Fill=B")</f>
        <v>#N/A Connection</v>
      </c>
      <c r="AC213" t="str">
        <f ca="1">_xll.BDP($B$65,$C$65,CONCATENATE("PX391=", $AC$158), CONCATENATE("PX392=",$AC$159), CONCATENATE("DS004=",$B$151), "Fill=B")</f>
        <v>#N/A Connection</v>
      </c>
      <c r="AD213" t="str">
        <f ca="1">_xll.BDP($B$65,$C$65,CONCATENATE("PX391=", $AD$158), CONCATENATE("PX392=",$AD$159), CONCATENATE("DS004=",$B$151), "Fill=B")</f>
        <v>#N/A Connection</v>
      </c>
      <c r="AE213" t="str">
        <f ca="1">_xll.BDP($B$65,$C$65,CONCATENATE("PX391=", $AE$158), CONCATENATE("PX392=",$AE$159), CONCATENATE("DS004=",$B$151), "Fill=B")</f>
        <v>#N/A Connection</v>
      </c>
      <c r="AF213" t="str">
        <f ca="1">_xll.BDP($B$65,$C$65,CONCATENATE("PX391=", $AF$158), CONCATENATE("PX392=",$AF$159), CONCATENATE("DS004=",$B$151), "Fill=B")</f>
        <v>#N/A Connection</v>
      </c>
      <c r="AG213" t="str">
        <f ca="1">_xll.BDP($B$65,$C$65,CONCATENATE("PX391=", $AG$158), CONCATENATE("PX392=",$AG$159), CONCATENATE("DS004=",$B$151), "Fill=B")</f>
        <v>#N/A Connection</v>
      </c>
      <c r="AH213" t="str">
        <f ca="1">_xll.BDP($B$65,$C$65,CONCATENATE("PX391=", $AH$158), CONCATENATE("PX392=",$AH$159), CONCATENATE("DS004=",$B$151), "Fill=B")</f>
        <v>#N/A Connection</v>
      </c>
      <c r="AI213" t="str">
        <f ca="1">_xll.BDP($B$65,$C$65,CONCATENATE("PX391=", $AI$158), CONCATENATE("PX392=",$AI$159), CONCATENATE("DS004=",$B$151), "Fill=B")</f>
        <v>#N/A Connection</v>
      </c>
      <c r="AJ213" t="str">
        <f ca="1">_xll.BDP($B$65,$C$65,CONCATENATE("PX391=", $AJ$158), CONCATENATE("PX392=",$AJ$159), CONCATENATE("DS004=",$B$151), "Fill=B")</f>
        <v>#N/A Connection</v>
      </c>
      <c r="AK213" t="str">
        <f ca="1">_xll.BDP($B$65,$C$65,CONCATENATE("PX391=", $AK$158), CONCATENATE("PX392=",$AK$159), CONCATENATE("DS004=",$B$151), "Fill=B")</f>
        <v>#N/A Connection</v>
      </c>
      <c r="AL213" t="str">
        <f ca="1">_xll.BDP($B$65,$C$65,CONCATENATE("PX391=", $AL$158), CONCATENATE("PX392=",$AL$159), CONCATENATE("DS004=",$B$151), "Fill=B")</f>
        <v>#N/A Connection</v>
      </c>
      <c r="AM213" t="str">
        <f ca="1">_xll.BDP($B$65,$C$65,CONCATENATE("PX391=", $AM$158), CONCATENATE("PX392=",$AM$159), CONCATENATE("DS004=",$B$151), "Fill=B")</f>
        <v>#N/A Connection</v>
      </c>
      <c r="AN213" t="str">
        <f ca="1">_xll.BDP($B$65,$C$65,CONCATENATE("PX391=", $AN$158), CONCATENATE("PX392=",$AN$159), CONCATENATE("DS004=",$B$151), "Fill=B")</f>
        <v>#N/A Connection</v>
      </c>
      <c r="AO213" t="str">
        <f ca="1">_xll.BDP($B$65,$C$65,CONCATENATE("PX391=", $AO$158), CONCATENATE("PX392=",$AO$159), CONCATENATE("DS004=",$B$151), "Fill=B")</f>
        <v>#N/A Connection</v>
      </c>
      <c r="AP213" t="str">
        <f ca="1">_xll.BDP($B$65,$C$65,CONCATENATE("PX391=", $AP$158), CONCATENATE("PX392=",$AP$159), CONCATENATE("DS004=",$B$151), "Fill=B")</f>
        <v>#N/A Connection</v>
      </c>
      <c r="AQ213" t="str">
        <f ca="1">_xll.BDP($B$65,$C$65,CONCATENATE("PX391=", $AQ$158), CONCATENATE("PX392=",$AQ$159), CONCATENATE("DS004=",$B$151), "Fill=B")</f>
        <v>#N/A Connection</v>
      </c>
      <c r="AR213" t="str">
        <f ca="1">_xll.BDP($B$65,$C$65,CONCATENATE("PX391=", $AR$158), CONCATENATE("PX392=",$AR$159), CONCATENATE("DS004=",$B$151), "Fill=B")</f>
        <v>#N/A Connection</v>
      </c>
      <c r="AS213" t="str">
        <f ca="1">_xll.BDP($B$65,$C$65,CONCATENATE("PX391=", $AS$158), CONCATENATE("PX392=",$AS$159), CONCATENATE("DS004=",$B$151), "Fill=B")</f>
        <v>#N/A Connection</v>
      </c>
      <c r="AT213" t="str">
        <f ca="1">_xll.BDP($B$65,$C$65,CONCATENATE("PX391=", $AT$158), CONCATENATE("PX392=",$AT$159), CONCATENATE("DS004=",$B$151), "Fill=B")</f>
        <v>#N/A Connection</v>
      </c>
      <c r="AU213" t="str">
        <f ca="1">_xll.BDP($B$65,$C$65,CONCATENATE("PX391=", $AU$158), CONCATENATE("PX392=",$AU$159), CONCATENATE("DS004=",$B$151), "Fill=B")</f>
        <v>#N/A Connection</v>
      </c>
      <c r="AV213" t="str">
        <f ca="1">_xll.BDP($B$65,$C$65,CONCATENATE("PX391=", $AV$158), CONCATENATE("PX392=",$AV$159), CONCATENATE("DS004=",$B$151), "Fill=B")</f>
        <v>#N/A Connection</v>
      </c>
      <c r="AW213" t="str">
        <f ca="1">_xll.BDP($B$65,$C$65,CONCATENATE("PX391=", $AW$158), CONCATENATE("PX392=",$AW$159), CONCATENATE("DS004=",$B$151), "Fill=B")</f>
        <v>#N/A Connection</v>
      </c>
      <c r="AX213" t="str">
        <f ca="1">_xll.BDP($B$65,$C$65,CONCATENATE("PX391=", $AX$158), CONCATENATE("PX392=",$AX$159), CONCATENATE("DS004=",$B$151), "Fill=B")</f>
        <v>#N/A Connection</v>
      </c>
      <c r="AY213" t="str">
        <f ca="1">_xll.BDP($B$65,$C$65,CONCATENATE("PX391=", $AY$158), CONCATENATE("PX392=",$AY$159), CONCATENATE("DS004=",$B$151), "Fill=B")</f>
        <v>#N/A Connection</v>
      </c>
      <c r="AZ213" t="str">
        <f ca="1">_xll.BDP($B$65,$C$65,CONCATENATE("PX391=", $AZ$158), CONCATENATE("PX392=",$AZ$159), CONCATENATE("DS004=",$B$151), "Fill=B")</f>
        <v>#N/A Connection</v>
      </c>
      <c r="BA213" t="str">
        <f ca="1">_xll.BDP($B$65,$C$65,CONCATENATE("PX391=", $BA$158), CONCATENATE("PX392=",$BA$159), CONCATENATE("DS004=",$B$151), "Fill=B")</f>
        <v>#N/A Connection</v>
      </c>
      <c r="BB213" t="str">
        <f ca="1">_xll.BDP($B$65,$C$65,CONCATENATE("PX391=", $BB$158), CONCATENATE("PX392=",$BB$159), CONCATENATE("DS004=",$B$151), "Fill=B")</f>
        <v>#N/A Connection</v>
      </c>
      <c r="BC213" t="str">
        <f ca="1">_xll.BDP($B$65,$C$65,CONCATENATE("PX391=", $BC$158), CONCATENATE("PX392=",$BC$159), CONCATENATE("DS004=",$B$151), "Fill=B")</f>
        <v>#N/A Connection</v>
      </c>
      <c r="BD213" t="str">
        <f ca="1">_xll.BDP($B$65,$C$65,CONCATENATE("PX391=", $BD$158), CONCATENATE("PX392=",$BD$159), CONCATENATE("DS004=",$B$151), "Fill=B")</f>
        <v>#N/A Connection</v>
      </c>
      <c r="BE213" t="str">
        <f ca="1">_xll.BDP($B$65,$C$65,CONCATENATE("PX391=", $BE$158), CONCATENATE("PX392=",$BE$159), CONCATENATE("DS004=",$B$151), "Fill=B")</f>
        <v>#N/A Connection</v>
      </c>
      <c r="BF213" t="str">
        <f ca="1">_xll.BDP($B$65,$C$65,CONCATENATE("PX391=", $BF$158), CONCATENATE("PX392=",$BF$159), CONCATENATE("DS004=",$B$151), "Fill=B")</f>
        <v>#N/A Connection</v>
      </c>
      <c r="BG213" t="str">
        <f ca="1">_xll.BDP($B$65,$C$65,CONCATENATE("PX391=", $BG$158), CONCATENATE("PX392=",$BG$159), CONCATENATE("DS004=",$B$151), "Fill=B")</f>
        <v>#N/A Connection</v>
      </c>
      <c r="BH213" t="str">
        <f ca="1">_xll.BDP($B$65,$C$65,CONCATENATE("PX391=", $BH$158), CONCATENATE("PX392=",$BH$159), CONCATENATE("DS004=",$B$151), "Fill=B")</f>
        <v>#N/A Connection</v>
      </c>
      <c r="BI213" t="str">
        <f ca="1">_xll.BDP($B$65,$C$65,CONCATENATE("PX391=", $BI$158), CONCATENATE("PX392=",$BI$159), CONCATENATE("DS004=",$B$151), "Fill=B")</f>
        <v>#N/A Connection</v>
      </c>
      <c r="BJ213" t="str">
        <f ca="1">_xll.BDP($B$65,$C$65,CONCATENATE("PX391=", $BJ$158), CONCATENATE("PX392=",$BJ$159), CONCATENATE("DS004=",$B$151), "Fill=B")</f>
        <v>#N/A Connection</v>
      </c>
      <c r="BK213" t="str">
        <f ca="1">_xll.BDP($B$65,$C$65,CONCATENATE("PX391=", $BK$158), CONCATENATE("PX392=",$BK$159), CONCATENATE("DS004=",$B$151), "Fill=B")</f>
        <v>#N/A Connection</v>
      </c>
      <c r="BL213" t="str">
        <f ca="1">_xll.BDP($B$65,$C$65,CONCATENATE("PX391=", $BL$158), CONCATENATE("PX392=",$BL$159), CONCATENATE("DS004=",$B$151), "Fill=B")</f>
        <v>#N/A Connection</v>
      </c>
      <c r="BM213" t="str">
        <f ca="1">_xll.BDP($B$65,$C$65,CONCATENATE("PX391=", $BM$158), CONCATENATE("PX392=",$BM$159), CONCATENATE("DS004=",$B$151), "Fill=B")</f>
        <v>#N/A Connection</v>
      </c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  <c r="BT213" t="str">
        <f>""</f>
        <v/>
      </c>
      <c r="BU213" t="str">
        <f>""</f>
        <v/>
      </c>
      <c r="BV213" t="str">
        <f>""</f>
        <v/>
      </c>
      <c r="BW213" t="str">
        <f>""</f>
        <v/>
      </c>
      <c r="BX213" t="str">
        <f>""</f>
        <v/>
      </c>
      <c r="BY213" t="str">
        <f>""</f>
        <v/>
      </c>
      <c r="BZ213" t="str">
        <f>""</f>
        <v/>
      </c>
      <c r="CA213" t="str">
        <f>""</f>
        <v/>
      </c>
      <c r="CB213" t="str">
        <f>""</f>
        <v/>
      </c>
      <c r="CC213" t="str">
        <f>""</f>
        <v/>
      </c>
      <c r="CD213" t="str">
        <f>""</f>
        <v/>
      </c>
      <c r="CE213" t="str">
        <f>""</f>
        <v/>
      </c>
      <c r="CF213" t="str">
        <f>""</f>
        <v/>
      </c>
      <c r="CG213" t="str">
        <f>""</f>
        <v/>
      </c>
      <c r="CH213" t="str">
        <f>""</f>
        <v/>
      </c>
      <c r="CI213" t="str">
        <f>""</f>
        <v/>
      </c>
      <c r="CJ213" t="str">
        <f>""</f>
        <v/>
      </c>
      <c r="CK213" t="str">
        <f>""</f>
        <v/>
      </c>
      <c r="CL213" t="str">
        <f>""</f>
        <v/>
      </c>
      <c r="CM213" t="str">
        <f>""</f>
        <v/>
      </c>
      <c r="CN213" t="str">
        <f>""</f>
        <v/>
      </c>
      <c r="CO213" t="str">
        <f>""</f>
        <v/>
      </c>
      <c r="CP213" t="str">
        <f>""</f>
        <v/>
      </c>
      <c r="CQ213" t="str">
        <f>""</f>
        <v/>
      </c>
      <c r="CR213" t="str">
        <f>""</f>
        <v/>
      </c>
      <c r="CS213" t="str">
        <f>""</f>
        <v/>
      </c>
      <c r="CT213" t="str">
        <f>""</f>
        <v/>
      </c>
      <c r="CU213" t="str">
        <f>""</f>
        <v/>
      </c>
      <c r="CV213" t="str">
        <f>""</f>
        <v/>
      </c>
      <c r="CW213" t="str">
        <f>""</f>
        <v/>
      </c>
      <c r="CX213" t="str">
        <f>""</f>
        <v/>
      </c>
      <c r="CY213" t="str">
        <f>""</f>
        <v/>
      </c>
      <c r="CZ213" t="str">
        <f>""</f>
        <v/>
      </c>
      <c r="DA213" t="str">
        <f>""</f>
        <v/>
      </c>
      <c r="DB213" t="str">
        <f>""</f>
        <v/>
      </c>
      <c r="DC213" t="str">
        <f>""</f>
        <v/>
      </c>
      <c r="DD213" t="str">
        <f>""</f>
        <v/>
      </c>
      <c r="DE213" t="str">
        <f>""</f>
        <v/>
      </c>
      <c r="DF213" t="str">
        <f>""</f>
        <v/>
      </c>
      <c r="DG213" t="str">
        <f>""</f>
        <v/>
      </c>
      <c r="DH213" t="str">
        <f>""</f>
        <v/>
      </c>
      <c r="DI213" t="str">
        <f>""</f>
        <v/>
      </c>
      <c r="DJ213" t="str">
        <f>""</f>
        <v/>
      </c>
      <c r="DK213" t="str">
        <f>""</f>
        <v/>
      </c>
      <c r="DL213" t="str">
        <f>""</f>
        <v/>
      </c>
      <c r="DM213" t="str">
        <f>""</f>
        <v/>
      </c>
      <c r="DN213" t="str">
        <f>""</f>
        <v/>
      </c>
      <c r="DO213" t="str">
        <f>""</f>
        <v/>
      </c>
      <c r="DP213" t="str">
        <f>""</f>
        <v/>
      </c>
      <c r="DQ213" t="str">
        <f>""</f>
        <v/>
      </c>
      <c r="DR213" t="str">
        <f>""</f>
        <v/>
      </c>
      <c r="DS213" t="str">
        <f>""</f>
        <v/>
      </c>
      <c r="DT213" t="str">
        <f>""</f>
        <v/>
      </c>
      <c r="DU213" t="str">
        <f>""</f>
        <v/>
      </c>
    </row>
    <row r="214" spans="1:125" x14ac:dyDescent="0.25">
      <c r="A214" t="str">
        <f>$A$66</f>
        <v xml:space="preserve">        Venezuela</v>
      </c>
      <c r="B214" t="str">
        <f>$B$66</f>
        <v>VNVSTOTL Index</v>
      </c>
      <c r="C214" t="str">
        <f>$C$66</f>
        <v>PX385</v>
      </c>
      <c r="D214" t="str">
        <f>$D$66</f>
        <v>INTERVAL_SUM</v>
      </c>
      <c r="E214" t="str">
        <f>$E$66</f>
        <v>Dynamic</v>
      </c>
      <c r="F214" t="str">
        <f ca="1">_xll.BDP($B$66,$C$66,CONCATENATE("PX391=", $F$158), CONCATENATE("PX392=",$F$159), CONCATENATE("DS004=",$B$151), "Fill=B")</f>
        <v>#N/A Connection</v>
      </c>
      <c r="G214" t="str">
        <f ca="1">_xll.BDP($B$66,$C$66,CONCATENATE("PX391=", $G$158), CONCATENATE("PX392=",$G$159), CONCATENATE("DS004=",$B$151), "Fill=B")</f>
        <v>#N/A Connection</v>
      </c>
      <c r="H214" t="str">
        <f ca="1">_xll.BDP($B$66,$C$66,CONCATENATE("PX391=", $H$158), CONCATENATE("PX392=",$H$159), CONCATENATE("DS004=",$B$151), "Fill=B")</f>
        <v>#N/A Connection</v>
      </c>
      <c r="I214" t="str">
        <f ca="1">_xll.BDP($B$66,$C$66,CONCATENATE("PX391=", $I$158), CONCATENATE("PX392=",$I$159), CONCATENATE("DS004=",$B$151), "Fill=B")</f>
        <v>#N/A Connection</v>
      </c>
      <c r="J214" t="str">
        <f ca="1">_xll.BDP($B$66,$C$66,CONCATENATE("PX391=", $J$158), CONCATENATE("PX392=",$J$159), CONCATENATE("DS004=",$B$151), "Fill=B")</f>
        <v>#N/A Connection</v>
      </c>
      <c r="K214" t="str">
        <f ca="1">_xll.BDP($B$66,$C$66,CONCATENATE("PX391=", $K$158), CONCATENATE("PX392=",$K$159), CONCATENATE("DS004=",$B$151), "Fill=B")</f>
        <v>#N/A Connection</v>
      </c>
      <c r="L214" t="str">
        <f ca="1">_xll.BDP($B$66,$C$66,CONCATENATE("PX391=", $L$158), CONCATENATE("PX392=",$L$159), CONCATENATE("DS004=",$B$151), "Fill=B")</f>
        <v>#N/A Connection</v>
      </c>
      <c r="M214" t="str">
        <f ca="1">_xll.BDP($B$66,$C$66,CONCATENATE("PX391=", $M$158), CONCATENATE("PX392=",$M$159), CONCATENATE("DS004=",$B$151), "Fill=B")</f>
        <v>#N/A Connection</v>
      </c>
      <c r="N214" t="str">
        <f ca="1">_xll.BDP($B$66,$C$66,CONCATENATE("PX391=", $N$158), CONCATENATE("PX392=",$N$159), CONCATENATE("DS004=",$B$151), "Fill=B")</f>
        <v>#N/A Connection</v>
      </c>
      <c r="O214" t="str">
        <f ca="1">_xll.BDP($B$66,$C$66,CONCATENATE("PX391=", $O$158), CONCATENATE("PX392=",$O$159), CONCATENATE("DS004=",$B$151), "Fill=B")</f>
        <v>#N/A Connection</v>
      </c>
      <c r="P214" t="str">
        <f ca="1">_xll.BDP($B$66,$C$66,CONCATENATE("PX391=", $P$158), CONCATENATE("PX392=",$P$159), CONCATENATE("DS004=",$B$151), "Fill=B")</f>
        <v>#N/A Connection</v>
      </c>
      <c r="Q214" t="str">
        <f ca="1">_xll.BDP($B$66,$C$66,CONCATENATE("PX391=", $Q$158), CONCATENATE("PX392=",$Q$159), CONCATENATE("DS004=",$B$151), "Fill=B")</f>
        <v>#N/A Connection</v>
      </c>
      <c r="R214" t="str">
        <f ca="1">_xll.BDP($B$66,$C$66,CONCATENATE("PX391=", $R$158), CONCATENATE("PX392=",$R$159), CONCATENATE("DS004=",$B$151), "Fill=B")</f>
        <v>#N/A Connection</v>
      </c>
      <c r="S214" t="str">
        <f ca="1">_xll.BDP($B$66,$C$66,CONCATENATE("PX391=", $S$158), CONCATENATE("PX392=",$S$159), CONCATENATE("DS004=",$B$151), "Fill=B")</f>
        <v>#N/A Connection</v>
      </c>
      <c r="T214" t="str">
        <f ca="1">_xll.BDP($B$66,$C$66,CONCATENATE("PX391=", $T$158), CONCATENATE("PX392=",$T$159), CONCATENATE("DS004=",$B$151), "Fill=B")</f>
        <v>#N/A Connection</v>
      </c>
      <c r="U214" t="str">
        <f ca="1">_xll.BDP($B$66,$C$66,CONCATENATE("PX391=", $U$158), CONCATENATE("PX392=",$U$159), CONCATENATE("DS004=",$B$151), "Fill=B")</f>
        <v>#N/A Connection</v>
      </c>
      <c r="V214" t="str">
        <f ca="1">_xll.BDP($B$66,$C$66,CONCATENATE("PX391=", $V$158), CONCATENATE("PX392=",$V$159), CONCATENATE("DS004=",$B$151), "Fill=B")</f>
        <v>#N/A Connection</v>
      </c>
      <c r="W214" t="str">
        <f ca="1">_xll.BDP($B$66,$C$66,CONCATENATE("PX391=", $W$158), CONCATENATE("PX392=",$W$159), CONCATENATE("DS004=",$B$151), "Fill=B")</f>
        <v>#N/A Connection</v>
      </c>
      <c r="X214" t="str">
        <f ca="1">_xll.BDP($B$66,$C$66,CONCATENATE("PX391=", $X$158), CONCATENATE("PX392=",$X$159), CONCATENATE("DS004=",$B$151), "Fill=B")</f>
        <v>#N/A Connection</v>
      </c>
      <c r="Y214" t="str">
        <f ca="1">_xll.BDP($B$66,$C$66,CONCATENATE("PX391=", $Y$158), CONCATENATE("PX392=",$Y$159), CONCATENATE("DS004=",$B$151), "Fill=B")</f>
        <v>#N/A Connection</v>
      </c>
      <c r="Z214" t="str">
        <f ca="1">_xll.BDP($B$66,$C$66,CONCATENATE("PX391=", $Z$158), CONCATENATE("PX392=",$Z$159), CONCATENATE("DS004=",$B$151), "Fill=B")</f>
        <v>#N/A Connection</v>
      </c>
      <c r="AA214" t="str">
        <f ca="1">_xll.BDP($B$66,$C$66,CONCATENATE("PX391=", $AA$158), CONCATENATE("PX392=",$AA$159), CONCATENATE("DS004=",$B$151), "Fill=B")</f>
        <v>#N/A Connection</v>
      </c>
      <c r="AB214" t="str">
        <f ca="1">_xll.BDP($B$66,$C$66,CONCATENATE("PX391=", $AB$158), CONCATENATE("PX392=",$AB$159), CONCATENATE("DS004=",$B$151), "Fill=B")</f>
        <v>#N/A Connection</v>
      </c>
      <c r="AC214" t="str">
        <f ca="1">_xll.BDP($B$66,$C$66,CONCATENATE("PX391=", $AC$158), CONCATENATE("PX392=",$AC$159), CONCATENATE("DS004=",$B$151), "Fill=B")</f>
        <v>#N/A Connection</v>
      </c>
      <c r="AD214" t="str">
        <f ca="1">_xll.BDP($B$66,$C$66,CONCATENATE("PX391=", $AD$158), CONCATENATE("PX392=",$AD$159), CONCATENATE("DS004=",$B$151), "Fill=B")</f>
        <v>#N/A Connection</v>
      </c>
      <c r="AE214" t="str">
        <f ca="1">_xll.BDP($B$66,$C$66,CONCATENATE("PX391=", $AE$158), CONCATENATE("PX392=",$AE$159), CONCATENATE("DS004=",$B$151), "Fill=B")</f>
        <v>#N/A Connection</v>
      </c>
      <c r="AF214" t="str">
        <f ca="1">_xll.BDP($B$66,$C$66,CONCATENATE("PX391=", $AF$158), CONCATENATE("PX392=",$AF$159), CONCATENATE("DS004=",$B$151), "Fill=B")</f>
        <v>#N/A Connection</v>
      </c>
      <c r="AG214" t="str">
        <f ca="1">_xll.BDP($B$66,$C$66,CONCATENATE("PX391=", $AG$158), CONCATENATE("PX392=",$AG$159), CONCATENATE("DS004=",$B$151), "Fill=B")</f>
        <v>#N/A Connection</v>
      </c>
      <c r="AH214" t="str">
        <f ca="1">_xll.BDP($B$66,$C$66,CONCATENATE("PX391=", $AH$158), CONCATENATE("PX392=",$AH$159), CONCATENATE("DS004=",$B$151), "Fill=B")</f>
        <v>#N/A Connection</v>
      </c>
      <c r="AI214" t="str">
        <f ca="1">_xll.BDP($B$66,$C$66,CONCATENATE("PX391=", $AI$158), CONCATENATE("PX392=",$AI$159), CONCATENATE("DS004=",$B$151), "Fill=B")</f>
        <v>#N/A Connection</v>
      </c>
      <c r="AJ214" t="str">
        <f ca="1">_xll.BDP($B$66,$C$66,CONCATENATE("PX391=", $AJ$158), CONCATENATE("PX392=",$AJ$159), CONCATENATE("DS004=",$B$151), "Fill=B")</f>
        <v>#N/A Connection</v>
      </c>
      <c r="AK214" t="str">
        <f ca="1">_xll.BDP($B$66,$C$66,CONCATENATE("PX391=", $AK$158), CONCATENATE("PX392=",$AK$159), CONCATENATE("DS004=",$B$151), "Fill=B")</f>
        <v>#N/A Connection</v>
      </c>
      <c r="AL214" t="str">
        <f ca="1">_xll.BDP($B$66,$C$66,CONCATENATE("PX391=", $AL$158), CONCATENATE("PX392=",$AL$159), CONCATENATE("DS004=",$B$151), "Fill=B")</f>
        <v>#N/A Connection</v>
      </c>
      <c r="AM214" t="str">
        <f ca="1">_xll.BDP($B$66,$C$66,CONCATENATE("PX391=", $AM$158), CONCATENATE("PX392=",$AM$159), CONCATENATE("DS004=",$B$151), "Fill=B")</f>
        <v>#N/A Connection</v>
      </c>
      <c r="AN214" t="str">
        <f ca="1">_xll.BDP($B$66,$C$66,CONCATENATE("PX391=", $AN$158), CONCATENATE("PX392=",$AN$159), CONCATENATE("DS004=",$B$151), "Fill=B")</f>
        <v>#N/A Connection</v>
      </c>
      <c r="AO214" t="str">
        <f ca="1">_xll.BDP($B$66,$C$66,CONCATENATE("PX391=", $AO$158), CONCATENATE("PX392=",$AO$159), CONCATENATE("DS004=",$B$151), "Fill=B")</f>
        <v>#N/A Connection</v>
      </c>
      <c r="AP214" t="str">
        <f ca="1">_xll.BDP($B$66,$C$66,CONCATENATE("PX391=", $AP$158), CONCATENATE("PX392=",$AP$159), CONCATENATE("DS004=",$B$151), "Fill=B")</f>
        <v>#N/A Connection</v>
      </c>
      <c r="AQ214" t="str">
        <f ca="1">_xll.BDP($B$66,$C$66,CONCATENATE("PX391=", $AQ$158), CONCATENATE("PX392=",$AQ$159), CONCATENATE("DS004=",$B$151), "Fill=B")</f>
        <v>#N/A Connection</v>
      </c>
      <c r="AR214" t="str">
        <f ca="1">_xll.BDP($B$66,$C$66,CONCATENATE("PX391=", $AR$158), CONCATENATE("PX392=",$AR$159), CONCATENATE("DS004=",$B$151), "Fill=B")</f>
        <v>#N/A Connection</v>
      </c>
      <c r="AS214" t="str">
        <f ca="1">_xll.BDP($B$66,$C$66,CONCATENATE("PX391=", $AS$158), CONCATENATE("PX392=",$AS$159), CONCATENATE("DS004=",$B$151), "Fill=B")</f>
        <v>#N/A Connection</v>
      </c>
      <c r="AT214" t="str">
        <f ca="1">_xll.BDP($B$66,$C$66,CONCATENATE("PX391=", $AT$158), CONCATENATE("PX392=",$AT$159), CONCATENATE("DS004=",$B$151), "Fill=B")</f>
        <v>#N/A Connection</v>
      </c>
      <c r="AU214" t="str">
        <f ca="1">_xll.BDP($B$66,$C$66,CONCATENATE("PX391=", $AU$158), CONCATENATE("PX392=",$AU$159), CONCATENATE("DS004=",$B$151), "Fill=B")</f>
        <v>#N/A Connection</v>
      </c>
      <c r="AV214" t="str">
        <f ca="1">_xll.BDP($B$66,$C$66,CONCATENATE("PX391=", $AV$158), CONCATENATE("PX392=",$AV$159), CONCATENATE("DS004=",$B$151), "Fill=B")</f>
        <v>#N/A Connection</v>
      </c>
      <c r="AW214" t="str">
        <f ca="1">_xll.BDP($B$66,$C$66,CONCATENATE("PX391=", $AW$158), CONCATENATE("PX392=",$AW$159), CONCATENATE("DS004=",$B$151), "Fill=B")</f>
        <v>#N/A Connection</v>
      </c>
      <c r="AX214" t="str">
        <f ca="1">_xll.BDP($B$66,$C$66,CONCATENATE("PX391=", $AX$158), CONCATENATE("PX392=",$AX$159), CONCATENATE("DS004=",$B$151), "Fill=B")</f>
        <v>#N/A Connection</v>
      </c>
      <c r="AY214" t="str">
        <f ca="1">_xll.BDP($B$66,$C$66,CONCATENATE("PX391=", $AY$158), CONCATENATE("PX392=",$AY$159), CONCATENATE("DS004=",$B$151), "Fill=B")</f>
        <v>#N/A Connection</v>
      </c>
      <c r="AZ214" t="str">
        <f ca="1">_xll.BDP($B$66,$C$66,CONCATENATE("PX391=", $AZ$158), CONCATENATE("PX392=",$AZ$159), CONCATENATE("DS004=",$B$151), "Fill=B")</f>
        <v>#N/A Connection</v>
      </c>
      <c r="BA214" t="str">
        <f ca="1">_xll.BDP($B$66,$C$66,CONCATENATE("PX391=", $BA$158), CONCATENATE("PX392=",$BA$159), CONCATENATE("DS004=",$B$151), "Fill=B")</f>
        <v>#N/A Connection</v>
      </c>
      <c r="BB214" t="str">
        <f ca="1">_xll.BDP($B$66,$C$66,CONCATENATE("PX391=", $BB$158), CONCATENATE("PX392=",$BB$159), CONCATENATE("DS004=",$B$151), "Fill=B")</f>
        <v>#N/A Connection</v>
      </c>
      <c r="BC214" t="str">
        <f ca="1">_xll.BDP($B$66,$C$66,CONCATENATE("PX391=", $BC$158), CONCATENATE("PX392=",$BC$159), CONCATENATE("DS004=",$B$151), "Fill=B")</f>
        <v>#N/A Connection</v>
      </c>
      <c r="BD214" t="str">
        <f ca="1">_xll.BDP($B$66,$C$66,CONCATENATE("PX391=", $BD$158), CONCATENATE("PX392=",$BD$159), CONCATENATE("DS004=",$B$151), "Fill=B")</f>
        <v>#N/A Connection</v>
      </c>
      <c r="BE214" t="str">
        <f ca="1">_xll.BDP($B$66,$C$66,CONCATENATE("PX391=", $BE$158), CONCATENATE("PX392=",$BE$159), CONCATENATE("DS004=",$B$151), "Fill=B")</f>
        <v>#N/A Connection</v>
      </c>
      <c r="BF214" t="str">
        <f ca="1">_xll.BDP($B$66,$C$66,CONCATENATE("PX391=", $BF$158), CONCATENATE("PX392=",$BF$159), CONCATENATE("DS004=",$B$151), "Fill=B")</f>
        <v>#N/A Connection</v>
      </c>
      <c r="BG214" t="str">
        <f ca="1">_xll.BDP($B$66,$C$66,CONCATENATE("PX391=", $BG$158), CONCATENATE("PX392=",$BG$159), CONCATENATE("DS004=",$B$151), "Fill=B")</f>
        <v>#N/A Connection</v>
      </c>
      <c r="BH214" t="str">
        <f ca="1">_xll.BDP($B$66,$C$66,CONCATENATE("PX391=", $BH$158), CONCATENATE("PX392=",$BH$159), CONCATENATE("DS004=",$B$151), "Fill=B")</f>
        <v>#N/A Connection</v>
      </c>
      <c r="BI214" t="str">
        <f ca="1">_xll.BDP($B$66,$C$66,CONCATENATE("PX391=", $BI$158), CONCATENATE("PX392=",$BI$159), CONCATENATE("DS004=",$B$151), "Fill=B")</f>
        <v>#N/A Connection</v>
      </c>
      <c r="BJ214" t="str">
        <f ca="1">_xll.BDP($B$66,$C$66,CONCATENATE("PX391=", $BJ$158), CONCATENATE("PX392=",$BJ$159), CONCATENATE("DS004=",$B$151), "Fill=B")</f>
        <v>#N/A Connection</v>
      </c>
      <c r="BK214" t="str">
        <f ca="1">_xll.BDP($B$66,$C$66,CONCATENATE("PX391=", $BK$158), CONCATENATE("PX392=",$BK$159), CONCATENATE("DS004=",$B$151), "Fill=B")</f>
        <v>#N/A Connection</v>
      </c>
      <c r="BL214" t="str">
        <f ca="1">_xll.BDP($B$66,$C$66,CONCATENATE("PX391=", $BL$158), CONCATENATE("PX392=",$BL$159), CONCATENATE("DS004=",$B$151), "Fill=B")</f>
        <v>#N/A Connection</v>
      </c>
      <c r="BM214" t="str">
        <f ca="1">_xll.BDP($B$66,$C$66,CONCATENATE("PX391=", $BM$158), CONCATENATE("PX392=",$BM$159), CONCATENATE("DS004=",$B$151), "Fill=B")</f>
        <v>#N/A Connection</v>
      </c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  <c r="BT214" t="str">
        <f>""</f>
        <v/>
      </c>
      <c r="BU214" t="str">
        <f>""</f>
        <v/>
      </c>
      <c r="BV214" t="str">
        <f>""</f>
        <v/>
      </c>
      <c r="BW214" t="str">
        <f>""</f>
        <v/>
      </c>
      <c r="BX214" t="str">
        <f>""</f>
        <v/>
      </c>
      <c r="BY214" t="str">
        <f>""</f>
        <v/>
      </c>
      <c r="BZ214" t="str">
        <f>""</f>
        <v/>
      </c>
      <c r="CA214" t="str">
        <f>""</f>
        <v/>
      </c>
      <c r="CB214" t="str">
        <f>""</f>
        <v/>
      </c>
      <c r="CC214" t="str">
        <f>""</f>
        <v/>
      </c>
      <c r="CD214" t="str">
        <f>""</f>
        <v/>
      </c>
      <c r="CE214" t="str">
        <f>""</f>
        <v/>
      </c>
      <c r="CF214" t="str">
        <f>""</f>
        <v/>
      </c>
      <c r="CG214" t="str">
        <f>""</f>
        <v/>
      </c>
      <c r="CH214" t="str">
        <f>""</f>
        <v/>
      </c>
      <c r="CI214" t="str">
        <f>""</f>
        <v/>
      </c>
      <c r="CJ214" t="str">
        <f>""</f>
        <v/>
      </c>
      <c r="CK214" t="str">
        <f>""</f>
        <v/>
      </c>
      <c r="CL214" t="str">
        <f>""</f>
        <v/>
      </c>
      <c r="CM214" t="str">
        <f>""</f>
        <v/>
      </c>
      <c r="CN214" t="str">
        <f>""</f>
        <v/>
      </c>
      <c r="CO214" t="str">
        <f>""</f>
        <v/>
      </c>
      <c r="CP214" t="str">
        <f>""</f>
        <v/>
      </c>
      <c r="CQ214" t="str">
        <f>""</f>
        <v/>
      </c>
      <c r="CR214" t="str">
        <f>""</f>
        <v/>
      </c>
      <c r="CS214" t="str">
        <f>""</f>
        <v/>
      </c>
      <c r="CT214" t="str">
        <f>""</f>
        <v/>
      </c>
      <c r="CU214" t="str">
        <f>""</f>
        <v/>
      </c>
      <c r="CV214" t="str">
        <f>""</f>
        <v/>
      </c>
      <c r="CW214" t="str">
        <f>""</f>
        <v/>
      </c>
      <c r="CX214" t="str">
        <f>""</f>
        <v/>
      </c>
      <c r="CY214" t="str">
        <f>""</f>
        <v/>
      </c>
      <c r="CZ214" t="str">
        <f>""</f>
        <v/>
      </c>
      <c r="DA214" t="str">
        <f>""</f>
        <v/>
      </c>
      <c r="DB214" t="str">
        <f>""</f>
        <v/>
      </c>
      <c r="DC214" t="str">
        <f>""</f>
        <v/>
      </c>
      <c r="DD214" t="str">
        <f>""</f>
        <v/>
      </c>
      <c r="DE214" t="str">
        <f>""</f>
        <v/>
      </c>
      <c r="DF214" t="str">
        <f>""</f>
        <v/>
      </c>
      <c r="DG214" t="str">
        <f>""</f>
        <v/>
      </c>
      <c r="DH214" t="str">
        <f>""</f>
        <v/>
      </c>
      <c r="DI214" t="str">
        <f>""</f>
        <v/>
      </c>
      <c r="DJ214" t="str">
        <f>""</f>
        <v/>
      </c>
      <c r="DK214" t="str">
        <f>""</f>
        <v/>
      </c>
      <c r="DL214" t="str">
        <f>""</f>
        <v/>
      </c>
      <c r="DM214" t="str">
        <f>""</f>
        <v/>
      </c>
      <c r="DN214" t="str">
        <f>""</f>
        <v/>
      </c>
      <c r="DO214" t="str">
        <f>""</f>
        <v/>
      </c>
      <c r="DP214" t="str">
        <f>""</f>
        <v/>
      </c>
      <c r="DQ214" t="str">
        <f>""</f>
        <v/>
      </c>
      <c r="DR214" t="str">
        <f>""</f>
        <v/>
      </c>
      <c r="DS214" t="str">
        <f>""</f>
        <v/>
      </c>
      <c r="DT214" t="str">
        <f>""</f>
        <v/>
      </c>
      <c r="DU214" t="str">
        <f>""</f>
        <v/>
      </c>
    </row>
    <row r="215" spans="1:125" x14ac:dyDescent="0.25">
      <c r="A215" t="str">
        <f>$A$68</f>
        <v xml:space="preserve">        Bahrain</v>
      </c>
      <c r="B215" t="str">
        <f>$B$68</f>
        <v>BJTRNPGV Index</v>
      </c>
      <c r="C215" t="str">
        <f>$C$68</f>
        <v>PX385</v>
      </c>
      <c r="D215" t="str">
        <f>$D$68</f>
        <v>INTERVAL_SUM</v>
      </c>
      <c r="E215" t="str">
        <f>$E$68</f>
        <v>Dynamic</v>
      </c>
      <c r="F215" t="str">
        <f ca="1">_xll.BDP($B$68,$C$68,CONCATENATE("PX391=", $F$158), CONCATENATE("PX392=",$F$159), CONCATENATE("DS004=",$B$151), "Fill=B")</f>
        <v>#N/A Connection</v>
      </c>
      <c r="G215" t="str">
        <f ca="1">_xll.BDP($B$68,$C$68,CONCATENATE("PX391=", $G$158), CONCATENATE("PX392=",$G$159), CONCATENATE("DS004=",$B$151), "Fill=B")</f>
        <v>#N/A Connection</v>
      </c>
      <c r="H215" t="str">
        <f ca="1">_xll.BDP($B$68,$C$68,CONCATENATE("PX391=", $H$158), CONCATENATE("PX392=",$H$159), CONCATENATE("DS004=",$B$151), "Fill=B")</f>
        <v>#N/A Connection</v>
      </c>
      <c r="I215" t="str">
        <f ca="1">_xll.BDP($B$68,$C$68,CONCATENATE("PX391=", $I$158), CONCATENATE("PX392=",$I$159), CONCATENATE("DS004=",$B$151), "Fill=B")</f>
        <v>#N/A Connection</v>
      </c>
      <c r="J215" t="str">
        <f ca="1">_xll.BDP($B$68,$C$68,CONCATENATE("PX391=", $J$158), CONCATENATE("PX392=",$J$159), CONCATENATE("DS004=",$B$151), "Fill=B")</f>
        <v>#N/A Connection</v>
      </c>
      <c r="K215" t="str">
        <f ca="1">_xll.BDP($B$68,$C$68,CONCATENATE("PX391=", $K$158), CONCATENATE("PX392=",$K$159), CONCATENATE("DS004=",$B$151), "Fill=B")</f>
        <v>#N/A Connection</v>
      </c>
      <c r="L215" t="str">
        <f ca="1">_xll.BDP($B$68,$C$68,CONCATENATE("PX391=", $L$158), CONCATENATE("PX392=",$L$159), CONCATENATE("DS004=",$B$151), "Fill=B")</f>
        <v>#N/A Connection</v>
      </c>
      <c r="M215" t="str">
        <f ca="1">_xll.BDP($B$68,$C$68,CONCATENATE("PX391=", $M$158), CONCATENATE("PX392=",$M$159), CONCATENATE("DS004=",$B$151), "Fill=B")</f>
        <v>#N/A Connection</v>
      </c>
      <c r="N215" t="str">
        <f ca="1">_xll.BDP($B$68,$C$68,CONCATENATE("PX391=", $N$158), CONCATENATE("PX392=",$N$159), CONCATENATE("DS004=",$B$151), "Fill=B")</f>
        <v>#N/A Connection</v>
      </c>
      <c r="O215" t="str">
        <f ca="1">_xll.BDP($B$68,$C$68,CONCATENATE("PX391=", $O$158), CONCATENATE("PX392=",$O$159), CONCATENATE("DS004=",$B$151), "Fill=B")</f>
        <v>#N/A Connection</v>
      </c>
      <c r="P215" t="str">
        <f ca="1">_xll.BDP($B$68,$C$68,CONCATENATE("PX391=", $P$158), CONCATENATE("PX392=",$P$159), CONCATENATE("DS004=",$B$151), "Fill=B")</f>
        <v>#N/A Connection</v>
      </c>
      <c r="Q215" t="str">
        <f ca="1">_xll.BDP($B$68,$C$68,CONCATENATE("PX391=", $Q$158), CONCATENATE("PX392=",$Q$159), CONCATENATE("DS004=",$B$151), "Fill=B")</f>
        <v>#N/A Connection</v>
      </c>
      <c r="R215" t="str">
        <f ca="1">_xll.BDP($B$68,$C$68,CONCATENATE("PX391=", $R$158), CONCATENATE("PX392=",$R$159), CONCATENATE("DS004=",$B$151), "Fill=B")</f>
        <v>#N/A Connection</v>
      </c>
      <c r="S215" t="str">
        <f ca="1">_xll.BDP($B$68,$C$68,CONCATENATE("PX391=", $S$158), CONCATENATE("PX392=",$S$159), CONCATENATE("DS004=",$B$151), "Fill=B")</f>
        <v>#N/A Connection</v>
      </c>
      <c r="T215" t="str">
        <f ca="1">_xll.BDP($B$68,$C$68,CONCATENATE("PX391=", $T$158), CONCATENATE("PX392=",$T$159), CONCATENATE("DS004=",$B$151), "Fill=B")</f>
        <v>#N/A Connection</v>
      </c>
      <c r="U215" t="str">
        <f ca="1">_xll.BDP($B$68,$C$68,CONCATENATE("PX391=", $U$158), CONCATENATE("PX392=",$U$159), CONCATENATE("DS004=",$B$151), "Fill=B")</f>
        <v>#N/A Connection</v>
      </c>
      <c r="V215" t="str">
        <f ca="1">_xll.BDP($B$68,$C$68,CONCATENATE("PX391=", $V$158), CONCATENATE("PX392=",$V$159), CONCATENATE("DS004=",$B$151), "Fill=B")</f>
        <v>#N/A Connection</v>
      </c>
      <c r="W215" t="str">
        <f ca="1">_xll.BDP($B$68,$C$68,CONCATENATE("PX391=", $W$158), CONCATENATE("PX392=",$W$159), CONCATENATE("DS004=",$B$151), "Fill=B")</f>
        <v>#N/A Connection</v>
      </c>
      <c r="X215" t="str">
        <f ca="1">_xll.BDP($B$68,$C$68,CONCATENATE("PX391=", $X$158), CONCATENATE("PX392=",$X$159), CONCATENATE("DS004=",$B$151), "Fill=B")</f>
        <v>#N/A Connection</v>
      </c>
      <c r="Y215" t="str">
        <f ca="1">_xll.BDP($B$68,$C$68,CONCATENATE("PX391=", $Y$158), CONCATENATE("PX392=",$Y$159), CONCATENATE("DS004=",$B$151), "Fill=B")</f>
        <v>#N/A Connection</v>
      </c>
      <c r="Z215" t="str">
        <f ca="1">_xll.BDP($B$68,$C$68,CONCATENATE("PX391=", $Z$158), CONCATENATE("PX392=",$Z$159), CONCATENATE("DS004=",$B$151), "Fill=B")</f>
        <v>#N/A Connection</v>
      </c>
      <c r="AA215" t="str">
        <f ca="1">_xll.BDP($B$68,$C$68,CONCATENATE("PX391=", $AA$158), CONCATENATE("PX392=",$AA$159), CONCATENATE("DS004=",$B$151), "Fill=B")</f>
        <v>#N/A Connection</v>
      </c>
      <c r="AB215" t="str">
        <f ca="1">_xll.BDP($B$68,$C$68,CONCATENATE("PX391=", $AB$158), CONCATENATE("PX392=",$AB$159), CONCATENATE("DS004=",$B$151), "Fill=B")</f>
        <v>#N/A Connection</v>
      </c>
      <c r="AC215" t="str">
        <f ca="1">_xll.BDP($B$68,$C$68,CONCATENATE("PX391=", $AC$158), CONCATENATE("PX392=",$AC$159), CONCATENATE("DS004=",$B$151), "Fill=B")</f>
        <v>#N/A Connection</v>
      </c>
      <c r="AD215" t="str">
        <f ca="1">_xll.BDP($B$68,$C$68,CONCATENATE("PX391=", $AD$158), CONCATENATE("PX392=",$AD$159), CONCATENATE("DS004=",$B$151), "Fill=B")</f>
        <v>#N/A Connection</v>
      </c>
      <c r="AE215" t="str">
        <f ca="1">_xll.BDP($B$68,$C$68,CONCATENATE("PX391=", $AE$158), CONCATENATE("PX392=",$AE$159), CONCATENATE("DS004=",$B$151), "Fill=B")</f>
        <v>#N/A Connection</v>
      </c>
      <c r="AF215" t="str">
        <f ca="1">_xll.BDP($B$68,$C$68,CONCATENATE("PX391=", $AF$158), CONCATENATE("PX392=",$AF$159), CONCATENATE("DS004=",$B$151), "Fill=B")</f>
        <v>#N/A Connection</v>
      </c>
      <c r="AG215" t="str">
        <f ca="1">_xll.BDP($B$68,$C$68,CONCATENATE("PX391=", $AG$158), CONCATENATE("PX392=",$AG$159), CONCATENATE("DS004=",$B$151), "Fill=B")</f>
        <v>#N/A Connection</v>
      </c>
      <c r="AH215" t="str">
        <f ca="1">_xll.BDP($B$68,$C$68,CONCATENATE("PX391=", $AH$158), CONCATENATE("PX392=",$AH$159), CONCATENATE("DS004=",$B$151), "Fill=B")</f>
        <v>#N/A Connection</v>
      </c>
      <c r="AI215" t="str">
        <f ca="1">_xll.BDP($B$68,$C$68,CONCATENATE("PX391=", $AI$158), CONCATENATE("PX392=",$AI$159), CONCATENATE("DS004=",$B$151), "Fill=B")</f>
        <v>#N/A Connection</v>
      </c>
      <c r="AJ215" t="str">
        <f ca="1">_xll.BDP($B$68,$C$68,CONCATENATE("PX391=", $AJ$158), CONCATENATE("PX392=",$AJ$159), CONCATENATE("DS004=",$B$151), "Fill=B")</f>
        <v>#N/A Connection</v>
      </c>
      <c r="AK215" t="str">
        <f ca="1">_xll.BDP($B$68,$C$68,CONCATENATE("PX391=", $AK$158), CONCATENATE("PX392=",$AK$159), CONCATENATE("DS004=",$B$151), "Fill=B")</f>
        <v>#N/A Connection</v>
      </c>
      <c r="AL215" t="str">
        <f ca="1">_xll.BDP($B$68,$C$68,CONCATENATE("PX391=", $AL$158), CONCATENATE("PX392=",$AL$159), CONCATENATE("DS004=",$B$151), "Fill=B")</f>
        <v>#N/A Connection</v>
      </c>
      <c r="AM215" t="str">
        <f ca="1">_xll.BDP($B$68,$C$68,CONCATENATE("PX391=", $AM$158), CONCATENATE("PX392=",$AM$159), CONCATENATE("DS004=",$B$151), "Fill=B")</f>
        <v>#N/A Connection</v>
      </c>
      <c r="AN215" t="str">
        <f ca="1">_xll.BDP($B$68,$C$68,CONCATENATE("PX391=", $AN$158), CONCATENATE("PX392=",$AN$159), CONCATENATE("DS004=",$B$151), "Fill=B")</f>
        <v>#N/A Connection</v>
      </c>
      <c r="AO215" t="str">
        <f ca="1">_xll.BDP($B$68,$C$68,CONCATENATE("PX391=", $AO$158), CONCATENATE("PX392=",$AO$159), CONCATENATE("DS004=",$B$151), "Fill=B")</f>
        <v>#N/A Connection</v>
      </c>
      <c r="AP215" t="str">
        <f ca="1">_xll.BDP($B$68,$C$68,CONCATENATE("PX391=", $AP$158), CONCATENATE("PX392=",$AP$159), CONCATENATE("DS004=",$B$151), "Fill=B")</f>
        <v>#N/A Connection</v>
      </c>
      <c r="AQ215" t="str">
        <f ca="1">_xll.BDP($B$68,$C$68,CONCATENATE("PX391=", $AQ$158), CONCATENATE("PX392=",$AQ$159), CONCATENATE("DS004=",$B$151), "Fill=B")</f>
        <v>#N/A Connection</v>
      </c>
      <c r="AR215" t="str">
        <f ca="1">_xll.BDP($B$68,$C$68,CONCATENATE("PX391=", $AR$158), CONCATENATE("PX392=",$AR$159), CONCATENATE("DS004=",$B$151), "Fill=B")</f>
        <v>#N/A Connection</v>
      </c>
      <c r="AS215" t="str">
        <f ca="1">_xll.BDP($B$68,$C$68,CONCATENATE("PX391=", $AS$158), CONCATENATE("PX392=",$AS$159), CONCATENATE("DS004=",$B$151), "Fill=B")</f>
        <v>#N/A Connection</v>
      </c>
      <c r="AT215" t="str">
        <f ca="1">_xll.BDP($B$68,$C$68,CONCATENATE("PX391=", $AT$158), CONCATENATE("PX392=",$AT$159), CONCATENATE("DS004=",$B$151), "Fill=B")</f>
        <v>#N/A Connection</v>
      </c>
      <c r="AU215" t="str">
        <f ca="1">_xll.BDP($B$68,$C$68,CONCATENATE("PX391=", $AU$158), CONCATENATE("PX392=",$AU$159), CONCATENATE("DS004=",$B$151), "Fill=B")</f>
        <v>#N/A Connection</v>
      </c>
      <c r="AV215" t="str">
        <f ca="1">_xll.BDP($B$68,$C$68,CONCATENATE("PX391=", $AV$158), CONCATENATE("PX392=",$AV$159), CONCATENATE("DS004=",$B$151), "Fill=B")</f>
        <v>#N/A Connection</v>
      </c>
      <c r="AW215" t="str">
        <f ca="1">_xll.BDP($B$68,$C$68,CONCATENATE("PX391=", $AW$158), CONCATENATE("PX392=",$AW$159), CONCATENATE("DS004=",$B$151), "Fill=B")</f>
        <v>#N/A Connection</v>
      </c>
      <c r="AX215" t="str">
        <f ca="1">_xll.BDP($B$68,$C$68,CONCATENATE("PX391=", $AX$158), CONCATENATE("PX392=",$AX$159), CONCATENATE("DS004=",$B$151), "Fill=B")</f>
        <v>#N/A Connection</v>
      </c>
      <c r="AY215" t="str">
        <f ca="1">_xll.BDP($B$68,$C$68,CONCATENATE("PX391=", $AY$158), CONCATENATE("PX392=",$AY$159), CONCATENATE("DS004=",$B$151), "Fill=B")</f>
        <v>#N/A Connection</v>
      </c>
      <c r="AZ215" t="str">
        <f ca="1">_xll.BDP($B$68,$C$68,CONCATENATE("PX391=", $AZ$158), CONCATENATE("PX392=",$AZ$159), CONCATENATE("DS004=",$B$151), "Fill=B")</f>
        <v>#N/A Connection</v>
      </c>
      <c r="BA215" t="str">
        <f ca="1">_xll.BDP($B$68,$C$68,CONCATENATE("PX391=", $BA$158), CONCATENATE("PX392=",$BA$159), CONCATENATE("DS004=",$B$151), "Fill=B")</f>
        <v>#N/A Connection</v>
      </c>
      <c r="BB215" t="str">
        <f ca="1">_xll.BDP($B$68,$C$68,CONCATENATE("PX391=", $BB$158), CONCATENATE("PX392=",$BB$159), CONCATENATE("DS004=",$B$151), "Fill=B")</f>
        <v>#N/A Connection</v>
      </c>
      <c r="BC215" t="str">
        <f ca="1">_xll.BDP($B$68,$C$68,CONCATENATE("PX391=", $BC$158), CONCATENATE("PX392=",$BC$159), CONCATENATE("DS004=",$B$151), "Fill=B")</f>
        <v>#N/A Connection</v>
      </c>
      <c r="BD215" t="str">
        <f ca="1">_xll.BDP($B$68,$C$68,CONCATENATE("PX391=", $BD$158), CONCATENATE("PX392=",$BD$159), CONCATENATE("DS004=",$B$151), "Fill=B")</f>
        <v>#N/A Connection</v>
      </c>
      <c r="BE215" t="str">
        <f ca="1">_xll.BDP($B$68,$C$68,CONCATENATE("PX391=", $BE$158), CONCATENATE("PX392=",$BE$159), CONCATENATE("DS004=",$B$151), "Fill=B")</f>
        <v>#N/A Connection</v>
      </c>
      <c r="BF215" t="str">
        <f ca="1">_xll.BDP($B$68,$C$68,CONCATENATE("PX391=", $BF$158), CONCATENATE("PX392=",$BF$159), CONCATENATE("DS004=",$B$151), "Fill=B")</f>
        <v>#N/A Connection</v>
      </c>
      <c r="BG215" t="str">
        <f ca="1">_xll.BDP($B$68,$C$68,CONCATENATE("PX391=", $BG$158), CONCATENATE("PX392=",$BG$159), CONCATENATE("DS004=",$B$151), "Fill=B")</f>
        <v>#N/A Connection</v>
      </c>
      <c r="BH215" t="str">
        <f ca="1">_xll.BDP($B$68,$C$68,CONCATENATE("PX391=", $BH$158), CONCATENATE("PX392=",$BH$159), CONCATENATE("DS004=",$B$151), "Fill=B")</f>
        <v>#N/A Connection</v>
      </c>
      <c r="BI215" t="str">
        <f ca="1">_xll.BDP($B$68,$C$68,CONCATENATE("PX391=", $BI$158), CONCATENATE("PX392=",$BI$159), CONCATENATE("DS004=",$B$151), "Fill=B")</f>
        <v>#N/A Connection</v>
      </c>
      <c r="BJ215" t="str">
        <f ca="1">_xll.BDP($B$68,$C$68,CONCATENATE("PX391=", $BJ$158), CONCATENATE("PX392=",$BJ$159), CONCATENATE("DS004=",$B$151), "Fill=B")</f>
        <v>#N/A Connection</v>
      </c>
      <c r="BK215" t="str">
        <f ca="1">_xll.BDP($B$68,$C$68,CONCATENATE("PX391=", $BK$158), CONCATENATE("PX392=",$BK$159), CONCATENATE("DS004=",$B$151), "Fill=B")</f>
        <v>#N/A Connection</v>
      </c>
      <c r="BL215" t="str">
        <f ca="1">_xll.BDP($B$68,$C$68,CONCATENATE("PX391=", $BL$158), CONCATENATE("PX392=",$BL$159), CONCATENATE("DS004=",$B$151), "Fill=B")</f>
        <v>#N/A Connection</v>
      </c>
      <c r="BM215" t="str">
        <f ca="1">_xll.BDP($B$68,$C$68,CONCATENATE("PX391=", $BM$158), CONCATENATE("PX392=",$BM$159), CONCATENATE("DS004=",$B$151), "Fill=B")</f>
        <v>#N/A Connection</v>
      </c>
      <c r="BN215" t="str">
        <f>""</f>
        <v/>
      </c>
      <c r="BO215" t="str">
        <f>""</f>
        <v/>
      </c>
      <c r="BP215" t="str">
        <f>""</f>
        <v/>
      </c>
      <c r="BQ215" t="str">
        <f>""</f>
        <v/>
      </c>
      <c r="BR215" t="str">
        <f>""</f>
        <v/>
      </c>
      <c r="BS215" t="str">
        <f>""</f>
        <v/>
      </c>
      <c r="BT215" t="str">
        <f>""</f>
        <v/>
      </c>
      <c r="BU215" t="str">
        <f>""</f>
        <v/>
      </c>
      <c r="BV215" t="str">
        <f>""</f>
        <v/>
      </c>
      <c r="BW215" t="str">
        <f>""</f>
        <v/>
      </c>
      <c r="BX215" t="str">
        <f>""</f>
        <v/>
      </c>
      <c r="BY215" t="str">
        <f>""</f>
        <v/>
      </c>
      <c r="BZ215" t="str">
        <f>""</f>
        <v/>
      </c>
      <c r="CA215" t="str">
        <f>""</f>
        <v/>
      </c>
      <c r="CB215" t="str">
        <f>""</f>
        <v/>
      </c>
      <c r="CC215" t="str">
        <f>""</f>
        <v/>
      </c>
      <c r="CD215" t="str">
        <f>""</f>
        <v/>
      </c>
      <c r="CE215" t="str">
        <f>""</f>
        <v/>
      </c>
      <c r="CF215" t="str">
        <f>""</f>
        <v/>
      </c>
      <c r="CG215" t="str">
        <f>""</f>
        <v/>
      </c>
      <c r="CH215" t="str">
        <f>""</f>
        <v/>
      </c>
      <c r="CI215" t="str">
        <f>""</f>
        <v/>
      </c>
      <c r="CJ215" t="str">
        <f>""</f>
        <v/>
      </c>
      <c r="CK215" t="str">
        <f>""</f>
        <v/>
      </c>
      <c r="CL215" t="str">
        <f>""</f>
        <v/>
      </c>
      <c r="CM215" t="str">
        <f>""</f>
        <v/>
      </c>
      <c r="CN215" t="str">
        <f>""</f>
        <v/>
      </c>
      <c r="CO215" t="str">
        <f>""</f>
        <v/>
      </c>
      <c r="CP215" t="str">
        <f>""</f>
        <v/>
      </c>
      <c r="CQ215" t="str">
        <f>""</f>
        <v/>
      </c>
      <c r="CR215" t="str">
        <f>""</f>
        <v/>
      </c>
      <c r="CS215" t="str">
        <f>""</f>
        <v/>
      </c>
      <c r="CT215" t="str">
        <f>""</f>
        <v/>
      </c>
      <c r="CU215" t="str">
        <f>""</f>
        <v/>
      </c>
      <c r="CV215" t="str">
        <f>""</f>
        <v/>
      </c>
      <c r="CW215" t="str">
        <f>""</f>
        <v/>
      </c>
      <c r="CX215" t="str">
        <f>""</f>
        <v/>
      </c>
      <c r="CY215" t="str">
        <f>""</f>
        <v/>
      </c>
      <c r="CZ215" t="str">
        <f>""</f>
        <v/>
      </c>
      <c r="DA215" t="str">
        <f>""</f>
        <v/>
      </c>
      <c r="DB215" t="str">
        <f>""</f>
        <v/>
      </c>
      <c r="DC215" t="str">
        <f>""</f>
        <v/>
      </c>
      <c r="DD215" t="str">
        <f>""</f>
        <v/>
      </c>
      <c r="DE215" t="str">
        <f>""</f>
        <v/>
      </c>
      <c r="DF215" t="str">
        <f>""</f>
        <v/>
      </c>
      <c r="DG215" t="str">
        <f>""</f>
        <v/>
      </c>
      <c r="DH215" t="str">
        <f>""</f>
        <v/>
      </c>
      <c r="DI215" t="str">
        <f>""</f>
        <v/>
      </c>
      <c r="DJ215" t="str">
        <f>""</f>
        <v/>
      </c>
      <c r="DK215" t="str">
        <f>""</f>
        <v/>
      </c>
      <c r="DL215" t="str">
        <f>""</f>
        <v/>
      </c>
      <c r="DM215" t="str">
        <f>""</f>
        <v/>
      </c>
      <c r="DN215" t="str">
        <f>""</f>
        <v/>
      </c>
      <c r="DO215" t="str">
        <f>""</f>
        <v/>
      </c>
      <c r="DP215" t="str">
        <f>""</f>
        <v/>
      </c>
      <c r="DQ215" t="str">
        <f>""</f>
        <v/>
      </c>
      <c r="DR215" t="str">
        <f>""</f>
        <v/>
      </c>
      <c r="DS215" t="str">
        <f>""</f>
        <v/>
      </c>
      <c r="DT215" t="str">
        <f>""</f>
        <v/>
      </c>
      <c r="DU215" t="str">
        <f>""</f>
        <v/>
      </c>
    </row>
    <row r="216" spans="1:125" x14ac:dyDescent="0.25">
      <c r="A216" t="str">
        <f>$A$69</f>
        <v xml:space="preserve">        Kenya</v>
      </c>
      <c r="B216" t="str">
        <f>$B$69</f>
        <v>KNNVREG Index</v>
      </c>
      <c r="C216" t="str">
        <f>$C$69</f>
        <v>PX385</v>
      </c>
      <c r="D216" t="str">
        <f>$D$69</f>
        <v>INTERVAL_SUM</v>
      </c>
      <c r="E216" t="str">
        <f>$E$69</f>
        <v>Dynamic</v>
      </c>
      <c r="F216" t="str">
        <f ca="1">_xll.BDP($B$69,$C$69,CONCATENATE("PX391=", $F$158), CONCATENATE("PX392=",$F$159), CONCATENATE("DS004=",$B$151), "Fill=B")</f>
        <v>#N/A Connection</v>
      </c>
      <c r="G216" t="str">
        <f ca="1">_xll.BDP($B$69,$C$69,CONCATENATE("PX391=", $G$158), CONCATENATE("PX392=",$G$159), CONCATENATE("DS004=",$B$151), "Fill=B")</f>
        <v>#N/A Connection</v>
      </c>
      <c r="H216" t="str">
        <f ca="1">_xll.BDP($B$69,$C$69,CONCATENATE("PX391=", $H$158), CONCATENATE("PX392=",$H$159), CONCATENATE("DS004=",$B$151), "Fill=B")</f>
        <v>#N/A Connection</v>
      </c>
      <c r="I216" t="str">
        <f ca="1">_xll.BDP($B$69,$C$69,CONCATENATE("PX391=", $I$158), CONCATENATE("PX392=",$I$159), CONCATENATE("DS004=",$B$151), "Fill=B")</f>
        <v>#N/A Connection</v>
      </c>
      <c r="J216" t="str">
        <f ca="1">_xll.BDP($B$69,$C$69,CONCATENATE("PX391=", $J$158), CONCATENATE("PX392=",$J$159), CONCATENATE("DS004=",$B$151), "Fill=B")</f>
        <v>#N/A Connection</v>
      </c>
      <c r="K216" t="str">
        <f ca="1">_xll.BDP($B$69,$C$69,CONCATENATE("PX391=", $K$158), CONCATENATE("PX392=",$K$159), CONCATENATE("DS004=",$B$151), "Fill=B")</f>
        <v>#N/A Connection</v>
      </c>
      <c r="L216" t="str">
        <f ca="1">_xll.BDP($B$69,$C$69,CONCATENATE("PX391=", $L$158), CONCATENATE("PX392=",$L$159), CONCATENATE("DS004=",$B$151), "Fill=B")</f>
        <v>#N/A Connection</v>
      </c>
      <c r="M216" t="str">
        <f ca="1">_xll.BDP($B$69,$C$69,CONCATENATE("PX391=", $M$158), CONCATENATE("PX392=",$M$159), CONCATENATE("DS004=",$B$151), "Fill=B")</f>
        <v>#N/A Connection</v>
      </c>
      <c r="N216" t="str">
        <f ca="1">_xll.BDP($B$69,$C$69,CONCATENATE("PX391=", $N$158), CONCATENATE("PX392=",$N$159), CONCATENATE("DS004=",$B$151), "Fill=B")</f>
        <v>#N/A Connection</v>
      </c>
      <c r="O216" t="str">
        <f ca="1">_xll.BDP($B$69,$C$69,CONCATENATE("PX391=", $O$158), CONCATENATE("PX392=",$O$159), CONCATENATE("DS004=",$B$151), "Fill=B")</f>
        <v>#N/A Connection</v>
      </c>
      <c r="P216" t="str">
        <f ca="1">_xll.BDP($B$69,$C$69,CONCATENATE("PX391=", $P$158), CONCATENATE("PX392=",$P$159), CONCATENATE("DS004=",$B$151), "Fill=B")</f>
        <v>#N/A Connection</v>
      </c>
      <c r="Q216" t="str">
        <f ca="1">_xll.BDP($B$69,$C$69,CONCATENATE("PX391=", $Q$158), CONCATENATE("PX392=",$Q$159), CONCATENATE("DS004=",$B$151), "Fill=B")</f>
        <v>#N/A Connection</v>
      </c>
      <c r="R216" t="str">
        <f ca="1">_xll.BDP($B$69,$C$69,CONCATENATE("PX391=", $R$158), CONCATENATE("PX392=",$R$159), CONCATENATE("DS004=",$B$151), "Fill=B")</f>
        <v>#N/A Connection</v>
      </c>
      <c r="S216" t="str">
        <f ca="1">_xll.BDP($B$69,$C$69,CONCATENATE("PX391=", $S$158), CONCATENATE("PX392=",$S$159), CONCATENATE("DS004=",$B$151), "Fill=B")</f>
        <v>#N/A Connection</v>
      </c>
      <c r="T216" t="str">
        <f ca="1">_xll.BDP($B$69,$C$69,CONCATENATE("PX391=", $T$158), CONCATENATE("PX392=",$T$159), CONCATENATE("DS004=",$B$151), "Fill=B")</f>
        <v>#N/A Connection</v>
      </c>
      <c r="U216" t="str">
        <f ca="1">_xll.BDP($B$69,$C$69,CONCATENATE("PX391=", $U$158), CONCATENATE("PX392=",$U$159), CONCATENATE("DS004=",$B$151), "Fill=B")</f>
        <v>#N/A Connection</v>
      </c>
      <c r="V216" t="str">
        <f ca="1">_xll.BDP($B$69,$C$69,CONCATENATE("PX391=", $V$158), CONCATENATE("PX392=",$V$159), CONCATENATE("DS004=",$B$151), "Fill=B")</f>
        <v>#N/A Connection</v>
      </c>
      <c r="W216" t="str">
        <f ca="1">_xll.BDP($B$69,$C$69,CONCATENATE("PX391=", $W$158), CONCATENATE("PX392=",$W$159), CONCATENATE("DS004=",$B$151), "Fill=B")</f>
        <v>#N/A Connection</v>
      </c>
      <c r="X216" t="str">
        <f ca="1">_xll.BDP($B$69,$C$69,CONCATENATE("PX391=", $X$158), CONCATENATE("PX392=",$X$159), CONCATENATE("DS004=",$B$151), "Fill=B")</f>
        <v>#N/A Connection</v>
      </c>
      <c r="Y216" t="str">
        <f ca="1">_xll.BDP($B$69,$C$69,CONCATENATE("PX391=", $Y$158), CONCATENATE("PX392=",$Y$159), CONCATENATE("DS004=",$B$151), "Fill=B")</f>
        <v>#N/A Connection</v>
      </c>
      <c r="Z216" t="str">
        <f ca="1">_xll.BDP($B$69,$C$69,CONCATENATE("PX391=", $Z$158), CONCATENATE("PX392=",$Z$159), CONCATENATE("DS004=",$B$151), "Fill=B")</f>
        <v>#N/A Connection</v>
      </c>
      <c r="AA216" t="str">
        <f ca="1">_xll.BDP($B$69,$C$69,CONCATENATE("PX391=", $AA$158), CONCATENATE("PX392=",$AA$159), CONCATENATE("DS004=",$B$151), "Fill=B")</f>
        <v>#N/A Connection</v>
      </c>
      <c r="AB216" t="str">
        <f ca="1">_xll.BDP($B$69,$C$69,CONCATENATE("PX391=", $AB$158), CONCATENATE("PX392=",$AB$159), CONCATENATE("DS004=",$B$151), "Fill=B")</f>
        <v>#N/A Connection</v>
      </c>
      <c r="AC216" t="str">
        <f ca="1">_xll.BDP($B$69,$C$69,CONCATENATE("PX391=", $AC$158), CONCATENATE("PX392=",$AC$159), CONCATENATE("DS004=",$B$151), "Fill=B")</f>
        <v>#N/A Connection</v>
      </c>
      <c r="AD216" t="str">
        <f ca="1">_xll.BDP($B$69,$C$69,CONCATENATE("PX391=", $AD$158), CONCATENATE("PX392=",$AD$159), CONCATENATE("DS004=",$B$151), "Fill=B")</f>
        <v>#N/A Connection</v>
      </c>
      <c r="AE216" t="str">
        <f ca="1">_xll.BDP($B$69,$C$69,CONCATENATE("PX391=", $AE$158), CONCATENATE("PX392=",$AE$159), CONCATENATE("DS004=",$B$151), "Fill=B")</f>
        <v>#N/A Connection</v>
      </c>
      <c r="AF216" t="str">
        <f ca="1">_xll.BDP($B$69,$C$69,CONCATENATE("PX391=", $AF$158), CONCATENATE("PX392=",$AF$159), CONCATENATE("DS004=",$B$151), "Fill=B")</f>
        <v>#N/A Connection</v>
      </c>
      <c r="AG216" t="str">
        <f ca="1">_xll.BDP($B$69,$C$69,CONCATENATE("PX391=", $AG$158), CONCATENATE("PX392=",$AG$159), CONCATENATE("DS004=",$B$151), "Fill=B")</f>
        <v>#N/A Connection</v>
      </c>
      <c r="AH216" t="str">
        <f ca="1">_xll.BDP($B$69,$C$69,CONCATENATE("PX391=", $AH$158), CONCATENATE("PX392=",$AH$159), CONCATENATE("DS004=",$B$151), "Fill=B")</f>
        <v>#N/A Connection</v>
      </c>
      <c r="AI216" t="str">
        <f ca="1">_xll.BDP($B$69,$C$69,CONCATENATE("PX391=", $AI$158), CONCATENATE("PX392=",$AI$159), CONCATENATE("DS004=",$B$151), "Fill=B")</f>
        <v>#N/A Connection</v>
      </c>
      <c r="AJ216" t="str">
        <f ca="1">_xll.BDP($B$69,$C$69,CONCATENATE("PX391=", $AJ$158), CONCATENATE("PX392=",$AJ$159), CONCATENATE("DS004=",$B$151), "Fill=B")</f>
        <v>#N/A Connection</v>
      </c>
      <c r="AK216" t="str">
        <f ca="1">_xll.BDP($B$69,$C$69,CONCATENATE("PX391=", $AK$158), CONCATENATE("PX392=",$AK$159), CONCATENATE("DS004=",$B$151), "Fill=B")</f>
        <v>#N/A Connection</v>
      </c>
      <c r="AL216" t="str">
        <f ca="1">_xll.BDP($B$69,$C$69,CONCATENATE("PX391=", $AL$158), CONCATENATE("PX392=",$AL$159), CONCATENATE("DS004=",$B$151), "Fill=B")</f>
        <v>#N/A Connection</v>
      </c>
      <c r="AM216" t="str">
        <f ca="1">_xll.BDP($B$69,$C$69,CONCATENATE("PX391=", $AM$158), CONCATENATE("PX392=",$AM$159), CONCATENATE("DS004=",$B$151), "Fill=B")</f>
        <v>#N/A Connection</v>
      </c>
      <c r="AN216" t="str">
        <f ca="1">_xll.BDP($B$69,$C$69,CONCATENATE("PX391=", $AN$158), CONCATENATE("PX392=",$AN$159), CONCATENATE("DS004=",$B$151), "Fill=B")</f>
        <v>#N/A Connection</v>
      </c>
      <c r="AO216" t="str">
        <f ca="1">_xll.BDP($B$69,$C$69,CONCATENATE("PX391=", $AO$158), CONCATENATE("PX392=",$AO$159), CONCATENATE("DS004=",$B$151), "Fill=B")</f>
        <v>#N/A Connection</v>
      </c>
      <c r="AP216" t="str">
        <f ca="1">_xll.BDP($B$69,$C$69,CONCATENATE("PX391=", $AP$158), CONCATENATE("PX392=",$AP$159), CONCATENATE("DS004=",$B$151), "Fill=B")</f>
        <v>#N/A Connection</v>
      </c>
      <c r="AQ216" t="str">
        <f ca="1">_xll.BDP($B$69,$C$69,CONCATENATE("PX391=", $AQ$158), CONCATENATE("PX392=",$AQ$159), CONCATENATE("DS004=",$B$151), "Fill=B")</f>
        <v>#N/A Connection</v>
      </c>
      <c r="AR216" t="str">
        <f ca="1">_xll.BDP($B$69,$C$69,CONCATENATE("PX391=", $AR$158), CONCATENATE("PX392=",$AR$159), CONCATENATE("DS004=",$B$151), "Fill=B")</f>
        <v>#N/A Connection</v>
      </c>
      <c r="AS216" t="str">
        <f ca="1">_xll.BDP($B$69,$C$69,CONCATENATE("PX391=", $AS$158), CONCATENATE("PX392=",$AS$159), CONCATENATE("DS004=",$B$151), "Fill=B")</f>
        <v>#N/A Connection</v>
      </c>
      <c r="AT216" t="str">
        <f ca="1">_xll.BDP($B$69,$C$69,CONCATENATE("PX391=", $AT$158), CONCATENATE("PX392=",$AT$159), CONCATENATE("DS004=",$B$151), "Fill=B")</f>
        <v>#N/A Connection</v>
      </c>
      <c r="AU216" t="str">
        <f ca="1">_xll.BDP($B$69,$C$69,CONCATENATE("PX391=", $AU$158), CONCATENATE("PX392=",$AU$159), CONCATENATE("DS004=",$B$151), "Fill=B")</f>
        <v>#N/A Connection</v>
      </c>
      <c r="AV216" t="str">
        <f ca="1">_xll.BDP($B$69,$C$69,CONCATENATE("PX391=", $AV$158), CONCATENATE("PX392=",$AV$159), CONCATENATE("DS004=",$B$151), "Fill=B")</f>
        <v>#N/A Connection</v>
      </c>
      <c r="AW216" t="str">
        <f ca="1">_xll.BDP($B$69,$C$69,CONCATENATE("PX391=", $AW$158), CONCATENATE("PX392=",$AW$159), CONCATENATE("DS004=",$B$151), "Fill=B")</f>
        <v>#N/A Connection</v>
      </c>
      <c r="AX216" t="str">
        <f ca="1">_xll.BDP($B$69,$C$69,CONCATENATE("PX391=", $AX$158), CONCATENATE("PX392=",$AX$159), CONCATENATE("DS004=",$B$151), "Fill=B")</f>
        <v>#N/A Connection</v>
      </c>
      <c r="AY216" t="str">
        <f ca="1">_xll.BDP($B$69,$C$69,CONCATENATE("PX391=", $AY$158), CONCATENATE("PX392=",$AY$159), CONCATENATE("DS004=",$B$151), "Fill=B")</f>
        <v>#N/A Connection</v>
      </c>
      <c r="AZ216" t="str">
        <f ca="1">_xll.BDP($B$69,$C$69,CONCATENATE("PX391=", $AZ$158), CONCATENATE("PX392=",$AZ$159), CONCATENATE("DS004=",$B$151), "Fill=B")</f>
        <v>#N/A Connection</v>
      </c>
      <c r="BA216" t="str">
        <f ca="1">_xll.BDP($B$69,$C$69,CONCATENATE("PX391=", $BA$158), CONCATENATE("PX392=",$BA$159), CONCATENATE("DS004=",$B$151), "Fill=B")</f>
        <v>#N/A Connection</v>
      </c>
      <c r="BB216" t="str">
        <f ca="1">_xll.BDP($B$69,$C$69,CONCATENATE("PX391=", $BB$158), CONCATENATE("PX392=",$BB$159), CONCATENATE("DS004=",$B$151), "Fill=B")</f>
        <v>#N/A Connection</v>
      </c>
      <c r="BC216" t="str">
        <f ca="1">_xll.BDP($B$69,$C$69,CONCATENATE("PX391=", $BC$158), CONCATENATE("PX392=",$BC$159), CONCATENATE("DS004=",$B$151), "Fill=B")</f>
        <v>#N/A Connection</v>
      </c>
      <c r="BD216" t="str">
        <f ca="1">_xll.BDP($B$69,$C$69,CONCATENATE("PX391=", $BD$158), CONCATENATE("PX392=",$BD$159), CONCATENATE("DS004=",$B$151), "Fill=B")</f>
        <v>#N/A Connection</v>
      </c>
      <c r="BE216" t="str">
        <f ca="1">_xll.BDP($B$69,$C$69,CONCATENATE("PX391=", $BE$158), CONCATENATE("PX392=",$BE$159), CONCATENATE("DS004=",$B$151), "Fill=B")</f>
        <v>#N/A Connection</v>
      </c>
      <c r="BF216" t="str">
        <f ca="1">_xll.BDP($B$69,$C$69,CONCATENATE("PX391=", $BF$158), CONCATENATE("PX392=",$BF$159), CONCATENATE("DS004=",$B$151), "Fill=B")</f>
        <v>#N/A Connection</v>
      </c>
      <c r="BG216" t="str">
        <f ca="1">_xll.BDP($B$69,$C$69,CONCATENATE("PX391=", $BG$158), CONCATENATE("PX392=",$BG$159), CONCATENATE("DS004=",$B$151), "Fill=B")</f>
        <v>#N/A Connection</v>
      </c>
      <c r="BH216" t="str">
        <f ca="1">_xll.BDP($B$69,$C$69,CONCATENATE("PX391=", $BH$158), CONCATENATE("PX392=",$BH$159), CONCATENATE("DS004=",$B$151), "Fill=B")</f>
        <v>#N/A Connection</v>
      </c>
      <c r="BI216" t="str">
        <f ca="1">_xll.BDP($B$69,$C$69,CONCATENATE("PX391=", $BI$158), CONCATENATE("PX392=",$BI$159), CONCATENATE("DS004=",$B$151), "Fill=B")</f>
        <v>#N/A Connection</v>
      </c>
      <c r="BJ216" t="str">
        <f ca="1">_xll.BDP($B$69,$C$69,CONCATENATE("PX391=", $BJ$158), CONCATENATE("PX392=",$BJ$159), CONCATENATE("DS004=",$B$151), "Fill=B")</f>
        <v>#N/A Connection</v>
      </c>
      <c r="BK216" t="str">
        <f ca="1">_xll.BDP($B$69,$C$69,CONCATENATE("PX391=", $BK$158), CONCATENATE("PX392=",$BK$159), CONCATENATE("DS004=",$B$151), "Fill=B")</f>
        <v>#N/A Connection</v>
      </c>
      <c r="BL216" t="str">
        <f ca="1">_xll.BDP($B$69,$C$69,CONCATENATE("PX391=", $BL$158), CONCATENATE("PX392=",$BL$159), CONCATENATE("DS004=",$B$151), "Fill=B")</f>
        <v>#N/A Connection</v>
      </c>
      <c r="BM216" t="str">
        <f ca="1">_xll.BDP($B$69,$C$69,CONCATENATE("PX391=", $BM$158), CONCATENATE("PX392=",$BM$159), CONCATENATE("DS004=",$B$151), "Fill=B")</f>
        <v>#N/A Connection</v>
      </c>
      <c r="BN216" t="str">
        <f>""</f>
        <v/>
      </c>
      <c r="BO216" t="str">
        <f>""</f>
        <v/>
      </c>
      <c r="BP216" t="str">
        <f>""</f>
        <v/>
      </c>
      <c r="BQ216" t="str">
        <f>""</f>
        <v/>
      </c>
      <c r="BR216" t="str">
        <f>""</f>
        <v/>
      </c>
      <c r="BS216" t="str">
        <f>""</f>
        <v/>
      </c>
      <c r="BT216" t="str">
        <f>""</f>
        <v/>
      </c>
      <c r="BU216" t="str">
        <f>""</f>
        <v/>
      </c>
      <c r="BV216" t="str">
        <f>""</f>
        <v/>
      </c>
      <c r="BW216" t="str">
        <f>""</f>
        <v/>
      </c>
      <c r="BX216" t="str">
        <f>""</f>
        <v/>
      </c>
      <c r="BY216" t="str">
        <f>""</f>
        <v/>
      </c>
      <c r="BZ216" t="str">
        <f>""</f>
        <v/>
      </c>
      <c r="CA216" t="str">
        <f>""</f>
        <v/>
      </c>
      <c r="CB216" t="str">
        <f>""</f>
        <v/>
      </c>
      <c r="CC216" t="str">
        <f>""</f>
        <v/>
      </c>
      <c r="CD216" t="str">
        <f>""</f>
        <v/>
      </c>
      <c r="CE216" t="str">
        <f>""</f>
        <v/>
      </c>
      <c r="CF216" t="str">
        <f>""</f>
        <v/>
      </c>
      <c r="CG216" t="str">
        <f>""</f>
        <v/>
      </c>
      <c r="CH216" t="str">
        <f>""</f>
        <v/>
      </c>
      <c r="CI216" t="str">
        <f>""</f>
        <v/>
      </c>
      <c r="CJ216" t="str">
        <f>""</f>
        <v/>
      </c>
      <c r="CK216" t="str">
        <f>""</f>
        <v/>
      </c>
      <c r="CL216" t="str">
        <f>""</f>
        <v/>
      </c>
      <c r="CM216" t="str">
        <f>""</f>
        <v/>
      </c>
      <c r="CN216" t="str">
        <f>""</f>
        <v/>
      </c>
      <c r="CO216" t="str">
        <f>""</f>
        <v/>
      </c>
      <c r="CP216" t="str">
        <f>""</f>
        <v/>
      </c>
      <c r="CQ216" t="str">
        <f>""</f>
        <v/>
      </c>
      <c r="CR216" t="str">
        <f>""</f>
        <v/>
      </c>
      <c r="CS216" t="str">
        <f>""</f>
        <v/>
      </c>
      <c r="CT216" t="str">
        <f>""</f>
        <v/>
      </c>
      <c r="CU216" t="str">
        <f>""</f>
        <v/>
      </c>
      <c r="CV216" t="str">
        <f>""</f>
        <v/>
      </c>
      <c r="CW216" t="str">
        <f>""</f>
        <v/>
      </c>
      <c r="CX216" t="str">
        <f>""</f>
        <v/>
      </c>
      <c r="CY216" t="str">
        <f>""</f>
        <v/>
      </c>
      <c r="CZ216" t="str">
        <f>""</f>
        <v/>
      </c>
      <c r="DA216" t="str">
        <f>""</f>
        <v/>
      </c>
      <c r="DB216" t="str">
        <f>""</f>
        <v/>
      </c>
      <c r="DC216" t="str">
        <f>""</f>
        <v/>
      </c>
      <c r="DD216" t="str">
        <f>""</f>
        <v/>
      </c>
      <c r="DE216" t="str">
        <f>""</f>
        <v/>
      </c>
      <c r="DF216" t="str">
        <f>""</f>
        <v/>
      </c>
      <c r="DG216" t="str">
        <f>""</f>
        <v/>
      </c>
      <c r="DH216" t="str">
        <f>""</f>
        <v/>
      </c>
      <c r="DI216" t="str">
        <f>""</f>
        <v/>
      </c>
      <c r="DJ216" t="str">
        <f>""</f>
        <v/>
      </c>
      <c r="DK216" t="str">
        <f>""</f>
        <v/>
      </c>
      <c r="DL216" t="str">
        <f>""</f>
        <v/>
      </c>
      <c r="DM216" t="str">
        <f>""</f>
        <v/>
      </c>
      <c r="DN216" t="str">
        <f>""</f>
        <v/>
      </c>
      <c r="DO216" t="str">
        <f>""</f>
        <v/>
      </c>
      <c r="DP216" t="str">
        <f>""</f>
        <v/>
      </c>
      <c r="DQ216" t="str">
        <f>""</f>
        <v/>
      </c>
      <c r="DR216" t="str">
        <f>""</f>
        <v/>
      </c>
      <c r="DS216" t="str">
        <f>""</f>
        <v/>
      </c>
      <c r="DT216" t="str">
        <f>""</f>
        <v/>
      </c>
      <c r="DU216" t="str">
        <f>""</f>
        <v/>
      </c>
    </row>
    <row r="217" spans="1:125" x14ac:dyDescent="0.25">
      <c r="A217" t="str">
        <f>$A$70</f>
        <v xml:space="preserve">        South Africa</v>
      </c>
      <c r="B217" t="str">
        <f>$B$70</f>
        <v>NAAMCARS Index</v>
      </c>
      <c r="C217" t="str">
        <f>$C$70</f>
        <v>PX385</v>
      </c>
      <c r="D217" t="str">
        <f>$D$70</f>
        <v>INTERVAL_SUM</v>
      </c>
      <c r="E217" t="str">
        <f>$E$70</f>
        <v>Dynamic</v>
      </c>
      <c r="F217" t="str">
        <f ca="1">_xll.BDP($B$70,$C$70,CONCATENATE("PX391=", $F$158), CONCATENATE("PX392=",$F$159), CONCATENATE("DS004=",$B$151), "Fill=B")</f>
        <v>#N/A Connection</v>
      </c>
      <c r="G217" t="str">
        <f ca="1">_xll.BDP($B$70,$C$70,CONCATENATE("PX391=", $G$158), CONCATENATE("PX392=",$G$159), CONCATENATE("DS004=",$B$151), "Fill=B")</f>
        <v>#N/A Connection</v>
      </c>
      <c r="H217" t="str">
        <f ca="1">_xll.BDP($B$70,$C$70,CONCATENATE("PX391=", $H$158), CONCATENATE("PX392=",$H$159), CONCATENATE("DS004=",$B$151), "Fill=B")</f>
        <v>#N/A Connection</v>
      </c>
      <c r="I217" t="str">
        <f ca="1">_xll.BDP($B$70,$C$70,CONCATENATE("PX391=", $I$158), CONCATENATE("PX392=",$I$159), CONCATENATE("DS004=",$B$151), "Fill=B")</f>
        <v>#N/A Connection</v>
      </c>
      <c r="J217" t="str">
        <f ca="1">_xll.BDP($B$70,$C$70,CONCATENATE("PX391=", $J$158), CONCATENATE("PX392=",$J$159), CONCATENATE("DS004=",$B$151), "Fill=B")</f>
        <v>#N/A Connection</v>
      </c>
      <c r="K217" t="str">
        <f ca="1">_xll.BDP($B$70,$C$70,CONCATENATE("PX391=", $K$158), CONCATENATE("PX392=",$K$159), CONCATENATE("DS004=",$B$151), "Fill=B")</f>
        <v>#N/A Connection</v>
      </c>
      <c r="L217" t="str">
        <f ca="1">_xll.BDP($B$70,$C$70,CONCATENATE("PX391=", $L$158), CONCATENATE("PX392=",$L$159), CONCATENATE("DS004=",$B$151), "Fill=B")</f>
        <v>#N/A Connection</v>
      </c>
      <c r="M217" t="str">
        <f ca="1">_xll.BDP($B$70,$C$70,CONCATENATE("PX391=", $M$158), CONCATENATE("PX392=",$M$159), CONCATENATE("DS004=",$B$151), "Fill=B")</f>
        <v>#N/A Connection</v>
      </c>
      <c r="N217" t="str">
        <f ca="1">_xll.BDP($B$70,$C$70,CONCATENATE("PX391=", $N$158), CONCATENATE("PX392=",$N$159), CONCATENATE("DS004=",$B$151), "Fill=B")</f>
        <v>#N/A Connection</v>
      </c>
      <c r="O217" t="str">
        <f ca="1">_xll.BDP($B$70,$C$70,CONCATENATE("PX391=", $O$158), CONCATENATE("PX392=",$O$159), CONCATENATE("DS004=",$B$151), "Fill=B")</f>
        <v>#N/A Connection</v>
      </c>
      <c r="P217" t="str">
        <f ca="1">_xll.BDP($B$70,$C$70,CONCATENATE("PX391=", $P$158), CONCATENATE("PX392=",$P$159), CONCATENATE("DS004=",$B$151), "Fill=B")</f>
        <v>#N/A Connection</v>
      </c>
      <c r="Q217" t="str">
        <f ca="1">_xll.BDP($B$70,$C$70,CONCATENATE("PX391=", $Q$158), CONCATENATE("PX392=",$Q$159), CONCATENATE("DS004=",$B$151), "Fill=B")</f>
        <v>#N/A Connection</v>
      </c>
      <c r="R217" t="str">
        <f ca="1">_xll.BDP($B$70,$C$70,CONCATENATE("PX391=", $R$158), CONCATENATE("PX392=",$R$159), CONCATENATE("DS004=",$B$151), "Fill=B")</f>
        <v>#N/A Connection</v>
      </c>
      <c r="S217" t="str">
        <f ca="1">_xll.BDP($B$70,$C$70,CONCATENATE("PX391=", $S$158), CONCATENATE("PX392=",$S$159), CONCATENATE("DS004=",$B$151), "Fill=B")</f>
        <v>#N/A Connection</v>
      </c>
      <c r="T217" t="str">
        <f ca="1">_xll.BDP($B$70,$C$70,CONCATENATE("PX391=", $T$158), CONCATENATE("PX392=",$T$159), CONCATENATE("DS004=",$B$151), "Fill=B")</f>
        <v>#N/A Connection</v>
      </c>
      <c r="U217" t="str">
        <f ca="1">_xll.BDP($B$70,$C$70,CONCATENATE("PX391=", $U$158), CONCATENATE("PX392=",$U$159), CONCATENATE("DS004=",$B$151), "Fill=B")</f>
        <v>#N/A Connection</v>
      </c>
      <c r="V217" t="str">
        <f ca="1">_xll.BDP($B$70,$C$70,CONCATENATE("PX391=", $V$158), CONCATENATE("PX392=",$V$159), CONCATENATE("DS004=",$B$151), "Fill=B")</f>
        <v>#N/A Connection</v>
      </c>
      <c r="W217" t="str">
        <f ca="1">_xll.BDP($B$70,$C$70,CONCATENATE("PX391=", $W$158), CONCATENATE("PX392=",$W$159), CONCATENATE("DS004=",$B$151), "Fill=B")</f>
        <v>#N/A Connection</v>
      </c>
      <c r="X217" t="str">
        <f ca="1">_xll.BDP($B$70,$C$70,CONCATENATE("PX391=", $X$158), CONCATENATE("PX392=",$X$159), CONCATENATE("DS004=",$B$151), "Fill=B")</f>
        <v>#N/A Connection</v>
      </c>
      <c r="Y217" t="str">
        <f ca="1">_xll.BDP($B$70,$C$70,CONCATENATE("PX391=", $Y$158), CONCATENATE("PX392=",$Y$159), CONCATENATE("DS004=",$B$151), "Fill=B")</f>
        <v>#N/A Connection</v>
      </c>
      <c r="Z217" t="str">
        <f ca="1">_xll.BDP($B$70,$C$70,CONCATENATE("PX391=", $Z$158), CONCATENATE("PX392=",$Z$159), CONCATENATE("DS004=",$B$151), "Fill=B")</f>
        <v>#N/A Connection</v>
      </c>
      <c r="AA217" t="str">
        <f ca="1">_xll.BDP($B$70,$C$70,CONCATENATE("PX391=", $AA$158), CONCATENATE("PX392=",$AA$159), CONCATENATE("DS004=",$B$151), "Fill=B")</f>
        <v>#N/A Connection</v>
      </c>
      <c r="AB217" t="str">
        <f ca="1">_xll.BDP($B$70,$C$70,CONCATENATE("PX391=", $AB$158), CONCATENATE("PX392=",$AB$159), CONCATENATE("DS004=",$B$151), "Fill=B")</f>
        <v>#N/A Connection</v>
      </c>
      <c r="AC217" t="str">
        <f ca="1">_xll.BDP($B$70,$C$70,CONCATENATE("PX391=", $AC$158), CONCATENATE("PX392=",$AC$159), CONCATENATE("DS004=",$B$151), "Fill=B")</f>
        <v>#N/A Connection</v>
      </c>
      <c r="AD217" t="str">
        <f ca="1">_xll.BDP($B$70,$C$70,CONCATENATE("PX391=", $AD$158), CONCATENATE("PX392=",$AD$159), CONCATENATE("DS004=",$B$151), "Fill=B")</f>
        <v>#N/A Connection</v>
      </c>
      <c r="AE217" t="str">
        <f ca="1">_xll.BDP($B$70,$C$70,CONCATENATE("PX391=", $AE$158), CONCATENATE("PX392=",$AE$159), CONCATENATE("DS004=",$B$151), "Fill=B")</f>
        <v>#N/A Connection</v>
      </c>
      <c r="AF217" t="str">
        <f ca="1">_xll.BDP($B$70,$C$70,CONCATENATE("PX391=", $AF$158), CONCATENATE("PX392=",$AF$159), CONCATENATE("DS004=",$B$151), "Fill=B")</f>
        <v>#N/A Connection</v>
      </c>
      <c r="AG217" t="str">
        <f ca="1">_xll.BDP($B$70,$C$70,CONCATENATE("PX391=", $AG$158), CONCATENATE("PX392=",$AG$159), CONCATENATE("DS004=",$B$151), "Fill=B")</f>
        <v>#N/A Connection</v>
      </c>
      <c r="AH217" t="str">
        <f ca="1">_xll.BDP($B$70,$C$70,CONCATENATE("PX391=", $AH$158), CONCATENATE("PX392=",$AH$159), CONCATENATE("DS004=",$B$151), "Fill=B")</f>
        <v>#N/A Connection</v>
      </c>
      <c r="AI217" t="str">
        <f ca="1">_xll.BDP($B$70,$C$70,CONCATENATE("PX391=", $AI$158), CONCATENATE("PX392=",$AI$159), CONCATENATE("DS004=",$B$151), "Fill=B")</f>
        <v>#N/A Connection</v>
      </c>
      <c r="AJ217" t="str">
        <f ca="1">_xll.BDP($B$70,$C$70,CONCATENATE("PX391=", $AJ$158), CONCATENATE("PX392=",$AJ$159), CONCATENATE("DS004=",$B$151), "Fill=B")</f>
        <v>#N/A Connection</v>
      </c>
      <c r="AK217" t="str">
        <f ca="1">_xll.BDP($B$70,$C$70,CONCATENATE("PX391=", $AK$158), CONCATENATE("PX392=",$AK$159), CONCATENATE("DS004=",$B$151), "Fill=B")</f>
        <v>#N/A Connection</v>
      </c>
      <c r="AL217" t="str">
        <f ca="1">_xll.BDP($B$70,$C$70,CONCATENATE("PX391=", $AL$158), CONCATENATE("PX392=",$AL$159), CONCATENATE("DS004=",$B$151), "Fill=B")</f>
        <v>#N/A Connection</v>
      </c>
      <c r="AM217" t="str">
        <f ca="1">_xll.BDP($B$70,$C$70,CONCATENATE("PX391=", $AM$158), CONCATENATE("PX392=",$AM$159), CONCATENATE("DS004=",$B$151), "Fill=B")</f>
        <v>#N/A Connection</v>
      </c>
      <c r="AN217" t="str">
        <f ca="1">_xll.BDP($B$70,$C$70,CONCATENATE("PX391=", $AN$158), CONCATENATE("PX392=",$AN$159), CONCATENATE("DS004=",$B$151), "Fill=B")</f>
        <v>#N/A Connection</v>
      </c>
      <c r="AO217" t="str">
        <f ca="1">_xll.BDP($B$70,$C$70,CONCATENATE("PX391=", $AO$158), CONCATENATE("PX392=",$AO$159), CONCATENATE("DS004=",$B$151), "Fill=B")</f>
        <v>#N/A Connection</v>
      </c>
      <c r="AP217" t="str">
        <f ca="1">_xll.BDP($B$70,$C$70,CONCATENATE("PX391=", $AP$158), CONCATENATE("PX392=",$AP$159), CONCATENATE("DS004=",$B$151), "Fill=B")</f>
        <v>#N/A Connection</v>
      </c>
      <c r="AQ217" t="str">
        <f ca="1">_xll.BDP($B$70,$C$70,CONCATENATE("PX391=", $AQ$158), CONCATENATE("PX392=",$AQ$159), CONCATENATE("DS004=",$B$151), "Fill=B")</f>
        <v>#N/A Connection</v>
      </c>
      <c r="AR217" t="str">
        <f ca="1">_xll.BDP($B$70,$C$70,CONCATENATE("PX391=", $AR$158), CONCATENATE("PX392=",$AR$159), CONCATENATE("DS004=",$B$151), "Fill=B")</f>
        <v>#N/A Connection</v>
      </c>
      <c r="AS217" t="str">
        <f ca="1">_xll.BDP($B$70,$C$70,CONCATENATE("PX391=", $AS$158), CONCATENATE("PX392=",$AS$159), CONCATENATE("DS004=",$B$151), "Fill=B")</f>
        <v>#N/A Connection</v>
      </c>
      <c r="AT217" t="str">
        <f ca="1">_xll.BDP($B$70,$C$70,CONCATENATE("PX391=", $AT$158), CONCATENATE("PX392=",$AT$159), CONCATENATE("DS004=",$B$151), "Fill=B")</f>
        <v>#N/A Connection</v>
      </c>
      <c r="AU217" t="str">
        <f ca="1">_xll.BDP($B$70,$C$70,CONCATENATE("PX391=", $AU$158), CONCATENATE("PX392=",$AU$159), CONCATENATE("DS004=",$B$151), "Fill=B")</f>
        <v>#N/A Connection</v>
      </c>
      <c r="AV217" t="str">
        <f ca="1">_xll.BDP($B$70,$C$70,CONCATENATE("PX391=", $AV$158), CONCATENATE("PX392=",$AV$159), CONCATENATE("DS004=",$B$151), "Fill=B")</f>
        <v>#N/A Connection</v>
      </c>
      <c r="AW217" t="str">
        <f ca="1">_xll.BDP($B$70,$C$70,CONCATENATE("PX391=", $AW$158), CONCATENATE("PX392=",$AW$159), CONCATENATE("DS004=",$B$151), "Fill=B")</f>
        <v>#N/A Connection</v>
      </c>
      <c r="AX217" t="str">
        <f ca="1">_xll.BDP($B$70,$C$70,CONCATENATE("PX391=", $AX$158), CONCATENATE("PX392=",$AX$159), CONCATENATE("DS004=",$B$151), "Fill=B")</f>
        <v>#N/A Connection</v>
      </c>
      <c r="AY217" t="str">
        <f ca="1">_xll.BDP($B$70,$C$70,CONCATENATE("PX391=", $AY$158), CONCATENATE("PX392=",$AY$159), CONCATENATE("DS004=",$B$151), "Fill=B")</f>
        <v>#N/A Connection</v>
      </c>
      <c r="AZ217" t="str">
        <f ca="1">_xll.BDP($B$70,$C$70,CONCATENATE("PX391=", $AZ$158), CONCATENATE("PX392=",$AZ$159), CONCATENATE("DS004=",$B$151), "Fill=B")</f>
        <v>#N/A Connection</v>
      </c>
      <c r="BA217" t="str">
        <f ca="1">_xll.BDP($B$70,$C$70,CONCATENATE("PX391=", $BA$158), CONCATENATE("PX392=",$BA$159), CONCATENATE("DS004=",$B$151), "Fill=B")</f>
        <v>#N/A Connection</v>
      </c>
      <c r="BB217" t="str">
        <f ca="1">_xll.BDP($B$70,$C$70,CONCATENATE("PX391=", $BB$158), CONCATENATE("PX392=",$BB$159), CONCATENATE("DS004=",$B$151), "Fill=B")</f>
        <v>#N/A Connection</v>
      </c>
      <c r="BC217" t="str">
        <f ca="1">_xll.BDP($B$70,$C$70,CONCATENATE("PX391=", $BC$158), CONCATENATE("PX392=",$BC$159), CONCATENATE("DS004=",$B$151), "Fill=B")</f>
        <v>#N/A Connection</v>
      </c>
      <c r="BD217" t="str">
        <f ca="1">_xll.BDP($B$70,$C$70,CONCATENATE("PX391=", $BD$158), CONCATENATE("PX392=",$BD$159), CONCATENATE("DS004=",$B$151), "Fill=B")</f>
        <v>#N/A Connection</v>
      </c>
      <c r="BE217" t="str">
        <f ca="1">_xll.BDP($B$70,$C$70,CONCATENATE("PX391=", $BE$158), CONCATENATE("PX392=",$BE$159), CONCATENATE("DS004=",$B$151), "Fill=B")</f>
        <v>#N/A Connection</v>
      </c>
      <c r="BF217" t="str">
        <f ca="1">_xll.BDP($B$70,$C$70,CONCATENATE("PX391=", $BF$158), CONCATENATE("PX392=",$BF$159), CONCATENATE("DS004=",$B$151), "Fill=B")</f>
        <v>#N/A Connection</v>
      </c>
      <c r="BG217" t="str">
        <f ca="1">_xll.BDP($B$70,$C$70,CONCATENATE("PX391=", $BG$158), CONCATENATE("PX392=",$BG$159), CONCATENATE("DS004=",$B$151), "Fill=B")</f>
        <v>#N/A Connection</v>
      </c>
      <c r="BH217" t="str">
        <f ca="1">_xll.BDP($B$70,$C$70,CONCATENATE("PX391=", $BH$158), CONCATENATE("PX392=",$BH$159), CONCATENATE("DS004=",$B$151), "Fill=B")</f>
        <v>#N/A Connection</v>
      </c>
      <c r="BI217" t="str">
        <f ca="1">_xll.BDP($B$70,$C$70,CONCATENATE("PX391=", $BI$158), CONCATENATE("PX392=",$BI$159), CONCATENATE("DS004=",$B$151), "Fill=B")</f>
        <v>#N/A Connection</v>
      </c>
      <c r="BJ217" t="str">
        <f ca="1">_xll.BDP($B$70,$C$70,CONCATENATE("PX391=", $BJ$158), CONCATENATE("PX392=",$BJ$159), CONCATENATE("DS004=",$B$151), "Fill=B")</f>
        <v>#N/A Connection</v>
      </c>
      <c r="BK217" t="str">
        <f ca="1">_xll.BDP($B$70,$C$70,CONCATENATE("PX391=", $BK$158), CONCATENATE("PX392=",$BK$159), CONCATENATE("DS004=",$B$151), "Fill=B")</f>
        <v>#N/A Connection</v>
      </c>
      <c r="BL217" t="str">
        <f ca="1">_xll.BDP($B$70,$C$70,CONCATENATE("PX391=", $BL$158), CONCATENATE("PX392=",$BL$159), CONCATENATE("DS004=",$B$151), "Fill=B")</f>
        <v>#N/A Connection</v>
      </c>
      <c r="BM217" t="str">
        <f ca="1">_xll.BDP($B$70,$C$70,CONCATENATE("PX391=", $BM$158), CONCATENATE("PX392=",$BM$159), CONCATENATE("DS004=",$B$151), "Fill=B")</f>
        <v>#N/A Connection</v>
      </c>
      <c r="BN217" t="str">
        <f>""</f>
        <v/>
      </c>
      <c r="BO217" t="str">
        <f>""</f>
        <v/>
      </c>
      <c r="BP217" t="str">
        <f>""</f>
        <v/>
      </c>
      <c r="BQ217" t="str">
        <f>""</f>
        <v/>
      </c>
      <c r="BR217" t="str">
        <f>""</f>
        <v/>
      </c>
      <c r="BS217" t="str">
        <f>""</f>
        <v/>
      </c>
      <c r="BT217" t="str">
        <f>""</f>
        <v/>
      </c>
      <c r="BU217" t="str">
        <f>""</f>
        <v/>
      </c>
      <c r="BV217" t="str">
        <f>""</f>
        <v/>
      </c>
      <c r="BW217" t="str">
        <f>""</f>
        <v/>
      </c>
      <c r="BX217" t="str">
        <f>""</f>
        <v/>
      </c>
      <c r="BY217" t="str">
        <f>""</f>
        <v/>
      </c>
      <c r="BZ217" t="str">
        <f>""</f>
        <v/>
      </c>
      <c r="CA217" t="str">
        <f>""</f>
        <v/>
      </c>
      <c r="CB217" t="str">
        <f>""</f>
        <v/>
      </c>
      <c r="CC217" t="str">
        <f>""</f>
        <v/>
      </c>
      <c r="CD217" t="str">
        <f>""</f>
        <v/>
      </c>
      <c r="CE217" t="str">
        <f>""</f>
        <v/>
      </c>
      <c r="CF217" t="str">
        <f>""</f>
        <v/>
      </c>
      <c r="CG217" t="str">
        <f>""</f>
        <v/>
      </c>
      <c r="CH217" t="str">
        <f>""</f>
        <v/>
      </c>
      <c r="CI217" t="str">
        <f>""</f>
        <v/>
      </c>
      <c r="CJ217" t="str">
        <f>""</f>
        <v/>
      </c>
      <c r="CK217" t="str">
        <f>""</f>
        <v/>
      </c>
      <c r="CL217" t="str">
        <f>""</f>
        <v/>
      </c>
      <c r="CM217" t="str">
        <f>""</f>
        <v/>
      </c>
      <c r="CN217" t="str">
        <f>""</f>
        <v/>
      </c>
      <c r="CO217" t="str">
        <f>""</f>
        <v/>
      </c>
      <c r="CP217" t="str">
        <f>""</f>
        <v/>
      </c>
      <c r="CQ217" t="str">
        <f>""</f>
        <v/>
      </c>
      <c r="CR217" t="str">
        <f>""</f>
        <v/>
      </c>
      <c r="CS217" t="str">
        <f>""</f>
        <v/>
      </c>
      <c r="CT217" t="str">
        <f>""</f>
        <v/>
      </c>
      <c r="CU217" t="str">
        <f>""</f>
        <v/>
      </c>
      <c r="CV217" t="str">
        <f>""</f>
        <v/>
      </c>
      <c r="CW217" t="str">
        <f>""</f>
        <v/>
      </c>
      <c r="CX217" t="str">
        <f>""</f>
        <v/>
      </c>
      <c r="CY217" t="str">
        <f>""</f>
        <v/>
      </c>
      <c r="CZ217" t="str">
        <f>""</f>
        <v/>
      </c>
      <c r="DA217" t="str">
        <f>""</f>
        <v/>
      </c>
      <c r="DB217" t="str">
        <f>""</f>
        <v/>
      </c>
      <c r="DC217" t="str">
        <f>""</f>
        <v/>
      </c>
      <c r="DD217" t="str">
        <f>""</f>
        <v/>
      </c>
      <c r="DE217" t="str">
        <f>""</f>
        <v/>
      </c>
      <c r="DF217" t="str">
        <f>""</f>
        <v/>
      </c>
      <c r="DG217" t="str">
        <f>""</f>
        <v/>
      </c>
      <c r="DH217" t="str">
        <f>""</f>
        <v/>
      </c>
      <c r="DI217" t="str">
        <f>""</f>
        <v/>
      </c>
      <c r="DJ217" t="str">
        <f>""</f>
        <v/>
      </c>
      <c r="DK217" t="str">
        <f>""</f>
        <v/>
      </c>
      <c r="DL217" t="str">
        <f>""</f>
        <v/>
      </c>
      <c r="DM217" t="str">
        <f>""</f>
        <v/>
      </c>
      <c r="DN217" t="str">
        <f>""</f>
        <v/>
      </c>
      <c r="DO217" t="str">
        <f>""</f>
        <v/>
      </c>
      <c r="DP217" t="str">
        <f>""</f>
        <v/>
      </c>
      <c r="DQ217" t="str">
        <f>""</f>
        <v/>
      </c>
      <c r="DR217" t="str">
        <f>""</f>
        <v/>
      </c>
      <c r="DS217" t="str">
        <f>""</f>
        <v/>
      </c>
      <c r="DT217" t="str">
        <f>""</f>
        <v/>
      </c>
      <c r="DU217" t="str">
        <f>""</f>
        <v/>
      </c>
    </row>
    <row r="218" spans="1:125" x14ac:dyDescent="0.25">
      <c r="A218" t="str">
        <f>$A$73</f>
        <v xml:space="preserve">    Volkswagen AG</v>
      </c>
      <c r="B218" t="str">
        <f>$B$73</f>
        <v>VOW GR Equity</v>
      </c>
      <c r="C218" t="str">
        <f>$C$73</f>
        <v>FS265</v>
      </c>
      <c r="D218" t="str">
        <f>$D$73</f>
        <v>AUTO_VEHICLES_SOLD_WW</v>
      </c>
      <c r="E218" t="str">
        <f>$E$73</f>
        <v>Dynamic</v>
      </c>
      <c r="F218" t="str">
        <f ca="1">_xll.BDH($B$73,$C$73,$B$154,$B$155,CONCATENATE("Per=",$B$152),"Dts=H","Dir=H",CONCATENATE("Points=",$B$153),"Sort=R","Days=A","Fill=B",CONCATENATE("FX=", $B$151) )</f>
        <v>#N/A Connection</v>
      </c>
      <c r="BN218" t="str">
        <f>""</f>
        <v/>
      </c>
      <c r="BO218" t="str">
        <f>""</f>
        <v/>
      </c>
      <c r="BP218" t="str">
        <f>""</f>
        <v/>
      </c>
      <c r="BQ218" t="str">
        <f>""</f>
        <v/>
      </c>
      <c r="BR218" t="str">
        <f>""</f>
        <v/>
      </c>
      <c r="BS218" t="str">
        <f>""</f>
        <v/>
      </c>
      <c r="BT218" t="str">
        <f>""</f>
        <v/>
      </c>
      <c r="BU218" t="str">
        <f>""</f>
        <v/>
      </c>
      <c r="BV218" t="str">
        <f>""</f>
        <v/>
      </c>
      <c r="BW218" t="str">
        <f>""</f>
        <v/>
      </c>
      <c r="BX218" t="str">
        <f>""</f>
        <v/>
      </c>
      <c r="BY218" t="str">
        <f>""</f>
        <v/>
      </c>
      <c r="BZ218" t="str">
        <f>""</f>
        <v/>
      </c>
      <c r="CA218" t="str">
        <f>""</f>
        <v/>
      </c>
      <c r="CB218" t="str">
        <f>""</f>
        <v/>
      </c>
      <c r="CC218" t="str">
        <f>""</f>
        <v/>
      </c>
      <c r="CD218" t="str">
        <f>""</f>
        <v/>
      </c>
      <c r="CE218" t="str">
        <f>""</f>
        <v/>
      </c>
      <c r="CF218" t="str">
        <f>""</f>
        <v/>
      </c>
      <c r="CG218" t="str">
        <f>""</f>
        <v/>
      </c>
      <c r="CH218" t="str">
        <f>""</f>
        <v/>
      </c>
      <c r="CI218" t="str">
        <f>""</f>
        <v/>
      </c>
      <c r="CJ218" t="str">
        <f>""</f>
        <v/>
      </c>
      <c r="CK218" t="str">
        <f>""</f>
        <v/>
      </c>
      <c r="CL218" t="str">
        <f>""</f>
        <v/>
      </c>
      <c r="CM218" t="str">
        <f>""</f>
        <v/>
      </c>
      <c r="CN218" t="str">
        <f>""</f>
        <v/>
      </c>
      <c r="CO218" t="str">
        <f>""</f>
        <v/>
      </c>
      <c r="CP218" t="str">
        <f>""</f>
        <v/>
      </c>
      <c r="CQ218" t="str">
        <f>""</f>
        <v/>
      </c>
      <c r="CR218" t="str">
        <f>""</f>
        <v/>
      </c>
      <c r="CS218" t="str">
        <f>""</f>
        <v/>
      </c>
      <c r="CT218" t="str">
        <f>""</f>
        <v/>
      </c>
      <c r="CU218" t="str">
        <f>""</f>
        <v/>
      </c>
      <c r="CV218" t="str">
        <f>""</f>
        <v/>
      </c>
      <c r="CW218" t="str">
        <f>""</f>
        <v/>
      </c>
      <c r="CX218" t="str">
        <f>""</f>
        <v/>
      </c>
      <c r="CY218" t="str">
        <f>""</f>
        <v/>
      </c>
      <c r="CZ218" t="str">
        <f>""</f>
        <v/>
      </c>
      <c r="DA218" t="str">
        <f>""</f>
        <v/>
      </c>
      <c r="DB218" t="str">
        <f>""</f>
        <v/>
      </c>
      <c r="DC218" t="str">
        <f>""</f>
        <v/>
      </c>
      <c r="DD218" t="str">
        <f>""</f>
        <v/>
      </c>
      <c r="DE218" t="str">
        <f>""</f>
        <v/>
      </c>
      <c r="DF218" t="str">
        <f>""</f>
        <v/>
      </c>
      <c r="DG218" t="str">
        <f>""</f>
        <v/>
      </c>
      <c r="DH218" t="str">
        <f>""</f>
        <v/>
      </c>
      <c r="DI218" t="str">
        <f>""</f>
        <v/>
      </c>
      <c r="DJ218" t="str">
        <f>""</f>
        <v/>
      </c>
      <c r="DK218" t="str">
        <f>""</f>
        <v/>
      </c>
      <c r="DL218" t="str">
        <f>""</f>
        <v/>
      </c>
      <c r="DM218" t="str">
        <f>""</f>
        <v/>
      </c>
      <c r="DN218" t="str">
        <f>""</f>
        <v/>
      </c>
      <c r="DO218" t="str">
        <f>""</f>
        <v/>
      </c>
      <c r="DP218" t="str">
        <f>""</f>
        <v/>
      </c>
      <c r="DQ218" t="str">
        <f>""</f>
        <v/>
      </c>
      <c r="DR218" t="str">
        <f>""</f>
        <v/>
      </c>
      <c r="DS218" t="str">
        <f>""</f>
        <v/>
      </c>
      <c r="DT218" t="str">
        <f>""</f>
        <v/>
      </c>
      <c r="DU218" t="str">
        <f>""</f>
        <v/>
      </c>
    </row>
    <row r="219" spans="1:125" x14ac:dyDescent="0.25">
      <c r="A219" t="str">
        <f>$A$74</f>
        <v xml:space="preserve">        VW Passenger Cars</v>
      </c>
      <c r="B219" t="str">
        <f>$B$74</f>
        <v>VOW GR Equity</v>
      </c>
      <c r="C219" t="str">
        <f>$C$74</f>
        <v>BI047</v>
      </c>
      <c r="D219" t="str">
        <f>$D$74</f>
        <v>BICS_SEGMENT_DATA</v>
      </c>
      <c r="E219" t="str">
        <f>$E$74</f>
        <v>Dynamic</v>
      </c>
      <c r="F219" t="str">
        <f ca="1">_xll.BDH($B$74,$C$74,$B$154,$B$155,CONCATENATE("Per=",$B$152),"Dts=H","Dir=H",CONCATENATE("Points=",$B$153),"Sort=R","Days=A","Fill=B","DZ666=084","DZ381=11111010","DZ667=101","DS276=Y",CONCATENATE("FX=", $B$151) )</f>
        <v>#N/A Connection</v>
      </c>
      <c r="BN219" t="str">
        <f>""</f>
        <v/>
      </c>
      <c r="BO219" t="str">
        <f>""</f>
        <v/>
      </c>
      <c r="BP219" t="str">
        <f>""</f>
        <v/>
      </c>
      <c r="BQ219" t="str">
        <f>""</f>
        <v/>
      </c>
      <c r="BR219" t="str">
        <f>""</f>
        <v/>
      </c>
      <c r="BS219" t="str">
        <f>""</f>
        <v/>
      </c>
      <c r="BT219" t="str">
        <f>""</f>
        <v/>
      </c>
      <c r="BU219" t="str">
        <f>""</f>
        <v/>
      </c>
      <c r="BV219" t="str">
        <f>""</f>
        <v/>
      </c>
      <c r="BW219" t="str">
        <f>""</f>
        <v/>
      </c>
      <c r="BX219" t="str">
        <f>""</f>
        <v/>
      </c>
      <c r="BY219" t="str">
        <f>""</f>
        <v/>
      </c>
      <c r="BZ219" t="str">
        <f>""</f>
        <v/>
      </c>
      <c r="CA219" t="str">
        <f>""</f>
        <v/>
      </c>
      <c r="CB219" t="str">
        <f>""</f>
        <v/>
      </c>
      <c r="CC219" t="str">
        <f>""</f>
        <v/>
      </c>
      <c r="CD219" t="str">
        <f>""</f>
        <v/>
      </c>
      <c r="CE219" t="str">
        <f>""</f>
        <v/>
      </c>
      <c r="CF219" t="str">
        <f>""</f>
        <v/>
      </c>
      <c r="CG219" t="str">
        <f>""</f>
        <v/>
      </c>
      <c r="CH219" t="str">
        <f>""</f>
        <v/>
      </c>
      <c r="CI219" t="str">
        <f>""</f>
        <v/>
      </c>
      <c r="CJ219" t="str">
        <f>""</f>
        <v/>
      </c>
      <c r="CK219" t="str">
        <f>""</f>
        <v/>
      </c>
      <c r="CL219" t="str">
        <f>""</f>
        <v/>
      </c>
      <c r="CM219" t="str">
        <f>""</f>
        <v/>
      </c>
      <c r="CN219" t="str">
        <f>""</f>
        <v/>
      </c>
      <c r="CO219" t="str">
        <f>""</f>
        <v/>
      </c>
      <c r="CP219" t="str">
        <f>""</f>
        <v/>
      </c>
      <c r="CQ219" t="str">
        <f>""</f>
        <v/>
      </c>
      <c r="CR219" t="str">
        <f>""</f>
        <v/>
      </c>
      <c r="CS219" t="str">
        <f>""</f>
        <v/>
      </c>
      <c r="CT219" t="str">
        <f>""</f>
        <v/>
      </c>
      <c r="CU219" t="str">
        <f>""</f>
        <v/>
      </c>
      <c r="CV219" t="str">
        <f>""</f>
        <v/>
      </c>
      <c r="CW219" t="str">
        <f>""</f>
        <v/>
      </c>
      <c r="CX219" t="str">
        <f>""</f>
        <v/>
      </c>
      <c r="CY219" t="str">
        <f>""</f>
        <v/>
      </c>
      <c r="CZ219" t="str">
        <f>""</f>
        <v/>
      </c>
      <c r="DA219" t="str">
        <f>""</f>
        <v/>
      </c>
      <c r="DB219" t="str">
        <f>""</f>
        <v/>
      </c>
      <c r="DC219" t="str">
        <f>""</f>
        <v/>
      </c>
      <c r="DD219" t="str">
        <f>""</f>
        <v/>
      </c>
      <c r="DE219" t="str">
        <f>""</f>
        <v/>
      </c>
      <c r="DF219" t="str">
        <f>""</f>
        <v/>
      </c>
      <c r="DG219" t="str">
        <f>""</f>
        <v/>
      </c>
      <c r="DH219" t="str">
        <f>""</f>
        <v/>
      </c>
      <c r="DI219" t="str">
        <f>""</f>
        <v/>
      </c>
      <c r="DJ219" t="str">
        <f>""</f>
        <v/>
      </c>
      <c r="DK219" t="str">
        <f>""</f>
        <v/>
      </c>
      <c r="DL219" t="str">
        <f>""</f>
        <v/>
      </c>
      <c r="DM219" t="str">
        <f>""</f>
        <v/>
      </c>
      <c r="DN219" t="str">
        <f>""</f>
        <v/>
      </c>
      <c r="DO219" t="str">
        <f>""</f>
        <v/>
      </c>
      <c r="DP219" t="str">
        <f>""</f>
        <v/>
      </c>
      <c r="DQ219" t="str">
        <f>""</f>
        <v/>
      </c>
      <c r="DR219" t="str">
        <f>""</f>
        <v/>
      </c>
      <c r="DS219" t="str">
        <f>""</f>
        <v/>
      </c>
      <c r="DT219" t="str">
        <f>""</f>
        <v/>
      </c>
      <c r="DU219" t="str">
        <f>""</f>
        <v/>
      </c>
    </row>
    <row r="220" spans="1:125" x14ac:dyDescent="0.25">
      <c r="A220" t="str">
        <f>$A$75</f>
        <v xml:space="preserve">        Audi</v>
      </c>
      <c r="B220" t="str">
        <f>$B$75</f>
        <v>VOW GR Equity</v>
      </c>
      <c r="C220" t="str">
        <f>$C$75</f>
        <v>BI047</v>
      </c>
      <c r="D220" t="str">
        <f>$D$75</f>
        <v>BICS_SEGMENT_DATA</v>
      </c>
      <c r="E220" t="str">
        <f>$E$75</f>
        <v>Dynamic</v>
      </c>
      <c r="F220" t="str">
        <f ca="1">_xll.BDH($B$75,$C$75,$B$154,$B$155,CONCATENATE("Per=",$B$152),"Dts=H","Dir=H",CONCATENATE("Points=",$B$153),"Sort=R","Days=A","Fill=B","DZ666=084","DZ381=11111010","DZ667=2","DS276=Y",CONCATENATE("FX=", $B$151) )</f>
        <v>#N/A Connection</v>
      </c>
      <c r="BN220" t="str">
        <f>""</f>
        <v/>
      </c>
      <c r="BO220" t="str">
        <f>""</f>
        <v/>
      </c>
      <c r="BP220" t="str">
        <f>""</f>
        <v/>
      </c>
      <c r="BQ220" t="str">
        <f>""</f>
        <v/>
      </c>
      <c r="BR220" t="str">
        <f>""</f>
        <v/>
      </c>
      <c r="BS220" t="str">
        <f>""</f>
        <v/>
      </c>
      <c r="BT220" t="str">
        <f>""</f>
        <v/>
      </c>
      <c r="BU220" t="str">
        <f>""</f>
        <v/>
      </c>
      <c r="BV220" t="str">
        <f>""</f>
        <v/>
      </c>
      <c r="BW220" t="str">
        <f>""</f>
        <v/>
      </c>
      <c r="BX220" t="str">
        <f>""</f>
        <v/>
      </c>
      <c r="BY220" t="str">
        <f>""</f>
        <v/>
      </c>
      <c r="BZ220" t="str">
        <f>""</f>
        <v/>
      </c>
      <c r="CA220" t="str">
        <f>""</f>
        <v/>
      </c>
      <c r="CB220" t="str">
        <f>""</f>
        <v/>
      </c>
      <c r="CC220" t="str">
        <f>""</f>
        <v/>
      </c>
      <c r="CD220" t="str">
        <f>""</f>
        <v/>
      </c>
      <c r="CE220" t="str">
        <f>""</f>
        <v/>
      </c>
      <c r="CF220" t="str">
        <f>""</f>
        <v/>
      </c>
      <c r="CG220" t="str">
        <f>""</f>
        <v/>
      </c>
      <c r="CH220" t="str">
        <f>""</f>
        <v/>
      </c>
      <c r="CI220" t="str">
        <f>""</f>
        <v/>
      </c>
      <c r="CJ220" t="str">
        <f>""</f>
        <v/>
      </c>
      <c r="CK220" t="str">
        <f>""</f>
        <v/>
      </c>
      <c r="CL220" t="str">
        <f>""</f>
        <v/>
      </c>
      <c r="CM220" t="str">
        <f>""</f>
        <v/>
      </c>
      <c r="CN220" t="str">
        <f>""</f>
        <v/>
      </c>
      <c r="CO220" t="str">
        <f>""</f>
        <v/>
      </c>
      <c r="CP220" t="str">
        <f>""</f>
        <v/>
      </c>
      <c r="CQ220" t="str">
        <f>""</f>
        <v/>
      </c>
      <c r="CR220" t="str">
        <f>""</f>
        <v/>
      </c>
      <c r="CS220" t="str">
        <f>""</f>
        <v/>
      </c>
      <c r="CT220" t="str">
        <f>""</f>
        <v/>
      </c>
      <c r="CU220" t="str">
        <f>""</f>
        <v/>
      </c>
      <c r="CV220" t="str">
        <f>""</f>
        <v/>
      </c>
      <c r="CW220" t="str">
        <f>""</f>
        <v/>
      </c>
      <c r="CX220" t="str">
        <f>""</f>
        <v/>
      </c>
      <c r="CY220" t="str">
        <f>""</f>
        <v/>
      </c>
      <c r="CZ220" t="str">
        <f>""</f>
        <v/>
      </c>
      <c r="DA220" t="str">
        <f>""</f>
        <v/>
      </c>
      <c r="DB220" t="str">
        <f>""</f>
        <v/>
      </c>
      <c r="DC220" t="str">
        <f>""</f>
        <v/>
      </c>
      <c r="DD220" t="str">
        <f>""</f>
        <v/>
      </c>
      <c r="DE220" t="str">
        <f>""</f>
        <v/>
      </c>
      <c r="DF220" t="str">
        <f>""</f>
        <v/>
      </c>
      <c r="DG220" t="str">
        <f>""</f>
        <v/>
      </c>
      <c r="DH220" t="str">
        <f>""</f>
        <v/>
      </c>
      <c r="DI220" t="str">
        <f>""</f>
        <v/>
      </c>
      <c r="DJ220" t="str">
        <f>""</f>
        <v/>
      </c>
      <c r="DK220" t="str">
        <f>""</f>
        <v/>
      </c>
      <c r="DL220" t="str">
        <f>""</f>
        <v/>
      </c>
      <c r="DM220" t="str">
        <f>""</f>
        <v/>
      </c>
      <c r="DN220" t="str">
        <f>""</f>
        <v/>
      </c>
      <c r="DO220" t="str">
        <f>""</f>
        <v/>
      </c>
      <c r="DP220" t="str">
        <f>""</f>
        <v/>
      </c>
      <c r="DQ220" t="str">
        <f>""</f>
        <v/>
      </c>
      <c r="DR220" t="str">
        <f>""</f>
        <v/>
      </c>
      <c r="DS220" t="str">
        <f>""</f>
        <v/>
      </c>
      <c r="DT220" t="str">
        <f>""</f>
        <v/>
      </c>
      <c r="DU220" t="str">
        <f>""</f>
        <v/>
      </c>
    </row>
    <row r="221" spans="1:125" x14ac:dyDescent="0.25">
      <c r="A221" t="str">
        <f>$A$76</f>
        <v xml:space="preserve">        Skoda</v>
      </c>
      <c r="B221" t="str">
        <f>$B$76</f>
        <v>VOW GR Equity</v>
      </c>
      <c r="C221" t="str">
        <f>$C$76</f>
        <v>BI047</v>
      </c>
      <c r="D221" t="str">
        <f>$D$76</f>
        <v>BICS_SEGMENT_DATA</v>
      </c>
      <c r="E221" t="str">
        <f>$E$76</f>
        <v>Dynamic</v>
      </c>
      <c r="F221" t="str">
        <f ca="1">_xll.BDH($B$76,$C$76,$B$154,$B$155,CONCATENATE("Per=",$B$152),"Dts=H","Dir=H",CONCATENATE("Points=",$B$153),"Sort=R","Days=A","Fill=B","DZ666=084","DZ381=11111010","DZ667=140","DS276=Y",CONCATENATE("FX=", $B$151) )</f>
        <v>#N/A Connection</v>
      </c>
      <c r="BN221" t="str">
        <f>""</f>
        <v/>
      </c>
      <c r="BO221" t="str">
        <f>""</f>
        <v/>
      </c>
      <c r="BP221" t="str">
        <f>""</f>
        <v/>
      </c>
      <c r="BQ221" t="str">
        <f>""</f>
        <v/>
      </c>
      <c r="BR221" t="str">
        <f>""</f>
        <v/>
      </c>
      <c r="BS221" t="str">
        <f>""</f>
        <v/>
      </c>
      <c r="BT221" t="str">
        <f>""</f>
        <v/>
      </c>
      <c r="BU221" t="str">
        <f>""</f>
        <v/>
      </c>
      <c r="BV221" t="str">
        <f>""</f>
        <v/>
      </c>
      <c r="BW221" t="str">
        <f>""</f>
        <v/>
      </c>
      <c r="BX221" t="str">
        <f>""</f>
        <v/>
      </c>
      <c r="BY221" t="str">
        <f>""</f>
        <v/>
      </c>
      <c r="BZ221" t="str">
        <f>""</f>
        <v/>
      </c>
      <c r="CA221" t="str">
        <f>""</f>
        <v/>
      </c>
      <c r="CB221" t="str">
        <f>""</f>
        <v/>
      </c>
      <c r="CC221" t="str">
        <f>""</f>
        <v/>
      </c>
      <c r="CD221" t="str">
        <f>""</f>
        <v/>
      </c>
      <c r="CE221" t="str">
        <f>""</f>
        <v/>
      </c>
      <c r="CF221" t="str">
        <f>""</f>
        <v/>
      </c>
      <c r="CG221" t="str">
        <f>""</f>
        <v/>
      </c>
      <c r="CH221" t="str">
        <f>""</f>
        <v/>
      </c>
      <c r="CI221" t="str">
        <f>""</f>
        <v/>
      </c>
      <c r="CJ221" t="str">
        <f>""</f>
        <v/>
      </c>
      <c r="CK221" t="str">
        <f>""</f>
        <v/>
      </c>
      <c r="CL221" t="str">
        <f>""</f>
        <v/>
      </c>
      <c r="CM221" t="str">
        <f>""</f>
        <v/>
      </c>
      <c r="CN221" t="str">
        <f>""</f>
        <v/>
      </c>
      <c r="CO221" t="str">
        <f>""</f>
        <v/>
      </c>
      <c r="CP221" t="str">
        <f>""</f>
        <v/>
      </c>
      <c r="CQ221" t="str">
        <f>""</f>
        <v/>
      </c>
      <c r="CR221" t="str">
        <f>""</f>
        <v/>
      </c>
      <c r="CS221" t="str">
        <f>""</f>
        <v/>
      </c>
      <c r="CT221" t="str">
        <f>""</f>
        <v/>
      </c>
      <c r="CU221" t="str">
        <f>""</f>
        <v/>
      </c>
      <c r="CV221" t="str">
        <f>""</f>
        <v/>
      </c>
      <c r="CW221" t="str">
        <f>""</f>
        <v/>
      </c>
      <c r="CX221" t="str">
        <f>""</f>
        <v/>
      </c>
      <c r="CY221" t="str">
        <f>""</f>
        <v/>
      </c>
      <c r="CZ221" t="str">
        <f>""</f>
        <v/>
      </c>
      <c r="DA221" t="str">
        <f>""</f>
        <v/>
      </c>
      <c r="DB221" t="str">
        <f>""</f>
        <v/>
      </c>
      <c r="DC221" t="str">
        <f>""</f>
        <v/>
      </c>
      <c r="DD221" t="str">
        <f>""</f>
        <v/>
      </c>
      <c r="DE221" t="str">
        <f>""</f>
        <v/>
      </c>
      <c r="DF221" t="str">
        <f>""</f>
        <v/>
      </c>
      <c r="DG221" t="str">
        <f>""</f>
        <v/>
      </c>
      <c r="DH221" t="str">
        <f>""</f>
        <v/>
      </c>
      <c r="DI221" t="str">
        <f>""</f>
        <v/>
      </c>
      <c r="DJ221" t="str">
        <f>""</f>
        <v/>
      </c>
      <c r="DK221" t="str">
        <f>""</f>
        <v/>
      </c>
      <c r="DL221" t="str">
        <f>""</f>
        <v/>
      </c>
      <c r="DM221" t="str">
        <f>""</f>
        <v/>
      </c>
      <c r="DN221" t="str">
        <f>""</f>
        <v/>
      </c>
      <c r="DO221" t="str">
        <f>""</f>
        <v/>
      </c>
      <c r="DP221" t="str">
        <f>""</f>
        <v/>
      </c>
      <c r="DQ221" t="str">
        <f>""</f>
        <v/>
      </c>
      <c r="DR221" t="str">
        <f>""</f>
        <v/>
      </c>
      <c r="DS221" t="str">
        <f>""</f>
        <v/>
      </c>
      <c r="DT221" t="str">
        <f>""</f>
        <v/>
      </c>
      <c r="DU221" t="str">
        <f>""</f>
        <v/>
      </c>
    </row>
    <row r="222" spans="1:125" x14ac:dyDescent="0.25">
      <c r="A222" t="str">
        <f>$A$77</f>
        <v xml:space="preserve">        VW Commercial Vehicles (Light)</v>
      </c>
      <c r="B222" t="str">
        <f>$B$77</f>
        <v>VOW GR Equity</v>
      </c>
      <c r="C222" t="str">
        <f>$C$77</f>
        <v>BI047</v>
      </c>
      <c r="D222" t="str">
        <f>$D$77</f>
        <v>BICS_SEGMENT_DATA</v>
      </c>
      <c r="E222" t="str">
        <f>$E$77</f>
        <v>Dynamic</v>
      </c>
      <c r="F222" t="str">
        <f ca="1">_xll.BDH($B$77,$C$77,$B$154,$B$155,CONCATENATE("Per=",$B$152),"Dts=H","Dir=H",CONCATENATE("Points=",$B$153),"Sort=R","Days=A","Fill=B","DZ666=084","DZ381=11111011","DZ667=159","DS276=Y",CONCATENATE("FX=", $B$151) )</f>
        <v>#N/A Connection</v>
      </c>
      <c r="BN222" t="str">
        <f>""</f>
        <v/>
      </c>
      <c r="BO222" t="str">
        <f>""</f>
        <v/>
      </c>
      <c r="BP222" t="str">
        <f>""</f>
        <v/>
      </c>
      <c r="BQ222" t="str">
        <f>""</f>
        <v/>
      </c>
      <c r="BR222" t="str">
        <f>""</f>
        <v/>
      </c>
      <c r="BS222" t="str">
        <f>""</f>
        <v/>
      </c>
      <c r="BT222" t="str">
        <f>""</f>
        <v/>
      </c>
      <c r="BU222" t="str">
        <f>""</f>
        <v/>
      </c>
      <c r="BV222" t="str">
        <f>""</f>
        <v/>
      </c>
      <c r="BW222" t="str">
        <f>""</f>
        <v/>
      </c>
      <c r="BX222" t="str">
        <f>""</f>
        <v/>
      </c>
      <c r="BY222" t="str">
        <f>""</f>
        <v/>
      </c>
      <c r="BZ222" t="str">
        <f>""</f>
        <v/>
      </c>
      <c r="CA222" t="str">
        <f>""</f>
        <v/>
      </c>
      <c r="CB222" t="str">
        <f>""</f>
        <v/>
      </c>
      <c r="CC222" t="str">
        <f>""</f>
        <v/>
      </c>
      <c r="CD222" t="str">
        <f>""</f>
        <v/>
      </c>
      <c r="CE222" t="str">
        <f>""</f>
        <v/>
      </c>
      <c r="CF222" t="str">
        <f>""</f>
        <v/>
      </c>
      <c r="CG222" t="str">
        <f>""</f>
        <v/>
      </c>
      <c r="CH222" t="str">
        <f>""</f>
        <v/>
      </c>
      <c r="CI222" t="str">
        <f>""</f>
        <v/>
      </c>
      <c r="CJ222" t="str">
        <f>""</f>
        <v/>
      </c>
      <c r="CK222" t="str">
        <f>""</f>
        <v/>
      </c>
      <c r="CL222" t="str">
        <f>""</f>
        <v/>
      </c>
      <c r="CM222" t="str">
        <f>""</f>
        <v/>
      </c>
      <c r="CN222" t="str">
        <f>""</f>
        <v/>
      </c>
      <c r="CO222" t="str">
        <f>""</f>
        <v/>
      </c>
      <c r="CP222" t="str">
        <f>""</f>
        <v/>
      </c>
      <c r="CQ222" t="str">
        <f>""</f>
        <v/>
      </c>
      <c r="CR222" t="str">
        <f>""</f>
        <v/>
      </c>
      <c r="CS222" t="str">
        <f>""</f>
        <v/>
      </c>
      <c r="CT222" t="str">
        <f>""</f>
        <v/>
      </c>
      <c r="CU222" t="str">
        <f>""</f>
        <v/>
      </c>
      <c r="CV222" t="str">
        <f>""</f>
        <v/>
      </c>
      <c r="CW222" t="str">
        <f>""</f>
        <v/>
      </c>
      <c r="CX222" t="str">
        <f>""</f>
        <v/>
      </c>
      <c r="CY222" t="str">
        <f>""</f>
        <v/>
      </c>
      <c r="CZ222" t="str">
        <f>""</f>
        <v/>
      </c>
      <c r="DA222" t="str">
        <f>""</f>
        <v/>
      </c>
      <c r="DB222" t="str">
        <f>""</f>
        <v/>
      </c>
      <c r="DC222" t="str">
        <f>""</f>
        <v/>
      </c>
      <c r="DD222" t="str">
        <f>""</f>
        <v/>
      </c>
      <c r="DE222" t="str">
        <f>""</f>
        <v/>
      </c>
      <c r="DF222" t="str">
        <f>""</f>
        <v/>
      </c>
      <c r="DG222" t="str">
        <f>""</f>
        <v/>
      </c>
      <c r="DH222" t="str">
        <f>""</f>
        <v/>
      </c>
      <c r="DI222" t="str">
        <f>""</f>
        <v/>
      </c>
      <c r="DJ222" t="str">
        <f>""</f>
        <v/>
      </c>
      <c r="DK222" t="str">
        <f>""</f>
        <v/>
      </c>
      <c r="DL222" t="str">
        <f>""</f>
        <v/>
      </c>
      <c r="DM222" t="str">
        <f>""</f>
        <v/>
      </c>
      <c r="DN222" t="str">
        <f>""</f>
        <v/>
      </c>
      <c r="DO222" t="str">
        <f>""</f>
        <v/>
      </c>
      <c r="DP222" t="str">
        <f>""</f>
        <v/>
      </c>
      <c r="DQ222" t="str">
        <f>""</f>
        <v/>
      </c>
      <c r="DR222" t="str">
        <f>""</f>
        <v/>
      </c>
      <c r="DS222" t="str">
        <f>""</f>
        <v/>
      </c>
      <c r="DT222" t="str">
        <f>""</f>
        <v/>
      </c>
      <c r="DU222" t="str">
        <f>""</f>
        <v/>
      </c>
    </row>
    <row r="223" spans="1:125" x14ac:dyDescent="0.25">
      <c r="A223" t="str">
        <f>$A$78</f>
        <v xml:space="preserve">        SEAT</v>
      </c>
      <c r="B223" t="str">
        <f>$B$78</f>
        <v>VOW GR Equity</v>
      </c>
      <c r="C223" t="str">
        <f>$C$78</f>
        <v>BI047</v>
      </c>
      <c r="D223" t="str">
        <f>$D$78</f>
        <v>BICS_SEGMENT_DATA</v>
      </c>
      <c r="E223" t="str">
        <f>$E$78</f>
        <v>Dynamic</v>
      </c>
      <c r="F223" t="str">
        <f ca="1">_xll.BDH($B$78,$C$78,$B$154,$B$155,CONCATENATE("Per=",$B$152),"Dts=H","Dir=H",CONCATENATE("Points=",$B$153),"Sort=R","Days=A","Fill=B","DZ666=084","DZ381=11111010","DZ667=40","DS276=Y",CONCATENATE("FX=", $B$151) )</f>
        <v>#N/A Connection</v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  <c r="BT223" t="str">
        <f>""</f>
        <v/>
      </c>
      <c r="BU223" t="str">
        <f>""</f>
        <v/>
      </c>
      <c r="BV223" t="str">
        <f>""</f>
        <v/>
      </c>
      <c r="BW223" t="str">
        <f>""</f>
        <v/>
      </c>
      <c r="BX223" t="str">
        <f>""</f>
        <v/>
      </c>
      <c r="BY223" t="str">
        <f>""</f>
        <v/>
      </c>
      <c r="BZ223" t="str">
        <f>""</f>
        <v/>
      </c>
      <c r="CA223" t="str">
        <f>""</f>
        <v/>
      </c>
      <c r="CB223" t="str">
        <f>""</f>
        <v/>
      </c>
      <c r="CC223" t="str">
        <f>""</f>
        <v/>
      </c>
      <c r="CD223" t="str">
        <f>""</f>
        <v/>
      </c>
      <c r="CE223" t="str">
        <f>""</f>
        <v/>
      </c>
      <c r="CF223" t="str">
        <f>""</f>
        <v/>
      </c>
      <c r="CG223" t="str">
        <f>""</f>
        <v/>
      </c>
      <c r="CH223" t="str">
        <f>""</f>
        <v/>
      </c>
      <c r="CI223" t="str">
        <f>""</f>
        <v/>
      </c>
      <c r="CJ223" t="str">
        <f>""</f>
        <v/>
      </c>
      <c r="CK223" t="str">
        <f>""</f>
        <v/>
      </c>
      <c r="CL223" t="str">
        <f>""</f>
        <v/>
      </c>
      <c r="CM223" t="str">
        <f>""</f>
        <v/>
      </c>
      <c r="CN223" t="str">
        <f>""</f>
        <v/>
      </c>
      <c r="CO223" t="str">
        <f>""</f>
        <v/>
      </c>
      <c r="CP223" t="str">
        <f>""</f>
        <v/>
      </c>
      <c r="CQ223" t="str">
        <f>""</f>
        <v/>
      </c>
      <c r="CR223" t="str">
        <f>""</f>
        <v/>
      </c>
      <c r="CS223" t="str">
        <f>""</f>
        <v/>
      </c>
      <c r="CT223" t="str">
        <f>""</f>
        <v/>
      </c>
      <c r="CU223" t="str">
        <f>""</f>
        <v/>
      </c>
      <c r="CV223" t="str">
        <f>""</f>
        <v/>
      </c>
      <c r="CW223" t="str">
        <f>""</f>
        <v/>
      </c>
      <c r="CX223" t="str">
        <f>""</f>
        <v/>
      </c>
      <c r="CY223" t="str">
        <f>""</f>
        <v/>
      </c>
      <c r="CZ223" t="str">
        <f>""</f>
        <v/>
      </c>
      <c r="DA223" t="str">
        <f>""</f>
        <v/>
      </c>
      <c r="DB223" t="str">
        <f>""</f>
        <v/>
      </c>
      <c r="DC223" t="str">
        <f>""</f>
        <v/>
      </c>
      <c r="DD223" t="str">
        <f>""</f>
        <v/>
      </c>
      <c r="DE223" t="str">
        <f>""</f>
        <v/>
      </c>
      <c r="DF223" t="str">
        <f>""</f>
        <v/>
      </c>
      <c r="DG223" t="str">
        <f>""</f>
        <v/>
      </c>
      <c r="DH223" t="str">
        <f>""</f>
        <v/>
      </c>
      <c r="DI223" t="str">
        <f>""</f>
        <v/>
      </c>
      <c r="DJ223" t="str">
        <f>""</f>
        <v/>
      </c>
      <c r="DK223" t="str">
        <f>""</f>
        <v/>
      </c>
      <c r="DL223" t="str">
        <f>""</f>
        <v/>
      </c>
      <c r="DM223" t="str">
        <f>""</f>
        <v/>
      </c>
      <c r="DN223" t="str">
        <f>""</f>
        <v/>
      </c>
      <c r="DO223" t="str">
        <f>""</f>
        <v/>
      </c>
      <c r="DP223" t="str">
        <f>""</f>
        <v/>
      </c>
      <c r="DQ223" t="str">
        <f>""</f>
        <v/>
      </c>
      <c r="DR223" t="str">
        <f>""</f>
        <v/>
      </c>
      <c r="DS223" t="str">
        <f>""</f>
        <v/>
      </c>
      <c r="DT223" t="str">
        <f>""</f>
        <v/>
      </c>
      <c r="DU223" t="str">
        <f>""</f>
        <v/>
      </c>
    </row>
    <row r="224" spans="1:125" x14ac:dyDescent="0.25">
      <c r="A224" t="str">
        <f>$A$79</f>
        <v xml:space="preserve">        MAN</v>
      </c>
      <c r="B224" t="str">
        <f>$B$79</f>
        <v>VOW GR Equity</v>
      </c>
      <c r="C224" t="str">
        <f>$C$79</f>
        <v>BI047</v>
      </c>
      <c r="D224" t="str">
        <f>$D$79</f>
        <v>BICS_SEGMENT_DATA</v>
      </c>
      <c r="E224" t="str">
        <f>$E$79</f>
        <v>Dynamic</v>
      </c>
      <c r="F224" t="str">
        <f ca="1">_xll.BDH($B$79,$C$79,$B$154,$B$155,CONCATENATE("Per=",$B$152),"Dts=H","Dir=H",CONCATENATE("Points=",$B$153),"Sort=R","Days=A","Fill=B","DZ666=084","DZ381=16141010","DZ667=6","DS276=Y",CONCATENATE("FX=", $B$151) )</f>
        <v>#N/A Connection</v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  <c r="BT224" t="str">
        <f>""</f>
        <v/>
      </c>
      <c r="BU224" t="str">
        <f>""</f>
        <v/>
      </c>
      <c r="BV224" t="str">
        <f>""</f>
        <v/>
      </c>
      <c r="BW224" t="str">
        <f>""</f>
        <v/>
      </c>
      <c r="BX224" t="str">
        <f>""</f>
        <v/>
      </c>
      <c r="BY224" t="str">
        <f>""</f>
        <v/>
      </c>
      <c r="BZ224" t="str">
        <f>""</f>
        <v/>
      </c>
      <c r="CA224" t="str">
        <f>""</f>
        <v/>
      </c>
      <c r="CB224" t="str">
        <f>""</f>
        <v/>
      </c>
      <c r="CC224" t="str">
        <f>""</f>
        <v/>
      </c>
      <c r="CD224" t="str">
        <f>""</f>
        <v/>
      </c>
      <c r="CE224" t="str">
        <f>""</f>
        <v/>
      </c>
      <c r="CF224" t="str">
        <f>""</f>
        <v/>
      </c>
      <c r="CG224" t="str">
        <f>""</f>
        <v/>
      </c>
      <c r="CH224" t="str">
        <f>""</f>
        <v/>
      </c>
      <c r="CI224" t="str">
        <f>""</f>
        <v/>
      </c>
      <c r="CJ224" t="str">
        <f>""</f>
        <v/>
      </c>
      <c r="CK224" t="str">
        <f>""</f>
        <v/>
      </c>
      <c r="CL224" t="str">
        <f>""</f>
        <v/>
      </c>
      <c r="CM224" t="str">
        <f>""</f>
        <v/>
      </c>
      <c r="CN224" t="str">
        <f>""</f>
        <v/>
      </c>
      <c r="CO224" t="str">
        <f>""</f>
        <v/>
      </c>
      <c r="CP224" t="str">
        <f>""</f>
        <v/>
      </c>
      <c r="CQ224" t="str">
        <f>""</f>
        <v/>
      </c>
      <c r="CR224" t="str">
        <f>""</f>
        <v/>
      </c>
      <c r="CS224" t="str">
        <f>""</f>
        <v/>
      </c>
      <c r="CT224" t="str">
        <f>""</f>
        <v/>
      </c>
      <c r="CU224" t="str">
        <f>""</f>
        <v/>
      </c>
      <c r="CV224" t="str">
        <f>""</f>
        <v/>
      </c>
      <c r="CW224" t="str">
        <f>""</f>
        <v/>
      </c>
      <c r="CX224" t="str">
        <f>""</f>
        <v/>
      </c>
      <c r="CY224" t="str">
        <f>""</f>
        <v/>
      </c>
      <c r="CZ224" t="str">
        <f>""</f>
        <v/>
      </c>
      <c r="DA224" t="str">
        <f>""</f>
        <v/>
      </c>
      <c r="DB224" t="str">
        <f>""</f>
        <v/>
      </c>
      <c r="DC224" t="str">
        <f>""</f>
        <v/>
      </c>
      <c r="DD224" t="str">
        <f>""</f>
        <v/>
      </c>
      <c r="DE224" t="str">
        <f>""</f>
        <v/>
      </c>
      <c r="DF224" t="str">
        <f>""</f>
        <v/>
      </c>
      <c r="DG224" t="str">
        <f>""</f>
        <v/>
      </c>
      <c r="DH224" t="str">
        <f>""</f>
        <v/>
      </c>
      <c r="DI224" t="str">
        <f>""</f>
        <v/>
      </c>
      <c r="DJ224" t="str">
        <f>""</f>
        <v/>
      </c>
      <c r="DK224" t="str">
        <f>""</f>
        <v/>
      </c>
      <c r="DL224" t="str">
        <f>""</f>
        <v/>
      </c>
      <c r="DM224" t="str">
        <f>""</f>
        <v/>
      </c>
      <c r="DN224" t="str">
        <f>""</f>
        <v/>
      </c>
      <c r="DO224" t="str">
        <f>""</f>
        <v/>
      </c>
      <c r="DP224" t="str">
        <f>""</f>
        <v/>
      </c>
      <c r="DQ224" t="str">
        <f>""</f>
        <v/>
      </c>
      <c r="DR224" t="str">
        <f>""</f>
        <v/>
      </c>
      <c r="DS224" t="str">
        <f>""</f>
        <v/>
      </c>
      <c r="DT224" t="str">
        <f>""</f>
        <v/>
      </c>
      <c r="DU224" t="str">
        <f>""</f>
        <v/>
      </c>
    </row>
    <row r="225" spans="1:125" x14ac:dyDescent="0.25">
      <c r="A225" t="str">
        <f>$A$80</f>
        <v xml:space="preserve">        Scania</v>
      </c>
      <c r="B225" t="str">
        <f>$B$80</f>
        <v>VOW GR Equity</v>
      </c>
      <c r="C225" t="str">
        <f>$C$80</f>
        <v>BI047</v>
      </c>
      <c r="D225" t="str">
        <f>$D$80</f>
        <v>BICS_SEGMENT_DATA</v>
      </c>
      <c r="E225" t="str">
        <f>$E$80</f>
        <v>Dynamic</v>
      </c>
      <c r="F225" t="str">
        <f ca="1">_xll.BDH($B$80,$C$80,$B$154,$B$155,CONCATENATE("Per=",$B$152),"Dts=H","Dir=H",CONCATENATE("Points=",$B$153),"Sort=R","Days=A","Fill=B","DZ666=084","DZ381=16141010","DZ667=1","DS276=Y",CONCATENATE("FX=", $B$151) )</f>
        <v>#N/A Connection</v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  <c r="BT225" t="str">
        <f>""</f>
        <v/>
      </c>
      <c r="BU225" t="str">
        <f>""</f>
        <v/>
      </c>
      <c r="BV225" t="str">
        <f>""</f>
        <v/>
      </c>
      <c r="BW225" t="str">
        <f>""</f>
        <v/>
      </c>
      <c r="BX225" t="str">
        <f>""</f>
        <v/>
      </c>
      <c r="BY225" t="str">
        <f>""</f>
        <v/>
      </c>
      <c r="BZ225" t="str">
        <f>""</f>
        <v/>
      </c>
      <c r="CA225" t="str">
        <f>""</f>
        <v/>
      </c>
      <c r="CB225" t="str">
        <f>""</f>
        <v/>
      </c>
      <c r="CC225" t="str">
        <f>""</f>
        <v/>
      </c>
      <c r="CD225" t="str">
        <f>""</f>
        <v/>
      </c>
      <c r="CE225" t="str">
        <f>""</f>
        <v/>
      </c>
      <c r="CF225" t="str">
        <f>""</f>
        <v/>
      </c>
      <c r="CG225" t="str">
        <f>""</f>
        <v/>
      </c>
      <c r="CH225" t="str">
        <f>""</f>
        <v/>
      </c>
      <c r="CI225" t="str">
        <f>""</f>
        <v/>
      </c>
      <c r="CJ225" t="str">
        <f>""</f>
        <v/>
      </c>
      <c r="CK225" t="str">
        <f>""</f>
        <v/>
      </c>
      <c r="CL225" t="str">
        <f>""</f>
        <v/>
      </c>
      <c r="CM225" t="str">
        <f>""</f>
        <v/>
      </c>
      <c r="CN225" t="str">
        <f>""</f>
        <v/>
      </c>
      <c r="CO225" t="str">
        <f>""</f>
        <v/>
      </c>
      <c r="CP225" t="str">
        <f>""</f>
        <v/>
      </c>
      <c r="CQ225" t="str">
        <f>""</f>
        <v/>
      </c>
      <c r="CR225" t="str">
        <f>""</f>
        <v/>
      </c>
      <c r="CS225" t="str">
        <f>""</f>
        <v/>
      </c>
      <c r="CT225" t="str">
        <f>""</f>
        <v/>
      </c>
      <c r="CU225" t="str">
        <f>""</f>
        <v/>
      </c>
      <c r="CV225" t="str">
        <f>""</f>
        <v/>
      </c>
      <c r="CW225" t="str">
        <f>""</f>
        <v/>
      </c>
      <c r="CX225" t="str">
        <f>""</f>
        <v/>
      </c>
      <c r="CY225" t="str">
        <f>""</f>
        <v/>
      </c>
      <c r="CZ225" t="str">
        <f>""</f>
        <v/>
      </c>
      <c r="DA225" t="str">
        <f>""</f>
        <v/>
      </c>
      <c r="DB225" t="str">
        <f>""</f>
        <v/>
      </c>
      <c r="DC225" t="str">
        <f>""</f>
        <v/>
      </c>
      <c r="DD225" t="str">
        <f>""</f>
        <v/>
      </c>
      <c r="DE225" t="str">
        <f>""</f>
        <v/>
      </c>
      <c r="DF225" t="str">
        <f>""</f>
        <v/>
      </c>
      <c r="DG225" t="str">
        <f>""</f>
        <v/>
      </c>
      <c r="DH225" t="str">
        <f>""</f>
        <v/>
      </c>
      <c r="DI225" t="str">
        <f>""</f>
        <v/>
      </c>
      <c r="DJ225" t="str">
        <f>""</f>
        <v/>
      </c>
      <c r="DK225" t="str">
        <f>""</f>
        <v/>
      </c>
      <c r="DL225" t="str">
        <f>""</f>
        <v/>
      </c>
      <c r="DM225" t="str">
        <f>""</f>
        <v/>
      </c>
      <c r="DN225" t="str">
        <f>""</f>
        <v/>
      </c>
      <c r="DO225" t="str">
        <f>""</f>
        <v/>
      </c>
      <c r="DP225" t="str">
        <f>""</f>
        <v/>
      </c>
      <c r="DQ225" t="str">
        <f>""</f>
        <v/>
      </c>
      <c r="DR225" t="str">
        <f>""</f>
        <v/>
      </c>
      <c r="DS225" t="str">
        <f>""</f>
        <v/>
      </c>
      <c r="DT225" t="str">
        <f>""</f>
        <v/>
      </c>
      <c r="DU225" t="str">
        <f>""</f>
        <v/>
      </c>
    </row>
    <row r="226" spans="1:125" x14ac:dyDescent="0.25">
      <c r="A226" t="str">
        <f>$A$81</f>
        <v xml:space="preserve">        Porsche</v>
      </c>
      <c r="B226" t="str">
        <f>$B$81</f>
        <v>VOW GR Equity</v>
      </c>
      <c r="C226" t="str">
        <f>$C$81</f>
        <v>BI047</v>
      </c>
      <c r="D226" t="str">
        <f>$D$81</f>
        <v>BICS_SEGMENT_DATA</v>
      </c>
      <c r="E226" t="str">
        <f>$E$81</f>
        <v>Dynamic</v>
      </c>
      <c r="F226" t="str">
        <f ca="1">_xll.BDH($B$81,$C$81,$B$154,$B$155,CONCATENATE("Per=",$B$152),"Dts=H","Dir=H",CONCATENATE("Points=",$B$153),"Sort=R","Days=A","Fill=B","DZ666=084","DZ381=11111010","DZ667=3","DS276=Y",CONCATENATE("FX=", $B$151) )</f>
        <v>#N/A Connection</v>
      </c>
      <c r="BN226" t="str">
        <f>""</f>
        <v/>
      </c>
      <c r="BO226" t="str">
        <f>""</f>
        <v/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  <c r="BT226" t="str">
        <f>""</f>
        <v/>
      </c>
      <c r="BU226" t="str">
        <f>""</f>
        <v/>
      </c>
      <c r="BV226" t="str">
        <f>""</f>
        <v/>
      </c>
      <c r="BW226" t="str">
        <f>""</f>
        <v/>
      </c>
      <c r="BX226" t="str">
        <f>""</f>
        <v/>
      </c>
      <c r="BY226" t="str">
        <f>""</f>
        <v/>
      </c>
      <c r="BZ226" t="str">
        <f>""</f>
        <v/>
      </c>
      <c r="CA226" t="str">
        <f>""</f>
        <v/>
      </c>
      <c r="CB226" t="str">
        <f>""</f>
        <v/>
      </c>
      <c r="CC226" t="str">
        <f>""</f>
        <v/>
      </c>
      <c r="CD226" t="str">
        <f>""</f>
        <v/>
      </c>
      <c r="CE226" t="str">
        <f>""</f>
        <v/>
      </c>
      <c r="CF226" t="str">
        <f>""</f>
        <v/>
      </c>
      <c r="CG226" t="str">
        <f>""</f>
        <v/>
      </c>
      <c r="CH226" t="str">
        <f>""</f>
        <v/>
      </c>
      <c r="CI226" t="str">
        <f>""</f>
        <v/>
      </c>
      <c r="CJ226" t="str">
        <f>""</f>
        <v/>
      </c>
      <c r="CK226" t="str">
        <f>""</f>
        <v/>
      </c>
      <c r="CL226" t="str">
        <f>""</f>
        <v/>
      </c>
      <c r="CM226" t="str">
        <f>""</f>
        <v/>
      </c>
      <c r="CN226" t="str">
        <f>""</f>
        <v/>
      </c>
      <c r="CO226" t="str">
        <f>""</f>
        <v/>
      </c>
      <c r="CP226" t="str">
        <f>""</f>
        <v/>
      </c>
      <c r="CQ226" t="str">
        <f>""</f>
        <v/>
      </c>
      <c r="CR226" t="str">
        <f>""</f>
        <v/>
      </c>
      <c r="CS226" t="str">
        <f>""</f>
        <v/>
      </c>
      <c r="CT226" t="str">
        <f>""</f>
        <v/>
      </c>
      <c r="CU226" t="str">
        <f>""</f>
        <v/>
      </c>
      <c r="CV226" t="str">
        <f>""</f>
        <v/>
      </c>
      <c r="CW226" t="str">
        <f>""</f>
        <v/>
      </c>
      <c r="CX226" t="str">
        <f>""</f>
        <v/>
      </c>
      <c r="CY226" t="str">
        <f>""</f>
        <v/>
      </c>
      <c r="CZ226" t="str">
        <f>""</f>
        <v/>
      </c>
      <c r="DA226" t="str">
        <f>""</f>
        <v/>
      </c>
      <c r="DB226" t="str">
        <f>""</f>
        <v/>
      </c>
      <c r="DC226" t="str">
        <f>""</f>
        <v/>
      </c>
      <c r="DD226" t="str">
        <f>""</f>
        <v/>
      </c>
      <c r="DE226" t="str">
        <f>""</f>
        <v/>
      </c>
      <c r="DF226" t="str">
        <f>""</f>
        <v/>
      </c>
      <c r="DG226" t="str">
        <f>""</f>
        <v/>
      </c>
      <c r="DH226" t="str">
        <f>""</f>
        <v/>
      </c>
      <c r="DI226" t="str">
        <f>""</f>
        <v/>
      </c>
      <c r="DJ226" t="str">
        <f>""</f>
        <v/>
      </c>
      <c r="DK226" t="str">
        <f>""</f>
        <v/>
      </c>
      <c r="DL226" t="str">
        <f>""</f>
        <v/>
      </c>
      <c r="DM226" t="str">
        <f>""</f>
        <v/>
      </c>
      <c r="DN226" t="str">
        <f>""</f>
        <v/>
      </c>
      <c r="DO226" t="str">
        <f>""</f>
        <v/>
      </c>
      <c r="DP226" t="str">
        <f>""</f>
        <v/>
      </c>
      <c r="DQ226" t="str">
        <f>""</f>
        <v/>
      </c>
      <c r="DR226" t="str">
        <f>""</f>
        <v/>
      </c>
      <c r="DS226" t="str">
        <f>""</f>
        <v/>
      </c>
      <c r="DT226" t="str">
        <f>""</f>
        <v/>
      </c>
      <c r="DU226" t="str">
        <f>""</f>
        <v/>
      </c>
    </row>
    <row r="227" spans="1:125" x14ac:dyDescent="0.25">
      <c r="A227" t="str">
        <f>$A$82</f>
        <v xml:space="preserve">        Bentley</v>
      </c>
      <c r="B227" t="str">
        <f>$B$82</f>
        <v>VOW GR Equity</v>
      </c>
      <c r="C227" t="str">
        <f>$C$82</f>
        <v>BI047</v>
      </c>
      <c r="D227" t="str">
        <f>$D$82</f>
        <v>BICS_SEGMENT_DATA</v>
      </c>
      <c r="E227" t="str">
        <f>$E$82</f>
        <v>Dynamic</v>
      </c>
      <c r="F227" t="str">
        <f ca="1">_xll.BDH($B$82,$C$82,$B$154,$B$155,CONCATENATE("Per=",$B$152),"Dts=H","Dir=H",CONCATENATE("Points=",$B$153),"Sort=R","Days=A","Fill=B","DZ666=084","DZ381=11111010","DZ667=4","DS276=Y",CONCATENATE("FX=", $B$151) )</f>
        <v>#N/A Connection</v>
      </c>
      <c r="BN227" t="str">
        <f>""</f>
        <v/>
      </c>
      <c r="BO227" t="str">
        <f>""</f>
        <v/>
      </c>
      <c r="BP227" t="str">
        <f>""</f>
        <v/>
      </c>
      <c r="BQ227" t="str">
        <f>""</f>
        <v/>
      </c>
      <c r="BR227" t="str">
        <f>""</f>
        <v/>
      </c>
      <c r="BS227" t="str">
        <f>""</f>
        <v/>
      </c>
      <c r="BT227" t="str">
        <f>""</f>
        <v/>
      </c>
      <c r="BU227" t="str">
        <f>""</f>
        <v/>
      </c>
      <c r="BV227" t="str">
        <f>""</f>
        <v/>
      </c>
      <c r="BW227" t="str">
        <f>""</f>
        <v/>
      </c>
      <c r="BX227" t="str">
        <f>""</f>
        <v/>
      </c>
      <c r="BY227" t="str">
        <f>""</f>
        <v/>
      </c>
      <c r="BZ227" t="str">
        <f>""</f>
        <v/>
      </c>
      <c r="CA227" t="str">
        <f>""</f>
        <v/>
      </c>
      <c r="CB227" t="str">
        <f>""</f>
        <v/>
      </c>
      <c r="CC227" t="str">
        <f>""</f>
        <v/>
      </c>
      <c r="CD227" t="str">
        <f>""</f>
        <v/>
      </c>
      <c r="CE227" t="str">
        <f>""</f>
        <v/>
      </c>
      <c r="CF227" t="str">
        <f>""</f>
        <v/>
      </c>
      <c r="CG227" t="str">
        <f>""</f>
        <v/>
      </c>
      <c r="CH227" t="str">
        <f>""</f>
        <v/>
      </c>
      <c r="CI227" t="str">
        <f>""</f>
        <v/>
      </c>
      <c r="CJ227" t="str">
        <f>""</f>
        <v/>
      </c>
      <c r="CK227" t="str">
        <f>""</f>
        <v/>
      </c>
      <c r="CL227" t="str">
        <f>""</f>
        <v/>
      </c>
      <c r="CM227" t="str">
        <f>""</f>
        <v/>
      </c>
      <c r="CN227" t="str">
        <f>""</f>
        <v/>
      </c>
      <c r="CO227" t="str">
        <f>""</f>
        <v/>
      </c>
      <c r="CP227" t="str">
        <f>""</f>
        <v/>
      </c>
      <c r="CQ227" t="str">
        <f>""</f>
        <v/>
      </c>
      <c r="CR227" t="str">
        <f>""</f>
        <v/>
      </c>
      <c r="CS227" t="str">
        <f>""</f>
        <v/>
      </c>
      <c r="CT227" t="str">
        <f>""</f>
        <v/>
      </c>
      <c r="CU227" t="str">
        <f>""</f>
        <v/>
      </c>
      <c r="CV227" t="str">
        <f>""</f>
        <v/>
      </c>
      <c r="CW227" t="str">
        <f>""</f>
        <v/>
      </c>
      <c r="CX227" t="str">
        <f>""</f>
        <v/>
      </c>
      <c r="CY227" t="str">
        <f>""</f>
        <v/>
      </c>
      <c r="CZ227" t="str">
        <f>""</f>
        <v/>
      </c>
      <c r="DA227" t="str">
        <f>""</f>
        <v/>
      </c>
      <c r="DB227" t="str">
        <f>""</f>
        <v/>
      </c>
      <c r="DC227" t="str">
        <f>""</f>
        <v/>
      </c>
      <c r="DD227" t="str">
        <f>""</f>
        <v/>
      </c>
      <c r="DE227" t="str">
        <f>""</f>
        <v/>
      </c>
      <c r="DF227" t="str">
        <f>""</f>
        <v/>
      </c>
      <c r="DG227" t="str">
        <f>""</f>
        <v/>
      </c>
      <c r="DH227" t="str">
        <f>""</f>
        <v/>
      </c>
      <c r="DI227" t="str">
        <f>""</f>
        <v/>
      </c>
      <c r="DJ227" t="str">
        <f>""</f>
        <v/>
      </c>
      <c r="DK227" t="str">
        <f>""</f>
        <v/>
      </c>
      <c r="DL227" t="str">
        <f>""</f>
        <v/>
      </c>
      <c r="DM227" t="str">
        <f>""</f>
        <v/>
      </c>
      <c r="DN227" t="str">
        <f>""</f>
        <v/>
      </c>
      <c r="DO227" t="str">
        <f>""</f>
        <v/>
      </c>
      <c r="DP227" t="str">
        <f>""</f>
        <v/>
      </c>
      <c r="DQ227" t="str">
        <f>""</f>
        <v/>
      </c>
      <c r="DR227" t="str">
        <f>""</f>
        <v/>
      </c>
      <c r="DS227" t="str">
        <f>""</f>
        <v/>
      </c>
      <c r="DT227" t="str">
        <f>""</f>
        <v/>
      </c>
      <c r="DU227" t="str">
        <f>""</f>
        <v/>
      </c>
    </row>
    <row r="228" spans="1:125" x14ac:dyDescent="0.25">
      <c r="A228" t="str">
        <f>$A$83</f>
        <v xml:space="preserve">        Lamborghini</v>
      </c>
      <c r="B228" t="str">
        <f>$B$83</f>
        <v>VOW GR Equity</v>
      </c>
      <c r="C228" t="str">
        <f>$C$83</f>
        <v>BI047</v>
      </c>
      <c r="D228" t="str">
        <f>$D$83</f>
        <v>BICS_SEGMENT_DATA</v>
      </c>
      <c r="E228" t="str">
        <f>$E$83</f>
        <v>Dynamic</v>
      </c>
      <c r="F228" t="str">
        <f ca="1">_xll.BDH($B$83,$C$83,$B$154,$B$155,CONCATENATE("Per=",$B$152),"Dts=H","Dir=H",CONCATENATE("Points=",$B$153),"Sort=R","Days=A","Fill=B","DZ666=084","DZ381=11111010","DZ667=6","DS276=Y",CONCATENATE("FX=", $B$151) )</f>
        <v>#N/A Connection</v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  <c r="BT228" t="str">
        <f>""</f>
        <v/>
      </c>
      <c r="BU228" t="str">
        <f>""</f>
        <v/>
      </c>
      <c r="BV228" t="str">
        <f>""</f>
        <v/>
      </c>
      <c r="BW228" t="str">
        <f>""</f>
        <v/>
      </c>
      <c r="BX228" t="str">
        <f>""</f>
        <v/>
      </c>
      <c r="BY228" t="str">
        <f>""</f>
        <v/>
      </c>
      <c r="BZ228" t="str">
        <f>""</f>
        <v/>
      </c>
      <c r="CA228" t="str">
        <f>""</f>
        <v/>
      </c>
      <c r="CB228" t="str">
        <f>""</f>
        <v/>
      </c>
      <c r="CC228" t="str">
        <f>""</f>
        <v/>
      </c>
      <c r="CD228" t="str">
        <f>""</f>
        <v/>
      </c>
      <c r="CE228" t="str">
        <f>""</f>
        <v/>
      </c>
      <c r="CF228" t="str">
        <f>""</f>
        <v/>
      </c>
      <c r="CG228" t="str">
        <f>""</f>
        <v/>
      </c>
      <c r="CH228" t="str">
        <f>""</f>
        <v/>
      </c>
      <c r="CI228" t="str">
        <f>""</f>
        <v/>
      </c>
      <c r="CJ228" t="str">
        <f>""</f>
        <v/>
      </c>
      <c r="CK228" t="str">
        <f>""</f>
        <v/>
      </c>
      <c r="CL228" t="str">
        <f>""</f>
        <v/>
      </c>
      <c r="CM228" t="str">
        <f>""</f>
        <v/>
      </c>
      <c r="CN228" t="str">
        <f>""</f>
        <v/>
      </c>
      <c r="CO228" t="str">
        <f>""</f>
        <v/>
      </c>
      <c r="CP228" t="str">
        <f>""</f>
        <v/>
      </c>
      <c r="CQ228" t="str">
        <f>""</f>
        <v/>
      </c>
      <c r="CR228" t="str">
        <f>""</f>
        <v/>
      </c>
      <c r="CS228" t="str">
        <f>""</f>
        <v/>
      </c>
      <c r="CT228" t="str">
        <f>""</f>
        <v/>
      </c>
      <c r="CU228" t="str">
        <f>""</f>
        <v/>
      </c>
      <c r="CV228" t="str">
        <f>""</f>
        <v/>
      </c>
      <c r="CW228" t="str">
        <f>""</f>
        <v/>
      </c>
      <c r="CX228" t="str">
        <f>""</f>
        <v/>
      </c>
      <c r="CY228" t="str">
        <f>""</f>
        <v/>
      </c>
      <c r="CZ228" t="str">
        <f>""</f>
        <v/>
      </c>
      <c r="DA228" t="str">
        <f>""</f>
        <v/>
      </c>
      <c r="DB228" t="str">
        <f>""</f>
        <v/>
      </c>
      <c r="DC228" t="str">
        <f>""</f>
        <v/>
      </c>
      <c r="DD228" t="str">
        <f>""</f>
        <v/>
      </c>
      <c r="DE228" t="str">
        <f>""</f>
        <v/>
      </c>
      <c r="DF228" t="str">
        <f>""</f>
        <v/>
      </c>
      <c r="DG228" t="str">
        <f>""</f>
        <v/>
      </c>
      <c r="DH228" t="str">
        <f>""</f>
        <v/>
      </c>
      <c r="DI228" t="str">
        <f>""</f>
        <v/>
      </c>
      <c r="DJ228" t="str">
        <f>""</f>
        <v/>
      </c>
      <c r="DK228" t="str">
        <f>""</f>
        <v/>
      </c>
      <c r="DL228" t="str">
        <f>""</f>
        <v/>
      </c>
      <c r="DM228" t="str">
        <f>""</f>
        <v/>
      </c>
      <c r="DN228" t="str">
        <f>""</f>
        <v/>
      </c>
      <c r="DO228" t="str">
        <f>""</f>
        <v/>
      </c>
      <c r="DP228" t="str">
        <f>""</f>
        <v/>
      </c>
      <c r="DQ228" t="str">
        <f>""</f>
        <v/>
      </c>
      <c r="DR228" t="str">
        <f>""</f>
        <v/>
      </c>
      <c r="DS228" t="str">
        <f>""</f>
        <v/>
      </c>
      <c r="DT228" t="str">
        <f>""</f>
        <v/>
      </c>
      <c r="DU228" t="str">
        <f>""</f>
        <v/>
      </c>
    </row>
    <row r="229" spans="1:125" x14ac:dyDescent="0.25">
      <c r="A229" t="str">
        <f>$A$84</f>
        <v xml:space="preserve">        Bugatti</v>
      </c>
      <c r="B229" t="str">
        <f>$B$84</f>
        <v>VOW GR Equity</v>
      </c>
      <c r="C229" t="str">
        <f>$C$84</f>
        <v>BI047</v>
      </c>
      <c r="D229" t="str">
        <f>$D$84</f>
        <v>BICS_SEGMENT_DATA</v>
      </c>
      <c r="E229" t="str">
        <f>$E$84</f>
        <v>Dynamic</v>
      </c>
      <c r="F229" t="str">
        <f ca="1">_xll.BDH($B$84,$C$84,$B$154,$B$155,CONCATENATE("Per=",$B$152),"Dts=H","Dir=H",CONCATENATE("Points=",$B$153),"Sort=R","Days=A","Fill=B","DZ666=084","DZ381=11111010","DZ667=151","DS276=Y",CONCATENATE("FX=", $B$151) )</f>
        <v>#N/A Connection</v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  <c r="BT229" t="str">
        <f>""</f>
        <v/>
      </c>
      <c r="BU229" t="str">
        <f>""</f>
        <v/>
      </c>
      <c r="BV229" t="str">
        <f>""</f>
        <v/>
      </c>
      <c r="BW229" t="str">
        <f>""</f>
        <v/>
      </c>
      <c r="BX229" t="str">
        <f>""</f>
        <v/>
      </c>
      <c r="BY229" t="str">
        <f>""</f>
        <v/>
      </c>
      <c r="BZ229" t="str">
        <f>""</f>
        <v/>
      </c>
      <c r="CA229" t="str">
        <f>""</f>
        <v/>
      </c>
      <c r="CB229" t="str">
        <f>""</f>
        <v/>
      </c>
      <c r="CC229" t="str">
        <f>""</f>
        <v/>
      </c>
      <c r="CD229" t="str">
        <f>""</f>
        <v/>
      </c>
      <c r="CE229" t="str">
        <f>""</f>
        <v/>
      </c>
      <c r="CF229" t="str">
        <f>""</f>
        <v/>
      </c>
      <c r="CG229" t="str">
        <f>""</f>
        <v/>
      </c>
      <c r="CH229" t="str">
        <f>""</f>
        <v/>
      </c>
      <c r="CI229" t="str">
        <f>""</f>
        <v/>
      </c>
      <c r="CJ229" t="str">
        <f>""</f>
        <v/>
      </c>
      <c r="CK229" t="str">
        <f>""</f>
        <v/>
      </c>
      <c r="CL229" t="str">
        <f>""</f>
        <v/>
      </c>
      <c r="CM229" t="str">
        <f>""</f>
        <v/>
      </c>
      <c r="CN229" t="str">
        <f>""</f>
        <v/>
      </c>
      <c r="CO229" t="str">
        <f>""</f>
        <v/>
      </c>
      <c r="CP229" t="str">
        <f>""</f>
        <v/>
      </c>
      <c r="CQ229" t="str">
        <f>""</f>
        <v/>
      </c>
      <c r="CR229" t="str">
        <f>""</f>
        <v/>
      </c>
      <c r="CS229" t="str">
        <f>""</f>
        <v/>
      </c>
      <c r="CT229" t="str">
        <f>""</f>
        <v/>
      </c>
      <c r="CU229" t="str">
        <f>""</f>
        <v/>
      </c>
      <c r="CV229" t="str">
        <f>""</f>
        <v/>
      </c>
      <c r="CW229" t="str">
        <f>""</f>
        <v/>
      </c>
      <c r="CX229" t="str">
        <f>""</f>
        <v/>
      </c>
      <c r="CY229" t="str">
        <f>""</f>
        <v/>
      </c>
      <c r="CZ229" t="str">
        <f>""</f>
        <v/>
      </c>
      <c r="DA229" t="str">
        <f>""</f>
        <v/>
      </c>
      <c r="DB229" t="str">
        <f>""</f>
        <v/>
      </c>
      <c r="DC229" t="str">
        <f>""</f>
        <v/>
      </c>
      <c r="DD229" t="str">
        <f>""</f>
        <v/>
      </c>
      <c r="DE229" t="str">
        <f>""</f>
        <v/>
      </c>
      <c r="DF229" t="str">
        <f>""</f>
        <v/>
      </c>
      <c r="DG229" t="str">
        <f>""</f>
        <v/>
      </c>
      <c r="DH229" t="str">
        <f>""</f>
        <v/>
      </c>
      <c r="DI229" t="str">
        <f>""</f>
        <v/>
      </c>
      <c r="DJ229" t="str">
        <f>""</f>
        <v/>
      </c>
      <c r="DK229" t="str">
        <f>""</f>
        <v/>
      </c>
      <c r="DL229" t="str">
        <f>""</f>
        <v/>
      </c>
      <c r="DM229" t="str">
        <f>""</f>
        <v/>
      </c>
      <c r="DN229" t="str">
        <f>""</f>
        <v/>
      </c>
      <c r="DO229" t="str">
        <f>""</f>
        <v/>
      </c>
      <c r="DP229" t="str">
        <f>""</f>
        <v/>
      </c>
      <c r="DQ229" t="str">
        <f>""</f>
        <v/>
      </c>
      <c r="DR229" t="str">
        <f>""</f>
        <v/>
      </c>
      <c r="DS229" t="str">
        <f>""</f>
        <v/>
      </c>
      <c r="DT229" t="str">
        <f>""</f>
        <v/>
      </c>
      <c r="DU229" t="str">
        <f>""</f>
        <v/>
      </c>
    </row>
    <row r="230" spans="1:125" x14ac:dyDescent="0.25">
      <c r="A230" t="str">
        <f>$A$86</f>
        <v xml:space="preserve">        New GM</v>
      </c>
      <c r="B230" t="str">
        <f>$B$86</f>
        <v>GM US Equity</v>
      </c>
      <c r="C230" t="str">
        <f>$C$86</f>
        <v>FS265</v>
      </c>
      <c r="D230" t="str">
        <f>$D$86</f>
        <v>AUTO_VEHICLES_SOLD_WW</v>
      </c>
      <c r="E230" t="str">
        <f>$E$86</f>
        <v>Dynamic</v>
      </c>
      <c r="F230" t="str">
        <f ca="1">_xll.BDH($B$86,$C$86,$B$154,$B$155,CONCATENATE("Per=",$B$152),"Dts=H","Dir=H",CONCATENATE("Points=",$B$153),"Sort=R","Days=A","Fill=B",CONCATENATE("FX=", $B$151) )</f>
        <v>#N/A Connection</v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  <c r="BT230" t="str">
        <f>""</f>
        <v/>
      </c>
      <c r="BU230" t="str">
        <f>""</f>
        <v/>
      </c>
      <c r="BV230" t="str">
        <f>""</f>
        <v/>
      </c>
      <c r="BW230" t="str">
        <f>""</f>
        <v/>
      </c>
      <c r="BX230" t="str">
        <f>""</f>
        <v/>
      </c>
      <c r="BY230" t="str">
        <f>""</f>
        <v/>
      </c>
      <c r="BZ230" t="str">
        <f>""</f>
        <v/>
      </c>
      <c r="CA230" t="str">
        <f>""</f>
        <v/>
      </c>
      <c r="CB230" t="str">
        <f>""</f>
        <v/>
      </c>
      <c r="CC230" t="str">
        <f>""</f>
        <v/>
      </c>
      <c r="CD230" t="str">
        <f>""</f>
        <v/>
      </c>
      <c r="CE230" t="str">
        <f>""</f>
        <v/>
      </c>
      <c r="CF230" t="str">
        <f>""</f>
        <v/>
      </c>
      <c r="CG230" t="str">
        <f>""</f>
        <v/>
      </c>
      <c r="CH230" t="str">
        <f>""</f>
        <v/>
      </c>
      <c r="CI230" t="str">
        <f>""</f>
        <v/>
      </c>
      <c r="CJ230" t="str">
        <f>""</f>
        <v/>
      </c>
      <c r="CK230" t="str">
        <f>""</f>
        <v/>
      </c>
      <c r="CL230" t="str">
        <f>""</f>
        <v/>
      </c>
      <c r="CM230" t="str">
        <f>""</f>
        <v/>
      </c>
      <c r="CN230" t="str">
        <f>""</f>
        <v/>
      </c>
      <c r="CO230" t="str">
        <f>""</f>
        <v/>
      </c>
      <c r="CP230" t="str">
        <f>""</f>
        <v/>
      </c>
      <c r="CQ230" t="str">
        <f>""</f>
        <v/>
      </c>
      <c r="CR230" t="str">
        <f>""</f>
        <v/>
      </c>
      <c r="CS230" t="str">
        <f>""</f>
        <v/>
      </c>
      <c r="CT230" t="str">
        <f>""</f>
        <v/>
      </c>
      <c r="CU230" t="str">
        <f>""</f>
        <v/>
      </c>
      <c r="CV230" t="str">
        <f>""</f>
        <v/>
      </c>
      <c r="CW230" t="str">
        <f>""</f>
        <v/>
      </c>
      <c r="CX230" t="str">
        <f>""</f>
        <v/>
      </c>
      <c r="CY230" t="str">
        <f>""</f>
        <v/>
      </c>
      <c r="CZ230" t="str">
        <f>""</f>
        <v/>
      </c>
      <c r="DA230" t="str">
        <f>""</f>
        <v/>
      </c>
      <c r="DB230" t="str">
        <f>""</f>
        <v/>
      </c>
      <c r="DC230" t="str">
        <f>""</f>
        <v/>
      </c>
      <c r="DD230" t="str">
        <f>""</f>
        <v/>
      </c>
      <c r="DE230" t="str">
        <f>""</f>
        <v/>
      </c>
      <c r="DF230" t="str">
        <f>""</f>
        <v/>
      </c>
      <c r="DG230" t="str">
        <f>""</f>
        <v/>
      </c>
      <c r="DH230" t="str">
        <f>""</f>
        <v/>
      </c>
      <c r="DI230" t="str">
        <f>""</f>
        <v/>
      </c>
      <c r="DJ230" t="str">
        <f>""</f>
        <v/>
      </c>
      <c r="DK230" t="str">
        <f>""</f>
        <v/>
      </c>
      <c r="DL230" t="str">
        <f>""</f>
        <v/>
      </c>
      <c r="DM230" t="str">
        <f>""</f>
        <v/>
      </c>
      <c r="DN230" t="str">
        <f>""</f>
        <v/>
      </c>
      <c r="DO230" t="str">
        <f>""</f>
        <v/>
      </c>
      <c r="DP230" t="str">
        <f>""</f>
        <v/>
      </c>
      <c r="DQ230" t="str">
        <f>""</f>
        <v/>
      </c>
      <c r="DR230" t="str">
        <f>""</f>
        <v/>
      </c>
      <c r="DS230" t="str">
        <f>""</f>
        <v/>
      </c>
      <c r="DT230" t="str">
        <f>""</f>
        <v/>
      </c>
      <c r="DU230" t="str">
        <f>""</f>
        <v/>
      </c>
    </row>
    <row r="231" spans="1:125" x14ac:dyDescent="0.25">
      <c r="A231" t="str">
        <f>$A$87</f>
        <v xml:space="preserve">        Old GM</v>
      </c>
      <c r="B231" t="str">
        <f>$B$87</f>
        <v>MTLQQ US Equity</v>
      </c>
      <c r="C231" t="str">
        <f>$C$87</f>
        <v>FS265</v>
      </c>
      <c r="D231" t="str">
        <f>$D$87</f>
        <v>AUTO_VEHICLES_SOLD_WW</v>
      </c>
      <c r="E231" t="str">
        <f>$E$87</f>
        <v>Dynamic</v>
      </c>
      <c r="F231" t="str">
        <f ca="1">_xll.BDH($B$87,$C$87,$B$154,$B$155,CONCATENATE("Per=",$B$152),"Dts=H","Dir=H",CONCATENATE("Points=",$B$153),"Sort=R","Days=A","Fill=B",CONCATENATE("FX=", $B$151) )</f>
        <v>#N/A Connection</v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  <c r="BT231" t="str">
        <f>""</f>
        <v/>
      </c>
      <c r="BU231" t="str">
        <f>""</f>
        <v/>
      </c>
      <c r="BV231" t="str">
        <f>""</f>
        <v/>
      </c>
      <c r="BW231" t="str">
        <f>""</f>
        <v/>
      </c>
      <c r="BX231" t="str">
        <f>""</f>
        <v/>
      </c>
      <c r="BY231" t="str">
        <f>""</f>
        <v/>
      </c>
      <c r="BZ231" t="str">
        <f>""</f>
        <v/>
      </c>
      <c r="CA231" t="str">
        <f>""</f>
        <v/>
      </c>
      <c r="CB231" t="str">
        <f>""</f>
        <v/>
      </c>
      <c r="CC231" t="str">
        <f>""</f>
        <v/>
      </c>
      <c r="CD231" t="str">
        <f>""</f>
        <v/>
      </c>
      <c r="CE231" t="str">
        <f>""</f>
        <v/>
      </c>
      <c r="CF231" t="str">
        <f>""</f>
        <v/>
      </c>
      <c r="CG231" t="str">
        <f>""</f>
        <v/>
      </c>
      <c r="CH231" t="str">
        <f>""</f>
        <v/>
      </c>
      <c r="CI231" t="str">
        <f>""</f>
        <v/>
      </c>
      <c r="CJ231" t="str">
        <f>""</f>
        <v/>
      </c>
      <c r="CK231" t="str">
        <f>""</f>
        <v/>
      </c>
      <c r="CL231" t="str">
        <f>""</f>
        <v/>
      </c>
      <c r="CM231" t="str">
        <f>""</f>
        <v/>
      </c>
      <c r="CN231" t="str">
        <f>""</f>
        <v/>
      </c>
      <c r="CO231" t="str">
        <f>""</f>
        <v/>
      </c>
      <c r="CP231" t="str">
        <f>""</f>
        <v/>
      </c>
      <c r="CQ231" t="str">
        <f>""</f>
        <v/>
      </c>
      <c r="CR231" t="str">
        <f>""</f>
        <v/>
      </c>
      <c r="CS231" t="str">
        <f>""</f>
        <v/>
      </c>
      <c r="CT231" t="str">
        <f>""</f>
        <v/>
      </c>
      <c r="CU231" t="str">
        <f>""</f>
        <v/>
      </c>
      <c r="CV231" t="str">
        <f>""</f>
        <v/>
      </c>
      <c r="CW231" t="str">
        <f>""</f>
        <v/>
      </c>
      <c r="CX231" t="str">
        <f>""</f>
        <v/>
      </c>
      <c r="CY231" t="str">
        <f>""</f>
        <v/>
      </c>
      <c r="CZ231" t="str">
        <f>""</f>
        <v/>
      </c>
      <c r="DA231" t="str">
        <f>""</f>
        <v/>
      </c>
      <c r="DB231" t="str">
        <f>""</f>
        <v/>
      </c>
      <c r="DC231" t="str">
        <f>""</f>
        <v/>
      </c>
      <c r="DD231" t="str">
        <f>""</f>
        <v/>
      </c>
      <c r="DE231" t="str">
        <f>""</f>
        <v/>
      </c>
      <c r="DF231" t="str">
        <f>""</f>
        <v/>
      </c>
      <c r="DG231" t="str">
        <f>""</f>
        <v/>
      </c>
      <c r="DH231" t="str">
        <f>""</f>
        <v/>
      </c>
      <c r="DI231" t="str">
        <f>""</f>
        <v/>
      </c>
      <c r="DJ231" t="str">
        <f>""</f>
        <v/>
      </c>
      <c r="DK231" t="str">
        <f>""</f>
        <v/>
      </c>
      <c r="DL231" t="str">
        <f>""</f>
        <v/>
      </c>
      <c r="DM231" t="str">
        <f>""</f>
        <v/>
      </c>
      <c r="DN231" t="str">
        <f>""</f>
        <v/>
      </c>
      <c r="DO231" t="str">
        <f>""</f>
        <v/>
      </c>
      <c r="DP231" t="str">
        <f>""</f>
        <v/>
      </c>
      <c r="DQ231" t="str">
        <f>""</f>
        <v/>
      </c>
      <c r="DR231" t="str">
        <f>""</f>
        <v/>
      </c>
      <c r="DS231" t="str">
        <f>""</f>
        <v/>
      </c>
      <c r="DT231" t="str">
        <f>""</f>
        <v/>
      </c>
      <c r="DU231" t="str">
        <f>""</f>
        <v/>
      </c>
    </row>
    <row r="232" spans="1:125" x14ac:dyDescent="0.25">
      <c r="A232" t="str">
        <f>$A$89</f>
        <v xml:space="preserve">        Hyundai Motor Corp</v>
      </c>
      <c r="B232" t="str">
        <f>$B$89</f>
        <v>005380 KS Equity</v>
      </c>
      <c r="C232" t="str">
        <f>$C$89</f>
        <v>FS265</v>
      </c>
      <c r="D232" t="str">
        <f>$D$89</f>
        <v>AUTO_VEHICLES_SOLD_WW</v>
      </c>
      <c r="E232" t="str">
        <f>$E$89</f>
        <v>Dynamic</v>
      </c>
      <c r="F232" t="str">
        <f ca="1">_xll.BDH($B$89,$C$89,$B$154,$B$155,CONCATENATE("Per=",$B$152),"Dts=H","Dir=H",CONCATENATE("Points=",$B$153),"Sort=R","Days=A","Fill=B",CONCATENATE("FX=", $B$151) )</f>
        <v>#N/A Connection</v>
      </c>
      <c r="BN232" t="str">
        <f>""</f>
        <v/>
      </c>
      <c r="BO232" t="str">
        <f>""</f>
        <v/>
      </c>
      <c r="BP232" t="str">
        <f>""</f>
        <v/>
      </c>
      <c r="BQ232" t="str">
        <f>""</f>
        <v/>
      </c>
      <c r="BR232" t="str">
        <f>""</f>
        <v/>
      </c>
      <c r="BS232" t="str">
        <f>""</f>
        <v/>
      </c>
      <c r="BT232" t="str">
        <f>""</f>
        <v/>
      </c>
      <c r="BU232" t="str">
        <f>""</f>
        <v/>
      </c>
      <c r="BV232" t="str">
        <f>""</f>
        <v/>
      </c>
      <c r="BW232" t="str">
        <f>""</f>
        <v/>
      </c>
      <c r="BX232" t="str">
        <f>""</f>
        <v/>
      </c>
      <c r="BY232" t="str">
        <f>""</f>
        <v/>
      </c>
      <c r="BZ232" t="str">
        <f>""</f>
        <v/>
      </c>
      <c r="CA232" t="str">
        <f>""</f>
        <v/>
      </c>
      <c r="CB232" t="str">
        <f>""</f>
        <v/>
      </c>
      <c r="CC232" t="str">
        <f>""</f>
        <v/>
      </c>
      <c r="CD232" t="str">
        <f>""</f>
        <v/>
      </c>
      <c r="CE232" t="str">
        <f>""</f>
        <v/>
      </c>
      <c r="CF232" t="str">
        <f>""</f>
        <v/>
      </c>
      <c r="CG232" t="str">
        <f>""</f>
        <v/>
      </c>
      <c r="CH232" t="str">
        <f>""</f>
        <v/>
      </c>
      <c r="CI232" t="str">
        <f>""</f>
        <v/>
      </c>
      <c r="CJ232" t="str">
        <f>""</f>
        <v/>
      </c>
      <c r="CK232" t="str">
        <f>""</f>
        <v/>
      </c>
      <c r="CL232" t="str">
        <f>""</f>
        <v/>
      </c>
      <c r="CM232" t="str">
        <f>""</f>
        <v/>
      </c>
      <c r="CN232" t="str">
        <f>""</f>
        <v/>
      </c>
      <c r="CO232" t="str">
        <f>""</f>
        <v/>
      </c>
      <c r="CP232" t="str">
        <f>""</f>
        <v/>
      </c>
      <c r="CQ232" t="str">
        <f>""</f>
        <v/>
      </c>
      <c r="CR232" t="str">
        <f>""</f>
        <v/>
      </c>
      <c r="CS232" t="str">
        <f>""</f>
        <v/>
      </c>
      <c r="CT232" t="str">
        <f>""</f>
        <v/>
      </c>
      <c r="CU232" t="str">
        <f>""</f>
        <v/>
      </c>
      <c r="CV232" t="str">
        <f>""</f>
        <v/>
      </c>
      <c r="CW232" t="str">
        <f>""</f>
        <v/>
      </c>
      <c r="CX232" t="str">
        <f>""</f>
        <v/>
      </c>
      <c r="CY232" t="str">
        <f>""</f>
        <v/>
      </c>
      <c r="CZ232" t="str">
        <f>""</f>
        <v/>
      </c>
      <c r="DA232" t="str">
        <f>""</f>
        <v/>
      </c>
      <c r="DB232" t="str">
        <f>""</f>
        <v/>
      </c>
      <c r="DC232" t="str">
        <f>""</f>
        <v/>
      </c>
      <c r="DD232" t="str">
        <f>""</f>
        <v/>
      </c>
      <c r="DE232" t="str">
        <f>""</f>
        <v/>
      </c>
      <c r="DF232" t="str">
        <f>""</f>
        <v/>
      </c>
      <c r="DG232" t="str">
        <f>""</f>
        <v/>
      </c>
      <c r="DH232" t="str">
        <f>""</f>
        <v/>
      </c>
      <c r="DI232" t="str">
        <f>""</f>
        <v/>
      </c>
      <c r="DJ232" t="str">
        <f>""</f>
        <v/>
      </c>
      <c r="DK232" t="str">
        <f>""</f>
        <v/>
      </c>
      <c r="DL232" t="str">
        <f>""</f>
        <v/>
      </c>
      <c r="DM232" t="str">
        <f>""</f>
        <v/>
      </c>
      <c r="DN232" t="str">
        <f>""</f>
        <v/>
      </c>
      <c r="DO232" t="str">
        <f>""</f>
        <v/>
      </c>
      <c r="DP232" t="str">
        <f>""</f>
        <v/>
      </c>
      <c r="DQ232" t="str">
        <f>""</f>
        <v/>
      </c>
      <c r="DR232" t="str">
        <f>""</f>
        <v/>
      </c>
      <c r="DS232" t="str">
        <f>""</f>
        <v/>
      </c>
      <c r="DT232" t="str">
        <f>""</f>
        <v/>
      </c>
      <c r="DU232" t="str">
        <f>""</f>
        <v/>
      </c>
    </row>
    <row r="233" spans="1:125" x14ac:dyDescent="0.25">
      <c r="A233" t="str">
        <f>$A$90</f>
        <v xml:space="preserve">        Kia Motors Corp</v>
      </c>
      <c r="B233" t="str">
        <f>$B$90</f>
        <v>000270 KS Equity</v>
      </c>
      <c r="C233" t="str">
        <f>$C$90</f>
        <v>FS265</v>
      </c>
      <c r="D233" t="str">
        <f>$D$90</f>
        <v>AUTO_VEHICLES_SOLD_WW</v>
      </c>
      <c r="E233" t="str">
        <f>$E$90</f>
        <v>Dynamic</v>
      </c>
      <c r="F233" t="str">
        <f ca="1">_xll.BDH($B$90,$C$90,$B$154,$B$155,CONCATENATE("Per=",$B$152),"Dts=H","Dir=H",CONCATENATE("Points=",$B$153),"Sort=R","Days=A","Fill=B",CONCATENATE("FX=", $B$151) )</f>
        <v>#N/A Connection</v>
      </c>
      <c r="BN233" t="str">
        <f>""</f>
        <v/>
      </c>
      <c r="BO233" t="str">
        <f>""</f>
        <v/>
      </c>
      <c r="BP233" t="str">
        <f>""</f>
        <v/>
      </c>
      <c r="BQ233" t="str">
        <f>""</f>
        <v/>
      </c>
      <c r="BR233" t="str">
        <f>""</f>
        <v/>
      </c>
      <c r="BS233" t="str">
        <f>""</f>
        <v/>
      </c>
      <c r="BT233" t="str">
        <f>""</f>
        <v/>
      </c>
      <c r="BU233" t="str">
        <f>""</f>
        <v/>
      </c>
      <c r="BV233" t="str">
        <f>""</f>
        <v/>
      </c>
      <c r="BW233" t="str">
        <f>""</f>
        <v/>
      </c>
      <c r="BX233" t="str">
        <f>""</f>
        <v/>
      </c>
      <c r="BY233" t="str">
        <f>""</f>
        <v/>
      </c>
      <c r="BZ233" t="str">
        <f>""</f>
        <v/>
      </c>
      <c r="CA233" t="str">
        <f>""</f>
        <v/>
      </c>
      <c r="CB233" t="str">
        <f>""</f>
        <v/>
      </c>
      <c r="CC233" t="str">
        <f>""</f>
        <v/>
      </c>
      <c r="CD233" t="str">
        <f>""</f>
        <v/>
      </c>
      <c r="CE233" t="str">
        <f>""</f>
        <v/>
      </c>
      <c r="CF233" t="str">
        <f>""</f>
        <v/>
      </c>
      <c r="CG233" t="str">
        <f>""</f>
        <v/>
      </c>
      <c r="CH233" t="str">
        <f>""</f>
        <v/>
      </c>
      <c r="CI233" t="str">
        <f>""</f>
        <v/>
      </c>
      <c r="CJ233" t="str">
        <f>""</f>
        <v/>
      </c>
      <c r="CK233" t="str">
        <f>""</f>
        <v/>
      </c>
      <c r="CL233" t="str">
        <f>""</f>
        <v/>
      </c>
      <c r="CM233" t="str">
        <f>""</f>
        <v/>
      </c>
      <c r="CN233" t="str">
        <f>""</f>
        <v/>
      </c>
      <c r="CO233" t="str">
        <f>""</f>
        <v/>
      </c>
      <c r="CP233" t="str">
        <f>""</f>
        <v/>
      </c>
      <c r="CQ233" t="str">
        <f>""</f>
        <v/>
      </c>
      <c r="CR233" t="str">
        <f>""</f>
        <v/>
      </c>
      <c r="CS233" t="str">
        <f>""</f>
        <v/>
      </c>
      <c r="CT233" t="str">
        <f>""</f>
        <v/>
      </c>
      <c r="CU233" t="str">
        <f>""</f>
        <v/>
      </c>
      <c r="CV233" t="str">
        <f>""</f>
        <v/>
      </c>
      <c r="CW233" t="str">
        <f>""</f>
        <v/>
      </c>
      <c r="CX233" t="str">
        <f>""</f>
        <v/>
      </c>
      <c r="CY233" t="str">
        <f>""</f>
        <v/>
      </c>
      <c r="CZ233" t="str">
        <f>""</f>
        <v/>
      </c>
      <c r="DA233" t="str">
        <f>""</f>
        <v/>
      </c>
      <c r="DB233" t="str">
        <f>""</f>
        <v/>
      </c>
      <c r="DC233" t="str">
        <f>""</f>
        <v/>
      </c>
      <c r="DD233" t="str">
        <f>""</f>
        <v/>
      </c>
      <c r="DE233" t="str">
        <f>""</f>
        <v/>
      </c>
      <c r="DF233" t="str">
        <f>""</f>
        <v/>
      </c>
      <c r="DG233" t="str">
        <f>""</f>
        <v/>
      </c>
      <c r="DH233" t="str">
        <f>""</f>
        <v/>
      </c>
      <c r="DI233" t="str">
        <f>""</f>
        <v/>
      </c>
      <c r="DJ233" t="str">
        <f>""</f>
        <v/>
      </c>
      <c r="DK233" t="str">
        <f>""</f>
        <v/>
      </c>
      <c r="DL233" t="str">
        <f>""</f>
        <v/>
      </c>
      <c r="DM233" t="str">
        <f>""</f>
        <v/>
      </c>
      <c r="DN233" t="str">
        <f>""</f>
        <v/>
      </c>
      <c r="DO233" t="str">
        <f>""</f>
        <v/>
      </c>
      <c r="DP233" t="str">
        <f>""</f>
        <v/>
      </c>
      <c r="DQ233" t="str">
        <f>""</f>
        <v/>
      </c>
      <c r="DR233" t="str">
        <f>""</f>
        <v/>
      </c>
      <c r="DS233" t="str">
        <f>""</f>
        <v/>
      </c>
      <c r="DT233" t="str">
        <f>""</f>
        <v/>
      </c>
      <c r="DU233" t="str">
        <f>""</f>
        <v/>
      </c>
    </row>
    <row r="234" spans="1:125" x14ac:dyDescent="0.25">
      <c r="A234" t="str">
        <f>$A$93</f>
        <v xml:space="preserve">        Renault SA</v>
      </c>
      <c r="B234" t="str">
        <f>$B$93</f>
        <v>RNO FP Equity</v>
      </c>
      <c r="C234" t="str">
        <f>$C$93</f>
        <v>FS265</v>
      </c>
      <c r="D234" t="str">
        <f>$D$93</f>
        <v>AUTO_VEHICLES_SOLD_WW</v>
      </c>
      <c r="E234" t="str">
        <f>$E$93</f>
        <v>Dynamic</v>
      </c>
      <c r="F234" t="str">
        <f ca="1">_xll.BDH($B$93,$C$93,$B$154,$B$155,CONCATENATE("Per=",$B$152),"Dts=H","Dir=H",CONCATENATE("Points=",$B$153),"Sort=R","Days=A","Fill=B",CONCATENATE("FX=", $B$151) )</f>
        <v>#N/A Connection</v>
      </c>
      <c r="BN234" t="str">
        <f>""</f>
        <v/>
      </c>
      <c r="BO234" t="str">
        <f>""</f>
        <v/>
      </c>
      <c r="BP234" t="str">
        <f>""</f>
        <v/>
      </c>
      <c r="BQ234" t="str">
        <f>""</f>
        <v/>
      </c>
      <c r="BR234" t="str">
        <f>""</f>
        <v/>
      </c>
      <c r="BS234" t="str">
        <f>""</f>
        <v/>
      </c>
      <c r="BT234" t="str">
        <f>""</f>
        <v/>
      </c>
      <c r="BU234" t="str">
        <f>""</f>
        <v/>
      </c>
      <c r="BV234" t="str">
        <f>""</f>
        <v/>
      </c>
      <c r="BW234" t="str">
        <f>""</f>
        <v/>
      </c>
      <c r="BX234" t="str">
        <f>""</f>
        <v/>
      </c>
      <c r="BY234" t="str">
        <f>""</f>
        <v/>
      </c>
      <c r="BZ234" t="str">
        <f>""</f>
        <v/>
      </c>
      <c r="CA234" t="str">
        <f>""</f>
        <v/>
      </c>
      <c r="CB234" t="str">
        <f>""</f>
        <v/>
      </c>
      <c r="CC234" t="str">
        <f>""</f>
        <v/>
      </c>
      <c r="CD234" t="str">
        <f>""</f>
        <v/>
      </c>
      <c r="CE234" t="str">
        <f>""</f>
        <v/>
      </c>
      <c r="CF234" t="str">
        <f>""</f>
        <v/>
      </c>
      <c r="CG234" t="str">
        <f>""</f>
        <v/>
      </c>
      <c r="CH234" t="str">
        <f>""</f>
        <v/>
      </c>
      <c r="CI234" t="str">
        <f>""</f>
        <v/>
      </c>
      <c r="CJ234" t="str">
        <f>""</f>
        <v/>
      </c>
      <c r="CK234" t="str">
        <f>""</f>
        <v/>
      </c>
      <c r="CL234" t="str">
        <f>""</f>
        <v/>
      </c>
      <c r="CM234" t="str">
        <f>""</f>
        <v/>
      </c>
      <c r="CN234" t="str">
        <f>""</f>
        <v/>
      </c>
      <c r="CO234" t="str">
        <f>""</f>
        <v/>
      </c>
      <c r="CP234" t="str">
        <f>""</f>
        <v/>
      </c>
      <c r="CQ234" t="str">
        <f>""</f>
        <v/>
      </c>
      <c r="CR234" t="str">
        <f>""</f>
        <v/>
      </c>
      <c r="CS234" t="str">
        <f>""</f>
        <v/>
      </c>
      <c r="CT234" t="str">
        <f>""</f>
        <v/>
      </c>
      <c r="CU234" t="str">
        <f>""</f>
        <v/>
      </c>
      <c r="CV234" t="str">
        <f>""</f>
        <v/>
      </c>
      <c r="CW234" t="str">
        <f>""</f>
        <v/>
      </c>
      <c r="CX234" t="str">
        <f>""</f>
        <v/>
      </c>
      <c r="CY234" t="str">
        <f>""</f>
        <v/>
      </c>
      <c r="CZ234" t="str">
        <f>""</f>
        <v/>
      </c>
      <c r="DA234" t="str">
        <f>""</f>
        <v/>
      </c>
      <c r="DB234" t="str">
        <f>""</f>
        <v/>
      </c>
      <c r="DC234" t="str">
        <f>""</f>
        <v/>
      </c>
      <c r="DD234" t="str">
        <f>""</f>
        <v/>
      </c>
      <c r="DE234" t="str">
        <f>""</f>
        <v/>
      </c>
      <c r="DF234" t="str">
        <f>""</f>
        <v/>
      </c>
      <c r="DG234" t="str">
        <f>""</f>
        <v/>
      </c>
      <c r="DH234" t="str">
        <f>""</f>
        <v/>
      </c>
      <c r="DI234" t="str">
        <f>""</f>
        <v/>
      </c>
      <c r="DJ234" t="str">
        <f>""</f>
        <v/>
      </c>
      <c r="DK234" t="str">
        <f>""</f>
        <v/>
      </c>
      <c r="DL234" t="str">
        <f>""</f>
        <v/>
      </c>
      <c r="DM234" t="str">
        <f>""</f>
        <v/>
      </c>
      <c r="DN234" t="str">
        <f>""</f>
        <v/>
      </c>
      <c r="DO234" t="str">
        <f>""</f>
        <v/>
      </c>
      <c r="DP234" t="str">
        <f>""</f>
        <v/>
      </c>
      <c r="DQ234" t="str">
        <f>""</f>
        <v/>
      </c>
      <c r="DR234" t="str">
        <f>""</f>
        <v/>
      </c>
      <c r="DS234" t="str">
        <f>""</f>
        <v/>
      </c>
      <c r="DT234" t="str">
        <f>""</f>
        <v/>
      </c>
      <c r="DU234" t="str">
        <f>""</f>
        <v/>
      </c>
    </row>
    <row r="235" spans="1:125" x14ac:dyDescent="0.25">
      <c r="A235" t="str">
        <f>$A$95</f>
        <v xml:space="preserve">        AvtoVaz(25% held by Renault SA)</v>
      </c>
      <c r="B235" t="str">
        <f>$B$95</f>
        <v>AVAZ RU Equity</v>
      </c>
      <c r="C235" t="str">
        <f>$C$95</f>
        <v>FS265</v>
      </c>
      <c r="D235" t="str">
        <f>$D$95</f>
        <v>AUTO_VEHICLES_SOLD_WW</v>
      </c>
      <c r="E235" t="str">
        <f>$E$95</f>
        <v>Dynamic</v>
      </c>
      <c r="F235" t="str">
        <f ca="1">_xll.BDH($B$95,$C$95,$B$154,$B$155,CONCATENATE("Per=",$B$152),"Dts=H","Dir=H",CONCATENATE("Points=",$B$153),"Sort=R","Days=A","Fill=B",CONCATENATE("FX=", $B$151) )</f>
        <v>#N/A Connection</v>
      </c>
      <c r="BN235" t="str">
        <f>""</f>
        <v/>
      </c>
      <c r="BO235" t="str">
        <f>""</f>
        <v/>
      </c>
      <c r="BP235" t="str">
        <f>""</f>
        <v/>
      </c>
      <c r="BQ235" t="str">
        <f>""</f>
        <v/>
      </c>
      <c r="BR235" t="str">
        <f>""</f>
        <v/>
      </c>
      <c r="BS235" t="str">
        <f>""</f>
        <v/>
      </c>
      <c r="BT235" t="str">
        <f>""</f>
        <v/>
      </c>
      <c r="BU235" t="str">
        <f>""</f>
        <v/>
      </c>
      <c r="BV235" t="str">
        <f>""</f>
        <v/>
      </c>
      <c r="BW235" t="str">
        <f>""</f>
        <v/>
      </c>
      <c r="BX235" t="str">
        <f>""</f>
        <v/>
      </c>
      <c r="BY235" t="str">
        <f>""</f>
        <v/>
      </c>
      <c r="BZ235" t="str">
        <f>""</f>
        <v/>
      </c>
      <c r="CA235" t="str">
        <f>""</f>
        <v/>
      </c>
      <c r="CB235" t="str">
        <f>""</f>
        <v/>
      </c>
      <c r="CC235" t="str">
        <f>""</f>
        <v/>
      </c>
      <c r="CD235" t="str">
        <f>""</f>
        <v/>
      </c>
      <c r="CE235" t="str">
        <f>""</f>
        <v/>
      </c>
      <c r="CF235" t="str">
        <f>""</f>
        <v/>
      </c>
      <c r="CG235" t="str">
        <f>""</f>
        <v/>
      </c>
      <c r="CH235" t="str">
        <f>""</f>
        <v/>
      </c>
      <c r="CI235" t="str">
        <f>""</f>
        <v/>
      </c>
      <c r="CJ235" t="str">
        <f>""</f>
        <v/>
      </c>
      <c r="CK235" t="str">
        <f>""</f>
        <v/>
      </c>
      <c r="CL235" t="str">
        <f>""</f>
        <v/>
      </c>
      <c r="CM235" t="str">
        <f>""</f>
        <v/>
      </c>
      <c r="CN235" t="str">
        <f>""</f>
        <v/>
      </c>
      <c r="CO235" t="str">
        <f>""</f>
        <v/>
      </c>
      <c r="CP235" t="str">
        <f>""</f>
        <v/>
      </c>
      <c r="CQ235" t="str">
        <f>""</f>
        <v/>
      </c>
      <c r="CR235" t="str">
        <f>""</f>
        <v/>
      </c>
      <c r="CS235" t="str">
        <f>""</f>
        <v/>
      </c>
      <c r="CT235" t="str">
        <f>""</f>
        <v/>
      </c>
      <c r="CU235" t="str">
        <f>""</f>
        <v/>
      </c>
      <c r="CV235" t="str">
        <f>""</f>
        <v/>
      </c>
      <c r="CW235" t="str">
        <f>""</f>
        <v/>
      </c>
      <c r="CX235" t="str">
        <f>""</f>
        <v/>
      </c>
      <c r="CY235" t="str">
        <f>""</f>
        <v/>
      </c>
      <c r="CZ235" t="str">
        <f>""</f>
        <v/>
      </c>
      <c r="DA235" t="str">
        <f>""</f>
        <v/>
      </c>
      <c r="DB235" t="str">
        <f>""</f>
        <v/>
      </c>
      <c r="DC235" t="str">
        <f>""</f>
        <v/>
      </c>
      <c r="DD235" t="str">
        <f>""</f>
        <v/>
      </c>
      <c r="DE235" t="str">
        <f>""</f>
        <v/>
      </c>
      <c r="DF235" t="str">
        <f>""</f>
        <v/>
      </c>
      <c r="DG235" t="str">
        <f>""</f>
        <v/>
      </c>
      <c r="DH235" t="str">
        <f>""</f>
        <v/>
      </c>
      <c r="DI235" t="str">
        <f>""</f>
        <v/>
      </c>
      <c r="DJ235" t="str">
        <f>""</f>
        <v/>
      </c>
      <c r="DK235" t="str">
        <f>""</f>
        <v/>
      </c>
      <c r="DL235" t="str">
        <f>""</f>
        <v/>
      </c>
      <c r="DM235" t="str">
        <f>""</f>
        <v/>
      </c>
      <c r="DN235" t="str">
        <f>""</f>
        <v/>
      </c>
      <c r="DO235" t="str">
        <f>""</f>
        <v/>
      </c>
      <c r="DP235" t="str">
        <f>""</f>
        <v/>
      </c>
      <c r="DQ235" t="str">
        <f>""</f>
        <v/>
      </c>
      <c r="DR235" t="str">
        <f>""</f>
        <v/>
      </c>
      <c r="DS235" t="str">
        <f>""</f>
        <v/>
      </c>
      <c r="DT235" t="str">
        <f>""</f>
        <v/>
      </c>
      <c r="DU235" t="str">
        <f>""</f>
        <v/>
      </c>
    </row>
    <row r="236" spans="1:125" x14ac:dyDescent="0.25">
      <c r="A236" t="str">
        <f>$A$96</f>
        <v xml:space="preserve">    Ford Motor Co</v>
      </c>
      <c r="B236" t="str">
        <f>$B$96</f>
        <v>F US Equity</v>
      </c>
      <c r="C236" t="str">
        <f>$C$96</f>
        <v>FS265</v>
      </c>
      <c r="D236" t="str">
        <f>$D$96</f>
        <v>AUTO_VEHICLES_SOLD_WW</v>
      </c>
      <c r="E236" t="str">
        <f>$E$96</f>
        <v>Dynamic</v>
      </c>
      <c r="F236" t="str">
        <f ca="1">_xll.BDH($B$96,$C$96,$B$154,$B$155,CONCATENATE("Per=",$B$152),"Dts=H","Dir=H",CONCATENATE("Points=",$B$153),"Sort=R","Days=A","Fill=B",CONCATENATE("FX=", $B$151) )</f>
        <v>#N/A Connection</v>
      </c>
      <c r="BN236" t="str">
        <f>""</f>
        <v/>
      </c>
      <c r="BO236" t="str">
        <f>""</f>
        <v/>
      </c>
      <c r="BP236" t="str">
        <f>""</f>
        <v/>
      </c>
      <c r="BQ236" t="str">
        <f>""</f>
        <v/>
      </c>
      <c r="BR236" t="str">
        <f>""</f>
        <v/>
      </c>
      <c r="BS236" t="str">
        <f>""</f>
        <v/>
      </c>
      <c r="BT236" t="str">
        <f>""</f>
        <v/>
      </c>
      <c r="BU236" t="str">
        <f>""</f>
        <v/>
      </c>
      <c r="BV236" t="str">
        <f>""</f>
        <v/>
      </c>
      <c r="BW236" t="str">
        <f>""</f>
        <v/>
      </c>
      <c r="BX236" t="str">
        <f>""</f>
        <v/>
      </c>
      <c r="BY236" t="str">
        <f>""</f>
        <v/>
      </c>
      <c r="BZ236" t="str">
        <f>""</f>
        <v/>
      </c>
      <c r="CA236" t="str">
        <f>""</f>
        <v/>
      </c>
      <c r="CB236" t="str">
        <f>""</f>
        <v/>
      </c>
      <c r="CC236" t="str">
        <f>""</f>
        <v/>
      </c>
      <c r="CD236" t="str">
        <f>""</f>
        <v/>
      </c>
      <c r="CE236" t="str">
        <f>""</f>
        <v/>
      </c>
      <c r="CF236" t="str">
        <f>""</f>
        <v/>
      </c>
      <c r="CG236" t="str">
        <f>""</f>
        <v/>
      </c>
      <c r="CH236" t="str">
        <f>""</f>
        <v/>
      </c>
      <c r="CI236" t="str">
        <f>""</f>
        <v/>
      </c>
      <c r="CJ236" t="str">
        <f>""</f>
        <v/>
      </c>
      <c r="CK236" t="str">
        <f>""</f>
        <v/>
      </c>
      <c r="CL236" t="str">
        <f>""</f>
        <v/>
      </c>
      <c r="CM236" t="str">
        <f>""</f>
        <v/>
      </c>
      <c r="CN236" t="str">
        <f>""</f>
        <v/>
      </c>
      <c r="CO236" t="str">
        <f>""</f>
        <v/>
      </c>
      <c r="CP236" t="str">
        <f>""</f>
        <v/>
      </c>
      <c r="CQ236" t="str">
        <f>""</f>
        <v/>
      </c>
      <c r="CR236" t="str">
        <f>""</f>
        <v/>
      </c>
      <c r="CS236" t="str">
        <f>""</f>
        <v/>
      </c>
      <c r="CT236" t="str">
        <f>""</f>
        <v/>
      </c>
      <c r="CU236" t="str">
        <f>""</f>
        <v/>
      </c>
      <c r="CV236" t="str">
        <f>""</f>
        <v/>
      </c>
      <c r="CW236" t="str">
        <f>""</f>
        <v/>
      </c>
      <c r="CX236" t="str">
        <f>""</f>
        <v/>
      </c>
      <c r="CY236" t="str">
        <f>""</f>
        <v/>
      </c>
      <c r="CZ236" t="str">
        <f>""</f>
        <v/>
      </c>
      <c r="DA236" t="str">
        <f>""</f>
        <v/>
      </c>
      <c r="DB236" t="str">
        <f>""</f>
        <v/>
      </c>
      <c r="DC236" t="str">
        <f>""</f>
        <v/>
      </c>
      <c r="DD236" t="str">
        <f>""</f>
        <v/>
      </c>
      <c r="DE236" t="str">
        <f>""</f>
        <v/>
      </c>
      <c r="DF236" t="str">
        <f>""</f>
        <v/>
      </c>
      <c r="DG236" t="str">
        <f>""</f>
        <v/>
      </c>
      <c r="DH236" t="str">
        <f>""</f>
        <v/>
      </c>
      <c r="DI236" t="str">
        <f>""</f>
        <v/>
      </c>
      <c r="DJ236" t="str">
        <f>""</f>
        <v/>
      </c>
      <c r="DK236" t="str">
        <f>""</f>
        <v/>
      </c>
      <c r="DL236" t="str">
        <f>""</f>
        <v/>
      </c>
      <c r="DM236" t="str">
        <f>""</f>
        <v/>
      </c>
      <c r="DN236" t="str">
        <f>""</f>
        <v/>
      </c>
      <c r="DO236" t="str">
        <f>""</f>
        <v/>
      </c>
      <c r="DP236" t="str">
        <f>""</f>
        <v/>
      </c>
      <c r="DQ236" t="str">
        <f>""</f>
        <v/>
      </c>
      <c r="DR236" t="str">
        <f>""</f>
        <v/>
      </c>
      <c r="DS236" t="str">
        <f>""</f>
        <v/>
      </c>
      <c r="DT236" t="str">
        <f>""</f>
        <v/>
      </c>
      <c r="DU236" t="str">
        <f>""</f>
        <v/>
      </c>
    </row>
    <row r="237" spans="1:125" x14ac:dyDescent="0.25">
      <c r="A237" t="str">
        <f>$A$97</f>
        <v xml:space="preserve">    SAIC Motor Corp Ltd</v>
      </c>
      <c r="B237" t="str">
        <f>$B$97</f>
        <v>600104 CH Equity</v>
      </c>
      <c r="C237" t="str">
        <f>$C$97</f>
        <v>FS265</v>
      </c>
      <c r="D237" t="str">
        <f>$D$97</f>
        <v>AUTO_VEHICLES_SOLD_WW</v>
      </c>
      <c r="E237" t="str">
        <f>$E$97</f>
        <v>Dynamic</v>
      </c>
      <c r="F237" t="str">
        <f ca="1">_xll.BDH($B$97,$C$97,$B$154,$B$155,CONCATENATE("Per=",$B$152),"Dts=H","Dir=H",CONCATENATE("Points=",$B$153),"Sort=R","Days=A","Fill=B",CONCATENATE("FX=", $B$151) )</f>
        <v>#N/A Connection</v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  <c r="BT237" t="str">
        <f>""</f>
        <v/>
      </c>
      <c r="BU237" t="str">
        <f>""</f>
        <v/>
      </c>
      <c r="BV237" t="str">
        <f>""</f>
        <v/>
      </c>
      <c r="BW237" t="str">
        <f>""</f>
        <v/>
      </c>
      <c r="BX237" t="str">
        <f>""</f>
        <v/>
      </c>
      <c r="BY237" t="str">
        <f>""</f>
        <v/>
      </c>
      <c r="BZ237" t="str">
        <f>""</f>
        <v/>
      </c>
      <c r="CA237" t="str">
        <f>""</f>
        <v/>
      </c>
      <c r="CB237" t="str">
        <f>""</f>
        <v/>
      </c>
      <c r="CC237" t="str">
        <f>""</f>
        <v/>
      </c>
      <c r="CD237" t="str">
        <f>""</f>
        <v/>
      </c>
      <c r="CE237" t="str">
        <f>""</f>
        <v/>
      </c>
      <c r="CF237" t="str">
        <f>""</f>
        <v/>
      </c>
      <c r="CG237" t="str">
        <f>""</f>
        <v/>
      </c>
      <c r="CH237" t="str">
        <f>""</f>
        <v/>
      </c>
      <c r="CI237" t="str">
        <f>""</f>
        <v/>
      </c>
      <c r="CJ237" t="str">
        <f>""</f>
        <v/>
      </c>
      <c r="CK237" t="str">
        <f>""</f>
        <v/>
      </c>
      <c r="CL237" t="str">
        <f>""</f>
        <v/>
      </c>
      <c r="CM237" t="str">
        <f>""</f>
        <v/>
      </c>
      <c r="CN237" t="str">
        <f>""</f>
        <v/>
      </c>
      <c r="CO237" t="str">
        <f>""</f>
        <v/>
      </c>
      <c r="CP237" t="str">
        <f>""</f>
        <v/>
      </c>
      <c r="CQ237" t="str">
        <f>""</f>
        <v/>
      </c>
      <c r="CR237" t="str">
        <f>""</f>
        <v/>
      </c>
      <c r="CS237" t="str">
        <f>""</f>
        <v/>
      </c>
      <c r="CT237" t="str">
        <f>""</f>
        <v/>
      </c>
      <c r="CU237" t="str">
        <f>""</f>
        <v/>
      </c>
      <c r="CV237" t="str">
        <f>""</f>
        <v/>
      </c>
      <c r="CW237" t="str">
        <f>""</f>
        <v/>
      </c>
      <c r="CX237" t="str">
        <f>""</f>
        <v/>
      </c>
      <c r="CY237" t="str">
        <f>""</f>
        <v/>
      </c>
      <c r="CZ237" t="str">
        <f>""</f>
        <v/>
      </c>
      <c r="DA237" t="str">
        <f>""</f>
        <v/>
      </c>
      <c r="DB237" t="str">
        <f>""</f>
        <v/>
      </c>
      <c r="DC237" t="str">
        <f>""</f>
        <v/>
      </c>
      <c r="DD237" t="str">
        <f>""</f>
        <v/>
      </c>
      <c r="DE237" t="str">
        <f>""</f>
        <v/>
      </c>
      <c r="DF237" t="str">
        <f>""</f>
        <v/>
      </c>
      <c r="DG237" t="str">
        <f>""</f>
        <v/>
      </c>
      <c r="DH237" t="str">
        <f>""</f>
        <v/>
      </c>
      <c r="DI237" t="str">
        <f>""</f>
        <v/>
      </c>
      <c r="DJ237" t="str">
        <f>""</f>
        <v/>
      </c>
      <c r="DK237" t="str">
        <f>""</f>
        <v/>
      </c>
      <c r="DL237" t="str">
        <f>""</f>
        <v/>
      </c>
      <c r="DM237" t="str">
        <f>""</f>
        <v/>
      </c>
      <c r="DN237" t="str">
        <f>""</f>
        <v/>
      </c>
      <c r="DO237" t="str">
        <f>""</f>
        <v/>
      </c>
      <c r="DP237" t="str">
        <f>""</f>
        <v/>
      </c>
      <c r="DQ237" t="str">
        <f>""</f>
        <v/>
      </c>
      <c r="DR237" t="str">
        <f>""</f>
        <v/>
      </c>
      <c r="DS237" t="str">
        <f>""</f>
        <v/>
      </c>
      <c r="DT237" t="str">
        <f>""</f>
        <v/>
      </c>
      <c r="DU237" t="str">
        <f>""</f>
        <v/>
      </c>
    </row>
    <row r="238" spans="1:125" x14ac:dyDescent="0.25">
      <c r="A238" t="str">
        <f>$A$98</f>
        <v xml:space="preserve">    Fiat Chrysler</v>
      </c>
      <c r="B238" t="str">
        <f>$B$98</f>
        <v>FCAU US Equity</v>
      </c>
      <c r="C238" t="str">
        <f>$C$98</f>
        <v>BI047</v>
      </c>
      <c r="D238" t="str">
        <f>$D$98</f>
        <v>BICS_SEGMENT_DATA</v>
      </c>
      <c r="E238" t="str">
        <f>$E$98</f>
        <v>Dynamic</v>
      </c>
      <c r="F238" t="str">
        <f ca="1">_xll.BDH($B$98,$C$98,$B$154,$B$155,CONCATENATE("Per=",$B$152),"Dts=H","Dir=H",CONCATENATE("Points=",$B$153),"Sort=R","Days=A","Fill=B",CONCATENATE("FX=", $B$151) )</f>
        <v>#N/A Connection</v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  <c r="BT238" t="str">
        <f>""</f>
        <v/>
      </c>
      <c r="BU238" t="str">
        <f>""</f>
        <v/>
      </c>
      <c r="BV238" t="str">
        <f>""</f>
        <v/>
      </c>
      <c r="BW238" t="str">
        <f>""</f>
        <v/>
      </c>
      <c r="BX238" t="str">
        <f>""</f>
        <v/>
      </c>
      <c r="BY238" t="str">
        <f>""</f>
        <v/>
      </c>
      <c r="BZ238" t="str">
        <f>""</f>
        <v/>
      </c>
      <c r="CA238" t="str">
        <f>""</f>
        <v/>
      </c>
      <c r="CB238" t="str">
        <f>""</f>
        <v/>
      </c>
      <c r="CC238" t="str">
        <f>""</f>
        <v/>
      </c>
      <c r="CD238" t="str">
        <f>""</f>
        <v/>
      </c>
      <c r="CE238" t="str">
        <f>""</f>
        <v/>
      </c>
      <c r="CF238" t="str">
        <f>""</f>
        <v/>
      </c>
      <c r="CG238" t="str">
        <f>""</f>
        <v/>
      </c>
      <c r="CH238" t="str">
        <f>""</f>
        <v/>
      </c>
      <c r="CI238" t="str">
        <f>""</f>
        <v/>
      </c>
      <c r="CJ238" t="str">
        <f>""</f>
        <v/>
      </c>
      <c r="CK238" t="str">
        <f>""</f>
        <v/>
      </c>
      <c r="CL238" t="str">
        <f>""</f>
        <v/>
      </c>
      <c r="CM238" t="str">
        <f>""</f>
        <v/>
      </c>
      <c r="CN238" t="str">
        <f>""</f>
        <v/>
      </c>
      <c r="CO238" t="str">
        <f>""</f>
        <v/>
      </c>
      <c r="CP238" t="str">
        <f>""</f>
        <v/>
      </c>
      <c r="CQ238" t="str">
        <f>""</f>
        <v/>
      </c>
      <c r="CR238" t="str">
        <f>""</f>
        <v/>
      </c>
      <c r="CS238" t="str">
        <f>""</f>
        <v/>
      </c>
      <c r="CT238" t="str">
        <f>""</f>
        <v/>
      </c>
      <c r="CU238" t="str">
        <f>""</f>
        <v/>
      </c>
      <c r="CV238" t="str">
        <f>""</f>
        <v/>
      </c>
      <c r="CW238" t="str">
        <f>""</f>
        <v/>
      </c>
      <c r="CX238" t="str">
        <f>""</f>
        <v/>
      </c>
      <c r="CY238" t="str">
        <f>""</f>
        <v/>
      </c>
      <c r="CZ238" t="str">
        <f>""</f>
        <v/>
      </c>
      <c r="DA238" t="str">
        <f>""</f>
        <v/>
      </c>
      <c r="DB238" t="str">
        <f>""</f>
        <v/>
      </c>
      <c r="DC238" t="str">
        <f>""</f>
        <v/>
      </c>
      <c r="DD238" t="str">
        <f>""</f>
        <v/>
      </c>
      <c r="DE238" t="str">
        <f>""</f>
        <v/>
      </c>
      <c r="DF238" t="str">
        <f>""</f>
        <v/>
      </c>
      <c r="DG238" t="str">
        <f>""</f>
        <v/>
      </c>
      <c r="DH238" t="str">
        <f>""</f>
        <v/>
      </c>
      <c r="DI238" t="str">
        <f>""</f>
        <v/>
      </c>
      <c r="DJ238" t="str">
        <f>""</f>
        <v/>
      </c>
      <c r="DK238" t="str">
        <f>""</f>
        <v/>
      </c>
      <c r="DL238" t="str">
        <f>""</f>
        <v/>
      </c>
      <c r="DM238" t="str">
        <f>""</f>
        <v/>
      </c>
      <c r="DN238" t="str">
        <f>""</f>
        <v/>
      </c>
      <c r="DO238" t="str">
        <f>""</f>
        <v/>
      </c>
      <c r="DP238" t="str">
        <f>""</f>
        <v/>
      </c>
      <c r="DQ238" t="str">
        <f>""</f>
        <v/>
      </c>
      <c r="DR238" t="str">
        <f>""</f>
        <v/>
      </c>
      <c r="DS238" t="str">
        <f>""</f>
        <v/>
      </c>
      <c r="DT238" t="str">
        <f>""</f>
        <v/>
      </c>
      <c r="DU238" t="str">
        <f>""</f>
        <v/>
      </c>
    </row>
    <row r="239" spans="1:125" x14ac:dyDescent="0.25">
      <c r="A239" t="str">
        <f>$A$107</f>
        <v xml:space="preserve">    Peugeot SA</v>
      </c>
      <c r="B239" t="str">
        <f>$B$107</f>
        <v>UG FP Equity</v>
      </c>
      <c r="C239" t="str">
        <f>$C$107</f>
        <v>FS265</v>
      </c>
      <c r="D239" t="str">
        <f>$D$107</f>
        <v>AUTO_VEHICLES_SOLD_WW</v>
      </c>
      <c r="E239" t="str">
        <f>$E$107</f>
        <v>Dynamic</v>
      </c>
      <c r="F239" t="str">
        <f ca="1">_xll.BDH($B$107,$C$107,$B$154,$B$155,CONCATENATE("Per=",$B$152),"Dts=H","Dir=H",CONCATENATE("Points=",$B$153),"Sort=R","Days=A","Fill=B",CONCATENATE("FX=", $B$151) )</f>
        <v>#N/A Connection</v>
      </c>
      <c r="BN239" t="str">
        <f>""</f>
        <v/>
      </c>
      <c r="BO239" t="str">
        <f>""</f>
        <v/>
      </c>
      <c r="BP239" t="str">
        <f>""</f>
        <v/>
      </c>
      <c r="BQ239" t="str">
        <f>""</f>
        <v/>
      </c>
      <c r="BR239" t="str">
        <f>""</f>
        <v/>
      </c>
      <c r="BS239" t="str">
        <f>""</f>
        <v/>
      </c>
      <c r="BT239" t="str">
        <f>""</f>
        <v/>
      </c>
      <c r="BU239" t="str">
        <f>""</f>
        <v/>
      </c>
      <c r="BV239" t="str">
        <f>""</f>
        <v/>
      </c>
      <c r="BW239" t="str">
        <f>""</f>
        <v/>
      </c>
      <c r="BX239" t="str">
        <f>""</f>
        <v/>
      </c>
      <c r="BY239" t="str">
        <f>""</f>
        <v/>
      </c>
      <c r="BZ239" t="str">
        <f>""</f>
        <v/>
      </c>
      <c r="CA239" t="str">
        <f>""</f>
        <v/>
      </c>
      <c r="CB239" t="str">
        <f>""</f>
        <v/>
      </c>
      <c r="CC239" t="str">
        <f>""</f>
        <v/>
      </c>
      <c r="CD239" t="str">
        <f>""</f>
        <v/>
      </c>
      <c r="CE239" t="str">
        <f>""</f>
        <v/>
      </c>
      <c r="CF239" t="str">
        <f>""</f>
        <v/>
      </c>
      <c r="CG239" t="str">
        <f>""</f>
        <v/>
      </c>
      <c r="CH239" t="str">
        <f>""</f>
        <v/>
      </c>
      <c r="CI239" t="str">
        <f>""</f>
        <v/>
      </c>
      <c r="CJ239" t="str">
        <f>""</f>
        <v/>
      </c>
      <c r="CK239" t="str">
        <f>""</f>
        <v/>
      </c>
      <c r="CL239" t="str">
        <f>""</f>
        <v/>
      </c>
      <c r="CM239" t="str">
        <f>""</f>
        <v/>
      </c>
      <c r="CN239" t="str">
        <f>""</f>
        <v/>
      </c>
      <c r="CO239" t="str">
        <f>""</f>
        <v/>
      </c>
      <c r="CP239" t="str">
        <f>""</f>
        <v/>
      </c>
      <c r="CQ239" t="str">
        <f>""</f>
        <v/>
      </c>
      <c r="CR239" t="str">
        <f>""</f>
        <v/>
      </c>
      <c r="CS239" t="str">
        <f>""</f>
        <v/>
      </c>
      <c r="CT239" t="str">
        <f>""</f>
        <v/>
      </c>
      <c r="CU239" t="str">
        <f>""</f>
        <v/>
      </c>
      <c r="CV239" t="str">
        <f>""</f>
        <v/>
      </c>
      <c r="CW239" t="str">
        <f>""</f>
        <v/>
      </c>
      <c r="CX239" t="str">
        <f>""</f>
        <v/>
      </c>
      <c r="CY239" t="str">
        <f>""</f>
        <v/>
      </c>
      <c r="CZ239" t="str">
        <f>""</f>
        <v/>
      </c>
      <c r="DA239" t="str">
        <f>""</f>
        <v/>
      </c>
      <c r="DB239" t="str">
        <f>""</f>
        <v/>
      </c>
      <c r="DC239" t="str">
        <f>""</f>
        <v/>
      </c>
      <c r="DD239" t="str">
        <f>""</f>
        <v/>
      </c>
      <c r="DE239" t="str">
        <f>""</f>
        <v/>
      </c>
      <c r="DF239" t="str">
        <f>""</f>
        <v/>
      </c>
      <c r="DG239" t="str">
        <f>""</f>
        <v/>
      </c>
      <c r="DH239" t="str">
        <f>""</f>
        <v/>
      </c>
      <c r="DI239" t="str">
        <f>""</f>
        <v/>
      </c>
      <c r="DJ239" t="str">
        <f>""</f>
        <v/>
      </c>
      <c r="DK239" t="str">
        <f>""</f>
        <v/>
      </c>
      <c r="DL239" t="str">
        <f>""</f>
        <v/>
      </c>
      <c r="DM239" t="str">
        <f>""</f>
        <v/>
      </c>
      <c r="DN239" t="str">
        <f>""</f>
        <v/>
      </c>
      <c r="DO239" t="str">
        <f>""</f>
        <v/>
      </c>
      <c r="DP239" t="str">
        <f>""</f>
        <v/>
      </c>
      <c r="DQ239" t="str">
        <f>""</f>
        <v/>
      </c>
      <c r="DR239" t="str">
        <f>""</f>
        <v/>
      </c>
      <c r="DS239" t="str">
        <f>""</f>
        <v/>
      </c>
      <c r="DT239" t="str">
        <f>""</f>
        <v/>
      </c>
      <c r="DU239" t="str">
        <f>""</f>
        <v/>
      </c>
    </row>
    <row r="240" spans="1:125" x14ac:dyDescent="0.25">
      <c r="A240" t="str">
        <f>$A$109</f>
        <v xml:space="preserve">    Dongfeng Motor Group Co Ltd</v>
      </c>
      <c r="B240" t="str">
        <f>$B$109</f>
        <v>489 HK Equity</v>
      </c>
      <c r="C240" t="str">
        <f>$C$109</f>
        <v>FS265</v>
      </c>
      <c r="D240" t="str">
        <f>$D$109</f>
        <v>AUTO_VEHICLES_SOLD_WW</v>
      </c>
      <c r="E240" t="str">
        <f>$E$109</f>
        <v>Dynamic</v>
      </c>
      <c r="F240" t="str">
        <f ca="1">_xll.BDH($B$109,$C$109,$B$154,$B$155,CONCATENATE("Per=",$B$152),"Dts=H","Dir=H",CONCATENATE("Points=",$B$153),"Sort=R","Days=A","Fill=B",CONCATENATE("FX=", $B$151) )</f>
        <v>#N/A Connection</v>
      </c>
      <c r="BN240" t="str">
        <f>""</f>
        <v/>
      </c>
      <c r="BO240" t="str">
        <f>""</f>
        <v/>
      </c>
      <c r="BP240" t="str">
        <f>""</f>
        <v/>
      </c>
      <c r="BQ240" t="str">
        <f>""</f>
        <v/>
      </c>
      <c r="BR240" t="str">
        <f>""</f>
        <v/>
      </c>
      <c r="BS240" t="str">
        <f>""</f>
        <v/>
      </c>
      <c r="BT240" t="str">
        <f>""</f>
        <v/>
      </c>
      <c r="BU240" t="str">
        <f>""</f>
        <v/>
      </c>
      <c r="BV240" t="str">
        <f>""</f>
        <v/>
      </c>
      <c r="BW240" t="str">
        <f>""</f>
        <v/>
      </c>
      <c r="BX240" t="str">
        <f>""</f>
        <v/>
      </c>
      <c r="BY240" t="str">
        <f>""</f>
        <v/>
      </c>
      <c r="BZ240" t="str">
        <f>""</f>
        <v/>
      </c>
      <c r="CA240" t="str">
        <f>""</f>
        <v/>
      </c>
      <c r="CB240" t="str">
        <f>""</f>
        <v/>
      </c>
      <c r="CC240" t="str">
        <f>""</f>
        <v/>
      </c>
      <c r="CD240" t="str">
        <f>""</f>
        <v/>
      </c>
      <c r="CE240" t="str">
        <f>""</f>
        <v/>
      </c>
      <c r="CF240" t="str">
        <f>""</f>
        <v/>
      </c>
      <c r="CG240" t="str">
        <f>""</f>
        <v/>
      </c>
      <c r="CH240" t="str">
        <f>""</f>
        <v/>
      </c>
      <c r="CI240" t="str">
        <f>""</f>
        <v/>
      </c>
      <c r="CJ240" t="str">
        <f>""</f>
        <v/>
      </c>
      <c r="CK240" t="str">
        <f>""</f>
        <v/>
      </c>
      <c r="CL240" t="str">
        <f>""</f>
        <v/>
      </c>
      <c r="CM240" t="str">
        <f>""</f>
        <v/>
      </c>
      <c r="CN240" t="str">
        <f>""</f>
        <v/>
      </c>
      <c r="CO240" t="str">
        <f>""</f>
        <v/>
      </c>
      <c r="CP240" t="str">
        <f>""</f>
        <v/>
      </c>
      <c r="CQ240" t="str">
        <f>""</f>
        <v/>
      </c>
      <c r="CR240" t="str">
        <f>""</f>
        <v/>
      </c>
      <c r="CS240" t="str">
        <f>""</f>
        <v/>
      </c>
      <c r="CT240" t="str">
        <f>""</f>
        <v/>
      </c>
      <c r="CU240" t="str">
        <f>""</f>
        <v/>
      </c>
      <c r="CV240" t="str">
        <f>""</f>
        <v/>
      </c>
      <c r="CW240" t="str">
        <f>""</f>
        <v/>
      </c>
      <c r="CX240" t="str">
        <f>""</f>
        <v/>
      </c>
      <c r="CY240" t="str">
        <f>""</f>
        <v/>
      </c>
      <c r="CZ240" t="str">
        <f>""</f>
        <v/>
      </c>
      <c r="DA240" t="str">
        <f>""</f>
        <v/>
      </c>
      <c r="DB240" t="str">
        <f>""</f>
        <v/>
      </c>
      <c r="DC240" t="str">
        <f>""</f>
        <v/>
      </c>
      <c r="DD240" t="str">
        <f>""</f>
        <v/>
      </c>
      <c r="DE240" t="str">
        <f>""</f>
        <v/>
      </c>
      <c r="DF240" t="str">
        <f>""</f>
        <v/>
      </c>
      <c r="DG240" t="str">
        <f>""</f>
        <v/>
      </c>
      <c r="DH240" t="str">
        <f>""</f>
        <v/>
      </c>
      <c r="DI240" t="str">
        <f>""</f>
        <v/>
      </c>
      <c r="DJ240" t="str">
        <f>""</f>
        <v/>
      </c>
      <c r="DK240" t="str">
        <f>""</f>
        <v/>
      </c>
      <c r="DL240" t="str">
        <f>""</f>
        <v/>
      </c>
      <c r="DM240" t="str">
        <f>""</f>
        <v/>
      </c>
      <c r="DN240" t="str">
        <f>""</f>
        <v/>
      </c>
      <c r="DO240" t="str">
        <f>""</f>
        <v/>
      </c>
      <c r="DP240" t="str">
        <f>""</f>
        <v/>
      </c>
      <c r="DQ240" t="str">
        <f>""</f>
        <v/>
      </c>
      <c r="DR240" t="str">
        <f>""</f>
        <v/>
      </c>
      <c r="DS240" t="str">
        <f>""</f>
        <v/>
      </c>
      <c r="DT240" t="str">
        <f>""</f>
        <v/>
      </c>
      <c r="DU240" t="str">
        <f>""</f>
        <v/>
      </c>
    </row>
    <row r="241" spans="1:125" x14ac:dyDescent="0.25">
      <c r="A241" t="str">
        <f>$A$110</f>
        <v xml:space="preserve">    Chongqing Changan Automobile Co Ltd</v>
      </c>
      <c r="B241" t="str">
        <f>$B$110</f>
        <v>200625 CH Equity</v>
      </c>
      <c r="C241" t="str">
        <f>$C$110</f>
        <v>FS265</v>
      </c>
      <c r="D241" t="str">
        <f>$D$110</f>
        <v>AUTO_VEHICLES_SOLD_WW</v>
      </c>
      <c r="E241" t="str">
        <f>$E$110</f>
        <v>Dynamic</v>
      </c>
      <c r="F241" t="str">
        <f ca="1">_xll.BDH($B$110,$C$110,$B$154,$B$155,CONCATENATE("Per=",$B$152),"Dts=H","Dir=H",CONCATENATE("Points=",$B$153),"Sort=R","Days=A","Fill=B",CONCATENATE("FX=", $B$151) )</f>
        <v>#N/A Connection</v>
      </c>
      <c r="BN241" t="str">
        <f>""</f>
        <v/>
      </c>
      <c r="BO241" t="str">
        <f>""</f>
        <v/>
      </c>
      <c r="BP241" t="str">
        <f>""</f>
        <v/>
      </c>
      <c r="BQ241" t="str">
        <f>""</f>
        <v/>
      </c>
      <c r="BR241" t="str">
        <f>""</f>
        <v/>
      </c>
      <c r="BS241" t="str">
        <f>""</f>
        <v/>
      </c>
      <c r="BT241" t="str">
        <f>""</f>
        <v/>
      </c>
      <c r="BU241" t="str">
        <f>""</f>
        <v/>
      </c>
      <c r="BV241" t="str">
        <f>""</f>
        <v/>
      </c>
      <c r="BW241" t="str">
        <f>""</f>
        <v/>
      </c>
      <c r="BX241" t="str">
        <f>""</f>
        <v/>
      </c>
      <c r="BY241" t="str">
        <f>""</f>
        <v/>
      </c>
      <c r="BZ241" t="str">
        <f>""</f>
        <v/>
      </c>
      <c r="CA241" t="str">
        <f>""</f>
        <v/>
      </c>
      <c r="CB241" t="str">
        <f>""</f>
        <v/>
      </c>
      <c r="CC241" t="str">
        <f>""</f>
        <v/>
      </c>
      <c r="CD241" t="str">
        <f>""</f>
        <v/>
      </c>
      <c r="CE241" t="str">
        <f>""</f>
        <v/>
      </c>
      <c r="CF241" t="str">
        <f>""</f>
        <v/>
      </c>
      <c r="CG241" t="str">
        <f>""</f>
        <v/>
      </c>
      <c r="CH241" t="str">
        <f>""</f>
        <v/>
      </c>
      <c r="CI241" t="str">
        <f>""</f>
        <v/>
      </c>
      <c r="CJ241" t="str">
        <f>""</f>
        <v/>
      </c>
      <c r="CK241" t="str">
        <f>""</f>
        <v/>
      </c>
      <c r="CL241" t="str">
        <f>""</f>
        <v/>
      </c>
      <c r="CM241" t="str">
        <f>""</f>
        <v/>
      </c>
      <c r="CN241" t="str">
        <f>""</f>
        <v/>
      </c>
      <c r="CO241" t="str">
        <f>""</f>
        <v/>
      </c>
      <c r="CP241" t="str">
        <f>""</f>
        <v/>
      </c>
      <c r="CQ241" t="str">
        <f>""</f>
        <v/>
      </c>
      <c r="CR241" t="str">
        <f>""</f>
        <v/>
      </c>
      <c r="CS241" t="str">
        <f>""</f>
        <v/>
      </c>
      <c r="CT241" t="str">
        <f>""</f>
        <v/>
      </c>
      <c r="CU241" t="str">
        <f>""</f>
        <v/>
      </c>
      <c r="CV241" t="str">
        <f>""</f>
        <v/>
      </c>
      <c r="CW241" t="str">
        <f>""</f>
        <v/>
      </c>
      <c r="CX241" t="str">
        <f>""</f>
        <v/>
      </c>
      <c r="CY241" t="str">
        <f>""</f>
        <v/>
      </c>
      <c r="CZ241" t="str">
        <f>""</f>
        <v/>
      </c>
      <c r="DA241" t="str">
        <f>""</f>
        <v/>
      </c>
      <c r="DB241" t="str">
        <f>""</f>
        <v/>
      </c>
      <c r="DC241" t="str">
        <f>""</f>
        <v/>
      </c>
      <c r="DD241" t="str">
        <f>""</f>
        <v/>
      </c>
      <c r="DE241" t="str">
        <f>""</f>
        <v/>
      </c>
      <c r="DF241" t="str">
        <f>""</f>
        <v/>
      </c>
      <c r="DG241" t="str">
        <f>""</f>
        <v/>
      </c>
      <c r="DH241" t="str">
        <f>""</f>
        <v/>
      </c>
      <c r="DI241" t="str">
        <f>""</f>
        <v/>
      </c>
      <c r="DJ241" t="str">
        <f>""</f>
        <v/>
      </c>
      <c r="DK241" t="str">
        <f>""</f>
        <v/>
      </c>
      <c r="DL241" t="str">
        <f>""</f>
        <v/>
      </c>
      <c r="DM241" t="str">
        <f>""</f>
        <v/>
      </c>
      <c r="DN241" t="str">
        <f>""</f>
        <v/>
      </c>
      <c r="DO241" t="str">
        <f>""</f>
        <v/>
      </c>
      <c r="DP241" t="str">
        <f>""</f>
        <v/>
      </c>
      <c r="DQ241" t="str">
        <f>""</f>
        <v/>
      </c>
      <c r="DR241" t="str">
        <f>""</f>
        <v/>
      </c>
      <c r="DS241" t="str">
        <f>""</f>
        <v/>
      </c>
      <c r="DT241" t="str">
        <f>""</f>
        <v/>
      </c>
      <c r="DU241" t="str">
        <f>""</f>
        <v/>
      </c>
    </row>
    <row r="242" spans="1:125" x14ac:dyDescent="0.25">
      <c r="A242" t="str">
        <f>$A$113</f>
        <v xml:space="preserve">            Mercedes-Benz Cars</v>
      </c>
      <c r="B242" t="str">
        <f>$B$113</f>
        <v>DAI GR Equity</v>
      </c>
      <c r="C242" t="str">
        <f>$C$113</f>
        <v>BI047</v>
      </c>
      <c r="D242" t="str">
        <f>$D$113</f>
        <v>BICS_SEGMENT_DATA</v>
      </c>
      <c r="E242" t="str">
        <f>$E$113</f>
        <v>Dynamic</v>
      </c>
      <c r="F242" t="str">
        <f ca="1">_xll.BDH($B$113,$C$113,$B$154,$B$155,CONCATENATE("Per=",$B$152),"Dts=H","Dir=H",CONCATENATE("Points=",$B$153),"Sort=R","Days=A","Fill=B","DZ666=084","DZ381=11111010","DZ665=246397","DZ667=1","DS276=Y",CONCATENATE("FX=", $B$151) )</f>
        <v>#N/A Connection</v>
      </c>
      <c r="BN242" t="str">
        <f>""</f>
        <v/>
      </c>
      <c r="BO242" t="str">
        <f>""</f>
        <v/>
      </c>
      <c r="BP242" t="str">
        <f>""</f>
        <v/>
      </c>
      <c r="BQ242" t="str">
        <f>""</f>
        <v/>
      </c>
      <c r="BR242" t="str">
        <f>""</f>
        <v/>
      </c>
      <c r="BS242" t="str">
        <f>""</f>
        <v/>
      </c>
      <c r="BT242" t="str">
        <f>""</f>
        <v/>
      </c>
      <c r="BU242" t="str">
        <f>""</f>
        <v/>
      </c>
      <c r="BV242" t="str">
        <f>""</f>
        <v/>
      </c>
      <c r="BW242" t="str">
        <f>""</f>
        <v/>
      </c>
      <c r="BX242" t="str">
        <f>""</f>
        <v/>
      </c>
      <c r="BY242" t="str">
        <f>""</f>
        <v/>
      </c>
      <c r="BZ242" t="str">
        <f>""</f>
        <v/>
      </c>
      <c r="CA242" t="str">
        <f>""</f>
        <v/>
      </c>
      <c r="CB242" t="str">
        <f>""</f>
        <v/>
      </c>
      <c r="CC242" t="str">
        <f>""</f>
        <v/>
      </c>
      <c r="CD242" t="str">
        <f>""</f>
        <v/>
      </c>
      <c r="CE242" t="str">
        <f>""</f>
        <v/>
      </c>
      <c r="CF242" t="str">
        <f>""</f>
        <v/>
      </c>
      <c r="CG242" t="str">
        <f>""</f>
        <v/>
      </c>
      <c r="CH242" t="str">
        <f>""</f>
        <v/>
      </c>
      <c r="CI242" t="str">
        <f>""</f>
        <v/>
      </c>
      <c r="CJ242" t="str">
        <f>""</f>
        <v/>
      </c>
      <c r="CK242" t="str">
        <f>""</f>
        <v/>
      </c>
      <c r="CL242" t="str">
        <f>""</f>
        <v/>
      </c>
      <c r="CM242" t="str">
        <f>""</f>
        <v/>
      </c>
      <c r="CN242" t="str">
        <f>""</f>
        <v/>
      </c>
      <c r="CO242" t="str">
        <f>""</f>
        <v/>
      </c>
      <c r="CP242" t="str">
        <f>""</f>
        <v/>
      </c>
      <c r="CQ242" t="str">
        <f>""</f>
        <v/>
      </c>
      <c r="CR242" t="str">
        <f>""</f>
        <v/>
      </c>
      <c r="CS242" t="str">
        <f>""</f>
        <v/>
      </c>
      <c r="CT242" t="str">
        <f>""</f>
        <v/>
      </c>
      <c r="CU242" t="str">
        <f>""</f>
        <v/>
      </c>
      <c r="CV242" t="str">
        <f>""</f>
        <v/>
      </c>
      <c r="CW242" t="str">
        <f>""</f>
        <v/>
      </c>
      <c r="CX242" t="str">
        <f>""</f>
        <v/>
      </c>
      <c r="CY242" t="str">
        <f>""</f>
        <v/>
      </c>
      <c r="CZ242" t="str">
        <f>""</f>
        <v/>
      </c>
      <c r="DA242" t="str">
        <f>""</f>
        <v/>
      </c>
      <c r="DB242" t="str">
        <f>""</f>
        <v/>
      </c>
      <c r="DC242" t="str">
        <f>""</f>
        <v/>
      </c>
      <c r="DD242" t="str">
        <f>""</f>
        <v/>
      </c>
      <c r="DE242" t="str">
        <f>""</f>
        <v/>
      </c>
      <c r="DF242" t="str">
        <f>""</f>
        <v/>
      </c>
      <c r="DG242" t="str">
        <f>""</f>
        <v/>
      </c>
      <c r="DH242" t="str">
        <f>""</f>
        <v/>
      </c>
      <c r="DI242" t="str">
        <f>""</f>
        <v/>
      </c>
      <c r="DJ242" t="str">
        <f>""</f>
        <v/>
      </c>
      <c r="DK242" t="str">
        <f>""</f>
        <v/>
      </c>
      <c r="DL242" t="str">
        <f>""</f>
        <v/>
      </c>
      <c r="DM242" t="str">
        <f>""</f>
        <v/>
      </c>
      <c r="DN242" t="str">
        <f>""</f>
        <v/>
      </c>
      <c r="DO242" t="str">
        <f>""</f>
        <v/>
      </c>
      <c r="DP242" t="str">
        <f>""</f>
        <v/>
      </c>
      <c r="DQ242" t="str">
        <f>""</f>
        <v/>
      </c>
      <c r="DR242" t="str">
        <f>""</f>
        <v/>
      </c>
      <c r="DS242" t="str">
        <f>""</f>
        <v/>
      </c>
      <c r="DT242" t="str">
        <f>""</f>
        <v/>
      </c>
      <c r="DU242" t="str">
        <f>""</f>
        <v/>
      </c>
    </row>
    <row r="243" spans="1:125" x14ac:dyDescent="0.25">
      <c r="A243" t="str">
        <f>$A$114</f>
        <v xml:space="preserve">            Mercedes-Benz Vans</v>
      </c>
      <c r="B243" t="str">
        <f>$B$114</f>
        <v>DAI GR Equity</v>
      </c>
      <c r="C243" t="str">
        <f>$C$114</f>
        <v>BI047</v>
      </c>
      <c r="D243" t="str">
        <f>$D$114</f>
        <v>BICS_SEGMENT_DATA</v>
      </c>
      <c r="E243" t="str">
        <f>$E$114</f>
        <v>Dynamic</v>
      </c>
      <c r="F243" t="str">
        <f ca="1">_xll.BDH($B$114,$C$114,$B$154,$B$155,CONCATENATE("Per=",$B$152),"Dts=H","Dir=H",CONCATENATE("Points=",$B$153),"Sort=R","Days=A","Fill=B","DZ666=084","DZ381=11111011","DZ667=2","DS276=Y",CONCATENATE("FX=", $B$151) )</f>
        <v>#N/A Connection</v>
      </c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  <c r="BT243" t="str">
        <f>""</f>
        <v/>
      </c>
      <c r="BU243" t="str">
        <f>""</f>
        <v/>
      </c>
      <c r="BV243" t="str">
        <f>""</f>
        <v/>
      </c>
      <c r="BW243" t="str">
        <f>""</f>
        <v/>
      </c>
      <c r="BX243" t="str">
        <f>""</f>
        <v/>
      </c>
      <c r="BY243" t="str">
        <f>""</f>
        <v/>
      </c>
      <c r="BZ243" t="str">
        <f>""</f>
        <v/>
      </c>
      <c r="CA243" t="str">
        <f>""</f>
        <v/>
      </c>
      <c r="CB243" t="str">
        <f>""</f>
        <v/>
      </c>
      <c r="CC243" t="str">
        <f>""</f>
        <v/>
      </c>
      <c r="CD243" t="str">
        <f>""</f>
        <v/>
      </c>
      <c r="CE243" t="str">
        <f>""</f>
        <v/>
      </c>
      <c r="CF243" t="str">
        <f>""</f>
        <v/>
      </c>
      <c r="CG243" t="str">
        <f>""</f>
        <v/>
      </c>
      <c r="CH243" t="str">
        <f>""</f>
        <v/>
      </c>
      <c r="CI243" t="str">
        <f>""</f>
        <v/>
      </c>
      <c r="CJ243" t="str">
        <f>""</f>
        <v/>
      </c>
      <c r="CK243" t="str">
        <f>""</f>
        <v/>
      </c>
      <c r="CL243" t="str">
        <f>""</f>
        <v/>
      </c>
      <c r="CM243" t="str">
        <f>""</f>
        <v/>
      </c>
      <c r="CN243" t="str">
        <f>""</f>
        <v/>
      </c>
      <c r="CO243" t="str">
        <f>""</f>
        <v/>
      </c>
      <c r="CP243" t="str">
        <f>""</f>
        <v/>
      </c>
      <c r="CQ243" t="str">
        <f>""</f>
        <v/>
      </c>
      <c r="CR243" t="str">
        <f>""</f>
        <v/>
      </c>
      <c r="CS243" t="str">
        <f>""</f>
        <v/>
      </c>
      <c r="CT243" t="str">
        <f>""</f>
        <v/>
      </c>
      <c r="CU243" t="str">
        <f>""</f>
        <v/>
      </c>
      <c r="CV243" t="str">
        <f>""</f>
        <v/>
      </c>
      <c r="CW243" t="str">
        <f>""</f>
        <v/>
      </c>
      <c r="CX243" t="str">
        <f>""</f>
        <v/>
      </c>
      <c r="CY243" t="str">
        <f>""</f>
        <v/>
      </c>
      <c r="CZ243" t="str">
        <f>""</f>
        <v/>
      </c>
      <c r="DA243" t="str">
        <f>""</f>
        <v/>
      </c>
      <c r="DB243" t="str">
        <f>""</f>
        <v/>
      </c>
      <c r="DC243" t="str">
        <f>""</f>
        <v/>
      </c>
      <c r="DD243" t="str">
        <f>""</f>
        <v/>
      </c>
      <c r="DE243" t="str">
        <f>""</f>
        <v/>
      </c>
      <c r="DF243" t="str">
        <f>""</f>
        <v/>
      </c>
      <c r="DG243" t="str">
        <f>""</f>
        <v/>
      </c>
      <c r="DH243" t="str">
        <f>""</f>
        <v/>
      </c>
      <c r="DI243" t="str">
        <f>""</f>
        <v/>
      </c>
      <c r="DJ243" t="str">
        <f>""</f>
        <v/>
      </c>
      <c r="DK243" t="str">
        <f>""</f>
        <v/>
      </c>
      <c r="DL243" t="str">
        <f>""</f>
        <v/>
      </c>
      <c r="DM243" t="str">
        <f>""</f>
        <v/>
      </c>
      <c r="DN243" t="str">
        <f>""</f>
        <v/>
      </c>
      <c r="DO243" t="str">
        <f>""</f>
        <v/>
      </c>
      <c r="DP243" t="str">
        <f>""</f>
        <v/>
      </c>
      <c r="DQ243" t="str">
        <f>""</f>
        <v/>
      </c>
      <c r="DR243" t="str">
        <f>""</f>
        <v/>
      </c>
      <c r="DS243" t="str">
        <f>""</f>
        <v/>
      </c>
      <c r="DT243" t="str">
        <f>""</f>
        <v/>
      </c>
      <c r="DU243" t="str">
        <f>""</f>
        <v/>
      </c>
    </row>
    <row r="244" spans="1:125" x14ac:dyDescent="0.25">
      <c r="A244" t="str">
        <f>$A$116</f>
        <v xml:space="preserve">            Daimler Truck</v>
      </c>
      <c r="B244" t="str">
        <f>$B$116</f>
        <v>DAI GR Equity</v>
      </c>
      <c r="C244" t="str">
        <f>$C$116</f>
        <v>BI047</v>
      </c>
      <c r="D244" t="str">
        <f>$D$116</f>
        <v>BICS_SEGMENT_DATA</v>
      </c>
      <c r="E244" t="str">
        <f>$E$116</f>
        <v>Dynamic</v>
      </c>
      <c r="F244" t="str">
        <f ca="1">_xll.BDH($B$116,$C$116,$B$154,$B$155,CONCATENATE("Per=",$B$152),"Dts=H","Dir=H",CONCATENATE("Points=",$B$153),"Sort=R","Days=A","Fill=B","DZ666=084","DZ381=16141010","DZ667=1","DS276=Y",CONCATENATE("FX=", $B$151) )</f>
        <v>#N/A Connection</v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  <c r="BT244" t="str">
        <f>""</f>
        <v/>
      </c>
      <c r="BU244" t="str">
        <f>""</f>
        <v/>
      </c>
      <c r="BV244" t="str">
        <f>""</f>
        <v/>
      </c>
      <c r="BW244" t="str">
        <f>""</f>
        <v/>
      </c>
      <c r="BX244" t="str">
        <f>""</f>
        <v/>
      </c>
      <c r="BY244" t="str">
        <f>""</f>
        <v/>
      </c>
      <c r="BZ244" t="str">
        <f>""</f>
        <v/>
      </c>
      <c r="CA244" t="str">
        <f>""</f>
        <v/>
      </c>
      <c r="CB244" t="str">
        <f>""</f>
        <v/>
      </c>
      <c r="CC244" t="str">
        <f>""</f>
        <v/>
      </c>
      <c r="CD244" t="str">
        <f>""</f>
        <v/>
      </c>
      <c r="CE244" t="str">
        <f>""</f>
        <v/>
      </c>
      <c r="CF244" t="str">
        <f>""</f>
        <v/>
      </c>
      <c r="CG244" t="str">
        <f>""</f>
        <v/>
      </c>
      <c r="CH244" t="str">
        <f>""</f>
        <v/>
      </c>
      <c r="CI244" t="str">
        <f>""</f>
        <v/>
      </c>
      <c r="CJ244" t="str">
        <f>""</f>
        <v/>
      </c>
      <c r="CK244" t="str">
        <f>""</f>
        <v/>
      </c>
      <c r="CL244" t="str">
        <f>""</f>
        <v/>
      </c>
      <c r="CM244" t="str">
        <f>""</f>
        <v/>
      </c>
      <c r="CN244" t="str">
        <f>""</f>
        <v/>
      </c>
      <c r="CO244" t="str">
        <f>""</f>
        <v/>
      </c>
      <c r="CP244" t="str">
        <f>""</f>
        <v/>
      </c>
      <c r="CQ244" t="str">
        <f>""</f>
        <v/>
      </c>
      <c r="CR244" t="str">
        <f>""</f>
        <v/>
      </c>
      <c r="CS244" t="str">
        <f>""</f>
        <v/>
      </c>
      <c r="CT244" t="str">
        <f>""</f>
        <v/>
      </c>
      <c r="CU244" t="str">
        <f>""</f>
        <v/>
      </c>
      <c r="CV244" t="str">
        <f>""</f>
        <v/>
      </c>
      <c r="CW244" t="str">
        <f>""</f>
        <v/>
      </c>
      <c r="CX244" t="str">
        <f>""</f>
        <v/>
      </c>
      <c r="CY244" t="str">
        <f>""</f>
        <v/>
      </c>
      <c r="CZ244" t="str">
        <f>""</f>
        <v/>
      </c>
      <c r="DA244" t="str">
        <f>""</f>
        <v/>
      </c>
      <c r="DB244" t="str">
        <f>""</f>
        <v/>
      </c>
      <c r="DC244" t="str">
        <f>""</f>
        <v/>
      </c>
      <c r="DD244" t="str">
        <f>""</f>
        <v/>
      </c>
      <c r="DE244" t="str">
        <f>""</f>
        <v/>
      </c>
      <c r="DF244" t="str">
        <f>""</f>
        <v/>
      </c>
      <c r="DG244" t="str">
        <f>""</f>
        <v/>
      </c>
      <c r="DH244" t="str">
        <f>""</f>
        <v/>
      </c>
      <c r="DI244" t="str">
        <f>""</f>
        <v/>
      </c>
      <c r="DJ244" t="str">
        <f>""</f>
        <v/>
      </c>
      <c r="DK244" t="str">
        <f>""</f>
        <v/>
      </c>
      <c r="DL244" t="str">
        <f>""</f>
        <v/>
      </c>
      <c r="DM244" t="str">
        <f>""</f>
        <v/>
      </c>
      <c r="DN244" t="str">
        <f>""</f>
        <v/>
      </c>
      <c r="DO244" t="str">
        <f>""</f>
        <v/>
      </c>
      <c r="DP244" t="str">
        <f>""</f>
        <v/>
      </c>
      <c r="DQ244" t="str">
        <f>""</f>
        <v/>
      </c>
      <c r="DR244" t="str">
        <f>""</f>
        <v/>
      </c>
      <c r="DS244" t="str">
        <f>""</f>
        <v/>
      </c>
      <c r="DT244" t="str">
        <f>""</f>
        <v/>
      </c>
      <c r="DU244" t="str">
        <f>""</f>
        <v/>
      </c>
    </row>
    <row r="245" spans="1:125" x14ac:dyDescent="0.25">
      <c r="A245" t="str">
        <f>$A$117</f>
        <v xml:space="preserve">            Daimler Buses</v>
      </c>
      <c r="B245" t="str">
        <f>$B$117</f>
        <v>DAI GR Equity</v>
      </c>
      <c r="C245" t="str">
        <f>$C$117</f>
        <v>BI047</v>
      </c>
      <c r="D245" t="str">
        <f>$D$117</f>
        <v>BICS_SEGMENT_DATA</v>
      </c>
      <c r="E245" t="str">
        <f>$E$117</f>
        <v>Dynamic</v>
      </c>
      <c r="F245" t="str">
        <f ca="1">_xll.BDH($B$117,$C$117,$B$154,$B$155,CONCATENATE("Per=",$B$152),"Dts=H","Dir=H",CONCATENATE("Points=",$B$153),"Sort=R","Days=A","Fill=B","DZ666=084","DZ381=11111011","DZ667=3","DS276=Y",CONCATENATE("FX=", $B$151) )</f>
        <v>#N/A Connection</v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  <c r="BT245" t="str">
        <f>""</f>
        <v/>
      </c>
      <c r="BU245" t="str">
        <f>""</f>
        <v/>
      </c>
      <c r="BV245" t="str">
        <f>""</f>
        <v/>
      </c>
      <c r="BW245" t="str">
        <f>""</f>
        <v/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  <c r="CH245" t="str">
        <f>""</f>
        <v/>
      </c>
      <c r="CI245" t="str">
        <f>""</f>
        <v/>
      </c>
      <c r="CJ245" t="str">
        <f>""</f>
        <v/>
      </c>
      <c r="CK245" t="str">
        <f>""</f>
        <v/>
      </c>
      <c r="CL245" t="str">
        <f>""</f>
        <v/>
      </c>
      <c r="CM245" t="str">
        <f>""</f>
        <v/>
      </c>
      <c r="CN245" t="str">
        <f>""</f>
        <v/>
      </c>
      <c r="CO245" t="str">
        <f>""</f>
        <v/>
      </c>
      <c r="CP245" t="str">
        <f>""</f>
        <v/>
      </c>
      <c r="CQ245" t="str">
        <f>""</f>
        <v/>
      </c>
      <c r="CR245" t="str">
        <f>""</f>
        <v/>
      </c>
      <c r="CS245" t="str">
        <f>""</f>
        <v/>
      </c>
      <c r="CT245" t="str">
        <f>""</f>
        <v/>
      </c>
      <c r="CU245" t="str">
        <f>""</f>
        <v/>
      </c>
      <c r="CV245" t="str">
        <f>""</f>
        <v/>
      </c>
      <c r="CW245" t="str">
        <f>""</f>
        <v/>
      </c>
      <c r="CX245" t="str">
        <f>""</f>
        <v/>
      </c>
      <c r="CY245" t="str">
        <f>""</f>
        <v/>
      </c>
      <c r="CZ245" t="str">
        <f>""</f>
        <v/>
      </c>
      <c r="DA245" t="str">
        <f>""</f>
        <v/>
      </c>
      <c r="DB245" t="str">
        <f>""</f>
        <v/>
      </c>
      <c r="DC245" t="str">
        <f>""</f>
        <v/>
      </c>
      <c r="DD245" t="str">
        <f>""</f>
        <v/>
      </c>
      <c r="DE245" t="str">
        <f>""</f>
        <v/>
      </c>
      <c r="DF245" t="str">
        <f>""</f>
        <v/>
      </c>
      <c r="DG245" t="str">
        <f>""</f>
        <v/>
      </c>
      <c r="DH245" t="str">
        <f>""</f>
        <v/>
      </c>
      <c r="DI245" t="str">
        <f>""</f>
        <v/>
      </c>
      <c r="DJ245" t="str">
        <f>""</f>
        <v/>
      </c>
      <c r="DK245" t="str">
        <f>""</f>
        <v/>
      </c>
      <c r="DL245" t="str">
        <f>""</f>
        <v/>
      </c>
      <c r="DM245" t="str">
        <f>""</f>
        <v/>
      </c>
      <c r="DN245" t="str">
        <f>""</f>
        <v/>
      </c>
      <c r="DO245" t="str">
        <f>""</f>
        <v/>
      </c>
      <c r="DP245" t="str">
        <f>""</f>
        <v/>
      </c>
      <c r="DQ245" t="str">
        <f>""</f>
        <v/>
      </c>
      <c r="DR245" t="str">
        <f>""</f>
        <v/>
      </c>
      <c r="DS245" t="str">
        <f>""</f>
        <v/>
      </c>
      <c r="DT245" t="str">
        <f>""</f>
        <v/>
      </c>
      <c r="DU245" t="str">
        <f>""</f>
        <v/>
      </c>
    </row>
    <row r="246" spans="1:125" x14ac:dyDescent="0.25">
      <c r="A246" t="str">
        <f>$A$118</f>
        <v xml:space="preserve">    Bayerische Motoren Werke AG</v>
      </c>
      <c r="B246" t="str">
        <f>$B$118</f>
        <v>BMW GR Equity</v>
      </c>
      <c r="C246" t="str">
        <f>$C$118</f>
        <v>FS265</v>
      </c>
      <c r="D246" t="str">
        <f>$D$118</f>
        <v>AUTO_VEHICLES_SOLD_WW</v>
      </c>
      <c r="E246" t="str">
        <f>$E$118</f>
        <v>Dynamic</v>
      </c>
      <c r="F246" t="str">
        <f ca="1">_xll.BDH($B$118,$C$118,$B$154,$B$155,CONCATENATE("Per=",$B$152),"Dts=H","Dir=H",CONCATENATE("Points=",$B$153),"Sort=R","Days=A","Fill=B",CONCATENATE("FX=", $B$151) )</f>
        <v>#N/A Connection</v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  <c r="BT246" t="str">
        <f>""</f>
        <v/>
      </c>
      <c r="BU246" t="str">
        <f>""</f>
        <v/>
      </c>
      <c r="BV246" t="str">
        <f>""</f>
        <v/>
      </c>
      <c r="BW246" t="str">
        <f>""</f>
        <v/>
      </c>
      <c r="BX246" t="str">
        <f>""</f>
        <v/>
      </c>
      <c r="BY246" t="str">
        <f>""</f>
        <v/>
      </c>
      <c r="BZ246" t="str">
        <f>""</f>
        <v/>
      </c>
      <c r="CA246" t="str">
        <f>""</f>
        <v/>
      </c>
      <c r="CB246" t="str">
        <f>""</f>
        <v/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  <c r="CH246" t="str">
        <f>""</f>
        <v/>
      </c>
      <c r="CI246" t="str">
        <f>""</f>
        <v/>
      </c>
      <c r="CJ246" t="str">
        <f>""</f>
        <v/>
      </c>
      <c r="CK246" t="str">
        <f>""</f>
        <v/>
      </c>
      <c r="CL246" t="str">
        <f>""</f>
        <v/>
      </c>
      <c r="CM246" t="str">
        <f>""</f>
        <v/>
      </c>
      <c r="CN246" t="str">
        <f>""</f>
        <v/>
      </c>
      <c r="CO246" t="str">
        <f>""</f>
        <v/>
      </c>
      <c r="CP246" t="str">
        <f>""</f>
        <v/>
      </c>
      <c r="CQ246" t="str">
        <f>""</f>
        <v/>
      </c>
      <c r="CR246" t="str">
        <f>""</f>
        <v/>
      </c>
      <c r="CS246" t="str">
        <f>""</f>
        <v/>
      </c>
      <c r="CT246" t="str">
        <f>""</f>
        <v/>
      </c>
      <c r="CU246" t="str">
        <f>""</f>
        <v/>
      </c>
      <c r="CV246" t="str">
        <f>""</f>
        <v/>
      </c>
      <c r="CW246" t="str">
        <f>""</f>
        <v/>
      </c>
      <c r="CX246" t="str">
        <f>""</f>
        <v/>
      </c>
      <c r="CY246" t="str">
        <f>""</f>
        <v/>
      </c>
      <c r="CZ246" t="str">
        <f>""</f>
        <v/>
      </c>
      <c r="DA246" t="str">
        <f>""</f>
        <v/>
      </c>
      <c r="DB246" t="str">
        <f>""</f>
        <v/>
      </c>
      <c r="DC246" t="str">
        <f>""</f>
        <v/>
      </c>
      <c r="DD246" t="str">
        <f>""</f>
        <v/>
      </c>
      <c r="DE246" t="str">
        <f>""</f>
        <v/>
      </c>
      <c r="DF246" t="str">
        <f>""</f>
        <v/>
      </c>
      <c r="DG246" t="str">
        <f>""</f>
        <v/>
      </c>
      <c r="DH246" t="str">
        <f>""</f>
        <v/>
      </c>
      <c r="DI246" t="str">
        <f>""</f>
        <v/>
      </c>
      <c r="DJ246" t="str">
        <f>""</f>
        <v/>
      </c>
      <c r="DK246" t="str">
        <f>""</f>
        <v/>
      </c>
      <c r="DL246" t="str">
        <f>""</f>
        <v/>
      </c>
      <c r="DM246" t="str">
        <f>""</f>
        <v/>
      </c>
      <c r="DN246" t="str">
        <f>""</f>
        <v/>
      </c>
      <c r="DO246" t="str">
        <f>""</f>
        <v/>
      </c>
      <c r="DP246" t="str">
        <f>""</f>
        <v/>
      </c>
      <c r="DQ246" t="str">
        <f>""</f>
        <v/>
      </c>
      <c r="DR246" t="str">
        <f>""</f>
        <v/>
      </c>
      <c r="DS246" t="str">
        <f>""</f>
        <v/>
      </c>
      <c r="DT246" t="str">
        <f>""</f>
        <v/>
      </c>
      <c r="DU246" t="str">
        <f>""</f>
        <v/>
      </c>
    </row>
    <row r="247" spans="1:125" x14ac:dyDescent="0.25">
      <c r="A247" t="str">
        <f>$A$123</f>
        <v xml:space="preserve">    Guangzhou Automobile Group Co Ltd</v>
      </c>
      <c r="B247" t="str">
        <f>$B$123</f>
        <v>2238 HK Equity</v>
      </c>
      <c r="C247" t="str">
        <f>$C$123</f>
        <v>BI047</v>
      </c>
      <c r="D247" t="str">
        <f>$D$123</f>
        <v>BICS_SEGMENT_DATA</v>
      </c>
      <c r="E247" t="str">
        <f>$E$123</f>
        <v>Dynamic</v>
      </c>
      <c r="F247" t="str">
        <f ca="1">_xll.BDH($B$123,$C$123,$B$154,$B$155,CONCATENATE("Per=",$B$152),"Dts=H","Dir=H",CONCATENATE("Points=",$B$153),"Sort=R","Days=A","Fill=B","DZ666=084","DZ381=11111010","DZ667=1","DS276=Y",CONCATENATE("FX=", $B$151) )</f>
        <v>#N/A Connection</v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  <c r="BT247" t="str">
        <f>""</f>
        <v/>
      </c>
      <c r="BU247" t="str">
        <f>""</f>
        <v/>
      </c>
      <c r="BV247" t="str">
        <f>""</f>
        <v/>
      </c>
      <c r="BW247" t="str">
        <f>""</f>
        <v/>
      </c>
      <c r="BX247" t="str">
        <f>""</f>
        <v/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  <c r="CH247" t="str">
        <f>""</f>
        <v/>
      </c>
      <c r="CI247" t="str">
        <f>""</f>
        <v/>
      </c>
      <c r="CJ247" t="str">
        <f>""</f>
        <v/>
      </c>
      <c r="CK247" t="str">
        <f>""</f>
        <v/>
      </c>
      <c r="CL247" t="str">
        <f>""</f>
        <v/>
      </c>
      <c r="CM247" t="str">
        <f>""</f>
        <v/>
      </c>
      <c r="CN247" t="str">
        <f>""</f>
        <v/>
      </c>
      <c r="CO247" t="str">
        <f>""</f>
        <v/>
      </c>
      <c r="CP247" t="str">
        <f>""</f>
        <v/>
      </c>
      <c r="CQ247" t="str">
        <f>""</f>
        <v/>
      </c>
      <c r="CR247" t="str">
        <f>""</f>
        <v/>
      </c>
      <c r="CS247" t="str">
        <f>""</f>
        <v/>
      </c>
      <c r="CT247" t="str">
        <f>""</f>
        <v/>
      </c>
      <c r="CU247" t="str">
        <f>""</f>
        <v/>
      </c>
      <c r="CV247" t="str">
        <f>""</f>
        <v/>
      </c>
      <c r="CW247" t="str">
        <f>""</f>
        <v/>
      </c>
      <c r="CX247" t="str">
        <f>""</f>
        <v/>
      </c>
      <c r="CY247" t="str">
        <f>""</f>
        <v/>
      </c>
      <c r="CZ247" t="str">
        <f>""</f>
        <v/>
      </c>
      <c r="DA247" t="str">
        <f>""</f>
        <v/>
      </c>
      <c r="DB247" t="str">
        <f>""</f>
        <v/>
      </c>
      <c r="DC247" t="str">
        <f>""</f>
        <v/>
      </c>
      <c r="DD247" t="str">
        <f>""</f>
        <v/>
      </c>
      <c r="DE247" t="str">
        <f>""</f>
        <v/>
      </c>
      <c r="DF247" t="str">
        <f>""</f>
        <v/>
      </c>
      <c r="DG247" t="str">
        <f>""</f>
        <v/>
      </c>
      <c r="DH247" t="str">
        <f>""</f>
        <v/>
      </c>
      <c r="DI247" t="str">
        <f>""</f>
        <v/>
      </c>
      <c r="DJ247" t="str">
        <f>""</f>
        <v/>
      </c>
      <c r="DK247" t="str">
        <f>""</f>
        <v/>
      </c>
      <c r="DL247" t="str">
        <f>""</f>
        <v/>
      </c>
      <c r="DM247" t="str">
        <f>""</f>
        <v/>
      </c>
      <c r="DN247" t="str">
        <f>""</f>
        <v/>
      </c>
      <c r="DO247" t="str">
        <f>""</f>
        <v/>
      </c>
      <c r="DP247" t="str">
        <f>""</f>
        <v/>
      </c>
      <c r="DQ247" t="str">
        <f>""</f>
        <v/>
      </c>
      <c r="DR247" t="str">
        <f>""</f>
        <v/>
      </c>
      <c r="DS247" t="str">
        <f>""</f>
        <v/>
      </c>
      <c r="DT247" t="str">
        <f>""</f>
        <v/>
      </c>
      <c r="DU247" t="str">
        <f>""</f>
        <v/>
      </c>
    </row>
    <row r="248" spans="1:125" x14ac:dyDescent="0.25">
      <c r="A248" t="str">
        <f>$A$124</f>
        <v xml:space="preserve">    Beiqi Foton Motor Co Ltd</v>
      </c>
      <c r="B248" t="str">
        <f>$B$124</f>
        <v>600166 CH Equity</v>
      </c>
      <c r="C248" t="str">
        <f>$C$124</f>
        <v>FS265</v>
      </c>
      <c r="D248" t="str">
        <f>$D$124</f>
        <v>AUTO_VEHICLES_SOLD_WW</v>
      </c>
      <c r="E248" t="str">
        <f>$E$124</f>
        <v>Dynamic</v>
      </c>
      <c r="F248" t="str">
        <f ca="1">_xll.BDH($B$124,$C$124,$B$154,$B$155,CONCATENATE("Per=",$B$152),"Dts=H","Dir=H",CONCATENATE("Points=",$B$153),"Sort=R","Days=A","Fill=B",CONCATENATE("FX=", $B$151) )</f>
        <v>#N/A Connection</v>
      </c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  <c r="BT248" t="str">
        <f>""</f>
        <v/>
      </c>
      <c r="BU248" t="str">
        <f>""</f>
        <v/>
      </c>
      <c r="BV248" t="str">
        <f>""</f>
        <v/>
      </c>
      <c r="BW248" t="str">
        <f>""</f>
        <v/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  <c r="CH248" t="str">
        <f>""</f>
        <v/>
      </c>
      <c r="CI248" t="str">
        <f>""</f>
        <v/>
      </c>
      <c r="CJ248" t="str">
        <f>""</f>
        <v/>
      </c>
      <c r="CK248" t="str">
        <f>""</f>
        <v/>
      </c>
      <c r="CL248" t="str">
        <f>""</f>
        <v/>
      </c>
      <c r="CM248" t="str">
        <f>""</f>
        <v/>
      </c>
      <c r="CN248" t="str">
        <f>""</f>
        <v/>
      </c>
      <c r="CO248" t="str">
        <f>""</f>
        <v/>
      </c>
      <c r="CP248" t="str">
        <f>""</f>
        <v/>
      </c>
      <c r="CQ248" t="str">
        <f>""</f>
        <v/>
      </c>
      <c r="CR248" t="str">
        <f>""</f>
        <v/>
      </c>
      <c r="CS248" t="str">
        <f>""</f>
        <v/>
      </c>
      <c r="CT248" t="str">
        <f>""</f>
        <v/>
      </c>
      <c r="CU248" t="str">
        <f>""</f>
        <v/>
      </c>
      <c r="CV248" t="str">
        <f>""</f>
        <v/>
      </c>
      <c r="CW248" t="str">
        <f>""</f>
        <v/>
      </c>
      <c r="CX248" t="str">
        <f>""</f>
        <v/>
      </c>
      <c r="CY248" t="str">
        <f>""</f>
        <v/>
      </c>
      <c r="CZ248" t="str">
        <f>""</f>
        <v/>
      </c>
      <c r="DA248" t="str">
        <f>""</f>
        <v/>
      </c>
      <c r="DB248" t="str">
        <f>""</f>
        <v/>
      </c>
      <c r="DC248" t="str">
        <f>""</f>
        <v/>
      </c>
      <c r="DD248" t="str">
        <f>""</f>
        <v/>
      </c>
      <c r="DE248" t="str">
        <f>""</f>
        <v/>
      </c>
      <c r="DF248" t="str">
        <f>""</f>
        <v/>
      </c>
      <c r="DG248" t="str">
        <f>""</f>
        <v/>
      </c>
      <c r="DH248" t="str">
        <f>""</f>
        <v/>
      </c>
      <c r="DI248" t="str">
        <f>""</f>
        <v/>
      </c>
      <c r="DJ248" t="str">
        <f>""</f>
        <v/>
      </c>
      <c r="DK248" t="str">
        <f>""</f>
        <v/>
      </c>
      <c r="DL248" t="str">
        <f>""</f>
        <v/>
      </c>
      <c r="DM248" t="str">
        <f>""</f>
        <v/>
      </c>
      <c r="DN248" t="str">
        <f>""</f>
        <v/>
      </c>
      <c r="DO248" t="str">
        <f>""</f>
        <v/>
      </c>
      <c r="DP248" t="str">
        <f>""</f>
        <v/>
      </c>
      <c r="DQ248" t="str">
        <f>""</f>
        <v/>
      </c>
      <c r="DR248" t="str">
        <f>""</f>
        <v/>
      </c>
      <c r="DS248" t="str">
        <f>""</f>
        <v/>
      </c>
      <c r="DT248" t="str">
        <f>""</f>
        <v/>
      </c>
      <c r="DU248" t="str">
        <f>""</f>
        <v/>
      </c>
    </row>
    <row r="249" spans="1:125" x14ac:dyDescent="0.25">
      <c r="A249" t="str">
        <f>$A$126</f>
        <v xml:space="preserve">    Anhui Jianghuai Automobile Co Ltd</v>
      </c>
      <c r="B249" t="str">
        <f>$B$126</f>
        <v>600418 CH Equity</v>
      </c>
      <c r="C249" t="str">
        <f>$C$126</f>
        <v>FS265</v>
      </c>
      <c r="D249" t="str">
        <f>$D$126</f>
        <v>AUTO_VEHICLES_SOLD_WW</v>
      </c>
      <c r="E249" t="str">
        <f>$E$126</f>
        <v>Dynamic</v>
      </c>
      <c r="F249" t="str">
        <f ca="1">_xll.BDH($B$126,$C$126,$B$154,$B$155,CONCATENATE("Per=",$B$152),"Dts=H","Dir=H",CONCATENATE("Points=",$B$153),"Sort=R","Days=A","Fill=B",CONCATENATE("FX=", $B$151) )</f>
        <v>#N/A Connection</v>
      </c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  <c r="BT249" t="str">
        <f>""</f>
        <v/>
      </c>
      <c r="BU249" t="str">
        <f>""</f>
        <v/>
      </c>
      <c r="BV249" t="str">
        <f>""</f>
        <v/>
      </c>
      <c r="BW249" t="str">
        <f>""</f>
        <v/>
      </c>
      <c r="BX249" t="str">
        <f>""</f>
        <v/>
      </c>
      <c r="BY249" t="str">
        <f>""</f>
        <v/>
      </c>
      <c r="BZ249" t="str">
        <f>""</f>
        <v/>
      </c>
      <c r="CA249" t="str">
        <f>""</f>
        <v/>
      </c>
      <c r="CB249" t="str">
        <f>""</f>
        <v/>
      </c>
      <c r="CC249" t="str">
        <f>""</f>
        <v/>
      </c>
      <c r="CD249" t="str">
        <f>""</f>
        <v/>
      </c>
      <c r="CE249" t="str">
        <f>""</f>
        <v/>
      </c>
      <c r="CF249" t="str">
        <f>""</f>
        <v/>
      </c>
      <c r="CG249" t="str">
        <f>""</f>
        <v/>
      </c>
      <c r="CH249" t="str">
        <f>""</f>
        <v/>
      </c>
      <c r="CI249" t="str">
        <f>""</f>
        <v/>
      </c>
      <c r="CJ249" t="str">
        <f>""</f>
        <v/>
      </c>
      <c r="CK249" t="str">
        <f>""</f>
        <v/>
      </c>
      <c r="CL249" t="str">
        <f>""</f>
        <v/>
      </c>
      <c r="CM249" t="str">
        <f>""</f>
        <v/>
      </c>
      <c r="CN249" t="str">
        <f>""</f>
        <v/>
      </c>
      <c r="CO249" t="str">
        <f>""</f>
        <v/>
      </c>
      <c r="CP249" t="str">
        <f>""</f>
        <v/>
      </c>
      <c r="CQ249" t="str">
        <f>""</f>
        <v/>
      </c>
      <c r="CR249" t="str">
        <f>""</f>
        <v/>
      </c>
      <c r="CS249" t="str">
        <f>""</f>
        <v/>
      </c>
      <c r="CT249" t="str">
        <f>""</f>
        <v/>
      </c>
      <c r="CU249" t="str">
        <f>""</f>
        <v/>
      </c>
      <c r="CV249" t="str">
        <f>""</f>
        <v/>
      </c>
      <c r="CW249" t="str">
        <f>""</f>
        <v/>
      </c>
      <c r="CX249" t="str">
        <f>""</f>
        <v/>
      </c>
      <c r="CY249" t="str">
        <f>""</f>
        <v/>
      </c>
      <c r="CZ249" t="str">
        <f>""</f>
        <v/>
      </c>
      <c r="DA249" t="str">
        <f>""</f>
        <v/>
      </c>
      <c r="DB249" t="str">
        <f>""</f>
        <v/>
      </c>
      <c r="DC249" t="str">
        <f>""</f>
        <v/>
      </c>
      <c r="DD249" t="str">
        <f>""</f>
        <v/>
      </c>
      <c r="DE249" t="str">
        <f>""</f>
        <v/>
      </c>
      <c r="DF249" t="str">
        <f>""</f>
        <v/>
      </c>
      <c r="DG249" t="str">
        <f>""</f>
        <v/>
      </c>
      <c r="DH249" t="str">
        <f>""</f>
        <v/>
      </c>
      <c r="DI249" t="str">
        <f>""</f>
        <v/>
      </c>
      <c r="DJ249" t="str">
        <f>""</f>
        <v/>
      </c>
      <c r="DK249" t="str">
        <f>""</f>
        <v/>
      </c>
      <c r="DL249" t="str">
        <f>""</f>
        <v/>
      </c>
      <c r="DM249" t="str">
        <f>""</f>
        <v/>
      </c>
      <c r="DN249" t="str">
        <f>""</f>
        <v/>
      </c>
      <c r="DO249" t="str">
        <f>""</f>
        <v/>
      </c>
      <c r="DP249" t="str">
        <f>""</f>
        <v/>
      </c>
      <c r="DQ249" t="str">
        <f>""</f>
        <v/>
      </c>
      <c r="DR249" t="str">
        <f>""</f>
        <v/>
      </c>
      <c r="DS249" t="str">
        <f>""</f>
        <v/>
      </c>
      <c r="DT249" t="str">
        <f>""</f>
        <v/>
      </c>
      <c r="DU249" t="str">
        <f>""</f>
        <v/>
      </c>
    </row>
    <row r="250" spans="1:125" x14ac:dyDescent="0.25">
      <c r="A250" t="str">
        <f>$A$127</f>
        <v xml:space="preserve">    Geely Automobile Holdings Ltd</v>
      </c>
      <c r="B250" t="str">
        <f>$B$127</f>
        <v>175 HK Equity</v>
      </c>
      <c r="C250" t="str">
        <f>$C$127</f>
        <v>FS265</v>
      </c>
      <c r="D250" t="str">
        <f>$D$127</f>
        <v>AUTO_VEHICLES_SOLD_WW</v>
      </c>
      <c r="E250" t="str">
        <f>$E$127</f>
        <v>Dynamic</v>
      </c>
      <c r="F250" t="str">
        <f ca="1">_xll.BDH($B$127,$C$127,$B$154,$B$155,CONCATENATE("Per=",$B$152),"Dts=H","Dir=H",CONCATENATE("Points=",$B$153),"Sort=R","Days=A","Fill=B",CONCATENATE("FX=", $B$151) )</f>
        <v>#N/A Connection</v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  <c r="BT250" t="str">
        <f>""</f>
        <v/>
      </c>
      <c r="BU250" t="str">
        <f>""</f>
        <v/>
      </c>
      <c r="BV250" t="str">
        <f>""</f>
        <v/>
      </c>
      <c r="BW250" t="str">
        <f>""</f>
        <v/>
      </c>
      <c r="BX250" t="str">
        <f>""</f>
        <v/>
      </c>
      <c r="BY250" t="str">
        <f>""</f>
        <v/>
      </c>
      <c r="BZ250" t="str">
        <f>""</f>
        <v/>
      </c>
      <c r="CA250" t="str">
        <f>""</f>
        <v/>
      </c>
      <c r="CB250" t="str">
        <f>""</f>
        <v/>
      </c>
      <c r="CC250" t="str">
        <f>""</f>
        <v/>
      </c>
      <c r="CD250" t="str">
        <f>""</f>
        <v/>
      </c>
      <c r="CE250" t="str">
        <f>""</f>
        <v/>
      </c>
      <c r="CF250" t="str">
        <f>""</f>
        <v/>
      </c>
      <c r="CG250" t="str">
        <f>""</f>
        <v/>
      </c>
      <c r="CH250" t="str">
        <f>""</f>
        <v/>
      </c>
      <c r="CI250" t="str">
        <f>""</f>
        <v/>
      </c>
      <c r="CJ250" t="str">
        <f>""</f>
        <v/>
      </c>
      <c r="CK250" t="str">
        <f>""</f>
        <v/>
      </c>
      <c r="CL250" t="str">
        <f>""</f>
        <v/>
      </c>
      <c r="CM250" t="str">
        <f>""</f>
        <v/>
      </c>
      <c r="CN250" t="str">
        <f>""</f>
        <v/>
      </c>
      <c r="CO250" t="str">
        <f>""</f>
        <v/>
      </c>
      <c r="CP250" t="str">
        <f>""</f>
        <v/>
      </c>
      <c r="CQ250" t="str">
        <f>""</f>
        <v/>
      </c>
      <c r="CR250" t="str">
        <f>""</f>
        <v/>
      </c>
      <c r="CS250" t="str">
        <f>""</f>
        <v/>
      </c>
      <c r="CT250" t="str">
        <f>""</f>
        <v/>
      </c>
      <c r="CU250" t="str">
        <f>""</f>
        <v/>
      </c>
      <c r="CV250" t="str">
        <f>""</f>
        <v/>
      </c>
      <c r="CW250" t="str">
        <f>""</f>
        <v/>
      </c>
      <c r="CX250" t="str">
        <f>""</f>
        <v/>
      </c>
      <c r="CY250" t="str">
        <f>""</f>
        <v/>
      </c>
      <c r="CZ250" t="str">
        <f>""</f>
        <v/>
      </c>
      <c r="DA250" t="str">
        <f>""</f>
        <v/>
      </c>
      <c r="DB250" t="str">
        <f>""</f>
        <v/>
      </c>
      <c r="DC250" t="str">
        <f>""</f>
        <v/>
      </c>
      <c r="DD250" t="str">
        <f>""</f>
        <v/>
      </c>
      <c r="DE250" t="str">
        <f>""</f>
        <v/>
      </c>
      <c r="DF250" t="str">
        <f>""</f>
        <v/>
      </c>
      <c r="DG250" t="str">
        <f>""</f>
        <v/>
      </c>
      <c r="DH250" t="str">
        <f>""</f>
        <v/>
      </c>
      <c r="DI250" t="str">
        <f>""</f>
        <v/>
      </c>
      <c r="DJ250" t="str">
        <f>""</f>
        <v/>
      </c>
      <c r="DK250" t="str">
        <f>""</f>
        <v/>
      </c>
      <c r="DL250" t="str">
        <f>""</f>
        <v/>
      </c>
      <c r="DM250" t="str">
        <f>""</f>
        <v/>
      </c>
      <c r="DN250" t="str">
        <f>""</f>
        <v/>
      </c>
      <c r="DO250" t="str">
        <f>""</f>
        <v/>
      </c>
      <c r="DP250" t="str">
        <f>""</f>
        <v/>
      </c>
      <c r="DQ250" t="str">
        <f>""</f>
        <v/>
      </c>
      <c r="DR250" t="str">
        <f>""</f>
        <v/>
      </c>
      <c r="DS250" t="str">
        <f>""</f>
        <v/>
      </c>
      <c r="DT250" t="str">
        <f>""</f>
        <v/>
      </c>
      <c r="DU250" t="str">
        <f>""</f>
        <v/>
      </c>
    </row>
    <row r="251" spans="1:125" x14ac:dyDescent="0.25">
      <c r="A251" t="str">
        <f>$A$129</f>
        <v xml:space="preserve">    Great Wall Motor Co Ltd</v>
      </c>
      <c r="B251" t="str">
        <f>$B$129</f>
        <v>2333 HK Equity</v>
      </c>
      <c r="C251" t="str">
        <f>$C$129</f>
        <v>FS265</v>
      </c>
      <c r="D251" t="str">
        <f>$D$129</f>
        <v>AUTO_VEHICLES_SOLD_WW</v>
      </c>
      <c r="E251" t="str">
        <f>$E$129</f>
        <v>Dynamic</v>
      </c>
      <c r="F251" t="str">
        <f ca="1">_xll.BDH($B$129,$C$129,$B$154,$B$155,CONCATENATE("Per=",$B$152),"Dts=H","Dir=H",CONCATENATE("Points=",$B$153),"Sort=R","Days=A","Fill=B",CONCATENATE("FX=", $B$151) )</f>
        <v>#N/A Connection</v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  <c r="BT251" t="str">
        <f>""</f>
        <v/>
      </c>
      <c r="BU251" t="str">
        <f>""</f>
        <v/>
      </c>
      <c r="BV251" t="str">
        <f>""</f>
        <v/>
      </c>
      <c r="BW251" t="str">
        <f>""</f>
        <v/>
      </c>
      <c r="BX251" t="str">
        <f>""</f>
        <v/>
      </c>
      <c r="BY251" t="str">
        <f>""</f>
        <v/>
      </c>
      <c r="BZ251" t="str">
        <f>""</f>
        <v/>
      </c>
      <c r="CA251" t="str">
        <f>""</f>
        <v/>
      </c>
      <c r="CB251" t="str">
        <f>""</f>
        <v/>
      </c>
      <c r="CC251" t="str">
        <f>""</f>
        <v/>
      </c>
      <c r="CD251" t="str">
        <f>""</f>
        <v/>
      </c>
      <c r="CE251" t="str">
        <f>""</f>
        <v/>
      </c>
      <c r="CF251" t="str">
        <f>""</f>
        <v/>
      </c>
      <c r="CG251" t="str">
        <f>""</f>
        <v/>
      </c>
      <c r="CH251" t="str">
        <f>""</f>
        <v/>
      </c>
      <c r="CI251" t="str">
        <f>""</f>
        <v/>
      </c>
      <c r="CJ251" t="str">
        <f>""</f>
        <v/>
      </c>
      <c r="CK251" t="str">
        <f>""</f>
        <v/>
      </c>
      <c r="CL251" t="str">
        <f>""</f>
        <v/>
      </c>
      <c r="CM251" t="str">
        <f>""</f>
        <v/>
      </c>
      <c r="CN251" t="str">
        <f>""</f>
        <v/>
      </c>
      <c r="CO251" t="str">
        <f>""</f>
        <v/>
      </c>
      <c r="CP251" t="str">
        <f>""</f>
        <v/>
      </c>
      <c r="CQ251" t="str">
        <f>""</f>
        <v/>
      </c>
      <c r="CR251" t="str">
        <f>""</f>
        <v/>
      </c>
      <c r="CS251" t="str">
        <f>""</f>
        <v/>
      </c>
      <c r="CT251" t="str">
        <f>""</f>
        <v/>
      </c>
      <c r="CU251" t="str">
        <f>""</f>
        <v/>
      </c>
      <c r="CV251" t="str">
        <f>""</f>
        <v/>
      </c>
      <c r="CW251" t="str">
        <f>""</f>
        <v/>
      </c>
      <c r="CX251" t="str">
        <f>""</f>
        <v/>
      </c>
      <c r="CY251" t="str">
        <f>""</f>
        <v/>
      </c>
      <c r="CZ251" t="str">
        <f>""</f>
        <v/>
      </c>
      <c r="DA251" t="str">
        <f>""</f>
        <v/>
      </c>
      <c r="DB251" t="str">
        <f>""</f>
        <v/>
      </c>
      <c r="DC251" t="str">
        <f>""</f>
        <v/>
      </c>
      <c r="DD251" t="str">
        <f>""</f>
        <v/>
      </c>
      <c r="DE251" t="str">
        <f>""</f>
        <v/>
      </c>
      <c r="DF251" t="str">
        <f>""</f>
        <v/>
      </c>
      <c r="DG251" t="str">
        <f>""</f>
        <v/>
      </c>
      <c r="DH251" t="str">
        <f>""</f>
        <v/>
      </c>
      <c r="DI251" t="str">
        <f>""</f>
        <v/>
      </c>
      <c r="DJ251" t="str">
        <f>""</f>
        <v/>
      </c>
      <c r="DK251" t="str">
        <f>""</f>
        <v/>
      </c>
      <c r="DL251" t="str">
        <f>""</f>
        <v/>
      </c>
      <c r="DM251" t="str">
        <f>""</f>
        <v/>
      </c>
      <c r="DN251" t="str">
        <f>""</f>
        <v/>
      </c>
      <c r="DO251" t="str">
        <f>""</f>
        <v/>
      </c>
      <c r="DP251" t="str">
        <f>""</f>
        <v/>
      </c>
      <c r="DQ251" t="str">
        <f>""</f>
        <v/>
      </c>
      <c r="DR251" t="str">
        <f>""</f>
        <v/>
      </c>
      <c r="DS251" t="str">
        <f>""</f>
        <v/>
      </c>
      <c r="DT251" t="str">
        <f>""</f>
        <v/>
      </c>
      <c r="DU251" t="str">
        <f>""</f>
        <v/>
      </c>
    </row>
    <row r="252" spans="1:125" x14ac:dyDescent="0.25">
      <c r="A252" t="str">
        <f>$A$130</f>
        <v xml:space="preserve">    Tianjin Faw Xiali Automobile Co Ltd</v>
      </c>
      <c r="B252" t="str">
        <f>$B$130</f>
        <v>000927 CH Equity</v>
      </c>
      <c r="C252" t="str">
        <f>$C$130</f>
        <v>FS265</v>
      </c>
      <c r="D252" t="str">
        <f>$D$130</f>
        <v>AUTO_VEHICLES_SOLD_WW</v>
      </c>
      <c r="E252" t="str">
        <f>$E$130</f>
        <v>Dynamic</v>
      </c>
      <c r="F252" t="str">
        <f ca="1">_xll.BDH($B$130,$C$130,$B$154,$B$155,CONCATENATE("Per=",$B$152),"Dts=H","Dir=H",CONCATENATE("Points=",$B$153),"Sort=R","Days=A","Fill=B",CONCATENATE("FX=", $B$151) )</f>
        <v>#N/A Connection</v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  <c r="BT252" t="str">
        <f>""</f>
        <v/>
      </c>
      <c r="BU252" t="str">
        <f>""</f>
        <v/>
      </c>
      <c r="BV252" t="str">
        <f>""</f>
        <v/>
      </c>
      <c r="BW252" t="str">
        <f>""</f>
        <v/>
      </c>
      <c r="BX252" t="str">
        <f>""</f>
        <v/>
      </c>
      <c r="BY252" t="str">
        <f>""</f>
        <v/>
      </c>
      <c r="BZ252" t="str">
        <f>""</f>
        <v/>
      </c>
      <c r="CA252" t="str">
        <f>""</f>
        <v/>
      </c>
      <c r="CB252" t="str">
        <f>""</f>
        <v/>
      </c>
      <c r="CC252" t="str">
        <f>""</f>
        <v/>
      </c>
      <c r="CD252" t="str">
        <f>""</f>
        <v/>
      </c>
      <c r="CE252" t="str">
        <f>""</f>
        <v/>
      </c>
      <c r="CF252" t="str">
        <f>""</f>
        <v/>
      </c>
      <c r="CG252" t="str">
        <f>""</f>
        <v/>
      </c>
      <c r="CH252" t="str">
        <f>""</f>
        <v/>
      </c>
      <c r="CI252" t="str">
        <f>""</f>
        <v/>
      </c>
      <c r="CJ252" t="str">
        <f>""</f>
        <v/>
      </c>
      <c r="CK252" t="str">
        <f>""</f>
        <v/>
      </c>
      <c r="CL252" t="str">
        <f>""</f>
        <v/>
      </c>
      <c r="CM252" t="str">
        <f>""</f>
        <v/>
      </c>
      <c r="CN252" t="str">
        <f>""</f>
        <v/>
      </c>
      <c r="CO252" t="str">
        <f>""</f>
        <v/>
      </c>
      <c r="CP252" t="str">
        <f>""</f>
        <v/>
      </c>
      <c r="CQ252" t="str">
        <f>""</f>
        <v/>
      </c>
      <c r="CR252" t="str">
        <f>""</f>
        <v/>
      </c>
      <c r="CS252" t="str">
        <f>""</f>
        <v/>
      </c>
      <c r="CT252" t="str">
        <f>""</f>
        <v/>
      </c>
      <c r="CU252" t="str">
        <f>""</f>
        <v/>
      </c>
      <c r="CV252" t="str">
        <f>""</f>
        <v/>
      </c>
      <c r="CW252" t="str">
        <f>""</f>
        <v/>
      </c>
      <c r="CX252" t="str">
        <f>""</f>
        <v/>
      </c>
      <c r="CY252" t="str">
        <f>""</f>
        <v/>
      </c>
      <c r="CZ252" t="str">
        <f>""</f>
        <v/>
      </c>
      <c r="DA252" t="str">
        <f>""</f>
        <v/>
      </c>
      <c r="DB252" t="str">
        <f>""</f>
        <v/>
      </c>
      <c r="DC252" t="str">
        <f>""</f>
        <v/>
      </c>
      <c r="DD252" t="str">
        <f>""</f>
        <v/>
      </c>
      <c r="DE252" t="str">
        <f>""</f>
        <v/>
      </c>
      <c r="DF252" t="str">
        <f>""</f>
        <v/>
      </c>
      <c r="DG252" t="str">
        <f>""</f>
        <v/>
      </c>
      <c r="DH252" t="str">
        <f>""</f>
        <v/>
      </c>
      <c r="DI252" t="str">
        <f>""</f>
        <v/>
      </c>
      <c r="DJ252" t="str">
        <f>""</f>
        <v/>
      </c>
      <c r="DK252" t="str">
        <f>""</f>
        <v/>
      </c>
      <c r="DL252" t="str">
        <f>""</f>
        <v/>
      </c>
      <c r="DM252" t="str">
        <f>""</f>
        <v/>
      </c>
      <c r="DN252" t="str">
        <f>""</f>
        <v/>
      </c>
      <c r="DO252" t="str">
        <f>""</f>
        <v/>
      </c>
      <c r="DP252" t="str">
        <f>""</f>
        <v/>
      </c>
      <c r="DQ252" t="str">
        <f>""</f>
        <v/>
      </c>
      <c r="DR252" t="str">
        <f>""</f>
        <v/>
      </c>
      <c r="DS252" t="str">
        <f>""</f>
        <v/>
      </c>
      <c r="DT252" t="str">
        <f>""</f>
        <v/>
      </c>
      <c r="DU252" t="str">
        <f>""</f>
        <v/>
      </c>
    </row>
    <row r="253" spans="1:125" x14ac:dyDescent="0.25">
      <c r="A253" t="str">
        <f>$A$131</f>
        <v xml:space="preserve">    Jiangling Motors Corp Ltd</v>
      </c>
      <c r="B253" t="str">
        <f>$B$131</f>
        <v>200550 CH Equity</v>
      </c>
      <c r="C253" t="str">
        <f>$C$131</f>
        <v>FS265</v>
      </c>
      <c r="D253" t="str">
        <f>$D$131</f>
        <v>AUTO_VEHICLES_SOLD_WW</v>
      </c>
      <c r="E253" t="str">
        <f>$E$131</f>
        <v>Dynamic</v>
      </c>
      <c r="F253" t="str">
        <f ca="1">_xll.BDH($B$131,$C$131,$B$154,$B$155,CONCATENATE("Per=",$B$152),"Dts=H","Dir=H",CONCATENATE("Points=",$B$153),"Sort=R","Days=A","Fill=B",CONCATENATE("FX=", $B$151) )</f>
        <v>#N/A Connection</v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  <c r="BT253" t="str">
        <f>""</f>
        <v/>
      </c>
      <c r="BU253" t="str">
        <f>""</f>
        <v/>
      </c>
      <c r="BV253" t="str">
        <f>""</f>
        <v/>
      </c>
      <c r="BW253" t="str">
        <f>""</f>
        <v/>
      </c>
      <c r="BX253" t="str">
        <f>""</f>
        <v/>
      </c>
      <c r="BY253" t="str">
        <f>""</f>
        <v/>
      </c>
      <c r="BZ253" t="str">
        <f>""</f>
        <v/>
      </c>
      <c r="CA253" t="str">
        <f>""</f>
        <v/>
      </c>
      <c r="CB253" t="str">
        <f>""</f>
        <v/>
      </c>
      <c r="CC253" t="str">
        <f>""</f>
        <v/>
      </c>
      <c r="CD253" t="str">
        <f>""</f>
        <v/>
      </c>
      <c r="CE253" t="str">
        <f>""</f>
        <v/>
      </c>
      <c r="CF253" t="str">
        <f>""</f>
        <v/>
      </c>
      <c r="CG253" t="str">
        <f>""</f>
        <v/>
      </c>
      <c r="CH253" t="str">
        <f>""</f>
        <v/>
      </c>
      <c r="CI253" t="str">
        <f>""</f>
        <v/>
      </c>
      <c r="CJ253" t="str">
        <f>""</f>
        <v/>
      </c>
      <c r="CK253" t="str">
        <f>""</f>
        <v/>
      </c>
      <c r="CL253" t="str">
        <f>""</f>
        <v/>
      </c>
      <c r="CM253" t="str">
        <f>""</f>
        <v/>
      </c>
      <c r="CN253" t="str">
        <f>""</f>
        <v/>
      </c>
      <c r="CO253" t="str">
        <f>""</f>
        <v/>
      </c>
      <c r="CP253" t="str">
        <f>""</f>
        <v/>
      </c>
      <c r="CQ253" t="str">
        <f>""</f>
        <v/>
      </c>
      <c r="CR253" t="str">
        <f>""</f>
        <v/>
      </c>
      <c r="CS253" t="str">
        <f>""</f>
        <v/>
      </c>
      <c r="CT253" t="str">
        <f>""</f>
        <v/>
      </c>
      <c r="CU253" t="str">
        <f>""</f>
        <v/>
      </c>
      <c r="CV253" t="str">
        <f>""</f>
        <v/>
      </c>
      <c r="CW253" t="str">
        <f>""</f>
        <v/>
      </c>
      <c r="CX253" t="str">
        <f>""</f>
        <v/>
      </c>
      <c r="CY253" t="str">
        <f>""</f>
        <v/>
      </c>
      <c r="CZ253" t="str">
        <f>""</f>
        <v/>
      </c>
      <c r="DA253" t="str">
        <f>""</f>
        <v/>
      </c>
      <c r="DB253" t="str">
        <f>""</f>
        <v/>
      </c>
      <c r="DC253" t="str">
        <f>""</f>
        <v/>
      </c>
      <c r="DD253" t="str">
        <f>""</f>
        <v/>
      </c>
      <c r="DE253" t="str">
        <f>""</f>
        <v/>
      </c>
      <c r="DF253" t="str">
        <f>""</f>
        <v/>
      </c>
      <c r="DG253" t="str">
        <f>""</f>
        <v/>
      </c>
      <c r="DH253" t="str">
        <f>""</f>
        <v/>
      </c>
      <c r="DI253" t="str">
        <f>""</f>
        <v/>
      </c>
      <c r="DJ253" t="str">
        <f>""</f>
        <v/>
      </c>
      <c r="DK253" t="str">
        <f>""</f>
        <v/>
      </c>
      <c r="DL253" t="str">
        <f>""</f>
        <v/>
      </c>
      <c r="DM253" t="str">
        <f>""</f>
        <v/>
      </c>
      <c r="DN253" t="str">
        <f>""</f>
        <v/>
      </c>
      <c r="DO253" t="str">
        <f>""</f>
        <v/>
      </c>
      <c r="DP253" t="str">
        <f>""</f>
        <v/>
      </c>
      <c r="DQ253" t="str">
        <f>""</f>
        <v/>
      </c>
      <c r="DR253" t="str">
        <f>""</f>
        <v/>
      </c>
      <c r="DS253" t="str">
        <f>""</f>
        <v/>
      </c>
      <c r="DT253" t="str">
        <f>""</f>
        <v/>
      </c>
      <c r="DU253" t="str">
        <f>""</f>
        <v/>
      </c>
    </row>
    <row r="254" spans="1:125" x14ac:dyDescent="0.25">
      <c r="A254" t="str">
        <f>$A$132</f>
        <v xml:space="preserve">    FAW CAR Co Ltd</v>
      </c>
      <c r="B254" t="str">
        <f>$B$132</f>
        <v>000800 CH Equity</v>
      </c>
      <c r="C254" t="str">
        <f>$C$132</f>
        <v>FS265</v>
      </c>
      <c r="D254" t="str">
        <f>$D$132</f>
        <v>AUTO_VEHICLES_SOLD_WW</v>
      </c>
      <c r="E254" t="str">
        <f>$E$132</f>
        <v>Dynamic</v>
      </c>
      <c r="F254" t="str">
        <f ca="1">_xll.BDH($B$132,$C$132,$B$154,$B$155,CONCATENATE("Per=",$B$152),"Dts=H","Dir=H",CONCATENATE("Points=",$B$153),"Sort=R","Days=A","Fill=B",CONCATENATE("FX=", $B$151) )</f>
        <v>#N/A Connection</v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  <c r="BT254" t="str">
        <f>""</f>
        <v/>
      </c>
      <c r="BU254" t="str">
        <f>""</f>
        <v/>
      </c>
      <c r="BV254" t="str">
        <f>""</f>
        <v/>
      </c>
      <c r="BW254" t="str">
        <f>""</f>
        <v/>
      </c>
      <c r="BX254" t="str">
        <f>""</f>
        <v/>
      </c>
      <c r="BY254" t="str">
        <f>""</f>
        <v/>
      </c>
      <c r="BZ254" t="str">
        <f>""</f>
        <v/>
      </c>
      <c r="CA254" t="str">
        <f>""</f>
        <v/>
      </c>
      <c r="CB254" t="str">
        <f>""</f>
        <v/>
      </c>
      <c r="CC254" t="str">
        <f>""</f>
        <v/>
      </c>
      <c r="CD254" t="str">
        <f>""</f>
        <v/>
      </c>
      <c r="CE254" t="str">
        <f>""</f>
        <v/>
      </c>
      <c r="CF254" t="str">
        <f>""</f>
        <v/>
      </c>
      <c r="CG254" t="str">
        <f>""</f>
        <v/>
      </c>
      <c r="CH254" t="str">
        <f>""</f>
        <v/>
      </c>
      <c r="CI254" t="str">
        <f>""</f>
        <v/>
      </c>
      <c r="CJ254" t="str">
        <f>""</f>
        <v/>
      </c>
      <c r="CK254" t="str">
        <f>""</f>
        <v/>
      </c>
      <c r="CL254" t="str">
        <f>""</f>
        <v/>
      </c>
      <c r="CM254" t="str">
        <f>""</f>
        <v/>
      </c>
      <c r="CN254" t="str">
        <f>""</f>
        <v/>
      </c>
      <c r="CO254" t="str">
        <f>""</f>
        <v/>
      </c>
      <c r="CP254" t="str">
        <f>""</f>
        <v/>
      </c>
      <c r="CQ254" t="str">
        <f>""</f>
        <v/>
      </c>
      <c r="CR254" t="str">
        <f>""</f>
        <v/>
      </c>
      <c r="CS254" t="str">
        <f>""</f>
        <v/>
      </c>
      <c r="CT254" t="str">
        <f>""</f>
        <v/>
      </c>
      <c r="CU254" t="str">
        <f>""</f>
        <v/>
      </c>
      <c r="CV254" t="str">
        <f>""</f>
        <v/>
      </c>
      <c r="CW254" t="str">
        <f>""</f>
        <v/>
      </c>
      <c r="CX254" t="str">
        <f>""</f>
        <v/>
      </c>
      <c r="CY254" t="str">
        <f>""</f>
        <v/>
      </c>
      <c r="CZ254" t="str">
        <f>""</f>
        <v/>
      </c>
      <c r="DA254" t="str">
        <f>""</f>
        <v/>
      </c>
      <c r="DB254" t="str">
        <f>""</f>
        <v/>
      </c>
      <c r="DC254" t="str">
        <f>""</f>
        <v/>
      </c>
      <c r="DD254" t="str">
        <f>""</f>
        <v/>
      </c>
      <c r="DE254" t="str">
        <f>""</f>
        <v/>
      </c>
      <c r="DF254" t="str">
        <f>""</f>
        <v/>
      </c>
      <c r="DG254" t="str">
        <f>""</f>
        <v/>
      </c>
      <c r="DH254" t="str">
        <f>""</f>
        <v/>
      </c>
      <c r="DI254" t="str">
        <f>""</f>
        <v/>
      </c>
      <c r="DJ254" t="str">
        <f>""</f>
        <v/>
      </c>
      <c r="DK254" t="str">
        <f>""</f>
        <v/>
      </c>
      <c r="DL254" t="str">
        <f>""</f>
        <v/>
      </c>
      <c r="DM254" t="str">
        <f>""</f>
        <v/>
      </c>
      <c r="DN254" t="str">
        <f>""</f>
        <v/>
      </c>
      <c r="DO254" t="str">
        <f>""</f>
        <v/>
      </c>
      <c r="DP254" t="str">
        <f>""</f>
        <v/>
      </c>
      <c r="DQ254" t="str">
        <f>""</f>
        <v/>
      </c>
      <c r="DR254" t="str">
        <f>""</f>
        <v/>
      </c>
      <c r="DS254" t="str">
        <f>""</f>
        <v/>
      </c>
      <c r="DT254" t="str">
        <f>""</f>
        <v/>
      </c>
      <c r="DU254" t="str">
        <f>""</f>
        <v/>
      </c>
    </row>
    <row r="255" spans="1:125" x14ac:dyDescent="0.25">
      <c r="A255" t="str">
        <f>$A$133</f>
        <v xml:space="preserve">    Brilliance China Automotive Holdings Ltd</v>
      </c>
      <c r="B255" t="str">
        <f>$B$133</f>
        <v>1114 HK Equity</v>
      </c>
      <c r="C255" t="str">
        <f>$C$133</f>
        <v>FS265</v>
      </c>
      <c r="D255" t="str">
        <f>$D$133</f>
        <v>AUTO_VEHICLES_SOLD_WW</v>
      </c>
      <c r="E255" t="str">
        <f>$E$133</f>
        <v>Dynamic</v>
      </c>
      <c r="F255" t="str">
        <f ca="1">_xll.BDH($B$133,$C$133,$B$154,$B$155,CONCATENATE("Per=",$B$152),"Dts=H","Dir=H",CONCATENATE("Points=",$B$153),"Sort=R","Days=A","Fill=B",CONCATENATE("FX=", $B$151) )</f>
        <v>#N/A Connection</v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  <c r="BT255" t="str">
        <f>""</f>
        <v/>
      </c>
      <c r="BU255" t="str">
        <f>""</f>
        <v/>
      </c>
      <c r="BV255" t="str">
        <f>""</f>
        <v/>
      </c>
      <c r="BW255" t="str">
        <f>""</f>
        <v/>
      </c>
      <c r="BX255" t="str">
        <f>""</f>
        <v/>
      </c>
      <c r="BY255" t="str">
        <f>""</f>
        <v/>
      </c>
      <c r="BZ255" t="str">
        <f>""</f>
        <v/>
      </c>
      <c r="CA255" t="str">
        <f>""</f>
        <v/>
      </c>
      <c r="CB255" t="str">
        <f>""</f>
        <v/>
      </c>
      <c r="CC255" t="str">
        <f>""</f>
        <v/>
      </c>
      <c r="CD255" t="str">
        <f>""</f>
        <v/>
      </c>
      <c r="CE255" t="str">
        <f>""</f>
        <v/>
      </c>
      <c r="CF255" t="str">
        <f>""</f>
        <v/>
      </c>
      <c r="CG255" t="str">
        <f>""</f>
        <v/>
      </c>
      <c r="CH255" t="str">
        <f>""</f>
        <v/>
      </c>
      <c r="CI255" t="str">
        <f>""</f>
        <v/>
      </c>
      <c r="CJ255" t="str">
        <f>""</f>
        <v/>
      </c>
      <c r="CK255" t="str">
        <f>""</f>
        <v/>
      </c>
      <c r="CL255" t="str">
        <f>""</f>
        <v/>
      </c>
      <c r="CM255" t="str">
        <f>""</f>
        <v/>
      </c>
      <c r="CN255" t="str">
        <f>""</f>
        <v/>
      </c>
      <c r="CO255" t="str">
        <f>""</f>
        <v/>
      </c>
      <c r="CP255" t="str">
        <f>""</f>
        <v/>
      </c>
      <c r="CQ255" t="str">
        <f>""</f>
        <v/>
      </c>
      <c r="CR255" t="str">
        <f>""</f>
        <v/>
      </c>
      <c r="CS255" t="str">
        <f>""</f>
        <v/>
      </c>
      <c r="CT255" t="str">
        <f>""</f>
        <v/>
      </c>
      <c r="CU255" t="str">
        <f>""</f>
        <v/>
      </c>
      <c r="CV255" t="str">
        <f>""</f>
        <v/>
      </c>
      <c r="CW255" t="str">
        <f>""</f>
        <v/>
      </c>
      <c r="CX255" t="str">
        <f>""</f>
        <v/>
      </c>
      <c r="CY255" t="str">
        <f>""</f>
        <v/>
      </c>
      <c r="CZ255" t="str">
        <f>""</f>
        <v/>
      </c>
      <c r="DA255" t="str">
        <f>""</f>
        <v/>
      </c>
      <c r="DB255" t="str">
        <f>""</f>
        <v/>
      </c>
      <c r="DC255" t="str">
        <f>""</f>
        <v/>
      </c>
      <c r="DD255" t="str">
        <f>""</f>
        <v/>
      </c>
      <c r="DE255" t="str">
        <f>""</f>
        <v/>
      </c>
      <c r="DF255" t="str">
        <f>""</f>
        <v/>
      </c>
      <c r="DG255" t="str">
        <f>""</f>
        <v/>
      </c>
      <c r="DH255" t="str">
        <f>""</f>
        <v/>
      </c>
      <c r="DI255" t="str">
        <f>""</f>
        <v/>
      </c>
      <c r="DJ255" t="str">
        <f>""</f>
        <v/>
      </c>
      <c r="DK255" t="str">
        <f>""</f>
        <v/>
      </c>
      <c r="DL255" t="str">
        <f>""</f>
        <v/>
      </c>
      <c r="DM255" t="str">
        <f>""</f>
        <v/>
      </c>
      <c r="DN255" t="str">
        <f>""</f>
        <v/>
      </c>
      <c r="DO255" t="str">
        <f>""</f>
        <v/>
      </c>
      <c r="DP255" t="str">
        <f>""</f>
        <v/>
      </c>
      <c r="DQ255" t="str">
        <f>""</f>
        <v/>
      </c>
      <c r="DR255" t="str">
        <f>""</f>
        <v/>
      </c>
      <c r="DS255" t="str">
        <f>""</f>
        <v/>
      </c>
      <c r="DT255" t="str">
        <f>""</f>
        <v/>
      </c>
      <c r="DU255" t="str">
        <f>""</f>
        <v/>
      </c>
    </row>
    <row r="256" spans="1:125" x14ac:dyDescent="0.25">
      <c r="A256" t="str">
        <f>$A$134</f>
        <v xml:space="preserve">    Old Porsche</v>
      </c>
      <c r="B256" t="str">
        <f>$B$134</f>
        <v>PAH3 GR Equity</v>
      </c>
      <c r="C256" t="str">
        <f>$C$134</f>
        <v>FS265</v>
      </c>
      <c r="D256" t="str">
        <f>$D$134</f>
        <v>AUTO_VEHICLES_SOLD_WW</v>
      </c>
      <c r="E256" t="str">
        <f>$E$134</f>
        <v>Dynamic</v>
      </c>
      <c r="F256" t="str">
        <f ca="1">_xll.BDH($B$134,$C$134,$B$154,$B$155,CONCATENATE("Per=",$B$152),"Dts=H","Dir=H",CONCATENATE("Points=",$B$153),"Sort=R","Days=A","Fill=B",CONCATENATE("FX=", $B$151) )</f>
        <v>#N/A Connection</v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  <c r="BT256" t="str">
        <f>""</f>
        <v/>
      </c>
      <c r="BU256" t="str">
        <f>""</f>
        <v/>
      </c>
      <c r="BV256" t="str">
        <f>""</f>
        <v/>
      </c>
      <c r="BW256" t="str">
        <f>""</f>
        <v/>
      </c>
      <c r="BX256" t="str">
        <f>""</f>
        <v/>
      </c>
      <c r="BY256" t="str">
        <f>""</f>
        <v/>
      </c>
      <c r="BZ256" t="str">
        <f>""</f>
        <v/>
      </c>
      <c r="CA256" t="str">
        <f>""</f>
        <v/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  <c r="CH256" t="str">
        <f>""</f>
        <v/>
      </c>
      <c r="CI256" t="str">
        <f>""</f>
        <v/>
      </c>
      <c r="CJ256" t="str">
        <f>""</f>
        <v/>
      </c>
      <c r="CK256" t="str">
        <f>""</f>
        <v/>
      </c>
      <c r="CL256" t="str">
        <f>""</f>
        <v/>
      </c>
      <c r="CM256" t="str">
        <f>""</f>
        <v/>
      </c>
      <c r="CN256" t="str">
        <f>""</f>
        <v/>
      </c>
      <c r="CO256" t="str">
        <f>""</f>
        <v/>
      </c>
      <c r="CP256" t="str">
        <f>""</f>
        <v/>
      </c>
      <c r="CQ256" t="str">
        <f>""</f>
        <v/>
      </c>
      <c r="CR256" t="str">
        <f>""</f>
        <v/>
      </c>
      <c r="CS256" t="str">
        <f>""</f>
        <v/>
      </c>
      <c r="CT256" t="str">
        <f>""</f>
        <v/>
      </c>
      <c r="CU256" t="str">
        <f>""</f>
        <v/>
      </c>
      <c r="CV256" t="str">
        <f>""</f>
        <v/>
      </c>
      <c r="CW256" t="str">
        <f>""</f>
        <v/>
      </c>
      <c r="CX256" t="str">
        <f>""</f>
        <v/>
      </c>
      <c r="CY256" t="str">
        <f>""</f>
        <v/>
      </c>
      <c r="CZ256" t="str">
        <f>""</f>
        <v/>
      </c>
      <c r="DA256" t="str">
        <f>""</f>
        <v/>
      </c>
      <c r="DB256" t="str">
        <f>""</f>
        <v/>
      </c>
      <c r="DC256" t="str">
        <f>""</f>
        <v/>
      </c>
      <c r="DD256" t="str">
        <f>""</f>
        <v/>
      </c>
      <c r="DE256" t="str">
        <f>""</f>
        <v/>
      </c>
      <c r="DF256" t="str">
        <f>""</f>
        <v/>
      </c>
      <c r="DG256" t="str">
        <f>""</f>
        <v/>
      </c>
      <c r="DH256" t="str">
        <f>""</f>
        <v/>
      </c>
      <c r="DI256" t="str">
        <f>""</f>
        <v/>
      </c>
      <c r="DJ256" t="str">
        <f>""</f>
        <v/>
      </c>
      <c r="DK256" t="str">
        <f>""</f>
        <v/>
      </c>
      <c r="DL256" t="str">
        <f>""</f>
        <v/>
      </c>
      <c r="DM256" t="str">
        <f>""</f>
        <v/>
      </c>
      <c r="DN256" t="str">
        <f>""</f>
        <v/>
      </c>
      <c r="DO256" t="str">
        <f>""</f>
        <v/>
      </c>
      <c r="DP256" t="str">
        <f>""</f>
        <v/>
      </c>
      <c r="DQ256" t="str">
        <f>""</f>
        <v/>
      </c>
      <c r="DR256" t="str">
        <f>""</f>
        <v/>
      </c>
      <c r="DS256" t="str">
        <f>""</f>
        <v/>
      </c>
      <c r="DT256" t="str">
        <f>""</f>
        <v/>
      </c>
      <c r="DU256" t="str">
        <f>""</f>
        <v/>
      </c>
    </row>
    <row r="257" spans="1:125" x14ac:dyDescent="0.25">
      <c r="A257" t="str">
        <f>$A$135</f>
        <v xml:space="preserve">    Ssangyong Motor</v>
      </c>
      <c r="B257" t="str">
        <f>$B$135</f>
        <v>003620 KS Equity</v>
      </c>
      <c r="C257" t="str">
        <f>$C$135</f>
        <v>FS265</v>
      </c>
      <c r="D257" t="str">
        <f>$D$135</f>
        <v>AUTO_VEHICLES_SOLD_WW</v>
      </c>
      <c r="E257" t="str">
        <f>$E$135</f>
        <v>Dynamic</v>
      </c>
      <c r="F257" t="str">
        <f ca="1">_xll.BDH($B$135,$C$135,$B$154,$B$155,CONCATENATE("Per=",$B$152),"Dts=H","Dir=H",CONCATENATE("Points=",$B$153),"Sort=R","Days=A","Fill=B","DS276=N",CONCATENATE("FX=", $B$151) )</f>
        <v>#N/A Connection</v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  <c r="BT257" t="str">
        <f>""</f>
        <v/>
      </c>
      <c r="BU257" t="str">
        <f>""</f>
        <v/>
      </c>
      <c r="BV257" t="str">
        <f>""</f>
        <v/>
      </c>
      <c r="BW257" t="str">
        <f>""</f>
        <v/>
      </c>
      <c r="BX257" t="str">
        <f>""</f>
        <v/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  <c r="CH257" t="str">
        <f>""</f>
        <v/>
      </c>
      <c r="CI257" t="str">
        <f>""</f>
        <v/>
      </c>
      <c r="CJ257" t="str">
        <f>""</f>
        <v/>
      </c>
      <c r="CK257" t="str">
        <f>""</f>
        <v/>
      </c>
      <c r="CL257" t="str">
        <f>""</f>
        <v/>
      </c>
      <c r="CM257" t="str">
        <f>""</f>
        <v/>
      </c>
      <c r="CN257" t="str">
        <f>""</f>
        <v/>
      </c>
      <c r="CO257" t="str">
        <f>""</f>
        <v/>
      </c>
      <c r="CP257" t="str">
        <f>""</f>
        <v/>
      </c>
      <c r="CQ257" t="str">
        <f>""</f>
        <v/>
      </c>
      <c r="CR257" t="str">
        <f>""</f>
        <v/>
      </c>
      <c r="CS257" t="str">
        <f>""</f>
        <v/>
      </c>
      <c r="CT257" t="str">
        <f>""</f>
        <v/>
      </c>
      <c r="CU257" t="str">
        <f>""</f>
        <v/>
      </c>
      <c r="CV257" t="str">
        <f>""</f>
        <v/>
      </c>
      <c r="CW257" t="str">
        <f>""</f>
        <v/>
      </c>
      <c r="CX257" t="str">
        <f>""</f>
        <v/>
      </c>
      <c r="CY257" t="str">
        <f>""</f>
        <v/>
      </c>
      <c r="CZ257" t="str">
        <f>""</f>
        <v/>
      </c>
      <c r="DA257" t="str">
        <f>""</f>
        <v/>
      </c>
      <c r="DB257" t="str">
        <f>""</f>
        <v/>
      </c>
      <c r="DC257" t="str">
        <f>""</f>
        <v/>
      </c>
      <c r="DD257" t="str">
        <f>""</f>
        <v/>
      </c>
      <c r="DE257" t="str">
        <f>""</f>
        <v/>
      </c>
      <c r="DF257" t="str">
        <f>""</f>
        <v/>
      </c>
      <c r="DG257" t="str">
        <f>""</f>
        <v/>
      </c>
      <c r="DH257" t="str">
        <f>""</f>
        <v/>
      </c>
      <c r="DI257" t="str">
        <f>""</f>
        <v/>
      </c>
      <c r="DJ257" t="str">
        <f>""</f>
        <v/>
      </c>
      <c r="DK257" t="str">
        <f>""</f>
        <v/>
      </c>
      <c r="DL257" t="str">
        <f>""</f>
        <v/>
      </c>
      <c r="DM257" t="str">
        <f>""</f>
        <v/>
      </c>
      <c r="DN257" t="str">
        <f>""</f>
        <v/>
      </c>
      <c r="DO257" t="str">
        <f>""</f>
        <v/>
      </c>
      <c r="DP257" t="str">
        <f>""</f>
        <v/>
      </c>
      <c r="DQ257" t="str">
        <f>""</f>
        <v/>
      </c>
      <c r="DR257" t="str">
        <f>""</f>
        <v/>
      </c>
      <c r="DS257" t="str">
        <f>""</f>
        <v/>
      </c>
      <c r="DT257" t="str">
        <f>""</f>
        <v/>
      </c>
      <c r="DU257" t="str">
        <f>""</f>
        <v/>
      </c>
    </row>
    <row r="258" spans="1:125" x14ac:dyDescent="0.25">
      <c r="A258" t="str">
        <f>$A$136</f>
        <v xml:space="preserve">    Yulon Motor Co Ltd</v>
      </c>
      <c r="B258" t="str">
        <f>$B$136</f>
        <v>2201 TT Equity</v>
      </c>
      <c r="C258" t="str">
        <f>$C$136</f>
        <v>FS265</v>
      </c>
      <c r="D258" t="str">
        <f>$D$136</f>
        <v>AUTO_VEHICLES_SOLD_WW</v>
      </c>
      <c r="E258" t="str">
        <f>$E$136</f>
        <v>Dynamic</v>
      </c>
      <c r="F258" t="str">
        <f ca="1">_xll.BDH($B$136,$C$136,$B$154,$B$155,CONCATENATE("Per=",$B$152),"Dts=H","Dir=H",CONCATENATE("Points=",$B$153),"Sort=R","Days=A","Fill=B",CONCATENATE("FX=", $B$151) )</f>
        <v>#N/A Connection</v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  <c r="BT258" t="str">
        <f>""</f>
        <v/>
      </c>
      <c r="BU258" t="str">
        <f>""</f>
        <v/>
      </c>
      <c r="BV258" t="str">
        <f>""</f>
        <v/>
      </c>
      <c r="BW258" t="str">
        <f>""</f>
        <v/>
      </c>
      <c r="BX258" t="str">
        <f>""</f>
        <v/>
      </c>
      <c r="BY258" t="str">
        <f>""</f>
        <v/>
      </c>
      <c r="BZ258" t="str">
        <f>""</f>
        <v/>
      </c>
      <c r="CA258" t="str">
        <f>""</f>
        <v/>
      </c>
      <c r="CB258" t="str">
        <f>""</f>
        <v/>
      </c>
      <c r="CC258" t="str">
        <f>""</f>
        <v/>
      </c>
      <c r="CD258" t="str">
        <f>""</f>
        <v/>
      </c>
      <c r="CE258" t="str">
        <f>""</f>
        <v/>
      </c>
      <c r="CF258" t="str">
        <f>""</f>
        <v/>
      </c>
      <c r="CG258" t="str">
        <f>""</f>
        <v/>
      </c>
      <c r="CH258" t="str">
        <f>""</f>
        <v/>
      </c>
      <c r="CI258" t="str">
        <f>""</f>
        <v/>
      </c>
      <c r="CJ258" t="str">
        <f>""</f>
        <v/>
      </c>
      <c r="CK258" t="str">
        <f>""</f>
        <v/>
      </c>
      <c r="CL258" t="str">
        <f>""</f>
        <v/>
      </c>
      <c r="CM258" t="str">
        <f>""</f>
        <v/>
      </c>
      <c r="CN258" t="str">
        <f>""</f>
        <v/>
      </c>
      <c r="CO258" t="str">
        <f>""</f>
        <v/>
      </c>
      <c r="CP258" t="str">
        <f>""</f>
        <v/>
      </c>
      <c r="CQ258" t="str">
        <f>""</f>
        <v/>
      </c>
      <c r="CR258" t="str">
        <f>""</f>
        <v/>
      </c>
      <c r="CS258" t="str">
        <f>""</f>
        <v/>
      </c>
      <c r="CT258" t="str">
        <f>""</f>
        <v/>
      </c>
      <c r="CU258" t="str">
        <f>""</f>
        <v/>
      </c>
      <c r="CV258" t="str">
        <f>""</f>
        <v/>
      </c>
      <c r="CW258" t="str">
        <f>""</f>
        <v/>
      </c>
      <c r="CX258" t="str">
        <f>""</f>
        <v/>
      </c>
      <c r="CY258" t="str">
        <f>""</f>
        <v/>
      </c>
      <c r="CZ258" t="str">
        <f>""</f>
        <v/>
      </c>
      <c r="DA258" t="str">
        <f>""</f>
        <v/>
      </c>
      <c r="DB258" t="str">
        <f>""</f>
        <v/>
      </c>
      <c r="DC258" t="str">
        <f>""</f>
        <v/>
      </c>
      <c r="DD258" t="str">
        <f>""</f>
        <v/>
      </c>
      <c r="DE258" t="str">
        <f>""</f>
        <v/>
      </c>
      <c r="DF258" t="str">
        <f>""</f>
        <v/>
      </c>
      <c r="DG258" t="str">
        <f>""</f>
        <v/>
      </c>
      <c r="DH258" t="str">
        <f>""</f>
        <v/>
      </c>
      <c r="DI258" t="str">
        <f>""</f>
        <v/>
      </c>
      <c r="DJ258" t="str">
        <f>""</f>
        <v/>
      </c>
      <c r="DK258" t="str">
        <f>""</f>
        <v/>
      </c>
      <c r="DL258" t="str">
        <f>""</f>
        <v/>
      </c>
      <c r="DM258" t="str">
        <f>""</f>
        <v/>
      </c>
      <c r="DN258" t="str">
        <f>""</f>
        <v/>
      </c>
      <c r="DO258" t="str">
        <f>""</f>
        <v/>
      </c>
      <c r="DP258" t="str">
        <f>""</f>
        <v/>
      </c>
      <c r="DQ258" t="str">
        <f>""</f>
        <v/>
      </c>
      <c r="DR258" t="str">
        <f>""</f>
        <v/>
      </c>
      <c r="DS258" t="str">
        <f>""</f>
        <v/>
      </c>
      <c r="DT258" t="str">
        <f>""</f>
        <v/>
      </c>
      <c r="DU258" t="str">
        <f>""</f>
        <v/>
      </c>
    </row>
    <row r="259" spans="1:125" x14ac:dyDescent="0.25">
      <c r="A259" t="str">
        <f>$A$137</f>
        <v xml:space="preserve">    Sanyang Industry Co Ltd</v>
      </c>
      <c r="B259" t="str">
        <f>$B$137</f>
        <v>2206 TT Equity</v>
      </c>
      <c r="C259" t="str">
        <f>$C$137</f>
        <v>FS265</v>
      </c>
      <c r="D259" t="str">
        <f>$D$137</f>
        <v>AUTO_VEHICLES_SOLD_WW</v>
      </c>
      <c r="E259" t="str">
        <f>$E$137</f>
        <v>Dynamic</v>
      </c>
      <c r="F259" t="str">
        <f ca="1">_xll.BDH($B$137,$C$137,$B$154,$B$155,CONCATENATE("Per=",$B$152),"Dts=H","Dir=H",CONCATENATE("Points=",$B$153),"Sort=R","Days=A","Fill=B",CONCATENATE("FX=", $B$151) )</f>
        <v>#N/A Connection</v>
      </c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  <c r="BT259" t="str">
        <f>""</f>
        <v/>
      </c>
      <c r="BU259" t="str">
        <f>""</f>
        <v/>
      </c>
      <c r="BV259" t="str">
        <f>""</f>
        <v/>
      </c>
      <c r="BW259" t="str">
        <f>""</f>
        <v/>
      </c>
      <c r="BX259" t="str">
        <f>""</f>
        <v/>
      </c>
      <c r="BY259" t="str">
        <f>""</f>
        <v/>
      </c>
      <c r="BZ259" t="str">
        <f>""</f>
        <v/>
      </c>
      <c r="CA259" t="str">
        <f>""</f>
        <v/>
      </c>
      <c r="CB259" t="str">
        <f>""</f>
        <v/>
      </c>
      <c r="CC259" t="str">
        <f>""</f>
        <v/>
      </c>
      <c r="CD259" t="str">
        <f>""</f>
        <v/>
      </c>
      <c r="CE259" t="str">
        <f>""</f>
        <v/>
      </c>
      <c r="CF259" t="str">
        <f>""</f>
        <v/>
      </c>
      <c r="CG259" t="str">
        <f>""</f>
        <v/>
      </c>
      <c r="CH259" t="str">
        <f>""</f>
        <v/>
      </c>
      <c r="CI259" t="str">
        <f>""</f>
        <v/>
      </c>
      <c r="CJ259" t="str">
        <f>""</f>
        <v/>
      </c>
      <c r="CK259" t="str">
        <f>""</f>
        <v/>
      </c>
      <c r="CL259" t="str">
        <f>""</f>
        <v/>
      </c>
      <c r="CM259" t="str">
        <f>""</f>
        <v/>
      </c>
      <c r="CN259" t="str">
        <f>""</f>
        <v/>
      </c>
      <c r="CO259" t="str">
        <f>""</f>
        <v/>
      </c>
      <c r="CP259" t="str">
        <f>""</f>
        <v/>
      </c>
      <c r="CQ259" t="str">
        <f>""</f>
        <v/>
      </c>
      <c r="CR259" t="str">
        <f>""</f>
        <v/>
      </c>
      <c r="CS259" t="str">
        <f>""</f>
        <v/>
      </c>
      <c r="CT259" t="str">
        <f>""</f>
        <v/>
      </c>
      <c r="CU259" t="str">
        <f>""</f>
        <v/>
      </c>
      <c r="CV259" t="str">
        <f>""</f>
        <v/>
      </c>
      <c r="CW259" t="str">
        <f>""</f>
        <v/>
      </c>
      <c r="CX259" t="str">
        <f>""</f>
        <v/>
      </c>
      <c r="CY259" t="str">
        <f>""</f>
        <v/>
      </c>
      <c r="CZ259" t="str">
        <f>""</f>
        <v/>
      </c>
      <c r="DA259" t="str">
        <f>""</f>
        <v/>
      </c>
      <c r="DB259" t="str">
        <f>""</f>
        <v/>
      </c>
      <c r="DC259" t="str">
        <f>""</f>
        <v/>
      </c>
      <c r="DD259" t="str">
        <f>""</f>
        <v/>
      </c>
      <c r="DE259" t="str">
        <f>""</f>
        <v/>
      </c>
      <c r="DF259" t="str">
        <f>""</f>
        <v/>
      </c>
      <c r="DG259" t="str">
        <f>""</f>
        <v/>
      </c>
      <c r="DH259" t="str">
        <f>""</f>
        <v/>
      </c>
      <c r="DI259" t="str">
        <f>""</f>
        <v/>
      </c>
      <c r="DJ259" t="str">
        <f>""</f>
        <v/>
      </c>
      <c r="DK259" t="str">
        <f>""</f>
        <v/>
      </c>
      <c r="DL259" t="str">
        <f>""</f>
        <v/>
      </c>
      <c r="DM259" t="str">
        <f>""</f>
        <v/>
      </c>
      <c r="DN259" t="str">
        <f>""</f>
        <v/>
      </c>
      <c r="DO259" t="str">
        <f>""</f>
        <v/>
      </c>
      <c r="DP259" t="str">
        <f>""</f>
        <v/>
      </c>
      <c r="DQ259" t="str">
        <f>""</f>
        <v/>
      </c>
      <c r="DR259" t="str">
        <f>""</f>
        <v/>
      </c>
      <c r="DS259" t="str">
        <f>""</f>
        <v/>
      </c>
      <c r="DT259" t="str">
        <f>""</f>
        <v/>
      </c>
      <c r="DU259" t="str">
        <f>""</f>
        <v/>
      </c>
    </row>
    <row r="260" spans="1:125" x14ac:dyDescent="0.25">
      <c r="A260" t="str">
        <f>$A$138</f>
        <v xml:space="preserve">    Tesla Motors Inc</v>
      </c>
      <c r="B260" t="str">
        <f>$B$138</f>
        <v>TSLA US Equity</v>
      </c>
      <c r="C260" t="str">
        <f>$C$138</f>
        <v>FS265</v>
      </c>
      <c r="D260" t="str">
        <f>$D$138</f>
        <v>AUTO_VEHICLES_SOLD_WW</v>
      </c>
      <c r="E260" t="str">
        <f>$E$138</f>
        <v>Dynamic</v>
      </c>
      <c r="F260" t="str">
        <f ca="1">_xll.BDH($B$138,$C$138,$B$154,$B$155,CONCATENATE("Per=",$B$152),"Dts=H","Dir=H",CONCATENATE("Points=",$B$153),"Sort=R","Days=A","Fill=B",CONCATENATE("FX=", $B$151) )</f>
        <v>#N/A Connection</v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  <c r="BT260" t="str">
        <f>""</f>
        <v/>
      </c>
      <c r="BU260" t="str">
        <f>""</f>
        <v/>
      </c>
      <c r="BV260" t="str">
        <f>""</f>
        <v/>
      </c>
      <c r="BW260" t="str">
        <f>""</f>
        <v/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  <c r="CH260" t="str">
        <f>""</f>
        <v/>
      </c>
      <c r="CI260" t="str">
        <f>""</f>
        <v/>
      </c>
      <c r="CJ260" t="str">
        <f>""</f>
        <v/>
      </c>
      <c r="CK260" t="str">
        <f>""</f>
        <v/>
      </c>
      <c r="CL260" t="str">
        <f>""</f>
        <v/>
      </c>
      <c r="CM260" t="str">
        <f>""</f>
        <v/>
      </c>
      <c r="CN260" t="str">
        <f>""</f>
        <v/>
      </c>
      <c r="CO260" t="str">
        <f>""</f>
        <v/>
      </c>
      <c r="CP260" t="str">
        <f>""</f>
        <v/>
      </c>
      <c r="CQ260" t="str">
        <f>""</f>
        <v/>
      </c>
      <c r="CR260" t="str">
        <f>""</f>
        <v/>
      </c>
      <c r="CS260" t="str">
        <f>""</f>
        <v/>
      </c>
      <c r="CT260" t="str">
        <f>""</f>
        <v/>
      </c>
      <c r="CU260" t="str">
        <f>""</f>
        <v/>
      </c>
      <c r="CV260" t="str">
        <f>""</f>
        <v/>
      </c>
      <c r="CW260" t="str">
        <f>""</f>
        <v/>
      </c>
      <c r="CX260" t="str">
        <f>""</f>
        <v/>
      </c>
      <c r="CY260" t="str">
        <f>""</f>
        <v/>
      </c>
      <c r="CZ260" t="str">
        <f>""</f>
        <v/>
      </c>
      <c r="DA260" t="str">
        <f>""</f>
        <v/>
      </c>
      <c r="DB260" t="str">
        <f>""</f>
        <v/>
      </c>
      <c r="DC260" t="str">
        <f>""</f>
        <v/>
      </c>
      <c r="DD260" t="str">
        <f>""</f>
        <v/>
      </c>
      <c r="DE260" t="str">
        <f>""</f>
        <v/>
      </c>
      <c r="DF260" t="str">
        <f>""</f>
        <v/>
      </c>
      <c r="DG260" t="str">
        <f>""</f>
        <v/>
      </c>
      <c r="DH260" t="str">
        <f>""</f>
        <v/>
      </c>
      <c r="DI260" t="str">
        <f>""</f>
        <v/>
      </c>
      <c r="DJ260" t="str">
        <f>""</f>
        <v/>
      </c>
      <c r="DK260" t="str">
        <f>""</f>
        <v/>
      </c>
      <c r="DL260" t="str">
        <f>""</f>
        <v/>
      </c>
      <c r="DM260" t="str">
        <f>""</f>
        <v/>
      </c>
      <c r="DN260" t="str">
        <f>""</f>
        <v/>
      </c>
      <c r="DO260" t="str">
        <f>""</f>
        <v/>
      </c>
      <c r="DP260" t="str">
        <f>""</f>
        <v/>
      </c>
      <c r="DQ260" t="str">
        <f>""</f>
        <v/>
      </c>
      <c r="DR260" t="str">
        <f>""</f>
        <v/>
      </c>
      <c r="DS260" t="str">
        <f>""</f>
        <v/>
      </c>
      <c r="DT260" t="str">
        <f>""</f>
        <v/>
      </c>
      <c r="DU260" t="str">
        <f>""</f>
        <v/>
      </c>
    </row>
    <row r="261" spans="1:125" x14ac:dyDescent="0.25">
      <c r="A261" t="str">
        <f>""</f>
        <v/>
      </c>
      <c r="B261" t="str">
        <f>""</f>
        <v/>
      </c>
      <c r="C261" t="str">
        <f>""</f>
        <v/>
      </c>
      <c r="D261" t="str">
        <f>""</f>
        <v/>
      </c>
      <c r="E261" t="str">
        <f>""</f>
        <v/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  <c r="BT261" t="str">
        <f>""</f>
        <v/>
      </c>
      <c r="BU261" t="str">
        <f>""</f>
        <v/>
      </c>
      <c r="BV261" t="str">
        <f>""</f>
        <v/>
      </c>
      <c r="BW261" t="str">
        <f>""</f>
        <v/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  <c r="CH261" t="str">
        <f>""</f>
        <v/>
      </c>
      <c r="CI261" t="str">
        <f>""</f>
        <v/>
      </c>
      <c r="CJ261" t="str">
        <f>""</f>
        <v/>
      </c>
      <c r="CK261" t="str">
        <f>""</f>
        <v/>
      </c>
      <c r="CL261" t="str">
        <f>""</f>
        <v/>
      </c>
      <c r="CM261" t="str">
        <f>""</f>
        <v/>
      </c>
      <c r="CN261" t="str">
        <f>""</f>
        <v/>
      </c>
      <c r="CO261" t="str">
        <f>""</f>
        <v/>
      </c>
      <c r="CP261" t="str">
        <f>""</f>
        <v/>
      </c>
      <c r="CQ261" t="str">
        <f>""</f>
        <v/>
      </c>
      <c r="CR261" t="str">
        <f>""</f>
        <v/>
      </c>
      <c r="CS261" t="str">
        <f>""</f>
        <v/>
      </c>
      <c r="CT261" t="str">
        <f>""</f>
        <v/>
      </c>
      <c r="CU261" t="str">
        <f>""</f>
        <v/>
      </c>
      <c r="CV261" t="str">
        <f>""</f>
        <v/>
      </c>
      <c r="CW261" t="str">
        <f>""</f>
        <v/>
      </c>
      <c r="CX261" t="str">
        <f>""</f>
        <v/>
      </c>
      <c r="CY261" t="str">
        <f>""</f>
        <v/>
      </c>
      <c r="CZ261" t="str">
        <f>""</f>
        <v/>
      </c>
      <c r="DA261" t="str">
        <f>""</f>
        <v/>
      </c>
      <c r="DB261" t="str">
        <f>""</f>
        <v/>
      </c>
      <c r="DC261" t="str">
        <f>""</f>
        <v/>
      </c>
      <c r="DD261" t="str">
        <f>""</f>
        <v/>
      </c>
      <c r="DE261" t="str">
        <f>""</f>
        <v/>
      </c>
      <c r="DF261" t="str">
        <f>""</f>
        <v/>
      </c>
      <c r="DG261" t="str">
        <f>""</f>
        <v/>
      </c>
      <c r="DH261" t="str">
        <f>""</f>
        <v/>
      </c>
      <c r="DI261" t="str">
        <f>""</f>
        <v/>
      </c>
      <c r="DJ261" t="str">
        <f>""</f>
        <v/>
      </c>
      <c r="DK261" t="str">
        <f>""</f>
        <v/>
      </c>
      <c r="DL261" t="str">
        <f>""</f>
        <v/>
      </c>
      <c r="DM261" t="str">
        <f>""</f>
        <v/>
      </c>
      <c r="DN261" t="str">
        <f>""</f>
        <v/>
      </c>
      <c r="DO261" t="str">
        <f>""</f>
        <v/>
      </c>
      <c r="DP261" t="str">
        <f>""</f>
        <v/>
      </c>
      <c r="DQ261" t="str">
        <f>""</f>
        <v/>
      </c>
      <c r="DR261" t="str">
        <f>""</f>
        <v/>
      </c>
      <c r="DS261" t="str">
        <f>""</f>
        <v/>
      </c>
      <c r="DT261" t="str">
        <f>""</f>
        <v/>
      </c>
      <c r="DU261" t="str">
        <f>""</f>
        <v/>
      </c>
    </row>
    <row r="262" spans="1:125" x14ac:dyDescent="0.25">
      <c r="A262" t="str">
        <f>""</f>
        <v/>
      </c>
      <c r="B262" t="str">
        <f>""</f>
        <v/>
      </c>
      <c r="C262" t="str">
        <f>""</f>
        <v/>
      </c>
      <c r="D262" t="str">
        <f>""</f>
        <v/>
      </c>
      <c r="E262" t="str">
        <f>""</f>
        <v/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  <c r="BT262" t="str">
        <f>""</f>
        <v/>
      </c>
      <c r="BU262" t="str">
        <f>""</f>
        <v/>
      </c>
      <c r="BV262" t="str">
        <f>""</f>
        <v/>
      </c>
      <c r="BW262" t="str">
        <f>""</f>
        <v/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  <c r="CH262" t="str">
        <f>""</f>
        <v/>
      </c>
      <c r="CI262" t="str">
        <f>""</f>
        <v/>
      </c>
      <c r="CJ262" t="str">
        <f>""</f>
        <v/>
      </c>
      <c r="CK262" t="str">
        <f>""</f>
        <v/>
      </c>
      <c r="CL262" t="str">
        <f>""</f>
        <v/>
      </c>
      <c r="CM262" t="str">
        <f>""</f>
        <v/>
      </c>
      <c r="CN262" t="str">
        <f>""</f>
        <v/>
      </c>
      <c r="CO262" t="str">
        <f>""</f>
        <v/>
      </c>
      <c r="CP262" t="str">
        <f>""</f>
        <v/>
      </c>
      <c r="CQ262" t="str">
        <f>""</f>
        <v/>
      </c>
      <c r="CR262" t="str">
        <f>""</f>
        <v/>
      </c>
      <c r="CS262" t="str">
        <f>""</f>
        <v/>
      </c>
      <c r="CT262" t="str">
        <f>""</f>
        <v/>
      </c>
      <c r="CU262" t="str">
        <f>""</f>
        <v/>
      </c>
      <c r="CV262" t="str">
        <f>""</f>
        <v/>
      </c>
      <c r="CW262" t="str">
        <f>""</f>
        <v/>
      </c>
      <c r="CX262" t="str">
        <f>""</f>
        <v/>
      </c>
      <c r="CY262" t="str">
        <f>""</f>
        <v/>
      </c>
      <c r="CZ262" t="str">
        <f>""</f>
        <v/>
      </c>
      <c r="DA262" t="str">
        <f>""</f>
        <v/>
      </c>
      <c r="DB262" t="str">
        <f>""</f>
        <v/>
      </c>
      <c r="DC262" t="str">
        <f>""</f>
        <v/>
      </c>
      <c r="DD262" t="str">
        <f>""</f>
        <v/>
      </c>
      <c r="DE262" t="str">
        <f>""</f>
        <v/>
      </c>
      <c r="DF262" t="str">
        <f>""</f>
        <v/>
      </c>
      <c r="DG262" t="str">
        <f>""</f>
        <v/>
      </c>
      <c r="DH262" t="str">
        <f>""</f>
        <v/>
      </c>
      <c r="DI262" t="str">
        <f>""</f>
        <v/>
      </c>
      <c r="DJ262" t="str">
        <f>""</f>
        <v/>
      </c>
      <c r="DK262" t="str">
        <f>""</f>
        <v/>
      </c>
      <c r="DL262" t="str">
        <f>""</f>
        <v/>
      </c>
      <c r="DM262" t="str">
        <f>""</f>
        <v/>
      </c>
      <c r="DN262" t="str">
        <f>""</f>
        <v/>
      </c>
      <c r="DO262" t="str">
        <f>""</f>
        <v/>
      </c>
      <c r="DP262" t="str">
        <f>""</f>
        <v/>
      </c>
      <c r="DQ262" t="str">
        <f>""</f>
        <v/>
      </c>
      <c r="DR262" t="str">
        <f>""</f>
        <v/>
      </c>
      <c r="DS262" t="str">
        <f>""</f>
        <v/>
      </c>
      <c r="DT262" t="str">
        <f>""</f>
        <v/>
      </c>
      <c r="DU262" t="str">
        <f>""</f>
        <v/>
      </c>
    </row>
    <row r="263" spans="1:125" x14ac:dyDescent="0.25">
      <c r="A263" t="str">
        <f>""</f>
        <v/>
      </c>
      <c r="B263" t="str">
        <f>""</f>
        <v/>
      </c>
      <c r="C263" t="str">
        <f>""</f>
        <v/>
      </c>
      <c r="D263" t="str">
        <f>""</f>
        <v/>
      </c>
      <c r="E263" t="str">
        <f>""</f>
        <v/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  <c r="BT263" t="str">
        <f>""</f>
        <v/>
      </c>
      <c r="BU263" t="str">
        <f>""</f>
        <v/>
      </c>
      <c r="BV263" t="str">
        <f>""</f>
        <v/>
      </c>
      <c r="BW263" t="str">
        <f>""</f>
        <v/>
      </c>
      <c r="BX263" t="str">
        <f>""</f>
        <v/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  <c r="CH263" t="str">
        <f>""</f>
        <v/>
      </c>
      <c r="CI263" t="str">
        <f>""</f>
        <v/>
      </c>
      <c r="CJ263" t="str">
        <f>""</f>
        <v/>
      </c>
      <c r="CK263" t="str">
        <f>""</f>
        <v/>
      </c>
      <c r="CL263" t="str">
        <f>""</f>
        <v/>
      </c>
      <c r="CM263" t="str">
        <f>""</f>
        <v/>
      </c>
      <c r="CN263" t="str">
        <f>""</f>
        <v/>
      </c>
      <c r="CO263" t="str">
        <f>""</f>
        <v/>
      </c>
      <c r="CP263" t="str">
        <f>""</f>
        <v/>
      </c>
      <c r="CQ263" t="str">
        <f>""</f>
        <v/>
      </c>
      <c r="CR263" t="str">
        <f>""</f>
        <v/>
      </c>
      <c r="CS263" t="str">
        <f>""</f>
        <v/>
      </c>
      <c r="CT263" t="str">
        <f>""</f>
        <v/>
      </c>
      <c r="CU263" t="str">
        <f>""</f>
        <v/>
      </c>
      <c r="CV263" t="str">
        <f>""</f>
        <v/>
      </c>
      <c r="CW263" t="str">
        <f>""</f>
        <v/>
      </c>
      <c r="CX263" t="str">
        <f>""</f>
        <v/>
      </c>
      <c r="CY263" t="str">
        <f>""</f>
        <v/>
      </c>
      <c r="CZ263" t="str">
        <f>""</f>
        <v/>
      </c>
      <c r="DA263" t="str">
        <f>""</f>
        <v/>
      </c>
      <c r="DB263" t="str">
        <f>""</f>
        <v/>
      </c>
      <c r="DC263" t="str">
        <f>""</f>
        <v/>
      </c>
      <c r="DD263" t="str">
        <f>""</f>
        <v/>
      </c>
      <c r="DE263" t="str">
        <f>""</f>
        <v/>
      </c>
      <c r="DF263" t="str">
        <f>""</f>
        <v/>
      </c>
      <c r="DG263" t="str">
        <f>""</f>
        <v/>
      </c>
      <c r="DH263" t="str">
        <f>""</f>
        <v/>
      </c>
      <c r="DI263" t="str">
        <f>""</f>
        <v/>
      </c>
      <c r="DJ263" t="str">
        <f>""</f>
        <v/>
      </c>
      <c r="DK263" t="str">
        <f>""</f>
        <v/>
      </c>
      <c r="DL263" t="str">
        <f>""</f>
        <v/>
      </c>
      <c r="DM263" t="str">
        <f>""</f>
        <v/>
      </c>
      <c r="DN263" t="str">
        <f>""</f>
        <v/>
      </c>
      <c r="DO263" t="str">
        <f>""</f>
        <v/>
      </c>
      <c r="DP263" t="str">
        <f>""</f>
        <v/>
      </c>
      <c r="DQ263" t="str">
        <f>""</f>
        <v/>
      </c>
      <c r="DR263" t="str">
        <f>""</f>
        <v/>
      </c>
      <c r="DS263" t="str">
        <f>""</f>
        <v/>
      </c>
      <c r="DT263" t="str">
        <f>""</f>
        <v/>
      </c>
      <c r="DU263" t="str">
        <f>""</f>
        <v/>
      </c>
    </row>
    <row r="264" spans="1:125" x14ac:dyDescent="0.25">
      <c r="A264" t="str">
        <f>""</f>
        <v/>
      </c>
      <c r="B264" t="str">
        <f>""</f>
        <v/>
      </c>
      <c r="C264" t="str">
        <f>""</f>
        <v/>
      </c>
      <c r="D264" t="str">
        <f>""</f>
        <v/>
      </c>
      <c r="E264" t="str">
        <f>""</f>
        <v/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  <c r="BT264" t="str">
        <f>""</f>
        <v/>
      </c>
      <c r="BU264" t="str">
        <f>""</f>
        <v/>
      </c>
      <c r="BV264" t="str">
        <f>""</f>
        <v/>
      </c>
      <c r="BW264" t="str">
        <f>""</f>
        <v/>
      </c>
      <c r="BX264" t="str">
        <f>""</f>
        <v/>
      </c>
      <c r="BY264" t="str">
        <f>""</f>
        <v/>
      </c>
      <c r="BZ264" t="str">
        <f>""</f>
        <v/>
      </c>
      <c r="CA264" t="str">
        <f>""</f>
        <v/>
      </c>
      <c r="CB264" t="str">
        <f>""</f>
        <v/>
      </c>
      <c r="CC264" t="str">
        <f>""</f>
        <v/>
      </c>
      <c r="CD264" t="str">
        <f>""</f>
        <v/>
      </c>
      <c r="CE264" t="str">
        <f>""</f>
        <v/>
      </c>
      <c r="CF264" t="str">
        <f>""</f>
        <v/>
      </c>
      <c r="CG264" t="str">
        <f>""</f>
        <v/>
      </c>
      <c r="CH264" t="str">
        <f>""</f>
        <v/>
      </c>
      <c r="CI264" t="str">
        <f>""</f>
        <v/>
      </c>
      <c r="CJ264" t="str">
        <f>""</f>
        <v/>
      </c>
      <c r="CK264" t="str">
        <f>""</f>
        <v/>
      </c>
      <c r="CL264" t="str">
        <f>""</f>
        <v/>
      </c>
      <c r="CM264" t="str">
        <f>""</f>
        <v/>
      </c>
      <c r="CN264" t="str">
        <f>""</f>
        <v/>
      </c>
      <c r="CO264" t="str">
        <f>""</f>
        <v/>
      </c>
      <c r="CP264" t="str">
        <f>""</f>
        <v/>
      </c>
      <c r="CQ264" t="str">
        <f>""</f>
        <v/>
      </c>
      <c r="CR264" t="str">
        <f>""</f>
        <v/>
      </c>
      <c r="CS264" t="str">
        <f>""</f>
        <v/>
      </c>
      <c r="CT264" t="str">
        <f>""</f>
        <v/>
      </c>
      <c r="CU264" t="str">
        <f>""</f>
        <v/>
      </c>
      <c r="CV264" t="str">
        <f>""</f>
        <v/>
      </c>
      <c r="CW264" t="str">
        <f>""</f>
        <v/>
      </c>
      <c r="CX264" t="str">
        <f>""</f>
        <v/>
      </c>
      <c r="CY264" t="str">
        <f>""</f>
        <v/>
      </c>
      <c r="CZ264" t="str">
        <f>""</f>
        <v/>
      </c>
      <c r="DA264" t="str">
        <f>""</f>
        <v/>
      </c>
      <c r="DB264" t="str">
        <f>""</f>
        <v/>
      </c>
      <c r="DC264" t="str">
        <f>""</f>
        <v/>
      </c>
      <c r="DD264" t="str">
        <f>""</f>
        <v/>
      </c>
      <c r="DE264" t="str">
        <f>""</f>
        <v/>
      </c>
      <c r="DF264" t="str">
        <f>""</f>
        <v/>
      </c>
      <c r="DG264" t="str">
        <f>""</f>
        <v/>
      </c>
      <c r="DH264" t="str">
        <f>""</f>
        <v/>
      </c>
      <c r="DI264" t="str">
        <f>""</f>
        <v/>
      </c>
      <c r="DJ264" t="str">
        <f>""</f>
        <v/>
      </c>
      <c r="DK264" t="str">
        <f>""</f>
        <v/>
      </c>
      <c r="DL264" t="str">
        <f>""</f>
        <v/>
      </c>
      <c r="DM264" t="str">
        <f>""</f>
        <v/>
      </c>
      <c r="DN264" t="str">
        <f>""</f>
        <v/>
      </c>
      <c r="DO264" t="str">
        <f>""</f>
        <v/>
      </c>
      <c r="DP264" t="str">
        <f>""</f>
        <v/>
      </c>
      <c r="DQ264" t="str">
        <f>""</f>
        <v/>
      </c>
      <c r="DR264" t="str">
        <f>""</f>
        <v/>
      </c>
      <c r="DS264" t="str">
        <f>""</f>
        <v/>
      </c>
      <c r="DT264" t="str">
        <f>""</f>
        <v/>
      </c>
      <c r="DU264" t="str">
        <f>""</f>
        <v/>
      </c>
    </row>
    <row r="265" spans="1:125" x14ac:dyDescent="0.25">
      <c r="A265" t="str">
        <f>""</f>
        <v/>
      </c>
      <c r="B265" t="str">
        <f>""</f>
        <v/>
      </c>
      <c r="C265" t="str">
        <f>""</f>
        <v/>
      </c>
      <c r="D265" t="str">
        <f>""</f>
        <v/>
      </c>
      <c r="E265" t="str">
        <f>""</f>
        <v/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  <c r="BT265" t="str">
        <f>""</f>
        <v/>
      </c>
      <c r="BU265" t="str">
        <f>""</f>
        <v/>
      </c>
      <c r="BV265" t="str">
        <f>""</f>
        <v/>
      </c>
      <c r="BW265" t="str">
        <f>""</f>
        <v/>
      </c>
      <c r="BX265" t="str">
        <f>""</f>
        <v/>
      </c>
      <c r="BY265" t="str">
        <f>""</f>
        <v/>
      </c>
      <c r="BZ265" t="str">
        <f>""</f>
        <v/>
      </c>
      <c r="CA265" t="str">
        <f>""</f>
        <v/>
      </c>
      <c r="CB265" t="str">
        <f>""</f>
        <v/>
      </c>
      <c r="CC265" t="str">
        <f>""</f>
        <v/>
      </c>
      <c r="CD265" t="str">
        <f>""</f>
        <v/>
      </c>
      <c r="CE265" t="str">
        <f>""</f>
        <v/>
      </c>
      <c r="CF265" t="str">
        <f>""</f>
        <v/>
      </c>
      <c r="CG265" t="str">
        <f>""</f>
        <v/>
      </c>
      <c r="CH265" t="str">
        <f>""</f>
        <v/>
      </c>
      <c r="CI265" t="str">
        <f>""</f>
        <v/>
      </c>
      <c r="CJ265" t="str">
        <f>""</f>
        <v/>
      </c>
      <c r="CK265" t="str">
        <f>""</f>
        <v/>
      </c>
      <c r="CL265" t="str">
        <f>""</f>
        <v/>
      </c>
      <c r="CM265" t="str">
        <f>""</f>
        <v/>
      </c>
      <c r="CN265" t="str">
        <f>""</f>
        <v/>
      </c>
      <c r="CO265" t="str">
        <f>""</f>
        <v/>
      </c>
      <c r="CP265" t="str">
        <f>""</f>
        <v/>
      </c>
      <c r="CQ265" t="str">
        <f>""</f>
        <v/>
      </c>
      <c r="CR265" t="str">
        <f>""</f>
        <v/>
      </c>
      <c r="CS265" t="str">
        <f>""</f>
        <v/>
      </c>
      <c r="CT265" t="str">
        <f>""</f>
        <v/>
      </c>
      <c r="CU265" t="str">
        <f>""</f>
        <v/>
      </c>
      <c r="CV265" t="str">
        <f>""</f>
        <v/>
      </c>
      <c r="CW265" t="str">
        <f>""</f>
        <v/>
      </c>
      <c r="CX265" t="str">
        <f>""</f>
        <v/>
      </c>
      <c r="CY265" t="str">
        <f>""</f>
        <v/>
      </c>
      <c r="CZ265" t="str">
        <f>""</f>
        <v/>
      </c>
      <c r="DA265" t="str">
        <f>""</f>
        <v/>
      </c>
      <c r="DB265" t="str">
        <f>""</f>
        <v/>
      </c>
      <c r="DC265" t="str">
        <f>""</f>
        <v/>
      </c>
      <c r="DD265" t="str">
        <f>""</f>
        <v/>
      </c>
      <c r="DE265" t="str">
        <f>""</f>
        <v/>
      </c>
      <c r="DF265" t="str">
        <f>""</f>
        <v/>
      </c>
      <c r="DG265" t="str">
        <f>""</f>
        <v/>
      </c>
      <c r="DH265" t="str">
        <f>""</f>
        <v/>
      </c>
      <c r="DI265" t="str">
        <f>""</f>
        <v/>
      </c>
      <c r="DJ265" t="str">
        <f>""</f>
        <v/>
      </c>
      <c r="DK265" t="str">
        <f>""</f>
        <v/>
      </c>
      <c r="DL265" t="str">
        <f>""</f>
        <v/>
      </c>
      <c r="DM265" t="str">
        <f>""</f>
        <v/>
      </c>
      <c r="DN265" t="str">
        <f>""</f>
        <v/>
      </c>
      <c r="DO265" t="str">
        <f>""</f>
        <v/>
      </c>
      <c r="DP265" t="str">
        <f>""</f>
        <v/>
      </c>
      <c r="DQ265" t="str">
        <f>""</f>
        <v/>
      </c>
      <c r="DR265" t="str">
        <f>""</f>
        <v/>
      </c>
      <c r="DS265" t="str">
        <f>""</f>
        <v/>
      </c>
      <c r="DT265" t="str">
        <f>""</f>
        <v/>
      </c>
      <c r="DU265" t="str">
        <f>""</f>
        <v/>
      </c>
    </row>
    <row r="266" spans="1:125" x14ac:dyDescent="0.25">
      <c r="A266" t="str">
        <f>"~~~~~~~~~~~~~~~~~~~~~"</f>
        <v>~~~~~~~~~~~~~~~~~~~~~</v>
      </c>
      <c r="B266" t="str">
        <f>"~~~~~~~~~~~~~~~~~~~~~"</f>
        <v>~~~~~~~~~~~~~~~~~~~~~</v>
      </c>
      <c r="C266" t="str">
        <f>"~~~~~~~~~~~~~~~~~~~~~"</f>
        <v>~~~~~~~~~~~~~~~~~~~~~</v>
      </c>
      <c r="D266" t="str">
        <f>"~~~~~~~~~~~~~~~~~~~~~"</f>
        <v>~~~~~~~~~~~~~~~~~~~~~</v>
      </c>
      <c r="E266" t="str">
        <f>"~~~~~~~~~~~~~~~~~~~~~"</f>
        <v>~~~~~~~~~~~~~~~~~~~~~</v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  <c r="BT266" t="str">
        <f>""</f>
        <v/>
      </c>
      <c r="BU266" t="str">
        <f>""</f>
        <v/>
      </c>
      <c r="BV266" t="str">
        <f>""</f>
        <v/>
      </c>
      <c r="BW266" t="str">
        <f>""</f>
        <v/>
      </c>
      <c r="BX266" t="str">
        <f>""</f>
        <v/>
      </c>
      <c r="BY266" t="str">
        <f>""</f>
        <v/>
      </c>
      <c r="BZ266" t="str">
        <f>""</f>
        <v/>
      </c>
      <c r="CA266" t="str">
        <f>""</f>
        <v/>
      </c>
      <c r="CB266" t="str">
        <f>""</f>
        <v/>
      </c>
      <c r="CC266" t="str">
        <f>""</f>
        <v/>
      </c>
      <c r="CD266" t="str">
        <f>""</f>
        <v/>
      </c>
      <c r="CE266" t="str">
        <f>""</f>
        <v/>
      </c>
      <c r="CF266" t="str">
        <f>""</f>
        <v/>
      </c>
      <c r="CG266" t="str">
        <f>""</f>
        <v/>
      </c>
      <c r="CH266" t="str">
        <f>""</f>
        <v/>
      </c>
      <c r="CI266" t="str">
        <f>""</f>
        <v/>
      </c>
      <c r="CJ266" t="str">
        <f>""</f>
        <v/>
      </c>
      <c r="CK266" t="str">
        <f>""</f>
        <v/>
      </c>
      <c r="CL266" t="str">
        <f>""</f>
        <v/>
      </c>
      <c r="CM266" t="str">
        <f>""</f>
        <v/>
      </c>
      <c r="CN266" t="str">
        <f>""</f>
        <v/>
      </c>
      <c r="CO266" t="str">
        <f>""</f>
        <v/>
      </c>
      <c r="CP266" t="str">
        <f>""</f>
        <v/>
      </c>
      <c r="CQ266" t="str">
        <f>""</f>
        <v/>
      </c>
      <c r="CR266" t="str">
        <f>""</f>
        <v/>
      </c>
      <c r="CS266" t="str">
        <f>""</f>
        <v/>
      </c>
      <c r="CT266" t="str">
        <f>""</f>
        <v/>
      </c>
      <c r="CU266" t="str">
        <f>""</f>
        <v/>
      </c>
      <c r="CV266" t="str">
        <f>""</f>
        <v/>
      </c>
      <c r="CW266" t="str">
        <f>""</f>
        <v/>
      </c>
      <c r="CX266" t="str">
        <f>""</f>
        <v/>
      </c>
      <c r="CY266" t="str">
        <f>""</f>
        <v/>
      </c>
      <c r="CZ266" t="str">
        <f>""</f>
        <v/>
      </c>
      <c r="DA266" t="str">
        <f>""</f>
        <v/>
      </c>
      <c r="DB266" t="str">
        <f>""</f>
        <v/>
      </c>
      <c r="DC266" t="str">
        <f>""</f>
        <v/>
      </c>
      <c r="DD266" t="str">
        <f>""</f>
        <v/>
      </c>
      <c r="DE266" t="str">
        <f>""</f>
        <v/>
      </c>
      <c r="DF266" t="str">
        <f>""</f>
        <v/>
      </c>
      <c r="DG266" t="str">
        <f>""</f>
        <v/>
      </c>
      <c r="DH266" t="str">
        <f>""</f>
        <v/>
      </c>
      <c r="DI266" t="str">
        <f>""</f>
        <v/>
      </c>
      <c r="DJ266" t="str">
        <f>""</f>
        <v/>
      </c>
      <c r="DK266" t="str">
        <f>""</f>
        <v/>
      </c>
      <c r="DL266" t="str">
        <f>""</f>
        <v/>
      </c>
      <c r="DM266" t="str">
        <f>""</f>
        <v/>
      </c>
      <c r="DN266" t="str">
        <f>""</f>
        <v/>
      </c>
      <c r="DO266" t="str">
        <f>""</f>
        <v/>
      </c>
      <c r="DP266" t="str">
        <f>""</f>
        <v/>
      </c>
      <c r="DQ266" t="str">
        <f>""</f>
        <v/>
      </c>
      <c r="DR266" t="str">
        <f>""</f>
        <v/>
      </c>
      <c r="DS266" t="str">
        <f>""</f>
        <v/>
      </c>
      <c r="DT266" t="str">
        <f>""</f>
        <v/>
      </c>
      <c r="DU266" t="str">
        <f>""</f>
        <v/>
      </c>
    </row>
    <row r="267" spans="1:125" x14ac:dyDescent="0.25">
      <c r="A267" t="str">
        <f>"Rows below for column date calculation"</f>
        <v>Rows below for column date calculation</v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  <c r="BT267" t="str">
        <f>""</f>
        <v/>
      </c>
      <c r="BU267" t="str">
        <f>""</f>
        <v/>
      </c>
      <c r="BV267" t="str">
        <f>""</f>
        <v/>
      </c>
      <c r="BW267" t="str">
        <f>""</f>
        <v/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  <c r="CH267" t="str">
        <f>""</f>
        <v/>
      </c>
      <c r="CI267" t="str">
        <f>""</f>
        <v/>
      </c>
      <c r="CJ267" t="str">
        <f>""</f>
        <v/>
      </c>
      <c r="CK267" t="str">
        <f>""</f>
        <v/>
      </c>
      <c r="CL267" t="str">
        <f>""</f>
        <v/>
      </c>
      <c r="CM267" t="str">
        <f>""</f>
        <v/>
      </c>
      <c r="CN267" t="str">
        <f>""</f>
        <v/>
      </c>
      <c r="CO267" t="str">
        <f>""</f>
        <v/>
      </c>
      <c r="CP267" t="str">
        <f>""</f>
        <v/>
      </c>
      <c r="CQ267" t="str">
        <f>""</f>
        <v/>
      </c>
      <c r="CR267" t="str">
        <f>""</f>
        <v/>
      </c>
      <c r="CS267" t="str">
        <f>""</f>
        <v/>
      </c>
      <c r="CT267" t="str">
        <f>""</f>
        <v/>
      </c>
      <c r="CU267" t="str">
        <f>""</f>
        <v/>
      </c>
      <c r="CV267" t="str">
        <f>""</f>
        <v/>
      </c>
      <c r="CW267" t="str">
        <f>""</f>
        <v/>
      </c>
      <c r="CX267" t="str">
        <f>""</f>
        <v/>
      </c>
      <c r="CY267" t="str">
        <f>""</f>
        <v/>
      </c>
      <c r="CZ267" t="str">
        <f>""</f>
        <v/>
      </c>
      <c r="DA267" t="str">
        <f>""</f>
        <v/>
      </c>
      <c r="DB267" t="str">
        <f>""</f>
        <v/>
      </c>
      <c r="DC267" t="str">
        <f>""</f>
        <v/>
      </c>
      <c r="DD267" t="str">
        <f>""</f>
        <v/>
      </c>
      <c r="DE267" t="str">
        <f>""</f>
        <v/>
      </c>
      <c r="DF267" t="str">
        <f>""</f>
        <v/>
      </c>
      <c r="DG267" t="str">
        <f>""</f>
        <v/>
      </c>
      <c r="DH267" t="str">
        <f>""</f>
        <v/>
      </c>
      <c r="DI267" t="str">
        <f>""</f>
        <v/>
      </c>
      <c r="DJ267" t="str">
        <f>""</f>
        <v/>
      </c>
      <c r="DK267" t="str">
        <f>""</f>
        <v/>
      </c>
      <c r="DL267" t="str">
        <f>""</f>
        <v/>
      </c>
      <c r="DM267" t="str">
        <f>""</f>
        <v/>
      </c>
      <c r="DN267" t="str">
        <f>""</f>
        <v/>
      </c>
      <c r="DO267" t="str">
        <f>""</f>
        <v/>
      </c>
      <c r="DP267" t="str">
        <f>""</f>
        <v/>
      </c>
      <c r="DQ267" t="str">
        <f>""</f>
        <v/>
      </c>
      <c r="DR267" t="str">
        <f>""</f>
        <v/>
      </c>
      <c r="DS267" t="str">
        <f>""</f>
        <v/>
      </c>
      <c r="DT267" t="str">
        <f>""</f>
        <v/>
      </c>
      <c r="DU267" t="str">
        <f>""</f>
        <v/>
      </c>
    </row>
    <row r="268" spans="1:125" x14ac:dyDescent="0.25">
      <c r="A268" t="str">
        <f>"Downloaded at"</f>
        <v>Downloaded at</v>
      </c>
      <c r="B268">
        <f>DATE(2019, 2,28)</f>
        <v>43524</v>
      </c>
      <c r="C268" t="str">
        <f>""</f>
        <v/>
      </c>
      <c r="D268" t="str">
        <f>""</f>
        <v/>
      </c>
      <c r="E268" t="str">
        <f>""</f>
        <v/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  <c r="BT268" t="str">
        <f>""</f>
        <v/>
      </c>
      <c r="BU268" t="str">
        <f>""</f>
        <v/>
      </c>
      <c r="BV268" t="str">
        <f>""</f>
        <v/>
      </c>
      <c r="BW268" t="str">
        <f>""</f>
        <v/>
      </c>
      <c r="BX268" t="str">
        <f>""</f>
        <v/>
      </c>
      <c r="BY268" t="str">
        <f>""</f>
        <v/>
      </c>
      <c r="BZ268" t="str">
        <f>""</f>
        <v/>
      </c>
      <c r="CA268" t="str">
        <f>""</f>
        <v/>
      </c>
      <c r="CB268" t="str">
        <f>""</f>
        <v/>
      </c>
      <c r="CC268" t="str">
        <f>""</f>
        <v/>
      </c>
      <c r="CD268" t="str">
        <f>""</f>
        <v/>
      </c>
      <c r="CE268" t="str">
        <f>""</f>
        <v/>
      </c>
      <c r="CF268" t="str">
        <f>""</f>
        <v/>
      </c>
      <c r="CG268" t="str">
        <f>""</f>
        <v/>
      </c>
      <c r="CH268" t="str">
        <f>""</f>
        <v/>
      </c>
      <c r="CI268" t="str">
        <f>""</f>
        <v/>
      </c>
      <c r="CJ268" t="str">
        <f>""</f>
        <v/>
      </c>
      <c r="CK268" t="str">
        <f>""</f>
        <v/>
      </c>
      <c r="CL268" t="str">
        <f>""</f>
        <v/>
      </c>
      <c r="CM268" t="str">
        <f>""</f>
        <v/>
      </c>
      <c r="CN268" t="str">
        <f>""</f>
        <v/>
      </c>
      <c r="CO268" t="str">
        <f>""</f>
        <v/>
      </c>
      <c r="CP268" t="str">
        <f>""</f>
        <v/>
      </c>
      <c r="CQ268" t="str">
        <f>""</f>
        <v/>
      </c>
      <c r="CR268" t="str">
        <f>""</f>
        <v/>
      </c>
      <c r="CS268" t="str">
        <f>""</f>
        <v/>
      </c>
      <c r="CT268" t="str">
        <f>""</f>
        <v/>
      </c>
      <c r="CU268" t="str">
        <f>""</f>
        <v/>
      </c>
      <c r="CV268" t="str">
        <f>""</f>
        <v/>
      </c>
      <c r="CW268" t="str">
        <f>""</f>
        <v/>
      </c>
      <c r="CX268" t="str">
        <f>""</f>
        <v/>
      </c>
      <c r="CY268" t="str">
        <f>""</f>
        <v/>
      </c>
      <c r="CZ268" t="str">
        <f>""</f>
        <v/>
      </c>
      <c r="DA268" t="str">
        <f>""</f>
        <v/>
      </c>
      <c r="DB268" t="str">
        <f>""</f>
        <v/>
      </c>
      <c r="DC268" t="str">
        <f>""</f>
        <v/>
      </c>
      <c r="DD268" t="str">
        <f>""</f>
        <v/>
      </c>
      <c r="DE268" t="str">
        <f>""</f>
        <v/>
      </c>
      <c r="DF268" t="str">
        <f>""</f>
        <v/>
      </c>
      <c r="DG268" t="str">
        <f>""</f>
        <v/>
      </c>
      <c r="DH268" t="str">
        <f>""</f>
        <v/>
      </c>
      <c r="DI268" t="str">
        <f>""</f>
        <v/>
      </c>
      <c r="DJ268" t="str">
        <f>""</f>
        <v/>
      </c>
      <c r="DK268" t="str">
        <f>""</f>
        <v/>
      </c>
      <c r="DL268" t="str">
        <f>""</f>
        <v/>
      </c>
      <c r="DM268" t="str">
        <f>""</f>
        <v/>
      </c>
      <c r="DN268" t="str">
        <f>""</f>
        <v/>
      </c>
      <c r="DO268" t="str">
        <f>""</f>
        <v/>
      </c>
      <c r="DP268" t="str">
        <f>""</f>
        <v/>
      </c>
      <c r="DQ268" t="str">
        <f>""</f>
        <v/>
      </c>
      <c r="DR268" t="str">
        <f>""</f>
        <v/>
      </c>
      <c r="DS268" t="str">
        <f>""</f>
        <v/>
      </c>
      <c r="DT268" t="str">
        <f>""</f>
        <v/>
      </c>
      <c r="DU268" t="str">
        <f>""</f>
        <v/>
      </c>
    </row>
    <row r="269" spans="1:125" x14ac:dyDescent="0.25">
      <c r="A269" t="str">
        <f>"This is End Date"</f>
        <v>This is End Date</v>
      </c>
      <c r="B269">
        <f ca="1">$B$155</f>
        <v>43555</v>
      </c>
      <c r="C269" t="str">
        <f>""</f>
        <v/>
      </c>
      <c r="D269" t="str">
        <f>""</f>
        <v/>
      </c>
      <c r="E269" t="str">
        <f>""</f>
        <v/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  <c r="BT269" t="str">
        <f>""</f>
        <v/>
      </c>
      <c r="BU269" t="str">
        <f>""</f>
        <v/>
      </c>
      <c r="BV269" t="str">
        <f>""</f>
        <v/>
      </c>
      <c r="BW269" t="str">
        <f>""</f>
        <v/>
      </c>
      <c r="BX269" t="str">
        <f>""</f>
        <v/>
      </c>
      <c r="BY269" t="str">
        <f>""</f>
        <v/>
      </c>
      <c r="BZ269" t="str">
        <f>""</f>
        <v/>
      </c>
      <c r="CA269" t="str">
        <f>""</f>
        <v/>
      </c>
      <c r="CB269" t="str">
        <f>""</f>
        <v/>
      </c>
      <c r="CC269" t="str">
        <f>""</f>
        <v/>
      </c>
      <c r="CD269" t="str">
        <f>""</f>
        <v/>
      </c>
      <c r="CE269" t="str">
        <f>""</f>
        <v/>
      </c>
      <c r="CF269" t="str">
        <f>""</f>
        <v/>
      </c>
      <c r="CG269" t="str">
        <f>""</f>
        <v/>
      </c>
      <c r="CH269" t="str">
        <f>""</f>
        <v/>
      </c>
      <c r="CI269" t="str">
        <f>""</f>
        <v/>
      </c>
      <c r="CJ269" t="str">
        <f>""</f>
        <v/>
      </c>
      <c r="CK269" t="str">
        <f>""</f>
        <v/>
      </c>
      <c r="CL269" t="str">
        <f>""</f>
        <v/>
      </c>
      <c r="CM269" t="str">
        <f>""</f>
        <v/>
      </c>
      <c r="CN269" t="str">
        <f>""</f>
        <v/>
      </c>
      <c r="CO269" t="str">
        <f>""</f>
        <v/>
      </c>
      <c r="CP269" t="str">
        <f>""</f>
        <v/>
      </c>
      <c r="CQ269" t="str">
        <f>""</f>
        <v/>
      </c>
      <c r="CR269" t="str">
        <f>""</f>
        <v/>
      </c>
      <c r="CS269" t="str">
        <f>""</f>
        <v/>
      </c>
      <c r="CT269" t="str">
        <f>""</f>
        <v/>
      </c>
      <c r="CU269" t="str">
        <f>""</f>
        <v/>
      </c>
      <c r="CV269" t="str">
        <f>""</f>
        <v/>
      </c>
      <c r="CW269" t="str">
        <f>""</f>
        <v/>
      </c>
      <c r="CX269" t="str">
        <f>""</f>
        <v/>
      </c>
      <c r="CY269" t="str">
        <f>""</f>
        <v/>
      </c>
      <c r="CZ269" t="str">
        <f>""</f>
        <v/>
      </c>
      <c r="DA269" t="str">
        <f>""</f>
        <v/>
      </c>
      <c r="DB269" t="str">
        <f>""</f>
        <v/>
      </c>
      <c r="DC269" t="str">
        <f>""</f>
        <v/>
      </c>
      <c r="DD269" t="str">
        <f>""</f>
        <v/>
      </c>
      <c r="DE269" t="str">
        <f>""</f>
        <v/>
      </c>
      <c r="DF269" t="str">
        <f>""</f>
        <v/>
      </c>
      <c r="DG269" t="str">
        <f>""</f>
        <v/>
      </c>
      <c r="DH269" t="str">
        <f>""</f>
        <v/>
      </c>
      <c r="DI269" t="str">
        <f>""</f>
        <v/>
      </c>
      <c r="DJ269" t="str">
        <f>""</f>
        <v/>
      </c>
      <c r="DK269" t="str">
        <f>""</f>
        <v/>
      </c>
      <c r="DL269" t="str">
        <f>""</f>
        <v/>
      </c>
      <c r="DM269" t="str">
        <f>""</f>
        <v/>
      </c>
      <c r="DN269" t="str">
        <f>""</f>
        <v/>
      </c>
      <c r="DO269" t="str">
        <f>""</f>
        <v/>
      </c>
      <c r="DP269" t="str">
        <f>""</f>
        <v/>
      </c>
      <c r="DQ269" t="str">
        <f>""</f>
        <v/>
      </c>
      <c r="DR269" t="str">
        <f>""</f>
        <v/>
      </c>
      <c r="DS269" t="str">
        <f>""</f>
        <v/>
      </c>
      <c r="DT269" t="str">
        <f>""</f>
        <v/>
      </c>
      <c r="DU269" t="str">
        <f>""</f>
        <v/>
      </c>
    </row>
    <row r="270" spans="1:125" x14ac:dyDescent="0.25">
      <c r="A270" t="str">
        <f>"Description"</f>
        <v>Description</v>
      </c>
      <c r="B270" t="str">
        <f>"Ticker"</f>
        <v>Ticker</v>
      </c>
      <c r="C270" t="str">
        <f>"Field ID"</f>
        <v>Field ID</v>
      </c>
      <c r="D270" t="str">
        <f>"Field Mnemonic"</f>
        <v>Field Mnemonic</v>
      </c>
      <c r="E270" t="str">
        <f>"Data State"</f>
        <v>Data State</v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  <c r="BT270" t="str">
        <f>""</f>
        <v/>
      </c>
      <c r="BU270" t="str">
        <f>""</f>
        <v/>
      </c>
      <c r="BV270" t="str">
        <f>""</f>
        <v/>
      </c>
      <c r="BW270" t="str">
        <f>""</f>
        <v/>
      </c>
      <c r="BX270" t="str">
        <f>""</f>
        <v/>
      </c>
      <c r="BY270" t="str">
        <f>""</f>
        <v/>
      </c>
      <c r="BZ270" t="str">
        <f>""</f>
        <v/>
      </c>
      <c r="CA270" t="str">
        <f>""</f>
        <v/>
      </c>
      <c r="CB270" t="str">
        <f>""</f>
        <v/>
      </c>
      <c r="CC270" t="str">
        <f>""</f>
        <v/>
      </c>
      <c r="CD270" t="str">
        <f>""</f>
        <v/>
      </c>
      <c r="CE270" t="str">
        <f>""</f>
        <v/>
      </c>
      <c r="CF270" t="str">
        <f>""</f>
        <v/>
      </c>
      <c r="CG270" t="str">
        <f>""</f>
        <v/>
      </c>
      <c r="CH270" t="str">
        <f>""</f>
        <v/>
      </c>
      <c r="CI270" t="str">
        <f>""</f>
        <v/>
      </c>
      <c r="CJ270" t="str">
        <f>""</f>
        <v/>
      </c>
      <c r="CK270" t="str">
        <f>""</f>
        <v/>
      </c>
      <c r="CL270" t="str">
        <f>""</f>
        <v/>
      </c>
      <c r="CM270" t="str">
        <f>""</f>
        <v/>
      </c>
      <c r="CN270" t="str">
        <f>""</f>
        <v/>
      </c>
      <c r="CO270" t="str">
        <f>""</f>
        <v/>
      </c>
      <c r="CP270" t="str">
        <f>""</f>
        <v/>
      </c>
      <c r="CQ270" t="str">
        <f>""</f>
        <v/>
      </c>
      <c r="CR270" t="str">
        <f>""</f>
        <v/>
      </c>
      <c r="CS270" t="str">
        <f>""</f>
        <v/>
      </c>
      <c r="CT270" t="str">
        <f>""</f>
        <v/>
      </c>
      <c r="CU270" t="str">
        <f>""</f>
        <v/>
      </c>
      <c r="CV270" t="str">
        <f>""</f>
        <v/>
      </c>
      <c r="CW270" t="str">
        <f>""</f>
        <v/>
      </c>
      <c r="CX270" t="str">
        <f>""</f>
        <v/>
      </c>
      <c r="CY270" t="str">
        <f>""</f>
        <v/>
      </c>
      <c r="CZ270" t="str">
        <f>""</f>
        <v/>
      </c>
      <c r="DA270" t="str">
        <f>""</f>
        <v/>
      </c>
      <c r="DB270" t="str">
        <f>""</f>
        <v/>
      </c>
      <c r="DC270" t="str">
        <f>""</f>
        <v/>
      </c>
      <c r="DD270" t="str">
        <f>""</f>
        <v/>
      </c>
      <c r="DE270" t="str">
        <f>""</f>
        <v/>
      </c>
      <c r="DF270" t="str">
        <f>""</f>
        <v/>
      </c>
      <c r="DG270" t="str">
        <f>""</f>
        <v/>
      </c>
      <c r="DH270" t="str">
        <f>""</f>
        <v/>
      </c>
      <c r="DI270" t="str">
        <f>""</f>
        <v/>
      </c>
      <c r="DJ270" t="str">
        <f>""</f>
        <v/>
      </c>
      <c r="DK270" t="str">
        <f>""</f>
        <v/>
      </c>
      <c r="DL270" t="str">
        <f>""</f>
        <v/>
      </c>
      <c r="DM270" t="str">
        <f>""</f>
        <v/>
      </c>
      <c r="DN270" t="str">
        <f>""</f>
        <v/>
      </c>
      <c r="DO270" t="str">
        <f>""</f>
        <v/>
      </c>
      <c r="DP270" t="str">
        <f>""</f>
        <v/>
      </c>
      <c r="DQ270" t="str">
        <f>""</f>
        <v/>
      </c>
      <c r="DR270" t="str">
        <f>""</f>
        <v/>
      </c>
      <c r="DS270" t="str">
        <f>""</f>
        <v/>
      </c>
      <c r="DT270" t="str">
        <f>""</f>
        <v/>
      </c>
      <c r="DU270" t="str">
        <f>""</f>
        <v/>
      </c>
    </row>
    <row r="271" spans="1:125" x14ac:dyDescent="0.25">
      <c r="A271" t="str">
        <f>"Snapshot Date"</f>
        <v>Snapshot Date</v>
      </c>
      <c r="B271">
        <f>DATE(2019, 3,31)</f>
        <v>43555</v>
      </c>
      <c r="C271" t="str">
        <f>""</f>
        <v/>
      </c>
      <c r="D271" t="str">
        <f>""</f>
        <v/>
      </c>
      <c r="E271" t="str">
        <f>""</f>
        <v/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  <c r="BT271" t="str">
        <f>""</f>
        <v/>
      </c>
      <c r="BU271" t="str">
        <f>""</f>
        <v/>
      </c>
      <c r="BV271" t="str">
        <f>""</f>
        <v/>
      </c>
      <c r="BW271" t="str">
        <f>""</f>
        <v/>
      </c>
      <c r="BX271" t="str">
        <f>""</f>
        <v/>
      </c>
      <c r="BY271" t="str">
        <f>""</f>
        <v/>
      </c>
      <c r="BZ271" t="str">
        <f>""</f>
        <v/>
      </c>
      <c r="CA271" t="str">
        <f>""</f>
        <v/>
      </c>
      <c r="CB271" t="str">
        <f>""</f>
        <v/>
      </c>
      <c r="CC271" t="str">
        <f>""</f>
        <v/>
      </c>
      <c r="CD271" t="str">
        <f>""</f>
        <v/>
      </c>
      <c r="CE271" t="str">
        <f>""</f>
        <v/>
      </c>
      <c r="CF271" t="str">
        <f>""</f>
        <v/>
      </c>
      <c r="CG271" t="str">
        <f>""</f>
        <v/>
      </c>
      <c r="CH271" t="str">
        <f>""</f>
        <v/>
      </c>
      <c r="CI271" t="str">
        <f>""</f>
        <v/>
      </c>
      <c r="CJ271" t="str">
        <f>""</f>
        <v/>
      </c>
      <c r="CK271" t="str">
        <f>""</f>
        <v/>
      </c>
      <c r="CL271" t="str">
        <f>""</f>
        <v/>
      </c>
      <c r="CM271" t="str">
        <f>""</f>
        <v/>
      </c>
      <c r="CN271" t="str">
        <f>""</f>
        <v/>
      </c>
      <c r="CO271" t="str">
        <f>""</f>
        <v/>
      </c>
      <c r="CP271" t="str">
        <f>""</f>
        <v/>
      </c>
      <c r="CQ271" t="str">
        <f>""</f>
        <v/>
      </c>
      <c r="CR271" t="str">
        <f>""</f>
        <v/>
      </c>
      <c r="CS271" t="str">
        <f>""</f>
        <v/>
      </c>
      <c r="CT271" t="str">
        <f>""</f>
        <v/>
      </c>
      <c r="CU271" t="str">
        <f>""</f>
        <v/>
      </c>
      <c r="CV271" t="str">
        <f>""</f>
        <v/>
      </c>
      <c r="CW271" t="str">
        <f>""</f>
        <v/>
      </c>
      <c r="CX271" t="str">
        <f>""</f>
        <v/>
      </c>
      <c r="CY271" t="str">
        <f>""</f>
        <v/>
      </c>
      <c r="CZ271" t="str">
        <f>""</f>
        <v/>
      </c>
      <c r="DA271" t="str">
        <f>""</f>
        <v/>
      </c>
      <c r="DB271" t="str">
        <f>""</f>
        <v/>
      </c>
      <c r="DC271" t="str">
        <f>""</f>
        <v/>
      </c>
      <c r="DD271" t="str">
        <f>""</f>
        <v/>
      </c>
      <c r="DE271" t="str">
        <f>""</f>
        <v/>
      </c>
      <c r="DF271" t="str">
        <f>""</f>
        <v/>
      </c>
      <c r="DG271" t="str">
        <f>""</f>
        <v/>
      </c>
      <c r="DH271" t="str">
        <f>""</f>
        <v/>
      </c>
      <c r="DI271" t="str">
        <f>""</f>
        <v/>
      </c>
      <c r="DJ271" t="str">
        <f>""</f>
        <v/>
      </c>
      <c r="DK271" t="str">
        <f>""</f>
        <v/>
      </c>
      <c r="DL271" t="str">
        <f>""</f>
        <v/>
      </c>
      <c r="DM271" t="str">
        <f>""</f>
        <v/>
      </c>
      <c r="DN271" t="str">
        <f>""</f>
        <v/>
      </c>
      <c r="DO271" t="str">
        <f>""</f>
        <v/>
      </c>
      <c r="DP271" t="str">
        <f>""</f>
        <v/>
      </c>
      <c r="DQ271" t="str">
        <f>""</f>
        <v/>
      </c>
      <c r="DR271" t="str">
        <f>""</f>
        <v/>
      </c>
      <c r="DS271" t="str">
        <f>""</f>
        <v/>
      </c>
      <c r="DT271" t="str">
        <f>""</f>
        <v/>
      </c>
      <c r="DU271" t="str">
        <f>""</f>
        <v/>
      </c>
    </row>
    <row r="272" spans="1:125" x14ac:dyDescent="0.25">
      <c r="A272" t="str">
        <f>"Snapshot header"</f>
        <v>Snapshot header</v>
      </c>
      <c r="B272">
        <f>2</f>
        <v>2</v>
      </c>
      <c r="C272" t="str">
        <f>"2019 Q1"</f>
        <v>2019 Q1</v>
      </c>
      <c r="D272" t="str">
        <f>"2018 Q4"</f>
        <v>2018 Q4</v>
      </c>
      <c r="E272" t="str">
        <f>"2018 Q3"</f>
        <v>2018 Q3</v>
      </c>
      <c r="F272" t="str">
        <f>"2018 Q2"</f>
        <v>2018 Q2</v>
      </c>
      <c r="G272" t="str">
        <f>"2018 Q1"</f>
        <v>2018 Q1</v>
      </c>
      <c r="H272" t="str">
        <f>"2017 Q4"</f>
        <v>2017 Q4</v>
      </c>
      <c r="I272" t="str">
        <f>"2017 Q3"</f>
        <v>2017 Q3</v>
      </c>
      <c r="J272" t="str">
        <f>"2017 Q2"</f>
        <v>2017 Q2</v>
      </c>
      <c r="K272" t="str">
        <f>"2017 Q1"</f>
        <v>2017 Q1</v>
      </c>
      <c r="L272" t="str">
        <f>"2016 Q4"</f>
        <v>2016 Q4</v>
      </c>
      <c r="M272" t="str">
        <f>"2016 Q3"</f>
        <v>2016 Q3</v>
      </c>
      <c r="N272" t="str">
        <f>"2016 Q2"</f>
        <v>2016 Q2</v>
      </c>
      <c r="O272" t="str">
        <f>"2016 Q1"</f>
        <v>2016 Q1</v>
      </c>
      <c r="P272" t="str">
        <f>"2015 Q4"</f>
        <v>2015 Q4</v>
      </c>
      <c r="Q272" t="str">
        <f>"2015 Q3"</f>
        <v>2015 Q3</v>
      </c>
      <c r="R272" t="str">
        <f>"2015 Q2"</f>
        <v>2015 Q2</v>
      </c>
      <c r="S272" t="str">
        <f>"2015 Q1"</f>
        <v>2015 Q1</v>
      </c>
      <c r="T272" t="str">
        <f>"2014 Q4"</f>
        <v>2014 Q4</v>
      </c>
      <c r="U272" t="str">
        <f>"2014 Q3"</f>
        <v>2014 Q3</v>
      </c>
      <c r="V272" t="str">
        <f>"2014 Q2"</f>
        <v>2014 Q2</v>
      </c>
      <c r="W272" t="str">
        <f>"2014 Q1"</f>
        <v>2014 Q1</v>
      </c>
      <c r="X272" t="str">
        <f>"2013 Q4"</f>
        <v>2013 Q4</v>
      </c>
      <c r="Y272" t="str">
        <f>"2013 Q3"</f>
        <v>2013 Q3</v>
      </c>
      <c r="Z272" t="str">
        <f>"2013 Q2"</f>
        <v>2013 Q2</v>
      </c>
      <c r="AA272" t="str">
        <f>"2013 Q1"</f>
        <v>2013 Q1</v>
      </c>
      <c r="AB272" t="str">
        <f>"2012 Q4"</f>
        <v>2012 Q4</v>
      </c>
      <c r="AC272" t="str">
        <f>"2012 Q3"</f>
        <v>2012 Q3</v>
      </c>
      <c r="AD272" t="str">
        <f>"2012 Q2"</f>
        <v>2012 Q2</v>
      </c>
      <c r="AE272" t="str">
        <f>"2012 Q1"</f>
        <v>2012 Q1</v>
      </c>
      <c r="AF272" t="str">
        <f>"2011 Q4"</f>
        <v>2011 Q4</v>
      </c>
      <c r="AG272" t="str">
        <f>"2011 Q3"</f>
        <v>2011 Q3</v>
      </c>
      <c r="AH272" t="str">
        <f>"2011 Q2"</f>
        <v>2011 Q2</v>
      </c>
      <c r="AI272" t="str">
        <f>"2011 Q1"</f>
        <v>2011 Q1</v>
      </c>
      <c r="AJ272" t="str">
        <f>"2010 Q4"</f>
        <v>2010 Q4</v>
      </c>
      <c r="AK272" t="str">
        <f>"2010 Q3"</f>
        <v>2010 Q3</v>
      </c>
      <c r="AL272" t="str">
        <f>"2010 Q2"</f>
        <v>2010 Q2</v>
      </c>
      <c r="AM272" t="str">
        <f>"2010 Q1"</f>
        <v>2010 Q1</v>
      </c>
      <c r="AN272" t="str">
        <f>"2009 Q4"</f>
        <v>2009 Q4</v>
      </c>
      <c r="AO272" t="str">
        <f>"2009 Q3"</f>
        <v>2009 Q3</v>
      </c>
      <c r="AP272" t="str">
        <f>"2009 Q2"</f>
        <v>2009 Q2</v>
      </c>
      <c r="AQ272" t="str">
        <f>"2009 Q1"</f>
        <v>2009 Q1</v>
      </c>
      <c r="AR272" t="str">
        <f>"2008 Q4"</f>
        <v>2008 Q4</v>
      </c>
      <c r="AS272" t="str">
        <f>"2008 Q3"</f>
        <v>2008 Q3</v>
      </c>
      <c r="AT272" t="str">
        <f>"2008 Q2"</f>
        <v>2008 Q2</v>
      </c>
      <c r="AU272" t="str">
        <f>"2008 Q1"</f>
        <v>2008 Q1</v>
      </c>
      <c r="AV272" t="str">
        <f>"2007 Q4"</f>
        <v>2007 Q4</v>
      </c>
      <c r="AW272" t="str">
        <f>"2007 Q3"</f>
        <v>2007 Q3</v>
      </c>
      <c r="AX272" t="str">
        <f>"2007 Q2"</f>
        <v>2007 Q2</v>
      </c>
      <c r="AY272" t="str">
        <f>"2007 Q1"</f>
        <v>2007 Q1</v>
      </c>
      <c r="AZ272" t="str">
        <f>"2006 Q4"</f>
        <v>2006 Q4</v>
      </c>
      <c r="BA272" t="str">
        <f>"2006 Q3"</f>
        <v>2006 Q3</v>
      </c>
      <c r="BB272" t="str">
        <f>"2006 Q2"</f>
        <v>2006 Q2</v>
      </c>
      <c r="BC272" t="str">
        <f>"2006 Q1"</f>
        <v>2006 Q1</v>
      </c>
      <c r="BD272" t="str">
        <f>"2005 Q4"</f>
        <v>2005 Q4</v>
      </c>
      <c r="BE272" t="str">
        <f>"2005 Q3"</f>
        <v>2005 Q3</v>
      </c>
      <c r="BF272" t="str">
        <f>"2005 Q2"</f>
        <v>2005 Q2</v>
      </c>
      <c r="BG272" t="str">
        <f>"2005 Q1"</f>
        <v>2005 Q1</v>
      </c>
      <c r="BH272" t="str">
        <f>"2004 Q4"</f>
        <v>2004 Q4</v>
      </c>
      <c r="BI272" t="str">
        <f>"2004 Q3"</f>
        <v>2004 Q3</v>
      </c>
      <c r="BJ272" t="str">
        <f>"2004 Q2"</f>
        <v>2004 Q2</v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  <c r="BT272" t="str">
        <f>""</f>
        <v/>
      </c>
      <c r="BU272" t="str">
        <f>""</f>
        <v/>
      </c>
      <c r="BV272" t="str">
        <f>""</f>
        <v/>
      </c>
      <c r="BW272" t="str">
        <f>""</f>
        <v/>
      </c>
      <c r="BX272" t="str">
        <f>""</f>
        <v/>
      </c>
      <c r="BY272" t="str">
        <f>""</f>
        <v/>
      </c>
      <c r="BZ272" t="str">
        <f>""</f>
        <v/>
      </c>
      <c r="CA272" t="str">
        <f>""</f>
        <v/>
      </c>
      <c r="CB272" t="str">
        <f>""</f>
        <v/>
      </c>
      <c r="CC272" t="str">
        <f>""</f>
        <v/>
      </c>
      <c r="CD272" t="str">
        <f>""</f>
        <v/>
      </c>
      <c r="CE272" t="str">
        <f>""</f>
        <v/>
      </c>
      <c r="CF272" t="str">
        <f>""</f>
        <v/>
      </c>
      <c r="CG272" t="str">
        <f>""</f>
        <v/>
      </c>
      <c r="CH272" t="str">
        <f>""</f>
        <v/>
      </c>
      <c r="CI272" t="str">
        <f>""</f>
        <v/>
      </c>
      <c r="CJ272" t="str">
        <f>""</f>
        <v/>
      </c>
      <c r="CK272" t="str">
        <f>""</f>
        <v/>
      </c>
      <c r="CL272" t="str">
        <f>""</f>
        <v/>
      </c>
      <c r="CM272" t="str">
        <f>""</f>
        <v/>
      </c>
      <c r="CN272" t="str">
        <f>""</f>
        <v/>
      </c>
      <c r="CO272" t="str">
        <f>""</f>
        <v/>
      </c>
      <c r="CP272" t="str">
        <f>""</f>
        <v/>
      </c>
      <c r="CQ272" t="str">
        <f>""</f>
        <v/>
      </c>
      <c r="CR272" t="str">
        <f>""</f>
        <v/>
      </c>
      <c r="CS272" t="str">
        <f>""</f>
        <v/>
      </c>
      <c r="CT272" t="str">
        <f>""</f>
        <v/>
      </c>
      <c r="CU272" t="str">
        <f>""</f>
        <v/>
      </c>
      <c r="CV272" t="str">
        <f>""</f>
        <v/>
      </c>
      <c r="CW272" t="str">
        <f>""</f>
        <v/>
      </c>
      <c r="CX272" t="str">
        <f>""</f>
        <v/>
      </c>
      <c r="CY272" t="str">
        <f>""</f>
        <v/>
      </c>
      <c r="CZ272" t="str">
        <f>""</f>
        <v/>
      </c>
      <c r="DA272" t="str">
        <f>""</f>
        <v/>
      </c>
      <c r="DB272" t="str">
        <f>""</f>
        <v/>
      </c>
      <c r="DC272" t="str">
        <f>""</f>
        <v/>
      </c>
      <c r="DD272" t="str">
        <f>""</f>
        <v/>
      </c>
      <c r="DE272" t="str">
        <f>""</f>
        <v/>
      </c>
      <c r="DF272" t="str">
        <f>""</f>
        <v/>
      </c>
      <c r="DG272" t="str">
        <f>""</f>
        <v/>
      </c>
      <c r="DH272" t="str">
        <f>""</f>
        <v/>
      </c>
      <c r="DI272" t="str">
        <f>""</f>
        <v/>
      </c>
      <c r="DJ272" t="str">
        <f>""</f>
        <v/>
      </c>
      <c r="DK272" t="str">
        <f>""</f>
        <v/>
      </c>
      <c r="DL272" t="str">
        <f>""</f>
        <v/>
      </c>
      <c r="DM272" t="str">
        <f>""</f>
        <v/>
      </c>
      <c r="DN272" t="str">
        <f>""</f>
        <v/>
      </c>
      <c r="DO272" t="str">
        <f>""</f>
        <v/>
      </c>
      <c r="DP272" t="str">
        <f>""</f>
        <v/>
      </c>
      <c r="DQ272" t="str">
        <f>""</f>
        <v/>
      </c>
      <c r="DR272" t="str">
        <f>""</f>
        <v/>
      </c>
      <c r="DS272" t="str">
        <f>""</f>
        <v/>
      </c>
      <c r="DT272" t="str">
        <f>""</f>
        <v/>
      </c>
      <c r="DU272" t="str">
        <f>""</f>
        <v/>
      </c>
    </row>
    <row r="273" spans="1:125" x14ac:dyDescent="0.25">
      <c r="A273" t="str">
        <f>"BDH snapshot header0"</f>
        <v>BDH snapshot header0</v>
      </c>
      <c r="B273">
        <f>IF(OR(ISERROR($C$273),ISBLANK($C$273),ISNUMBER(SEARCH("N/A",$C$273) ),ISERROR($C$274),ISBLANK($C$274)),0,1)</f>
        <v>0</v>
      </c>
      <c r="C273" t="str">
        <f>_xll.BDH($B$73,$C$73,$B$154,$B$271,"PER=CQ","Dts=S","DtFmt=FI", "rows=2","Dir=H","Points=60","Sort=R","Days=A","Fill=B","FX=USD" )</f>
        <v>#N/A Connection</v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  <c r="BT273" t="str">
        <f>""</f>
        <v/>
      </c>
      <c r="BU273" t="str">
        <f>""</f>
        <v/>
      </c>
      <c r="BV273" t="str">
        <f>""</f>
        <v/>
      </c>
      <c r="BW273" t="str">
        <f>""</f>
        <v/>
      </c>
      <c r="BX273" t="str">
        <f>""</f>
        <v/>
      </c>
      <c r="BY273" t="str">
        <f>""</f>
        <v/>
      </c>
      <c r="BZ273" t="str">
        <f>""</f>
        <v/>
      </c>
      <c r="CA273" t="str">
        <f>""</f>
        <v/>
      </c>
      <c r="CB273" t="str">
        <f>""</f>
        <v/>
      </c>
      <c r="CC273" t="str">
        <f>""</f>
        <v/>
      </c>
      <c r="CD273" t="str">
        <f>""</f>
        <v/>
      </c>
      <c r="CE273" t="str">
        <f>""</f>
        <v/>
      </c>
      <c r="CF273" t="str">
        <f>""</f>
        <v/>
      </c>
      <c r="CG273" t="str">
        <f>""</f>
        <v/>
      </c>
      <c r="CH273" t="str">
        <f>""</f>
        <v/>
      </c>
      <c r="CI273" t="str">
        <f>""</f>
        <v/>
      </c>
      <c r="CJ273" t="str">
        <f>""</f>
        <v/>
      </c>
      <c r="CK273" t="str">
        <f>""</f>
        <v/>
      </c>
      <c r="CL273" t="str">
        <f>""</f>
        <v/>
      </c>
      <c r="CM273" t="str">
        <f>""</f>
        <v/>
      </c>
      <c r="CN273" t="str">
        <f>""</f>
        <v/>
      </c>
      <c r="CO273" t="str">
        <f>""</f>
        <v/>
      </c>
      <c r="CP273" t="str">
        <f>""</f>
        <v/>
      </c>
      <c r="CQ273" t="str">
        <f>""</f>
        <v/>
      </c>
      <c r="CR273" t="str">
        <f>""</f>
        <v/>
      </c>
      <c r="CS273" t="str">
        <f>""</f>
        <v/>
      </c>
      <c r="CT273" t="str">
        <f>""</f>
        <v/>
      </c>
      <c r="CU273" t="str">
        <f>""</f>
        <v/>
      </c>
      <c r="CV273" t="str">
        <f>""</f>
        <v/>
      </c>
      <c r="CW273" t="str">
        <f>""</f>
        <v/>
      </c>
      <c r="CX273" t="str">
        <f>""</f>
        <v/>
      </c>
      <c r="CY273" t="str">
        <f>""</f>
        <v/>
      </c>
      <c r="CZ273" t="str">
        <f>""</f>
        <v/>
      </c>
      <c r="DA273" t="str">
        <f>""</f>
        <v/>
      </c>
      <c r="DB273" t="str">
        <f>""</f>
        <v/>
      </c>
      <c r="DC273" t="str">
        <f>""</f>
        <v/>
      </c>
      <c r="DD273" t="str">
        <f>""</f>
        <v/>
      </c>
      <c r="DE273" t="str">
        <f>""</f>
        <v/>
      </c>
      <c r="DF273" t="str">
        <f>""</f>
        <v/>
      </c>
      <c r="DG273" t="str">
        <f>""</f>
        <v/>
      </c>
      <c r="DH273" t="str">
        <f>""</f>
        <v/>
      </c>
      <c r="DI273" t="str">
        <f>""</f>
        <v/>
      </c>
      <c r="DJ273" t="str">
        <f>""</f>
        <v/>
      </c>
      <c r="DK273" t="str">
        <f>""</f>
        <v/>
      </c>
      <c r="DL273" t="str">
        <f>""</f>
        <v/>
      </c>
      <c r="DM273" t="str">
        <f>""</f>
        <v/>
      </c>
      <c r="DN273" t="str">
        <f>""</f>
        <v/>
      </c>
      <c r="DO273" t="str">
        <f>""</f>
        <v/>
      </c>
      <c r="DP273" t="str">
        <f>""</f>
        <v/>
      </c>
      <c r="DQ273" t="str">
        <f>""</f>
        <v/>
      </c>
      <c r="DR273" t="str">
        <f>""</f>
        <v/>
      </c>
      <c r="DS273" t="str">
        <f>""</f>
        <v/>
      </c>
      <c r="DT273" t="str">
        <f>""</f>
        <v/>
      </c>
      <c r="DU273" t="str">
        <f>""</f>
        <v/>
      </c>
    </row>
    <row r="274" spans="1:125" x14ac:dyDescent="0.25">
      <c r="A274" t="str">
        <f>"BDH snapshot result0"</f>
        <v>BDH snapshot result0</v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  <c r="BT274" t="str">
        <f>""</f>
        <v/>
      </c>
      <c r="BU274" t="str">
        <f>""</f>
        <v/>
      </c>
      <c r="BV274" t="str">
        <f>""</f>
        <v/>
      </c>
      <c r="BW274" t="str">
        <f>""</f>
        <v/>
      </c>
      <c r="BX274" t="str">
        <f>""</f>
        <v/>
      </c>
      <c r="BY274" t="str">
        <f>""</f>
        <v/>
      </c>
      <c r="BZ274" t="str">
        <f>""</f>
        <v/>
      </c>
      <c r="CA274" t="str">
        <f>""</f>
        <v/>
      </c>
      <c r="CB274" t="str">
        <f>""</f>
        <v/>
      </c>
      <c r="CC274" t="str">
        <f>""</f>
        <v/>
      </c>
      <c r="CD274" t="str">
        <f>""</f>
        <v/>
      </c>
      <c r="CE274" t="str">
        <f>""</f>
        <v/>
      </c>
      <c r="CF274" t="str">
        <f>""</f>
        <v/>
      </c>
      <c r="CG274" t="str">
        <f>""</f>
        <v/>
      </c>
      <c r="CH274" t="str">
        <f>""</f>
        <v/>
      </c>
      <c r="CI274" t="str">
        <f>""</f>
        <v/>
      </c>
      <c r="CJ274" t="str">
        <f>""</f>
        <v/>
      </c>
      <c r="CK274" t="str">
        <f>""</f>
        <v/>
      </c>
      <c r="CL274" t="str">
        <f>""</f>
        <v/>
      </c>
      <c r="CM274" t="str">
        <f>""</f>
        <v/>
      </c>
      <c r="CN274" t="str">
        <f>""</f>
        <v/>
      </c>
      <c r="CO274" t="str">
        <f>""</f>
        <v/>
      </c>
      <c r="CP274" t="str">
        <f>""</f>
        <v/>
      </c>
      <c r="CQ274" t="str">
        <f>""</f>
        <v/>
      </c>
      <c r="CR274" t="str">
        <f>""</f>
        <v/>
      </c>
      <c r="CS274" t="str">
        <f>""</f>
        <v/>
      </c>
      <c r="CT274" t="str">
        <f>""</f>
        <v/>
      </c>
      <c r="CU274" t="str">
        <f>""</f>
        <v/>
      </c>
      <c r="CV274" t="str">
        <f>""</f>
        <v/>
      </c>
      <c r="CW274" t="str">
        <f>""</f>
        <v/>
      </c>
      <c r="CX274" t="str">
        <f>""</f>
        <v/>
      </c>
      <c r="CY274" t="str">
        <f>""</f>
        <v/>
      </c>
      <c r="CZ274" t="str">
        <f>""</f>
        <v/>
      </c>
      <c r="DA274" t="str">
        <f>""</f>
        <v/>
      </c>
      <c r="DB274" t="str">
        <f>""</f>
        <v/>
      </c>
      <c r="DC274" t="str">
        <f>""</f>
        <v/>
      </c>
      <c r="DD274" t="str">
        <f>""</f>
        <v/>
      </c>
      <c r="DE274" t="str">
        <f>""</f>
        <v/>
      </c>
      <c r="DF274" t="str">
        <f>""</f>
        <v/>
      </c>
      <c r="DG274" t="str">
        <f>""</f>
        <v/>
      </c>
      <c r="DH274" t="str">
        <f>""</f>
        <v/>
      </c>
      <c r="DI274" t="str">
        <f>""</f>
        <v/>
      </c>
      <c r="DJ274" t="str">
        <f>""</f>
        <v/>
      </c>
      <c r="DK274" t="str">
        <f>""</f>
        <v/>
      </c>
      <c r="DL274" t="str">
        <f>""</f>
        <v/>
      </c>
      <c r="DM274" t="str">
        <f>""</f>
        <v/>
      </c>
      <c r="DN274" t="str">
        <f>""</f>
        <v/>
      </c>
      <c r="DO274" t="str">
        <f>""</f>
        <v/>
      </c>
      <c r="DP274" t="str">
        <f>""</f>
        <v/>
      </c>
      <c r="DQ274" t="str">
        <f>""</f>
        <v/>
      </c>
      <c r="DR274" t="str">
        <f>""</f>
        <v/>
      </c>
      <c r="DS274" t="str">
        <f>""</f>
        <v/>
      </c>
      <c r="DT274" t="str">
        <f>""</f>
        <v/>
      </c>
      <c r="DU274" t="str">
        <f>""</f>
        <v/>
      </c>
    </row>
    <row r="275" spans="1:125" x14ac:dyDescent="0.25">
      <c r="A275" t="str">
        <f>"BDH snapshot header1"</f>
        <v>BDH snapshot header1</v>
      </c>
      <c r="B275">
        <f>IF(OR(ISERROR($C$275),ISBLANK($C$275),ISNUMBER(SEARCH("N/A",$C$275) ),ISERROR($C$276),ISBLANK($C$276)),0,1)</f>
        <v>0</v>
      </c>
      <c r="C275" t="str">
        <f>_xll.BDH($B$74,$C$74,$B$154,$B$271,"PER=CQ","Dts=S","DtFmt=FI", "rows=2","Dir=H","Points=60","Sort=R","Days=A","Fill=B","DZ666=084","DZ381=11111010","DZ667=101","DS276=Y","FX=USD" )</f>
        <v>#N/A Connection</v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  <c r="BT275" t="str">
        <f>""</f>
        <v/>
      </c>
      <c r="BU275" t="str">
        <f>""</f>
        <v/>
      </c>
      <c r="BV275" t="str">
        <f>""</f>
        <v/>
      </c>
      <c r="BW275" t="str">
        <f>""</f>
        <v/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""</f>
        <v/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  <c r="CH275" t="str">
        <f>""</f>
        <v/>
      </c>
      <c r="CI275" t="str">
        <f>""</f>
        <v/>
      </c>
      <c r="CJ275" t="str">
        <f>""</f>
        <v/>
      </c>
      <c r="CK275" t="str">
        <f>""</f>
        <v/>
      </c>
      <c r="CL275" t="str">
        <f>""</f>
        <v/>
      </c>
      <c r="CM275" t="str">
        <f>""</f>
        <v/>
      </c>
      <c r="CN275" t="str">
        <f>""</f>
        <v/>
      </c>
      <c r="CO275" t="str">
        <f>""</f>
        <v/>
      </c>
      <c r="CP275" t="str">
        <f>""</f>
        <v/>
      </c>
      <c r="CQ275" t="str">
        <f>""</f>
        <v/>
      </c>
      <c r="CR275" t="str">
        <f>""</f>
        <v/>
      </c>
      <c r="CS275" t="str">
        <f>""</f>
        <v/>
      </c>
      <c r="CT275" t="str">
        <f>""</f>
        <v/>
      </c>
      <c r="CU275" t="str">
        <f>""</f>
        <v/>
      </c>
      <c r="CV275" t="str">
        <f>""</f>
        <v/>
      </c>
      <c r="CW275" t="str">
        <f>""</f>
        <v/>
      </c>
      <c r="CX275" t="str">
        <f>""</f>
        <v/>
      </c>
      <c r="CY275" t="str">
        <f>""</f>
        <v/>
      </c>
      <c r="CZ275" t="str">
        <f>""</f>
        <v/>
      </c>
      <c r="DA275" t="str">
        <f>""</f>
        <v/>
      </c>
      <c r="DB275" t="str">
        <f>""</f>
        <v/>
      </c>
      <c r="DC275" t="str">
        <f>""</f>
        <v/>
      </c>
      <c r="DD275" t="str">
        <f>""</f>
        <v/>
      </c>
      <c r="DE275" t="str">
        <f>""</f>
        <v/>
      </c>
      <c r="DF275" t="str">
        <f>""</f>
        <v/>
      </c>
      <c r="DG275" t="str">
        <f>""</f>
        <v/>
      </c>
      <c r="DH275" t="str">
        <f>""</f>
        <v/>
      </c>
      <c r="DI275" t="str">
        <f>""</f>
        <v/>
      </c>
      <c r="DJ275" t="str">
        <f>""</f>
        <v/>
      </c>
      <c r="DK275" t="str">
        <f>""</f>
        <v/>
      </c>
      <c r="DL275" t="str">
        <f>""</f>
        <v/>
      </c>
      <c r="DM275" t="str">
        <f>""</f>
        <v/>
      </c>
      <c r="DN275" t="str">
        <f>""</f>
        <v/>
      </c>
      <c r="DO275" t="str">
        <f>""</f>
        <v/>
      </c>
      <c r="DP275" t="str">
        <f>""</f>
        <v/>
      </c>
      <c r="DQ275" t="str">
        <f>""</f>
        <v/>
      </c>
      <c r="DR275" t="str">
        <f>""</f>
        <v/>
      </c>
      <c r="DS275" t="str">
        <f>""</f>
        <v/>
      </c>
      <c r="DT275" t="str">
        <f>""</f>
        <v/>
      </c>
      <c r="DU275" t="str">
        <f>""</f>
        <v/>
      </c>
    </row>
    <row r="276" spans="1:125" x14ac:dyDescent="0.25">
      <c r="A276" t="str">
        <f>"BDH snapshot result1"</f>
        <v>BDH snapshot result1</v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  <c r="BT276" t="str">
        <f>""</f>
        <v/>
      </c>
      <c r="BU276" t="str">
        <f>""</f>
        <v/>
      </c>
      <c r="BV276" t="str">
        <f>""</f>
        <v/>
      </c>
      <c r="BW276" t="str">
        <f>""</f>
        <v/>
      </c>
      <c r="BX276" t="str">
        <f>""</f>
        <v/>
      </c>
      <c r="BY276" t="str">
        <f>""</f>
        <v/>
      </c>
      <c r="BZ276" t="str">
        <f>""</f>
        <v/>
      </c>
      <c r="CA276" t="str">
        <f>""</f>
        <v/>
      </c>
      <c r="CB276" t="str">
        <f>""</f>
        <v/>
      </c>
      <c r="CC276" t="str">
        <f>""</f>
        <v/>
      </c>
      <c r="CD276" t="str">
        <f>""</f>
        <v/>
      </c>
      <c r="CE276" t="str">
        <f>""</f>
        <v/>
      </c>
      <c r="CF276" t="str">
        <f>""</f>
        <v/>
      </c>
      <c r="CG276" t="str">
        <f>""</f>
        <v/>
      </c>
      <c r="CH276" t="str">
        <f>""</f>
        <v/>
      </c>
      <c r="CI276" t="str">
        <f>""</f>
        <v/>
      </c>
      <c r="CJ276" t="str">
        <f>""</f>
        <v/>
      </c>
      <c r="CK276" t="str">
        <f>""</f>
        <v/>
      </c>
      <c r="CL276" t="str">
        <f>""</f>
        <v/>
      </c>
      <c r="CM276" t="str">
        <f>""</f>
        <v/>
      </c>
      <c r="CN276" t="str">
        <f>""</f>
        <v/>
      </c>
      <c r="CO276" t="str">
        <f>""</f>
        <v/>
      </c>
      <c r="CP276" t="str">
        <f>""</f>
        <v/>
      </c>
      <c r="CQ276" t="str">
        <f>""</f>
        <v/>
      </c>
      <c r="CR276" t="str">
        <f>""</f>
        <v/>
      </c>
      <c r="CS276" t="str">
        <f>""</f>
        <v/>
      </c>
      <c r="CT276" t="str">
        <f>""</f>
        <v/>
      </c>
      <c r="CU276" t="str">
        <f>""</f>
        <v/>
      </c>
      <c r="CV276" t="str">
        <f>""</f>
        <v/>
      </c>
      <c r="CW276" t="str">
        <f>""</f>
        <v/>
      </c>
      <c r="CX276" t="str">
        <f>""</f>
        <v/>
      </c>
      <c r="CY276" t="str">
        <f>""</f>
        <v/>
      </c>
      <c r="CZ276" t="str">
        <f>""</f>
        <v/>
      </c>
      <c r="DA276" t="str">
        <f>""</f>
        <v/>
      </c>
      <c r="DB276" t="str">
        <f>""</f>
        <v/>
      </c>
      <c r="DC276" t="str">
        <f>""</f>
        <v/>
      </c>
      <c r="DD276" t="str">
        <f>""</f>
        <v/>
      </c>
      <c r="DE276" t="str">
        <f>""</f>
        <v/>
      </c>
      <c r="DF276" t="str">
        <f>""</f>
        <v/>
      </c>
      <c r="DG276" t="str">
        <f>""</f>
        <v/>
      </c>
      <c r="DH276" t="str">
        <f>""</f>
        <v/>
      </c>
      <c r="DI276" t="str">
        <f>""</f>
        <v/>
      </c>
      <c r="DJ276" t="str">
        <f>""</f>
        <v/>
      </c>
      <c r="DK276" t="str">
        <f>""</f>
        <v/>
      </c>
      <c r="DL276" t="str">
        <f>""</f>
        <v/>
      </c>
      <c r="DM276" t="str">
        <f>""</f>
        <v/>
      </c>
      <c r="DN276" t="str">
        <f>""</f>
        <v/>
      </c>
      <c r="DO276" t="str">
        <f>""</f>
        <v/>
      </c>
      <c r="DP276" t="str">
        <f>""</f>
        <v/>
      </c>
      <c r="DQ276" t="str">
        <f>""</f>
        <v/>
      </c>
      <c r="DR276" t="str">
        <f>""</f>
        <v/>
      </c>
      <c r="DS276" t="str">
        <f>""</f>
        <v/>
      </c>
      <c r="DT276" t="str">
        <f>""</f>
        <v/>
      </c>
      <c r="DU276" t="str">
        <f>""</f>
        <v/>
      </c>
    </row>
    <row r="277" spans="1:125" x14ac:dyDescent="0.25">
      <c r="A277" t="str">
        <f>"BDH snapshot header2"</f>
        <v>BDH snapshot header2</v>
      </c>
      <c r="B277">
        <f>IF(OR(ISERROR($C$277),ISBLANK($C$277),ISNUMBER(SEARCH("N/A",$C$277) ),ISERROR($C$278),ISBLANK($C$278)),0,1)</f>
        <v>0</v>
      </c>
      <c r="C277" t="str">
        <f>_xll.BDH($B$75,$C$75,$B$154,$B$271,"PER=CQ","Dts=S","DtFmt=FI", "rows=2","Dir=H","Points=60","Sort=R","Days=A","Fill=B","DZ666=084","DZ381=11111010","DZ667=2","DS276=Y","FX=USD" )</f>
        <v>#N/A Connection</v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  <c r="BT277" t="str">
        <f>""</f>
        <v/>
      </c>
      <c r="BU277" t="str">
        <f>""</f>
        <v/>
      </c>
      <c r="BV277" t="str">
        <f>""</f>
        <v/>
      </c>
      <c r="BW277" t="str">
        <f>""</f>
        <v/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  <c r="CH277" t="str">
        <f>""</f>
        <v/>
      </c>
      <c r="CI277" t="str">
        <f>""</f>
        <v/>
      </c>
      <c r="CJ277" t="str">
        <f>""</f>
        <v/>
      </c>
      <c r="CK277" t="str">
        <f>""</f>
        <v/>
      </c>
      <c r="CL277" t="str">
        <f>""</f>
        <v/>
      </c>
      <c r="CM277" t="str">
        <f>""</f>
        <v/>
      </c>
      <c r="CN277" t="str">
        <f>""</f>
        <v/>
      </c>
      <c r="CO277" t="str">
        <f>""</f>
        <v/>
      </c>
      <c r="CP277" t="str">
        <f>""</f>
        <v/>
      </c>
      <c r="CQ277" t="str">
        <f>""</f>
        <v/>
      </c>
      <c r="CR277" t="str">
        <f>""</f>
        <v/>
      </c>
      <c r="CS277" t="str">
        <f>""</f>
        <v/>
      </c>
      <c r="CT277" t="str">
        <f>""</f>
        <v/>
      </c>
      <c r="CU277" t="str">
        <f>""</f>
        <v/>
      </c>
      <c r="CV277" t="str">
        <f>""</f>
        <v/>
      </c>
      <c r="CW277" t="str">
        <f>""</f>
        <v/>
      </c>
      <c r="CX277" t="str">
        <f>""</f>
        <v/>
      </c>
      <c r="CY277" t="str">
        <f>""</f>
        <v/>
      </c>
      <c r="CZ277" t="str">
        <f>""</f>
        <v/>
      </c>
      <c r="DA277" t="str">
        <f>""</f>
        <v/>
      </c>
      <c r="DB277" t="str">
        <f>""</f>
        <v/>
      </c>
      <c r="DC277" t="str">
        <f>""</f>
        <v/>
      </c>
      <c r="DD277" t="str">
        <f>""</f>
        <v/>
      </c>
      <c r="DE277" t="str">
        <f>""</f>
        <v/>
      </c>
      <c r="DF277" t="str">
        <f>""</f>
        <v/>
      </c>
      <c r="DG277" t="str">
        <f>""</f>
        <v/>
      </c>
      <c r="DH277" t="str">
        <f>""</f>
        <v/>
      </c>
      <c r="DI277" t="str">
        <f>""</f>
        <v/>
      </c>
      <c r="DJ277" t="str">
        <f>""</f>
        <v/>
      </c>
      <c r="DK277" t="str">
        <f>""</f>
        <v/>
      </c>
      <c r="DL277" t="str">
        <f>""</f>
        <v/>
      </c>
      <c r="DM277" t="str">
        <f>""</f>
        <v/>
      </c>
      <c r="DN277" t="str">
        <f>""</f>
        <v/>
      </c>
      <c r="DO277" t="str">
        <f>""</f>
        <v/>
      </c>
      <c r="DP277" t="str">
        <f>""</f>
        <v/>
      </c>
      <c r="DQ277" t="str">
        <f>""</f>
        <v/>
      </c>
      <c r="DR277" t="str">
        <f>""</f>
        <v/>
      </c>
      <c r="DS277" t="str">
        <f>""</f>
        <v/>
      </c>
      <c r="DT277" t="str">
        <f>""</f>
        <v/>
      </c>
      <c r="DU277" t="str">
        <f>""</f>
        <v/>
      </c>
    </row>
    <row r="278" spans="1:125" x14ac:dyDescent="0.25">
      <c r="A278" t="str">
        <f>"BDH snapshot result2"</f>
        <v>BDH snapshot result2</v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  <c r="BT278" t="str">
        <f>""</f>
        <v/>
      </c>
      <c r="BU278" t="str">
        <f>""</f>
        <v/>
      </c>
      <c r="BV278" t="str">
        <f>""</f>
        <v/>
      </c>
      <c r="BW278" t="str">
        <f>""</f>
        <v/>
      </c>
      <c r="BX278" t="str">
        <f>""</f>
        <v/>
      </c>
      <c r="BY278" t="str">
        <f>""</f>
        <v/>
      </c>
      <c r="BZ278" t="str">
        <f>""</f>
        <v/>
      </c>
      <c r="CA278" t="str">
        <f>""</f>
        <v/>
      </c>
      <c r="CB278" t="str">
        <f>""</f>
        <v/>
      </c>
      <c r="CC278" t="str">
        <f>""</f>
        <v/>
      </c>
      <c r="CD278" t="str">
        <f>""</f>
        <v/>
      </c>
      <c r="CE278" t="str">
        <f>""</f>
        <v/>
      </c>
      <c r="CF278" t="str">
        <f>""</f>
        <v/>
      </c>
      <c r="CG278" t="str">
        <f>""</f>
        <v/>
      </c>
      <c r="CH278" t="str">
        <f>""</f>
        <v/>
      </c>
      <c r="CI278" t="str">
        <f>""</f>
        <v/>
      </c>
      <c r="CJ278" t="str">
        <f>""</f>
        <v/>
      </c>
      <c r="CK278" t="str">
        <f>""</f>
        <v/>
      </c>
      <c r="CL278" t="str">
        <f>""</f>
        <v/>
      </c>
      <c r="CM278" t="str">
        <f>""</f>
        <v/>
      </c>
      <c r="CN278" t="str">
        <f>""</f>
        <v/>
      </c>
      <c r="CO278" t="str">
        <f>""</f>
        <v/>
      </c>
      <c r="CP278" t="str">
        <f>""</f>
        <v/>
      </c>
      <c r="CQ278" t="str">
        <f>""</f>
        <v/>
      </c>
      <c r="CR278" t="str">
        <f>""</f>
        <v/>
      </c>
      <c r="CS278" t="str">
        <f>""</f>
        <v/>
      </c>
      <c r="CT278" t="str">
        <f>""</f>
        <v/>
      </c>
      <c r="CU278" t="str">
        <f>""</f>
        <v/>
      </c>
      <c r="CV278" t="str">
        <f>""</f>
        <v/>
      </c>
      <c r="CW278" t="str">
        <f>""</f>
        <v/>
      </c>
      <c r="CX278" t="str">
        <f>""</f>
        <v/>
      </c>
      <c r="CY278" t="str">
        <f>""</f>
        <v/>
      </c>
      <c r="CZ278" t="str">
        <f>""</f>
        <v/>
      </c>
      <c r="DA278" t="str">
        <f>""</f>
        <v/>
      </c>
      <c r="DB278" t="str">
        <f>""</f>
        <v/>
      </c>
      <c r="DC278" t="str">
        <f>""</f>
        <v/>
      </c>
      <c r="DD278" t="str">
        <f>""</f>
        <v/>
      </c>
      <c r="DE278" t="str">
        <f>""</f>
        <v/>
      </c>
      <c r="DF278" t="str">
        <f>""</f>
        <v/>
      </c>
      <c r="DG278" t="str">
        <f>""</f>
        <v/>
      </c>
      <c r="DH278" t="str">
        <f>""</f>
        <v/>
      </c>
      <c r="DI278" t="str">
        <f>""</f>
        <v/>
      </c>
      <c r="DJ278" t="str">
        <f>""</f>
        <v/>
      </c>
      <c r="DK278" t="str">
        <f>""</f>
        <v/>
      </c>
      <c r="DL278" t="str">
        <f>""</f>
        <v/>
      </c>
      <c r="DM278" t="str">
        <f>""</f>
        <v/>
      </c>
      <c r="DN278" t="str">
        <f>""</f>
        <v/>
      </c>
      <c r="DO278" t="str">
        <f>""</f>
        <v/>
      </c>
      <c r="DP278" t="str">
        <f>""</f>
        <v/>
      </c>
      <c r="DQ278" t="str">
        <f>""</f>
        <v/>
      </c>
      <c r="DR278" t="str">
        <f>""</f>
        <v/>
      </c>
      <c r="DS278" t="str">
        <f>""</f>
        <v/>
      </c>
      <c r="DT278" t="str">
        <f>""</f>
        <v/>
      </c>
      <c r="DU278" t="str">
        <f>""</f>
        <v/>
      </c>
    </row>
    <row r="279" spans="1:125" x14ac:dyDescent="0.25">
      <c r="A279" t="str">
        <f>"BDH snapshot"</f>
        <v>BDH snapshot</v>
      </c>
      <c r="B279">
        <f>IF($B$273&gt;=1,$B$273,IF($B$275&gt;=1,$B$275,IF($B$277&gt;=1,$B$277,$B$272)))</f>
        <v>2</v>
      </c>
      <c r="C279" t="str">
        <f>IF($B$273&gt;=1,$C$273,IF($B$275&gt;=1,$C$275,IF($B$277&gt;=1,$C$277,$C$272)))</f>
        <v>2019 Q1</v>
      </c>
      <c r="D279" t="str">
        <f>IF($B$273&gt;=1,$D$273,IF($B$275&gt;=1,$D$275,IF($B$277&gt;=1,$D$277,$D$272)))</f>
        <v>2018 Q4</v>
      </c>
      <c r="E279" t="str">
        <f>IF($B$273&gt;=1,$E$273,IF($B$275&gt;=1,$E$275,IF($B$277&gt;=1,$E$277,$E$272)))</f>
        <v>2018 Q3</v>
      </c>
      <c r="F279" t="str">
        <f>IF($B$273&gt;=1,$F$273,IF($B$275&gt;=1,$F$275,IF($B$277&gt;=1,$F$277,$F$272)))</f>
        <v>2018 Q2</v>
      </c>
      <c r="G279" t="str">
        <f>IF($B$273&gt;=1,$G$273,IF($B$275&gt;=1,$G$275,IF($B$277&gt;=1,$G$277,$G$272)))</f>
        <v>2018 Q1</v>
      </c>
      <c r="H279" t="str">
        <f>IF($B$273&gt;=1,$H$273,IF($B$275&gt;=1,$H$275,IF($B$277&gt;=1,$H$277,$H$272)))</f>
        <v>2017 Q4</v>
      </c>
      <c r="I279" t="str">
        <f>IF($B$273&gt;=1,$I$273,IF($B$275&gt;=1,$I$275,IF($B$277&gt;=1,$I$277,$I$272)))</f>
        <v>2017 Q3</v>
      </c>
      <c r="J279" t="str">
        <f>IF($B$273&gt;=1,$J$273,IF($B$275&gt;=1,$J$275,IF($B$277&gt;=1,$J$277,$J$272)))</f>
        <v>2017 Q2</v>
      </c>
      <c r="K279" t="str">
        <f>IF($B$273&gt;=1,$K$273,IF($B$275&gt;=1,$K$275,IF($B$277&gt;=1,$K$277,$K$272)))</f>
        <v>2017 Q1</v>
      </c>
      <c r="L279" t="str">
        <f>IF($B$273&gt;=1,$L$273,IF($B$275&gt;=1,$L$275,IF($B$277&gt;=1,$L$277,$L$272)))</f>
        <v>2016 Q4</v>
      </c>
      <c r="M279" t="str">
        <f>IF($B$273&gt;=1,$M$273,IF($B$275&gt;=1,$M$275,IF($B$277&gt;=1,$M$277,$M$272)))</f>
        <v>2016 Q3</v>
      </c>
      <c r="N279" t="str">
        <f>IF($B$273&gt;=1,$N$273,IF($B$275&gt;=1,$N$275,IF($B$277&gt;=1,$N$277,$N$272)))</f>
        <v>2016 Q2</v>
      </c>
      <c r="O279" t="str">
        <f>IF($B$273&gt;=1,$O$273,IF($B$275&gt;=1,$O$275,IF($B$277&gt;=1,$O$277,$O$272)))</f>
        <v>2016 Q1</v>
      </c>
      <c r="P279" t="str">
        <f>IF($B$273&gt;=1,$P$273,IF($B$275&gt;=1,$P$275,IF($B$277&gt;=1,$P$277,$P$272)))</f>
        <v>2015 Q4</v>
      </c>
      <c r="Q279" t="str">
        <f>IF($B$273&gt;=1,$Q$273,IF($B$275&gt;=1,$Q$275,IF($B$277&gt;=1,$Q$277,$Q$272)))</f>
        <v>2015 Q3</v>
      </c>
      <c r="R279" t="str">
        <f>IF($B$273&gt;=1,$R$273,IF($B$275&gt;=1,$R$275,IF($B$277&gt;=1,$R$277,$R$272)))</f>
        <v>2015 Q2</v>
      </c>
      <c r="S279" t="str">
        <f>IF($B$273&gt;=1,$S$273,IF($B$275&gt;=1,$S$275,IF($B$277&gt;=1,$S$277,$S$272)))</f>
        <v>2015 Q1</v>
      </c>
      <c r="T279" t="str">
        <f>IF($B$273&gt;=1,$T$273,IF($B$275&gt;=1,$T$275,IF($B$277&gt;=1,$T$277,$T$272)))</f>
        <v>2014 Q4</v>
      </c>
      <c r="U279" t="str">
        <f>IF($B$273&gt;=1,$U$273,IF($B$275&gt;=1,$U$275,IF($B$277&gt;=1,$U$277,$U$272)))</f>
        <v>2014 Q3</v>
      </c>
      <c r="V279" t="str">
        <f>IF($B$273&gt;=1,$V$273,IF($B$275&gt;=1,$V$275,IF($B$277&gt;=1,$V$277,$V$272)))</f>
        <v>2014 Q2</v>
      </c>
      <c r="W279" t="str">
        <f>IF($B$273&gt;=1,$W$273,IF($B$275&gt;=1,$W$275,IF($B$277&gt;=1,$W$277,$W$272)))</f>
        <v>2014 Q1</v>
      </c>
      <c r="X279" t="str">
        <f>IF($B$273&gt;=1,$X$273,IF($B$275&gt;=1,$X$275,IF($B$277&gt;=1,$X$277,$X$272)))</f>
        <v>2013 Q4</v>
      </c>
      <c r="Y279" t="str">
        <f>IF($B$273&gt;=1,$Y$273,IF($B$275&gt;=1,$Y$275,IF($B$277&gt;=1,$Y$277,$Y$272)))</f>
        <v>2013 Q3</v>
      </c>
      <c r="Z279" t="str">
        <f>IF($B$273&gt;=1,$Z$273,IF($B$275&gt;=1,$Z$275,IF($B$277&gt;=1,$Z$277,$Z$272)))</f>
        <v>2013 Q2</v>
      </c>
      <c r="AA279" t="str">
        <f>IF($B$273&gt;=1,$AA$273,IF($B$275&gt;=1,$AA$275,IF($B$277&gt;=1,$AA$277,$AA$272)))</f>
        <v>2013 Q1</v>
      </c>
      <c r="AB279" t="str">
        <f>IF($B$273&gt;=1,$AB$273,IF($B$275&gt;=1,$AB$275,IF($B$277&gt;=1,$AB$277,$AB$272)))</f>
        <v>2012 Q4</v>
      </c>
      <c r="AC279" t="str">
        <f>IF($B$273&gt;=1,$AC$273,IF($B$275&gt;=1,$AC$275,IF($B$277&gt;=1,$AC$277,$AC$272)))</f>
        <v>2012 Q3</v>
      </c>
      <c r="AD279" t="str">
        <f>IF($B$273&gt;=1,$AD$273,IF($B$275&gt;=1,$AD$275,IF($B$277&gt;=1,$AD$277,$AD$272)))</f>
        <v>2012 Q2</v>
      </c>
      <c r="AE279" t="str">
        <f>IF($B$273&gt;=1,$AE$273,IF($B$275&gt;=1,$AE$275,IF($B$277&gt;=1,$AE$277,$AE$272)))</f>
        <v>2012 Q1</v>
      </c>
      <c r="AF279" t="str">
        <f>IF($B$273&gt;=1,$AF$273,IF($B$275&gt;=1,$AF$275,IF($B$277&gt;=1,$AF$277,$AF$272)))</f>
        <v>2011 Q4</v>
      </c>
      <c r="AG279" t="str">
        <f>IF($B$273&gt;=1,$AG$273,IF($B$275&gt;=1,$AG$275,IF($B$277&gt;=1,$AG$277,$AG$272)))</f>
        <v>2011 Q3</v>
      </c>
      <c r="AH279" t="str">
        <f>IF($B$273&gt;=1,$AH$273,IF($B$275&gt;=1,$AH$275,IF($B$277&gt;=1,$AH$277,$AH$272)))</f>
        <v>2011 Q2</v>
      </c>
      <c r="AI279" t="str">
        <f>IF($B$273&gt;=1,$AI$273,IF($B$275&gt;=1,$AI$275,IF($B$277&gt;=1,$AI$277,$AI$272)))</f>
        <v>2011 Q1</v>
      </c>
      <c r="AJ279" t="str">
        <f>IF($B$273&gt;=1,$AJ$273,IF($B$275&gt;=1,$AJ$275,IF($B$277&gt;=1,$AJ$277,$AJ$272)))</f>
        <v>2010 Q4</v>
      </c>
      <c r="AK279" t="str">
        <f>IF($B$273&gt;=1,$AK$273,IF($B$275&gt;=1,$AK$275,IF($B$277&gt;=1,$AK$277,$AK$272)))</f>
        <v>2010 Q3</v>
      </c>
      <c r="AL279" t="str">
        <f>IF($B$273&gt;=1,$AL$273,IF($B$275&gt;=1,$AL$275,IF($B$277&gt;=1,$AL$277,$AL$272)))</f>
        <v>2010 Q2</v>
      </c>
      <c r="AM279" t="str">
        <f>IF($B$273&gt;=1,$AM$273,IF($B$275&gt;=1,$AM$275,IF($B$277&gt;=1,$AM$277,$AM$272)))</f>
        <v>2010 Q1</v>
      </c>
      <c r="AN279" t="str">
        <f>IF($B$273&gt;=1,$AN$273,IF($B$275&gt;=1,$AN$275,IF($B$277&gt;=1,$AN$277,$AN$272)))</f>
        <v>2009 Q4</v>
      </c>
      <c r="AO279" t="str">
        <f>IF($B$273&gt;=1,$AO$273,IF($B$275&gt;=1,$AO$275,IF($B$277&gt;=1,$AO$277,$AO$272)))</f>
        <v>2009 Q3</v>
      </c>
      <c r="AP279" t="str">
        <f>IF($B$273&gt;=1,$AP$273,IF($B$275&gt;=1,$AP$275,IF($B$277&gt;=1,$AP$277,$AP$272)))</f>
        <v>2009 Q2</v>
      </c>
      <c r="AQ279" t="str">
        <f>IF($B$273&gt;=1,$AQ$273,IF($B$275&gt;=1,$AQ$275,IF($B$277&gt;=1,$AQ$277,$AQ$272)))</f>
        <v>2009 Q1</v>
      </c>
      <c r="AR279" t="str">
        <f>IF($B$273&gt;=1,$AR$273,IF($B$275&gt;=1,$AR$275,IF($B$277&gt;=1,$AR$277,$AR$272)))</f>
        <v>2008 Q4</v>
      </c>
      <c r="AS279" t="str">
        <f>IF($B$273&gt;=1,$AS$273,IF($B$275&gt;=1,$AS$275,IF($B$277&gt;=1,$AS$277,$AS$272)))</f>
        <v>2008 Q3</v>
      </c>
      <c r="AT279" t="str">
        <f>IF($B$273&gt;=1,$AT$273,IF($B$275&gt;=1,$AT$275,IF($B$277&gt;=1,$AT$277,$AT$272)))</f>
        <v>2008 Q2</v>
      </c>
      <c r="AU279" t="str">
        <f>IF($B$273&gt;=1,$AU$273,IF($B$275&gt;=1,$AU$275,IF($B$277&gt;=1,$AU$277,$AU$272)))</f>
        <v>2008 Q1</v>
      </c>
      <c r="AV279" t="str">
        <f>IF($B$273&gt;=1,$AV$273,IF($B$275&gt;=1,$AV$275,IF($B$277&gt;=1,$AV$277,$AV$272)))</f>
        <v>2007 Q4</v>
      </c>
      <c r="AW279" t="str">
        <f>IF($B$273&gt;=1,$AW$273,IF($B$275&gt;=1,$AW$275,IF($B$277&gt;=1,$AW$277,$AW$272)))</f>
        <v>2007 Q3</v>
      </c>
      <c r="AX279" t="str">
        <f>IF($B$273&gt;=1,$AX$273,IF($B$275&gt;=1,$AX$275,IF($B$277&gt;=1,$AX$277,$AX$272)))</f>
        <v>2007 Q2</v>
      </c>
      <c r="AY279" t="str">
        <f>IF($B$273&gt;=1,$AY$273,IF($B$275&gt;=1,$AY$275,IF($B$277&gt;=1,$AY$277,$AY$272)))</f>
        <v>2007 Q1</v>
      </c>
      <c r="AZ279" t="str">
        <f>IF($B$273&gt;=1,$AZ$273,IF($B$275&gt;=1,$AZ$275,IF($B$277&gt;=1,$AZ$277,$AZ$272)))</f>
        <v>2006 Q4</v>
      </c>
      <c r="BA279" t="str">
        <f>IF($B$273&gt;=1,$BA$273,IF($B$275&gt;=1,$BA$275,IF($B$277&gt;=1,$BA$277,$BA$272)))</f>
        <v>2006 Q3</v>
      </c>
      <c r="BB279" t="str">
        <f>IF($B$273&gt;=1,$BB$273,IF($B$275&gt;=1,$BB$275,IF($B$277&gt;=1,$BB$277,$BB$272)))</f>
        <v>2006 Q2</v>
      </c>
      <c r="BC279" t="str">
        <f>IF($B$273&gt;=1,$BC$273,IF($B$275&gt;=1,$BC$275,IF($B$277&gt;=1,$BC$277,$BC$272)))</f>
        <v>2006 Q1</v>
      </c>
      <c r="BD279" t="str">
        <f>IF($B$273&gt;=1,$BD$273,IF($B$275&gt;=1,$BD$275,IF($B$277&gt;=1,$BD$277,$BD$272)))</f>
        <v>2005 Q4</v>
      </c>
      <c r="BE279" t="str">
        <f>IF($B$273&gt;=1,$BE$273,IF($B$275&gt;=1,$BE$275,IF($B$277&gt;=1,$BE$277,$BE$272)))</f>
        <v>2005 Q3</v>
      </c>
      <c r="BF279" t="str">
        <f>IF($B$273&gt;=1,$BF$273,IF($B$275&gt;=1,$BF$275,IF($B$277&gt;=1,$BF$277,$BF$272)))</f>
        <v>2005 Q2</v>
      </c>
      <c r="BG279" t="str">
        <f>IF($B$273&gt;=1,$BG$273,IF($B$275&gt;=1,$BG$275,IF($B$277&gt;=1,$BG$277,$BG$272)))</f>
        <v>2005 Q1</v>
      </c>
      <c r="BH279" t="str">
        <f>IF($B$273&gt;=1,$BH$273,IF($B$275&gt;=1,$BH$275,IF($B$277&gt;=1,$BH$277,$BH$272)))</f>
        <v>2004 Q4</v>
      </c>
      <c r="BI279" t="str">
        <f>IF($B$273&gt;=1,$BI$273,IF($B$275&gt;=1,$BI$275,IF($B$277&gt;=1,$BI$277,$BI$272)))</f>
        <v>2004 Q3</v>
      </c>
      <c r="BJ279" t="str">
        <f>IF($B$273&gt;=1,$BJ$273,IF($B$275&gt;=1,$BJ$275,IF($B$277&gt;=1,$BJ$277,$BJ$272)))</f>
        <v>2004 Q2</v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  <c r="CI279" t="str">
        <f>""</f>
        <v/>
      </c>
      <c r="CJ279" t="str">
        <f>""</f>
        <v/>
      </c>
      <c r="CK279" t="str">
        <f>""</f>
        <v/>
      </c>
      <c r="CL279" t="str">
        <f>""</f>
        <v/>
      </c>
      <c r="CM279" t="str">
        <f>""</f>
        <v/>
      </c>
      <c r="CN279" t="str">
        <f>""</f>
        <v/>
      </c>
      <c r="CO279" t="str">
        <f>""</f>
        <v/>
      </c>
      <c r="CP279" t="str">
        <f>""</f>
        <v/>
      </c>
      <c r="CQ279" t="str">
        <f>""</f>
        <v/>
      </c>
      <c r="CR279" t="str">
        <f>""</f>
        <v/>
      </c>
      <c r="CS279" t="str">
        <f>""</f>
        <v/>
      </c>
      <c r="CT279" t="str">
        <f>""</f>
        <v/>
      </c>
      <c r="CU279" t="str">
        <f>""</f>
        <v/>
      </c>
      <c r="CV279" t="str">
        <f>""</f>
        <v/>
      </c>
      <c r="CW279" t="str">
        <f>""</f>
        <v/>
      </c>
      <c r="CX279" t="str">
        <f>""</f>
        <v/>
      </c>
      <c r="CY279" t="str">
        <f>""</f>
        <v/>
      </c>
      <c r="CZ279" t="str">
        <f>""</f>
        <v/>
      </c>
      <c r="DA279" t="str">
        <f>""</f>
        <v/>
      </c>
      <c r="DB279" t="str">
        <f>""</f>
        <v/>
      </c>
      <c r="DC279" t="str">
        <f>""</f>
        <v/>
      </c>
      <c r="DD279" t="str">
        <f>""</f>
        <v/>
      </c>
      <c r="DE279" t="str">
        <f>""</f>
        <v/>
      </c>
      <c r="DF279" t="str">
        <f>""</f>
        <v/>
      </c>
      <c r="DG279" t="str">
        <f>""</f>
        <v/>
      </c>
      <c r="DH279" t="str">
        <f>""</f>
        <v/>
      </c>
      <c r="DI279" t="str">
        <f>""</f>
        <v/>
      </c>
      <c r="DJ279" t="str">
        <f>""</f>
        <v/>
      </c>
      <c r="DK279" t="str">
        <f>""</f>
        <v/>
      </c>
      <c r="DL279" t="str">
        <f>""</f>
        <v/>
      </c>
      <c r="DM279" t="str">
        <f>""</f>
        <v/>
      </c>
      <c r="DN279" t="str">
        <f>""</f>
        <v/>
      </c>
      <c r="DO279" t="str">
        <f>""</f>
        <v/>
      </c>
      <c r="DP279" t="str">
        <f>""</f>
        <v/>
      </c>
      <c r="DQ279" t="str">
        <f>""</f>
        <v/>
      </c>
      <c r="DR279" t="str">
        <f>""</f>
        <v/>
      </c>
      <c r="DS279" t="str">
        <f>""</f>
        <v/>
      </c>
      <c r="DT279" t="str">
        <f>""</f>
        <v/>
      </c>
      <c r="DU279" t="str">
        <f>""</f>
        <v/>
      </c>
    </row>
    <row r="280" spans="1:125" x14ac:dyDescent="0.25">
      <c r="A280" t="str">
        <f>"BDH snapshot title"</f>
        <v>BDH snapshot title</v>
      </c>
      <c r="B280">
        <f>$B$279</f>
        <v>2</v>
      </c>
      <c r="C280" t="str">
        <f>IF(LEN($C$279)&lt;&gt;8,$C$279,RIGHT($C$279,4)&amp;" "&amp;MID($C$279,3,1)&amp;LEFT($C$279,1))</f>
        <v>2019 Q1</v>
      </c>
      <c r="D280" t="str">
        <f>IF(LEN($D$279)&lt;&gt;8,$D$279,RIGHT($D$279,4)&amp;" "&amp;MID($D$279,3,1)&amp;LEFT($D$279,1))</f>
        <v>2018 Q4</v>
      </c>
      <c r="E280" t="str">
        <f>IF(LEN($E$279)&lt;&gt;8,$E$279,RIGHT($E$279,4)&amp;" "&amp;MID($E$279,3,1)&amp;LEFT($E$279,1))</f>
        <v>2018 Q3</v>
      </c>
      <c r="F280" t="str">
        <f>IF(LEN($F$279)&lt;&gt;8,$F$279,RIGHT($F$279,4)&amp;" "&amp;MID($F$279,3,1)&amp;LEFT($F$279,1))</f>
        <v>2018 Q2</v>
      </c>
      <c r="G280" t="str">
        <f>IF(LEN($G$279)&lt;&gt;8,$G$279,RIGHT($G$279,4)&amp;" "&amp;MID($G$279,3,1)&amp;LEFT($G$279,1))</f>
        <v>2018 Q1</v>
      </c>
      <c r="H280" t="str">
        <f>IF(LEN($H$279)&lt;&gt;8,$H$279,RIGHT($H$279,4)&amp;" "&amp;MID($H$279,3,1)&amp;LEFT($H$279,1))</f>
        <v>2017 Q4</v>
      </c>
      <c r="I280" t="str">
        <f>IF(LEN($I$279)&lt;&gt;8,$I$279,RIGHT($I$279,4)&amp;" "&amp;MID($I$279,3,1)&amp;LEFT($I$279,1))</f>
        <v>2017 Q3</v>
      </c>
      <c r="J280" t="str">
        <f>IF(LEN($J$279)&lt;&gt;8,$J$279,RIGHT($J$279,4)&amp;" "&amp;MID($J$279,3,1)&amp;LEFT($J$279,1))</f>
        <v>2017 Q2</v>
      </c>
      <c r="K280" t="str">
        <f>IF(LEN($K$279)&lt;&gt;8,$K$279,RIGHT($K$279,4)&amp;" "&amp;MID($K$279,3,1)&amp;LEFT($K$279,1))</f>
        <v>2017 Q1</v>
      </c>
      <c r="L280" t="str">
        <f>IF(LEN($L$279)&lt;&gt;8,$L$279,RIGHT($L$279,4)&amp;" "&amp;MID($L$279,3,1)&amp;LEFT($L$279,1))</f>
        <v>2016 Q4</v>
      </c>
      <c r="M280" t="str">
        <f>IF(LEN($M$279)&lt;&gt;8,$M$279,RIGHT($M$279,4)&amp;" "&amp;MID($M$279,3,1)&amp;LEFT($M$279,1))</f>
        <v>2016 Q3</v>
      </c>
      <c r="N280" t="str">
        <f>IF(LEN($N$279)&lt;&gt;8,$N$279,RIGHT($N$279,4)&amp;" "&amp;MID($N$279,3,1)&amp;LEFT($N$279,1))</f>
        <v>2016 Q2</v>
      </c>
      <c r="O280" t="str">
        <f>IF(LEN($O$279)&lt;&gt;8,$O$279,RIGHT($O$279,4)&amp;" "&amp;MID($O$279,3,1)&amp;LEFT($O$279,1))</f>
        <v>2016 Q1</v>
      </c>
      <c r="P280" t="str">
        <f>IF(LEN($P$279)&lt;&gt;8,$P$279,RIGHT($P$279,4)&amp;" "&amp;MID($P$279,3,1)&amp;LEFT($P$279,1))</f>
        <v>2015 Q4</v>
      </c>
      <c r="Q280" t="str">
        <f>IF(LEN($Q$279)&lt;&gt;8,$Q$279,RIGHT($Q$279,4)&amp;" "&amp;MID($Q$279,3,1)&amp;LEFT($Q$279,1))</f>
        <v>2015 Q3</v>
      </c>
      <c r="R280" t="str">
        <f>IF(LEN($R$279)&lt;&gt;8,$R$279,RIGHT($R$279,4)&amp;" "&amp;MID($R$279,3,1)&amp;LEFT($R$279,1))</f>
        <v>2015 Q2</v>
      </c>
      <c r="S280" t="str">
        <f>IF(LEN($S$279)&lt;&gt;8,$S$279,RIGHT($S$279,4)&amp;" "&amp;MID($S$279,3,1)&amp;LEFT($S$279,1))</f>
        <v>2015 Q1</v>
      </c>
      <c r="T280" t="str">
        <f>IF(LEN($T$279)&lt;&gt;8,$T$279,RIGHT($T$279,4)&amp;" "&amp;MID($T$279,3,1)&amp;LEFT($T$279,1))</f>
        <v>2014 Q4</v>
      </c>
      <c r="U280" t="str">
        <f>IF(LEN($U$279)&lt;&gt;8,$U$279,RIGHT($U$279,4)&amp;" "&amp;MID($U$279,3,1)&amp;LEFT($U$279,1))</f>
        <v>2014 Q3</v>
      </c>
      <c r="V280" t="str">
        <f>IF(LEN($V$279)&lt;&gt;8,$V$279,RIGHT($V$279,4)&amp;" "&amp;MID($V$279,3,1)&amp;LEFT($V$279,1))</f>
        <v>2014 Q2</v>
      </c>
      <c r="W280" t="str">
        <f>IF(LEN($W$279)&lt;&gt;8,$W$279,RIGHT($W$279,4)&amp;" "&amp;MID($W$279,3,1)&amp;LEFT($W$279,1))</f>
        <v>2014 Q1</v>
      </c>
      <c r="X280" t="str">
        <f>IF(LEN($X$279)&lt;&gt;8,$X$279,RIGHT($X$279,4)&amp;" "&amp;MID($X$279,3,1)&amp;LEFT($X$279,1))</f>
        <v>2013 Q4</v>
      </c>
      <c r="Y280" t="str">
        <f>IF(LEN($Y$279)&lt;&gt;8,$Y$279,RIGHT($Y$279,4)&amp;" "&amp;MID($Y$279,3,1)&amp;LEFT($Y$279,1))</f>
        <v>2013 Q3</v>
      </c>
      <c r="Z280" t="str">
        <f>IF(LEN($Z$279)&lt;&gt;8,$Z$279,RIGHT($Z$279,4)&amp;" "&amp;MID($Z$279,3,1)&amp;LEFT($Z$279,1))</f>
        <v>2013 Q2</v>
      </c>
      <c r="AA280" t="str">
        <f>IF(LEN($AA$279)&lt;&gt;8,$AA$279,RIGHT($AA$279,4)&amp;" "&amp;MID($AA$279,3,1)&amp;LEFT($AA$279,1))</f>
        <v>2013 Q1</v>
      </c>
      <c r="AB280" t="str">
        <f>IF(LEN($AB$279)&lt;&gt;8,$AB$279,RIGHT($AB$279,4)&amp;" "&amp;MID($AB$279,3,1)&amp;LEFT($AB$279,1))</f>
        <v>2012 Q4</v>
      </c>
      <c r="AC280" t="str">
        <f>IF(LEN($AC$279)&lt;&gt;8,$AC$279,RIGHT($AC$279,4)&amp;" "&amp;MID($AC$279,3,1)&amp;LEFT($AC$279,1))</f>
        <v>2012 Q3</v>
      </c>
      <c r="AD280" t="str">
        <f>IF(LEN($AD$279)&lt;&gt;8,$AD$279,RIGHT($AD$279,4)&amp;" "&amp;MID($AD$279,3,1)&amp;LEFT($AD$279,1))</f>
        <v>2012 Q2</v>
      </c>
      <c r="AE280" t="str">
        <f>IF(LEN($AE$279)&lt;&gt;8,$AE$279,RIGHT($AE$279,4)&amp;" "&amp;MID($AE$279,3,1)&amp;LEFT($AE$279,1))</f>
        <v>2012 Q1</v>
      </c>
      <c r="AF280" t="str">
        <f>IF(LEN($AF$279)&lt;&gt;8,$AF$279,RIGHT($AF$279,4)&amp;" "&amp;MID($AF$279,3,1)&amp;LEFT($AF$279,1))</f>
        <v>2011 Q4</v>
      </c>
      <c r="AG280" t="str">
        <f>IF(LEN($AG$279)&lt;&gt;8,$AG$279,RIGHT($AG$279,4)&amp;" "&amp;MID($AG$279,3,1)&amp;LEFT($AG$279,1))</f>
        <v>2011 Q3</v>
      </c>
      <c r="AH280" t="str">
        <f>IF(LEN($AH$279)&lt;&gt;8,$AH$279,RIGHT($AH$279,4)&amp;" "&amp;MID($AH$279,3,1)&amp;LEFT($AH$279,1))</f>
        <v>2011 Q2</v>
      </c>
      <c r="AI280" t="str">
        <f>IF(LEN($AI$279)&lt;&gt;8,$AI$279,RIGHT($AI$279,4)&amp;" "&amp;MID($AI$279,3,1)&amp;LEFT($AI$279,1))</f>
        <v>2011 Q1</v>
      </c>
      <c r="AJ280" t="str">
        <f>IF(LEN($AJ$279)&lt;&gt;8,$AJ$279,RIGHT($AJ$279,4)&amp;" "&amp;MID($AJ$279,3,1)&amp;LEFT($AJ$279,1))</f>
        <v>2010 Q4</v>
      </c>
      <c r="AK280" t="str">
        <f>IF(LEN($AK$279)&lt;&gt;8,$AK$279,RIGHT($AK$279,4)&amp;" "&amp;MID($AK$279,3,1)&amp;LEFT($AK$279,1))</f>
        <v>2010 Q3</v>
      </c>
      <c r="AL280" t="str">
        <f>IF(LEN($AL$279)&lt;&gt;8,$AL$279,RIGHT($AL$279,4)&amp;" "&amp;MID($AL$279,3,1)&amp;LEFT($AL$279,1))</f>
        <v>2010 Q2</v>
      </c>
      <c r="AM280" t="str">
        <f>IF(LEN($AM$279)&lt;&gt;8,$AM$279,RIGHT($AM$279,4)&amp;" "&amp;MID($AM$279,3,1)&amp;LEFT($AM$279,1))</f>
        <v>2010 Q1</v>
      </c>
      <c r="AN280" t="str">
        <f>IF(LEN($AN$279)&lt;&gt;8,$AN$279,RIGHT($AN$279,4)&amp;" "&amp;MID($AN$279,3,1)&amp;LEFT($AN$279,1))</f>
        <v>2009 Q4</v>
      </c>
      <c r="AO280" t="str">
        <f>IF(LEN($AO$279)&lt;&gt;8,$AO$279,RIGHT($AO$279,4)&amp;" "&amp;MID($AO$279,3,1)&amp;LEFT($AO$279,1))</f>
        <v>2009 Q3</v>
      </c>
      <c r="AP280" t="str">
        <f>IF(LEN($AP$279)&lt;&gt;8,$AP$279,RIGHT($AP$279,4)&amp;" "&amp;MID($AP$279,3,1)&amp;LEFT($AP$279,1))</f>
        <v>2009 Q2</v>
      </c>
      <c r="AQ280" t="str">
        <f>IF(LEN($AQ$279)&lt;&gt;8,$AQ$279,RIGHT($AQ$279,4)&amp;" "&amp;MID($AQ$279,3,1)&amp;LEFT($AQ$279,1))</f>
        <v>2009 Q1</v>
      </c>
      <c r="AR280" t="str">
        <f>IF(LEN($AR$279)&lt;&gt;8,$AR$279,RIGHT($AR$279,4)&amp;" "&amp;MID($AR$279,3,1)&amp;LEFT($AR$279,1))</f>
        <v>2008 Q4</v>
      </c>
      <c r="AS280" t="str">
        <f>IF(LEN($AS$279)&lt;&gt;8,$AS$279,RIGHT($AS$279,4)&amp;" "&amp;MID($AS$279,3,1)&amp;LEFT($AS$279,1))</f>
        <v>2008 Q3</v>
      </c>
      <c r="AT280" t="str">
        <f>IF(LEN($AT$279)&lt;&gt;8,$AT$279,RIGHT($AT$279,4)&amp;" "&amp;MID($AT$279,3,1)&amp;LEFT($AT$279,1))</f>
        <v>2008 Q2</v>
      </c>
      <c r="AU280" t="str">
        <f>IF(LEN($AU$279)&lt;&gt;8,$AU$279,RIGHT($AU$279,4)&amp;" "&amp;MID($AU$279,3,1)&amp;LEFT($AU$279,1))</f>
        <v>2008 Q1</v>
      </c>
      <c r="AV280" t="str">
        <f>IF(LEN($AV$279)&lt;&gt;8,$AV$279,RIGHT($AV$279,4)&amp;" "&amp;MID($AV$279,3,1)&amp;LEFT($AV$279,1))</f>
        <v>2007 Q4</v>
      </c>
      <c r="AW280" t="str">
        <f>IF(LEN($AW$279)&lt;&gt;8,$AW$279,RIGHT($AW$279,4)&amp;" "&amp;MID($AW$279,3,1)&amp;LEFT($AW$279,1))</f>
        <v>2007 Q3</v>
      </c>
      <c r="AX280" t="str">
        <f>IF(LEN($AX$279)&lt;&gt;8,$AX$279,RIGHT($AX$279,4)&amp;" "&amp;MID($AX$279,3,1)&amp;LEFT($AX$279,1))</f>
        <v>2007 Q2</v>
      </c>
      <c r="AY280" t="str">
        <f>IF(LEN($AY$279)&lt;&gt;8,$AY$279,RIGHT($AY$279,4)&amp;" "&amp;MID($AY$279,3,1)&amp;LEFT($AY$279,1))</f>
        <v>2007 Q1</v>
      </c>
      <c r="AZ280" t="str">
        <f>IF(LEN($AZ$279)&lt;&gt;8,$AZ$279,RIGHT($AZ$279,4)&amp;" "&amp;MID($AZ$279,3,1)&amp;LEFT($AZ$279,1))</f>
        <v>2006 Q4</v>
      </c>
      <c r="BA280" t="str">
        <f>IF(LEN($BA$279)&lt;&gt;8,$BA$279,RIGHT($BA$279,4)&amp;" "&amp;MID($BA$279,3,1)&amp;LEFT($BA$279,1))</f>
        <v>2006 Q3</v>
      </c>
      <c r="BB280" t="str">
        <f>IF(LEN($BB$279)&lt;&gt;8,$BB$279,RIGHT($BB$279,4)&amp;" "&amp;MID($BB$279,3,1)&amp;LEFT($BB$279,1))</f>
        <v>2006 Q2</v>
      </c>
      <c r="BC280" t="str">
        <f>IF(LEN($BC$279)&lt;&gt;8,$BC$279,RIGHT($BC$279,4)&amp;" "&amp;MID($BC$279,3,1)&amp;LEFT($BC$279,1))</f>
        <v>2006 Q1</v>
      </c>
      <c r="BD280" t="str">
        <f>IF(LEN($BD$279)&lt;&gt;8,$BD$279,RIGHT($BD$279,4)&amp;" "&amp;MID($BD$279,3,1)&amp;LEFT($BD$279,1))</f>
        <v>2005 Q4</v>
      </c>
      <c r="BE280" t="str">
        <f>IF(LEN($BE$279)&lt;&gt;8,$BE$279,RIGHT($BE$279,4)&amp;" "&amp;MID($BE$279,3,1)&amp;LEFT($BE$279,1))</f>
        <v>2005 Q3</v>
      </c>
      <c r="BF280" t="str">
        <f>IF(LEN($BF$279)&lt;&gt;8,$BF$279,RIGHT($BF$279,4)&amp;" "&amp;MID($BF$279,3,1)&amp;LEFT($BF$279,1))</f>
        <v>2005 Q2</v>
      </c>
      <c r="BG280" t="str">
        <f>IF(LEN($BG$279)&lt;&gt;8,$BG$279,RIGHT($BG$279,4)&amp;" "&amp;MID($BG$279,3,1)&amp;LEFT($BG$279,1))</f>
        <v>2005 Q1</v>
      </c>
      <c r="BH280" t="str">
        <f>IF(LEN($BH$279)&lt;&gt;8,$BH$279,RIGHT($BH$279,4)&amp;" "&amp;MID($BH$279,3,1)&amp;LEFT($BH$279,1))</f>
        <v>2004 Q4</v>
      </c>
      <c r="BI280" t="str">
        <f>IF(LEN($BI$279)&lt;&gt;8,$BI$279,RIGHT($BI$279,4)&amp;" "&amp;MID($BI$279,3,1)&amp;LEFT($BI$279,1))</f>
        <v>2004 Q3</v>
      </c>
      <c r="BJ280" t="str">
        <f>IF(LEN($BJ$279)&lt;&gt;8,$BJ$279,RIGHT($BJ$279,4)&amp;" "&amp;MID($BJ$279,3,1)&amp;LEFT($BJ$279,1))</f>
        <v>2004 Q2</v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  <c r="CI280" t="str">
        <f>""</f>
        <v/>
      </c>
      <c r="CJ280" t="str">
        <f>""</f>
        <v/>
      </c>
      <c r="CK280" t="str">
        <f>""</f>
        <v/>
      </c>
      <c r="CL280" t="str">
        <f>""</f>
        <v/>
      </c>
      <c r="CM280" t="str">
        <f>""</f>
        <v/>
      </c>
      <c r="CN280" t="str">
        <f>""</f>
        <v/>
      </c>
      <c r="CO280" t="str">
        <f>""</f>
        <v/>
      </c>
      <c r="CP280" t="str">
        <f>""</f>
        <v/>
      </c>
      <c r="CQ280" t="str">
        <f>""</f>
        <v/>
      </c>
      <c r="CR280" t="str">
        <f>""</f>
        <v/>
      </c>
      <c r="CS280" t="str">
        <f>""</f>
        <v/>
      </c>
      <c r="CT280" t="str">
        <f>""</f>
        <v/>
      </c>
      <c r="CU280" t="str">
        <f>""</f>
        <v/>
      </c>
      <c r="CV280" t="str">
        <f>""</f>
        <v/>
      </c>
      <c r="CW280" t="str">
        <f>""</f>
        <v/>
      </c>
      <c r="CX280" t="str">
        <f>""</f>
        <v/>
      </c>
      <c r="CY280" t="str">
        <f>""</f>
        <v/>
      </c>
      <c r="CZ280" t="str">
        <f>""</f>
        <v/>
      </c>
      <c r="DA280" t="str">
        <f>""</f>
        <v/>
      </c>
      <c r="DB280" t="str">
        <f>""</f>
        <v/>
      </c>
      <c r="DC280" t="str">
        <f>""</f>
        <v/>
      </c>
      <c r="DD280" t="str">
        <f>""</f>
        <v/>
      </c>
      <c r="DE280" t="str">
        <f>""</f>
        <v/>
      </c>
      <c r="DF280" t="str">
        <f>""</f>
        <v/>
      </c>
      <c r="DG280" t="str">
        <f>""</f>
        <v/>
      </c>
      <c r="DH280" t="str">
        <f>""</f>
        <v/>
      </c>
      <c r="DI280" t="str">
        <f>""</f>
        <v/>
      </c>
      <c r="DJ280" t="str">
        <f>""</f>
        <v/>
      </c>
      <c r="DK280" t="str">
        <f>""</f>
        <v/>
      </c>
      <c r="DL280" t="str">
        <f>""</f>
        <v/>
      </c>
      <c r="DM280" t="str">
        <f>""</f>
        <v/>
      </c>
      <c r="DN280" t="str">
        <f>""</f>
        <v/>
      </c>
      <c r="DO280" t="str">
        <f>""</f>
        <v/>
      </c>
      <c r="DP280" t="str">
        <f>""</f>
        <v/>
      </c>
      <c r="DQ280" t="str">
        <f>""</f>
        <v/>
      </c>
      <c r="DR280" t="str">
        <f>""</f>
        <v/>
      </c>
      <c r="DS280" t="str">
        <f>""</f>
        <v/>
      </c>
      <c r="DT280" t="str">
        <f>""</f>
        <v/>
      </c>
      <c r="DU280" t="str">
        <f>""</f>
        <v/>
      </c>
    </row>
    <row r="281" spans="1:125" x14ac:dyDescent="0.25">
      <c r="A281" t="str">
        <f>"BDH dynamic header0"</f>
        <v>BDH dynamic header0</v>
      </c>
      <c r="B281">
        <f ca="1">IF(OR(ISERROR($C$281),ISBLANK($C$281),ISNUMBER(SEARCH("N/A",$C$281) ),ISERROR($C$282),ISBLANK($C$282)),0,1)</f>
        <v>0</v>
      </c>
      <c r="C281" t="str">
        <f ca="1">_xll.BDH($B$73,$C$73,$B$154,$B$155,"PER=CQ","Dts=S","DtFmt=FI", "rows=2","Dir=H","Points=60","Sort=R","Days=A","Fill=B","FX=USD" )</f>
        <v>#N/A Connection</v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  <c r="CI281" t="str">
        <f>""</f>
        <v/>
      </c>
      <c r="CJ281" t="str">
        <f>""</f>
        <v/>
      </c>
      <c r="CK281" t="str">
        <f>""</f>
        <v/>
      </c>
      <c r="CL281" t="str">
        <f>""</f>
        <v/>
      </c>
      <c r="CM281" t="str">
        <f>""</f>
        <v/>
      </c>
      <c r="CN281" t="str">
        <f>""</f>
        <v/>
      </c>
      <c r="CO281" t="str">
        <f>""</f>
        <v/>
      </c>
      <c r="CP281" t="str">
        <f>""</f>
        <v/>
      </c>
      <c r="CQ281" t="str">
        <f>""</f>
        <v/>
      </c>
      <c r="CR281" t="str">
        <f>""</f>
        <v/>
      </c>
      <c r="CS281" t="str">
        <f>""</f>
        <v/>
      </c>
      <c r="CT281" t="str">
        <f>""</f>
        <v/>
      </c>
      <c r="CU281" t="str">
        <f>""</f>
        <v/>
      </c>
      <c r="CV281" t="str">
        <f>""</f>
        <v/>
      </c>
      <c r="CW281" t="str">
        <f>""</f>
        <v/>
      </c>
      <c r="CX281" t="str">
        <f>""</f>
        <v/>
      </c>
      <c r="CY281" t="str">
        <f>""</f>
        <v/>
      </c>
      <c r="CZ281" t="str">
        <f>""</f>
        <v/>
      </c>
      <c r="DA281" t="str">
        <f>""</f>
        <v/>
      </c>
      <c r="DB281" t="str">
        <f>""</f>
        <v/>
      </c>
      <c r="DC281" t="str">
        <f>""</f>
        <v/>
      </c>
      <c r="DD281" t="str">
        <f>""</f>
        <v/>
      </c>
      <c r="DE281" t="str">
        <f>""</f>
        <v/>
      </c>
      <c r="DF281" t="str">
        <f>""</f>
        <v/>
      </c>
      <c r="DG281" t="str">
        <f>""</f>
        <v/>
      </c>
      <c r="DH281" t="str">
        <f>""</f>
        <v/>
      </c>
      <c r="DI281" t="str">
        <f>""</f>
        <v/>
      </c>
      <c r="DJ281" t="str">
        <f>""</f>
        <v/>
      </c>
      <c r="DK281" t="str">
        <f>""</f>
        <v/>
      </c>
      <c r="DL281" t="str">
        <f>""</f>
        <v/>
      </c>
      <c r="DM281" t="str">
        <f>""</f>
        <v/>
      </c>
      <c r="DN281" t="str">
        <f>""</f>
        <v/>
      </c>
      <c r="DO281" t="str">
        <f>""</f>
        <v/>
      </c>
      <c r="DP281" t="str">
        <f>""</f>
        <v/>
      </c>
      <c r="DQ281" t="str">
        <f>""</f>
        <v/>
      </c>
      <c r="DR281" t="str">
        <f>""</f>
        <v/>
      </c>
      <c r="DS281" t="str">
        <f>""</f>
        <v/>
      </c>
      <c r="DT281" t="str">
        <f>""</f>
        <v/>
      </c>
      <c r="DU281" t="str">
        <f>""</f>
        <v/>
      </c>
    </row>
    <row r="282" spans="1:125" x14ac:dyDescent="0.25">
      <c r="A282" t="str">
        <f>"BDH dynamic result0"</f>
        <v>BDH dynamic result0</v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  <c r="CI282" t="str">
        <f>""</f>
        <v/>
      </c>
      <c r="CJ282" t="str">
        <f>""</f>
        <v/>
      </c>
      <c r="CK282" t="str">
        <f>""</f>
        <v/>
      </c>
      <c r="CL282" t="str">
        <f>""</f>
        <v/>
      </c>
      <c r="CM282" t="str">
        <f>""</f>
        <v/>
      </c>
      <c r="CN282" t="str">
        <f>""</f>
        <v/>
      </c>
      <c r="CO282" t="str">
        <f>""</f>
        <v/>
      </c>
      <c r="CP282" t="str">
        <f>""</f>
        <v/>
      </c>
      <c r="CQ282" t="str">
        <f>""</f>
        <v/>
      </c>
      <c r="CR282" t="str">
        <f>""</f>
        <v/>
      </c>
      <c r="CS282" t="str">
        <f>""</f>
        <v/>
      </c>
      <c r="CT282" t="str">
        <f>""</f>
        <v/>
      </c>
      <c r="CU282" t="str">
        <f>""</f>
        <v/>
      </c>
      <c r="CV282" t="str">
        <f>""</f>
        <v/>
      </c>
      <c r="CW282" t="str">
        <f>""</f>
        <v/>
      </c>
      <c r="CX282" t="str">
        <f>""</f>
        <v/>
      </c>
      <c r="CY282" t="str">
        <f>""</f>
        <v/>
      </c>
      <c r="CZ282" t="str">
        <f>""</f>
        <v/>
      </c>
      <c r="DA282" t="str">
        <f>""</f>
        <v/>
      </c>
      <c r="DB282" t="str">
        <f>""</f>
        <v/>
      </c>
      <c r="DC282" t="str">
        <f>""</f>
        <v/>
      </c>
      <c r="DD282" t="str">
        <f>""</f>
        <v/>
      </c>
      <c r="DE282" t="str">
        <f>""</f>
        <v/>
      </c>
      <c r="DF282" t="str">
        <f>""</f>
        <v/>
      </c>
      <c r="DG282" t="str">
        <f>""</f>
        <v/>
      </c>
      <c r="DH282" t="str">
        <f>""</f>
        <v/>
      </c>
      <c r="DI282" t="str">
        <f>""</f>
        <v/>
      </c>
      <c r="DJ282" t="str">
        <f>""</f>
        <v/>
      </c>
      <c r="DK282" t="str">
        <f>""</f>
        <v/>
      </c>
      <c r="DL282" t="str">
        <f>""</f>
        <v/>
      </c>
      <c r="DM282" t="str">
        <f>""</f>
        <v/>
      </c>
      <c r="DN282" t="str">
        <f>""</f>
        <v/>
      </c>
      <c r="DO282" t="str">
        <f>""</f>
        <v/>
      </c>
      <c r="DP282" t="str">
        <f>""</f>
        <v/>
      </c>
      <c r="DQ282" t="str">
        <f>""</f>
        <v/>
      </c>
      <c r="DR282" t="str">
        <f>""</f>
        <v/>
      </c>
      <c r="DS282" t="str">
        <f>""</f>
        <v/>
      </c>
      <c r="DT282" t="str">
        <f>""</f>
        <v/>
      </c>
      <c r="DU282" t="str">
        <f>""</f>
        <v/>
      </c>
    </row>
    <row r="283" spans="1:125" x14ac:dyDescent="0.25">
      <c r="A283" t="str">
        <f>"BDH dynamic header1"</f>
        <v>BDH dynamic header1</v>
      </c>
      <c r="B283">
        <f ca="1">IF(OR(ISERROR($C$283),ISBLANK($C$283),ISNUMBER(SEARCH("N/A",$C$283) ),ISERROR($C$284),ISBLANK($C$284)),0,1)</f>
        <v>0</v>
      </c>
      <c r="C283" t="str">
        <f ca="1">_xll.BDH($B$74,$C$74,$B$154,$B$155,"PER=CQ","Dts=S","DtFmt=FI", "rows=2","Dir=H","Points=60","Sort=R","Days=A","Fill=B","DZ666=084","DZ381=11111010","DZ667=101","DS276=Y","FX=USD" )</f>
        <v>#N/A Connection</v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  <c r="CI283" t="str">
        <f>""</f>
        <v/>
      </c>
      <c r="CJ283" t="str">
        <f>""</f>
        <v/>
      </c>
      <c r="CK283" t="str">
        <f>""</f>
        <v/>
      </c>
      <c r="CL283" t="str">
        <f>""</f>
        <v/>
      </c>
      <c r="CM283" t="str">
        <f>""</f>
        <v/>
      </c>
      <c r="CN283" t="str">
        <f>""</f>
        <v/>
      </c>
      <c r="CO283" t="str">
        <f>""</f>
        <v/>
      </c>
      <c r="CP283" t="str">
        <f>""</f>
        <v/>
      </c>
      <c r="CQ283" t="str">
        <f>""</f>
        <v/>
      </c>
      <c r="CR283" t="str">
        <f>""</f>
        <v/>
      </c>
      <c r="CS283" t="str">
        <f>""</f>
        <v/>
      </c>
      <c r="CT283" t="str">
        <f>""</f>
        <v/>
      </c>
      <c r="CU283" t="str">
        <f>""</f>
        <v/>
      </c>
      <c r="CV283" t="str">
        <f>""</f>
        <v/>
      </c>
      <c r="CW283" t="str">
        <f>""</f>
        <v/>
      </c>
      <c r="CX283" t="str">
        <f>""</f>
        <v/>
      </c>
      <c r="CY283" t="str">
        <f>""</f>
        <v/>
      </c>
      <c r="CZ283" t="str">
        <f>""</f>
        <v/>
      </c>
      <c r="DA283" t="str">
        <f>""</f>
        <v/>
      </c>
      <c r="DB283" t="str">
        <f>""</f>
        <v/>
      </c>
      <c r="DC283" t="str">
        <f>""</f>
        <v/>
      </c>
      <c r="DD283" t="str">
        <f>""</f>
        <v/>
      </c>
      <c r="DE283" t="str">
        <f>""</f>
        <v/>
      </c>
      <c r="DF283" t="str">
        <f>""</f>
        <v/>
      </c>
      <c r="DG283" t="str">
        <f>""</f>
        <v/>
      </c>
      <c r="DH283" t="str">
        <f>""</f>
        <v/>
      </c>
      <c r="DI283" t="str">
        <f>""</f>
        <v/>
      </c>
      <c r="DJ283" t="str">
        <f>""</f>
        <v/>
      </c>
      <c r="DK283" t="str">
        <f>""</f>
        <v/>
      </c>
      <c r="DL283" t="str">
        <f>""</f>
        <v/>
      </c>
      <c r="DM283" t="str">
        <f>""</f>
        <v/>
      </c>
      <c r="DN283" t="str">
        <f>""</f>
        <v/>
      </c>
      <c r="DO283" t="str">
        <f>""</f>
        <v/>
      </c>
      <c r="DP283" t="str">
        <f>""</f>
        <v/>
      </c>
      <c r="DQ283" t="str">
        <f>""</f>
        <v/>
      </c>
      <c r="DR283" t="str">
        <f>""</f>
        <v/>
      </c>
      <c r="DS283" t="str">
        <f>""</f>
        <v/>
      </c>
      <c r="DT283" t="str">
        <f>""</f>
        <v/>
      </c>
      <c r="DU283" t="str">
        <f>""</f>
        <v/>
      </c>
    </row>
    <row r="284" spans="1:125" x14ac:dyDescent="0.25">
      <c r="A284" t="str">
        <f>"BDH dynamic result1"</f>
        <v>BDH dynamic result1</v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  <c r="BT284" t="str">
        <f>""</f>
        <v/>
      </c>
      <c r="BU284" t="str">
        <f>""</f>
        <v/>
      </c>
      <c r="BV284" t="str">
        <f>""</f>
        <v/>
      </c>
      <c r="BW284" t="str">
        <f>""</f>
        <v/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  <c r="CH284" t="str">
        <f>""</f>
        <v/>
      </c>
      <c r="CI284" t="str">
        <f>""</f>
        <v/>
      </c>
      <c r="CJ284" t="str">
        <f>""</f>
        <v/>
      </c>
      <c r="CK284" t="str">
        <f>""</f>
        <v/>
      </c>
      <c r="CL284" t="str">
        <f>""</f>
        <v/>
      </c>
      <c r="CM284" t="str">
        <f>""</f>
        <v/>
      </c>
      <c r="CN284" t="str">
        <f>""</f>
        <v/>
      </c>
      <c r="CO284" t="str">
        <f>""</f>
        <v/>
      </c>
      <c r="CP284" t="str">
        <f>""</f>
        <v/>
      </c>
      <c r="CQ284" t="str">
        <f>""</f>
        <v/>
      </c>
      <c r="CR284" t="str">
        <f>""</f>
        <v/>
      </c>
      <c r="CS284" t="str">
        <f>""</f>
        <v/>
      </c>
      <c r="CT284" t="str">
        <f>""</f>
        <v/>
      </c>
      <c r="CU284" t="str">
        <f>""</f>
        <v/>
      </c>
      <c r="CV284" t="str">
        <f>""</f>
        <v/>
      </c>
      <c r="CW284" t="str">
        <f>""</f>
        <v/>
      </c>
      <c r="CX284" t="str">
        <f>""</f>
        <v/>
      </c>
      <c r="CY284" t="str">
        <f>""</f>
        <v/>
      </c>
      <c r="CZ284" t="str">
        <f>""</f>
        <v/>
      </c>
      <c r="DA284" t="str">
        <f>""</f>
        <v/>
      </c>
      <c r="DB284" t="str">
        <f>""</f>
        <v/>
      </c>
      <c r="DC284" t="str">
        <f>""</f>
        <v/>
      </c>
      <c r="DD284" t="str">
        <f>""</f>
        <v/>
      </c>
      <c r="DE284" t="str">
        <f>""</f>
        <v/>
      </c>
      <c r="DF284" t="str">
        <f>""</f>
        <v/>
      </c>
      <c r="DG284" t="str">
        <f>""</f>
        <v/>
      </c>
      <c r="DH284" t="str">
        <f>""</f>
        <v/>
      </c>
      <c r="DI284" t="str">
        <f>""</f>
        <v/>
      </c>
      <c r="DJ284" t="str">
        <f>""</f>
        <v/>
      </c>
      <c r="DK284" t="str">
        <f>""</f>
        <v/>
      </c>
      <c r="DL284" t="str">
        <f>""</f>
        <v/>
      </c>
      <c r="DM284" t="str">
        <f>""</f>
        <v/>
      </c>
      <c r="DN284" t="str">
        <f>""</f>
        <v/>
      </c>
      <c r="DO284" t="str">
        <f>""</f>
        <v/>
      </c>
      <c r="DP284" t="str">
        <f>""</f>
        <v/>
      </c>
      <c r="DQ284" t="str">
        <f>""</f>
        <v/>
      </c>
      <c r="DR284" t="str">
        <f>""</f>
        <v/>
      </c>
      <c r="DS284" t="str">
        <f>""</f>
        <v/>
      </c>
      <c r="DT284" t="str">
        <f>""</f>
        <v/>
      </c>
      <c r="DU284" t="str">
        <f>""</f>
        <v/>
      </c>
    </row>
    <row r="285" spans="1:125" x14ac:dyDescent="0.25">
      <c r="A285" t="str">
        <f>"BDH dynamic header2"</f>
        <v>BDH dynamic header2</v>
      </c>
      <c r="B285">
        <f ca="1">IF(OR(ISERROR($C$285),ISBLANK($C$285),ISNUMBER(SEARCH("N/A",$C$285) ),ISERROR($C$286),ISBLANK($C$286)),0,1)</f>
        <v>0</v>
      </c>
      <c r="C285" t="str">
        <f ca="1">_xll.BDH($B$75,$C$75,$B$154,$B$155,"PER=CQ","Dts=S","DtFmt=FI", "rows=2","Dir=H","Points=60","Sort=R","Days=A","Fill=B","DZ666=084","DZ381=11111010","DZ667=2","DS276=Y","FX=USD" )</f>
        <v>#N/A Connection</v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  <c r="BT285" t="str">
        <f>""</f>
        <v/>
      </c>
      <c r="BU285" t="str">
        <f>""</f>
        <v/>
      </c>
      <c r="BV285" t="str">
        <f>""</f>
        <v/>
      </c>
      <c r="BW285" t="str">
        <f>""</f>
        <v/>
      </c>
      <c r="BX285" t="str">
        <f>""</f>
        <v/>
      </c>
      <c r="BY285" t="str">
        <f>""</f>
        <v/>
      </c>
      <c r="BZ285" t="str">
        <f>""</f>
        <v/>
      </c>
      <c r="CA285" t="str">
        <f>""</f>
        <v/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  <c r="CH285" t="str">
        <f>""</f>
        <v/>
      </c>
      <c r="CI285" t="str">
        <f>""</f>
        <v/>
      </c>
      <c r="CJ285" t="str">
        <f>""</f>
        <v/>
      </c>
      <c r="CK285" t="str">
        <f>""</f>
        <v/>
      </c>
      <c r="CL285" t="str">
        <f>""</f>
        <v/>
      </c>
      <c r="CM285" t="str">
        <f>""</f>
        <v/>
      </c>
      <c r="CN285" t="str">
        <f>""</f>
        <v/>
      </c>
      <c r="CO285" t="str">
        <f>""</f>
        <v/>
      </c>
      <c r="CP285" t="str">
        <f>""</f>
        <v/>
      </c>
      <c r="CQ285" t="str">
        <f>""</f>
        <v/>
      </c>
      <c r="CR285" t="str">
        <f>""</f>
        <v/>
      </c>
      <c r="CS285" t="str">
        <f>""</f>
        <v/>
      </c>
      <c r="CT285" t="str">
        <f>""</f>
        <v/>
      </c>
      <c r="CU285" t="str">
        <f>""</f>
        <v/>
      </c>
      <c r="CV285" t="str">
        <f>""</f>
        <v/>
      </c>
      <c r="CW285" t="str">
        <f>""</f>
        <v/>
      </c>
      <c r="CX285" t="str">
        <f>""</f>
        <v/>
      </c>
      <c r="CY285" t="str">
        <f>""</f>
        <v/>
      </c>
      <c r="CZ285" t="str">
        <f>""</f>
        <v/>
      </c>
      <c r="DA285" t="str">
        <f>""</f>
        <v/>
      </c>
      <c r="DB285" t="str">
        <f>""</f>
        <v/>
      </c>
      <c r="DC285" t="str">
        <f>""</f>
        <v/>
      </c>
      <c r="DD285" t="str">
        <f>""</f>
        <v/>
      </c>
      <c r="DE285" t="str">
        <f>""</f>
        <v/>
      </c>
      <c r="DF285" t="str">
        <f>""</f>
        <v/>
      </c>
      <c r="DG285" t="str">
        <f>""</f>
        <v/>
      </c>
      <c r="DH285" t="str">
        <f>""</f>
        <v/>
      </c>
      <c r="DI285" t="str">
        <f>""</f>
        <v/>
      </c>
      <c r="DJ285" t="str">
        <f>""</f>
        <v/>
      </c>
      <c r="DK285" t="str">
        <f>""</f>
        <v/>
      </c>
      <c r="DL285" t="str">
        <f>""</f>
        <v/>
      </c>
      <c r="DM285" t="str">
        <f>""</f>
        <v/>
      </c>
      <c r="DN285" t="str">
        <f>""</f>
        <v/>
      </c>
      <c r="DO285" t="str">
        <f>""</f>
        <v/>
      </c>
      <c r="DP285" t="str">
        <f>""</f>
        <v/>
      </c>
      <c r="DQ285" t="str">
        <f>""</f>
        <v/>
      </c>
      <c r="DR285" t="str">
        <f>""</f>
        <v/>
      </c>
      <c r="DS285" t="str">
        <f>""</f>
        <v/>
      </c>
      <c r="DT285" t="str">
        <f>""</f>
        <v/>
      </c>
      <c r="DU285" t="str">
        <f>""</f>
        <v/>
      </c>
    </row>
    <row r="286" spans="1:125" x14ac:dyDescent="0.25">
      <c r="A286" t="str">
        <f>"BDH dynamic result2"</f>
        <v>BDH dynamic result2</v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  <c r="BT286" t="str">
        <f>""</f>
        <v/>
      </c>
      <c r="BU286" t="str">
        <f>""</f>
        <v/>
      </c>
      <c r="BV286" t="str">
        <f>""</f>
        <v/>
      </c>
      <c r="BW286" t="str">
        <f>""</f>
        <v/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  <c r="CH286" t="str">
        <f>""</f>
        <v/>
      </c>
      <c r="CI286" t="str">
        <f>""</f>
        <v/>
      </c>
      <c r="CJ286" t="str">
        <f>""</f>
        <v/>
      </c>
      <c r="CK286" t="str">
        <f>""</f>
        <v/>
      </c>
      <c r="CL286" t="str">
        <f>""</f>
        <v/>
      </c>
      <c r="CM286" t="str">
        <f>""</f>
        <v/>
      </c>
      <c r="CN286" t="str">
        <f>""</f>
        <v/>
      </c>
      <c r="CO286" t="str">
        <f>""</f>
        <v/>
      </c>
      <c r="CP286" t="str">
        <f>""</f>
        <v/>
      </c>
      <c r="CQ286" t="str">
        <f>""</f>
        <v/>
      </c>
      <c r="CR286" t="str">
        <f>""</f>
        <v/>
      </c>
      <c r="CS286" t="str">
        <f>""</f>
        <v/>
      </c>
      <c r="CT286" t="str">
        <f>""</f>
        <v/>
      </c>
      <c r="CU286" t="str">
        <f>""</f>
        <v/>
      </c>
      <c r="CV286" t="str">
        <f>""</f>
        <v/>
      </c>
      <c r="CW286" t="str">
        <f>""</f>
        <v/>
      </c>
      <c r="CX286" t="str">
        <f>""</f>
        <v/>
      </c>
      <c r="CY286" t="str">
        <f>""</f>
        <v/>
      </c>
      <c r="CZ286" t="str">
        <f>""</f>
        <v/>
      </c>
      <c r="DA286" t="str">
        <f>""</f>
        <v/>
      </c>
      <c r="DB286" t="str">
        <f>""</f>
        <v/>
      </c>
      <c r="DC286" t="str">
        <f>""</f>
        <v/>
      </c>
      <c r="DD286" t="str">
        <f>""</f>
        <v/>
      </c>
      <c r="DE286" t="str">
        <f>""</f>
        <v/>
      </c>
      <c r="DF286" t="str">
        <f>""</f>
        <v/>
      </c>
      <c r="DG286" t="str">
        <f>""</f>
        <v/>
      </c>
      <c r="DH286" t="str">
        <f>""</f>
        <v/>
      </c>
      <c r="DI286" t="str">
        <f>""</f>
        <v/>
      </c>
      <c r="DJ286" t="str">
        <f>""</f>
        <v/>
      </c>
      <c r="DK286" t="str">
        <f>""</f>
        <v/>
      </c>
      <c r="DL286" t="str">
        <f>""</f>
        <v/>
      </c>
      <c r="DM286" t="str">
        <f>""</f>
        <v/>
      </c>
      <c r="DN286" t="str">
        <f>""</f>
        <v/>
      </c>
      <c r="DO286" t="str">
        <f>""</f>
        <v/>
      </c>
      <c r="DP286" t="str">
        <f>""</f>
        <v/>
      </c>
      <c r="DQ286" t="str">
        <f>""</f>
        <v/>
      </c>
      <c r="DR286" t="str">
        <f>""</f>
        <v/>
      </c>
      <c r="DS286" t="str">
        <f>""</f>
        <v/>
      </c>
      <c r="DT286" t="str">
        <f>""</f>
        <v/>
      </c>
      <c r="DU286" t="str">
        <f>""</f>
        <v/>
      </c>
    </row>
    <row r="287" spans="1:125" x14ac:dyDescent="0.25">
      <c r="A287" t="str">
        <f>"BDH dynamic"</f>
        <v>BDH dynamic</v>
      </c>
      <c r="B287">
        <f ca="1">IF($B$281&gt;=1,$B$281,IF($B$283&gt;=1,$B$283,IF($B$285&gt;=1,$B$285,$B$272)))</f>
        <v>2</v>
      </c>
      <c r="C287" t="str">
        <f ca="1">IF($B$281&gt;=1,$C$281,IF($B$283&gt;=1,$C$283,IF($B$285&gt;=1,$C$285,$C$272)))</f>
        <v>2019 Q1</v>
      </c>
      <c r="D287" t="str">
        <f ca="1">IF($B$281&gt;=1,$D$281,IF($B$283&gt;=1,$D$283,IF($B$285&gt;=1,$D$285,$D$272)))</f>
        <v>2018 Q4</v>
      </c>
      <c r="E287" t="str">
        <f ca="1">IF($B$281&gt;=1,$E$281,IF($B$283&gt;=1,$E$283,IF($B$285&gt;=1,$E$285,$E$272)))</f>
        <v>2018 Q3</v>
      </c>
      <c r="F287" t="str">
        <f ca="1">IF($B$281&gt;=1,$F$281,IF($B$283&gt;=1,$F$283,IF($B$285&gt;=1,$F$285,$F$272)))</f>
        <v>2018 Q2</v>
      </c>
      <c r="G287" t="str">
        <f ca="1">IF($B$281&gt;=1,$G$281,IF($B$283&gt;=1,$G$283,IF($B$285&gt;=1,$G$285,$G$272)))</f>
        <v>2018 Q1</v>
      </c>
      <c r="H287" t="str">
        <f ca="1">IF($B$281&gt;=1,$H$281,IF($B$283&gt;=1,$H$283,IF($B$285&gt;=1,$H$285,$H$272)))</f>
        <v>2017 Q4</v>
      </c>
      <c r="I287" t="str">
        <f ca="1">IF($B$281&gt;=1,$I$281,IF($B$283&gt;=1,$I$283,IF($B$285&gt;=1,$I$285,$I$272)))</f>
        <v>2017 Q3</v>
      </c>
      <c r="J287" t="str">
        <f ca="1">IF($B$281&gt;=1,$J$281,IF($B$283&gt;=1,$J$283,IF($B$285&gt;=1,$J$285,$J$272)))</f>
        <v>2017 Q2</v>
      </c>
      <c r="K287" t="str">
        <f ca="1">IF($B$281&gt;=1,$K$281,IF($B$283&gt;=1,$K$283,IF($B$285&gt;=1,$K$285,$K$272)))</f>
        <v>2017 Q1</v>
      </c>
      <c r="L287" t="str">
        <f ca="1">IF($B$281&gt;=1,$L$281,IF($B$283&gt;=1,$L$283,IF($B$285&gt;=1,$L$285,$L$272)))</f>
        <v>2016 Q4</v>
      </c>
      <c r="M287" t="str">
        <f ca="1">IF($B$281&gt;=1,$M$281,IF($B$283&gt;=1,$M$283,IF($B$285&gt;=1,$M$285,$M$272)))</f>
        <v>2016 Q3</v>
      </c>
      <c r="N287" t="str">
        <f ca="1">IF($B$281&gt;=1,$N$281,IF($B$283&gt;=1,$N$283,IF($B$285&gt;=1,$N$285,$N$272)))</f>
        <v>2016 Q2</v>
      </c>
      <c r="O287" t="str">
        <f ca="1">IF($B$281&gt;=1,$O$281,IF($B$283&gt;=1,$O$283,IF($B$285&gt;=1,$O$285,$O$272)))</f>
        <v>2016 Q1</v>
      </c>
      <c r="P287" t="str">
        <f ca="1">IF($B$281&gt;=1,$P$281,IF($B$283&gt;=1,$P$283,IF($B$285&gt;=1,$P$285,$P$272)))</f>
        <v>2015 Q4</v>
      </c>
      <c r="Q287" t="str">
        <f ca="1">IF($B$281&gt;=1,$Q$281,IF($B$283&gt;=1,$Q$283,IF($B$285&gt;=1,$Q$285,$Q$272)))</f>
        <v>2015 Q3</v>
      </c>
      <c r="R287" t="str">
        <f ca="1">IF($B$281&gt;=1,$R$281,IF($B$283&gt;=1,$R$283,IF($B$285&gt;=1,$R$285,$R$272)))</f>
        <v>2015 Q2</v>
      </c>
      <c r="S287" t="str">
        <f ca="1">IF($B$281&gt;=1,$S$281,IF($B$283&gt;=1,$S$283,IF($B$285&gt;=1,$S$285,$S$272)))</f>
        <v>2015 Q1</v>
      </c>
      <c r="T287" t="str">
        <f ca="1">IF($B$281&gt;=1,$T$281,IF($B$283&gt;=1,$T$283,IF($B$285&gt;=1,$T$285,$T$272)))</f>
        <v>2014 Q4</v>
      </c>
      <c r="U287" t="str">
        <f ca="1">IF($B$281&gt;=1,$U$281,IF($B$283&gt;=1,$U$283,IF($B$285&gt;=1,$U$285,$U$272)))</f>
        <v>2014 Q3</v>
      </c>
      <c r="V287" t="str">
        <f ca="1">IF($B$281&gt;=1,$V$281,IF($B$283&gt;=1,$V$283,IF($B$285&gt;=1,$V$285,$V$272)))</f>
        <v>2014 Q2</v>
      </c>
      <c r="W287" t="str">
        <f ca="1">IF($B$281&gt;=1,$W$281,IF($B$283&gt;=1,$W$283,IF($B$285&gt;=1,$W$285,$W$272)))</f>
        <v>2014 Q1</v>
      </c>
      <c r="X287" t="str">
        <f ca="1">IF($B$281&gt;=1,$X$281,IF($B$283&gt;=1,$X$283,IF($B$285&gt;=1,$X$285,$X$272)))</f>
        <v>2013 Q4</v>
      </c>
      <c r="Y287" t="str">
        <f ca="1">IF($B$281&gt;=1,$Y$281,IF($B$283&gt;=1,$Y$283,IF($B$285&gt;=1,$Y$285,$Y$272)))</f>
        <v>2013 Q3</v>
      </c>
      <c r="Z287" t="str">
        <f ca="1">IF($B$281&gt;=1,$Z$281,IF($B$283&gt;=1,$Z$283,IF($B$285&gt;=1,$Z$285,$Z$272)))</f>
        <v>2013 Q2</v>
      </c>
      <c r="AA287" t="str">
        <f ca="1">IF($B$281&gt;=1,$AA$281,IF($B$283&gt;=1,$AA$283,IF($B$285&gt;=1,$AA$285,$AA$272)))</f>
        <v>2013 Q1</v>
      </c>
      <c r="AB287" t="str">
        <f ca="1">IF($B$281&gt;=1,$AB$281,IF($B$283&gt;=1,$AB$283,IF($B$285&gt;=1,$AB$285,$AB$272)))</f>
        <v>2012 Q4</v>
      </c>
      <c r="AC287" t="str">
        <f ca="1">IF($B$281&gt;=1,$AC$281,IF($B$283&gt;=1,$AC$283,IF($B$285&gt;=1,$AC$285,$AC$272)))</f>
        <v>2012 Q3</v>
      </c>
      <c r="AD287" t="str">
        <f ca="1">IF($B$281&gt;=1,$AD$281,IF($B$283&gt;=1,$AD$283,IF($B$285&gt;=1,$AD$285,$AD$272)))</f>
        <v>2012 Q2</v>
      </c>
      <c r="AE287" t="str">
        <f ca="1">IF($B$281&gt;=1,$AE$281,IF($B$283&gt;=1,$AE$283,IF($B$285&gt;=1,$AE$285,$AE$272)))</f>
        <v>2012 Q1</v>
      </c>
      <c r="AF287" t="str">
        <f ca="1">IF($B$281&gt;=1,$AF$281,IF($B$283&gt;=1,$AF$283,IF($B$285&gt;=1,$AF$285,$AF$272)))</f>
        <v>2011 Q4</v>
      </c>
      <c r="AG287" t="str">
        <f ca="1">IF($B$281&gt;=1,$AG$281,IF($B$283&gt;=1,$AG$283,IF($B$285&gt;=1,$AG$285,$AG$272)))</f>
        <v>2011 Q3</v>
      </c>
      <c r="AH287" t="str">
        <f ca="1">IF($B$281&gt;=1,$AH$281,IF($B$283&gt;=1,$AH$283,IF($B$285&gt;=1,$AH$285,$AH$272)))</f>
        <v>2011 Q2</v>
      </c>
      <c r="AI287" t="str">
        <f ca="1">IF($B$281&gt;=1,$AI$281,IF($B$283&gt;=1,$AI$283,IF($B$285&gt;=1,$AI$285,$AI$272)))</f>
        <v>2011 Q1</v>
      </c>
      <c r="AJ287" t="str">
        <f ca="1">IF($B$281&gt;=1,$AJ$281,IF($B$283&gt;=1,$AJ$283,IF($B$285&gt;=1,$AJ$285,$AJ$272)))</f>
        <v>2010 Q4</v>
      </c>
      <c r="AK287" t="str">
        <f ca="1">IF($B$281&gt;=1,$AK$281,IF($B$283&gt;=1,$AK$283,IF($B$285&gt;=1,$AK$285,$AK$272)))</f>
        <v>2010 Q3</v>
      </c>
      <c r="AL287" t="str">
        <f ca="1">IF($B$281&gt;=1,$AL$281,IF($B$283&gt;=1,$AL$283,IF($B$285&gt;=1,$AL$285,$AL$272)))</f>
        <v>2010 Q2</v>
      </c>
      <c r="AM287" t="str">
        <f ca="1">IF($B$281&gt;=1,$AM$281,IF($B$283&gt;=1,$AM$283,IF($B$285&gt;=1,$AM$285,$AM$272)))</f>
        <v>2010 Q1</v>
      </c>
      <c r="AN287" t="str">
        <f ca="1">IF($B$281&gt;=1,$AN$281,IF($B$283&gt;=1,$AN$283,IF($B$285&gt;=1,$AN$285,$AN$272)))</f>
        <v>2009 Q4</v>
      </c>
      <c r="AO287" t="str">
        <f ca="1">IF($B$281&gt;=1,$AO$281,IF($B$283&gt;=1,$AO$283,IF($B$285&gt;=1,$AO$285,$AO$272)))</f>
        <v>2009 Q3</v>
      </c>
      <c r="AP287" t="str">
        <f ca="1">IF($B$281&gt;=1,$AP$281,IF($B$283&gt;=1,$AP$283,IF($B$285&gt;=1,$AP$285,$AP$272)))</f>
        <v>2009 Q2</v>
      </c>
      <c r="AQ287" t="str">
        <f ca="1">IF($B$281&gt;=1,$AQ$281,IF($B$283&gt;=1,$AQ$283,IF($B$285&gt;=1,$AQ$285,$AQ$272)))</f>
        <v>2009 Q1</v>
      </c>
      <c r="AR287" t="str">
        <f ca="1">IF($B$281&gt;=1,$AR$281,IF($B$283&gt;=1,$AR$283,IF($B$285&gt;=1,$AR$285,$AR$272)))</f>
        <v>2008 Q4</v>
      </c>
      <c r="AS287" t="str">
        <f ca="1">IF($B$281&gt;=1,$AS$281,IF($B$283&gt;=1,$AS$283,IF($B$285&gt;=1,$AS$285,$AS$272)))</f>
        <v>2008 Q3</v>
      </c>
      <c r="AT287" t="str">
        <f ca="1">IF($B$281&gt;=1,$AT$281,IF($B$283&gt;=1,$AT$283,IF($B$285&gt;=1,$AT$285,$AT$272)))</f>
        <v>2008 Q2</v>
      </c>
      <c r="AU287" t="str">
        <f ca="1">IF($B$281&gt;=1,$AU$281,IF($B$283&gt;=1,$AU$283,IF($B$285&gt;=1,$AU$285,$AU$272)))</f>
        <v>2008 Q1</v>
      </c>
      <c r="AV287" t="str">
        <f ca="1">IF($B$281&gt;=1,$AV$281,IF($B$283&gt;=1,$AV$283,IF($B$285&gt;=1,$AV$285,$AV$272)))</f>
        <v>2007 Q4</v>
      </c>
      <c r="AW287" t="str">
        <f ca="1">IF($B$281&gt;=1,$AW$281,IF($B$283&gt;=1,$AW$283,IF($B$285&gt;=1,$AW$285,$AW$272)))</f>
        <v>2007 Q3</v>
      </c>
      <c r="AX287" t="str">
        <f ca="1">IF($B$281&gt;=1,$AX$281,IF($B$283&gt;=1,$AX$283,IF($B$285&gt;=1,$AX$285,$AX$272)))</f>
        <v>2007 Q2</v>
      </c>
      <c r="AY287" t="str">
        <f ca="1">IF($B$281&gt;=1,$AY$281,IF($B$283&gt;=1,$AY$283,IF($B$285&gt;=1,$AY$285,$AY$272)))</f>
        <v>2007 Q1</v>
      </c>
      <c r="AZ287" t="str">
        <f ca="1">IF($B$281&gt;=1,$AZ$281,IF($B$283&gt;=1,$AZ$283,IF($B$285&gt;=1,$AZ$285,$AZ$272)))</f>
        <v>2006 Q4</v>
      </c>
      <c r="BA287" t="str">
        <f ca="1">IF($B$281&gt;=1,$BA$281,IF($B$283&gt;=1,$BA$283,IF($B$285&gt;=1,$BA$285,$BA$272)))</f>
        <v>2006 Q3</v>
      </c>
      <c r="BB287" t="str">
        <f ca="1">IF($B$281&gt;=1,$BB$281,IF($B$283&gt;=1,$BB$283,IF($B$285&gt;=1,$BB$285,$BB$272)))</f>
        <v>2006 Q2</v>
      </c>
      <c r="BC287" t="str">
        <f ca="1">IF($B$281&gt;=1,$BC$281,IF($B$283&gt;=1,$BC$283,IF($B$285&gt;=1,$BC$285,$BC$272)))</f>
        <v>2006 Q1</v>
      </c>
      <c r="BD287" t="str">
        <f ca="1">IF($B$281&gt;=1,$BD$281,IF($B$283&gt;=1,$BD$283,IF($B$285&gt;=1,$BD$285,$BD$272)))</f>
        <v>2005 Q4</v>
      </c>
      <c r="BE287" t="str">
        <f ca="1">IF($B$281&gt;=1,$BE$281,IF($B$283&gt;=1,$BE$283,IF($B$285&gt;=1,$BE$285,$BE$272)))</f>
        <v>2005 Q3</v>
      </c>
      <c r="BF287" t="str">
        <f ca="1">IF($B$281&gt;=1,$BF$281,IF($B$283&gt;=1,$BF$283,IF($B$285&gt;=1,$BF$285,$BF$272)))</f>
        <v>2005 Q2</v>
      </c>
      <c r="BG287" t="str">
        <f ca="1">IF($B$281&gt;=1,$BG$281,IF($B$283&gt;=1,$BG$283,IF($B$285&gt;=1,$BG$285,$BG$272)))</f>
        <v>2005 Q1</v>
      </c>
      <c r="BH287" t="str">
        <f ca="1">IF($B$281&gt;=1,$BH$281,IF($B$283&gt;=1,$BH$283,IF($B$285&gt;=1,$BH$285,$BH$272)))</f>
        <v>2004 Q4</v>
      </c>
      <c r="BI287" t="str">
        <f ca="1">IF($B$281&gt;=1,$BI$281,IF($B$283&gt;=1,$BI$283,IF($B$285&gt;=1,$BI$285,$BI$272)))</f>
        <v>2004 Q3</v>
      </c>
      <c r="BJ287" t="str">
        <f ca="1">IF($B$281&gt;=1,$BJ$281,IF($B$283&gt;=1,$BJ$283,IF($B$285&gt;=1,$BJ$285,$BJ$272)))</f>
        <v>2004 Q2</v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  <c r="BT287" t="str">
        <f>""</f>
        <v/>
      </c>
      <c r="BU287" t="str">
        <f>""</f>
        <v/>
      </c>
      <c r="BV287" t="str">
        <f>""</f>
        <v/>
      </c>
      <c r="BW287" t="str">
        <f>""</f>
        <v/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""</f>
        <v/>
      </c>
      <c r="CE287" t="str">
        <f>""</f>
        <v/>
      </c>
      <c r="CF287" t="str">
        <f>""</f>
        <v/>
      </c>
      <c r="CG287" t="str">
        <f>""</f>
        <v/>
      </c>
      <c r="CH287" t="str">
        <f>""</f>
        <v/>
      </c>
      <c r="CI287" t="str">
        <f>""</f>
        <v/>
      </c>
      <c r="CJ287" t="str">
        <f>""</f>
        <v/>
      </c>
      <c r="CK287" t="str">
        <f>""</f>
        <v/>
      </c>
      <c r="CL287" t="str">
        <f>""</f>
        <v/>
      </c>
      <c r="CM287" t="str">
        <f>""</f>
        <v/>
      </c>
      <c r="CN287" t="str">
        <f>""</f>
        <v/>
      </c>
      <c r="CO287" t="str">
        <f>""</f>
        <v/>
      </c>
      <c r="CP287" t="str">
        <f>""</f>
        <v/>
      </c>
      <c r="CQ287" t="str">
        <f>""</f>
        <v/>
      </c>
      <c r="CR287" t="str">
        <f>""</f>
        <v/>
      </c>
      <c r="CS287" t="str">
        <f>""</f>
        <v/>
      </c>
      <c r="CT287" t="str">
        <f>""</f>
        <v/>
      </c>
      <c r="CU287" t="str">
        <f>""</f>
        <v/>
      </c>
      <c r="CV287" t="str">
        <f>""</f>
        <v/>
      </c>
      <c r="CW287" t="str">
        <f>""</f>
        <v/>
      </c>
      <c r="CX287" t="str">
        <f>""</f>
        <v/>
      </c>
      <c r="CY287" t="str">
        <f>""</f>
        <v/>
      </c>
      <c r="CZ287" t="str">
        <f>""</f>
        <v/>
      </c>
      <c r="DA287" t="str">
        <f>""</f>
        <v/>
      </c>
      <c r="DB287" t="str">
        <f>""</f>
        <v/>
      </c>
      <c r="DC287" t="str">
        <f>""</f>
        <v/>
      </c>
      <c r="DD287" t="str">
        <f>""</f>
        <v/>
      </c>
      <c r="DE287" t="str">
        <f>""</f>
        <v/>
      </c>
      <c r="DF287" t="str">
        <f>""</f>
        <v/>
      </c>
      <c r="DG287" t="str">
        <f>""</f>
        <v/>
      </c>
      <c r="DH287" t="str">
        <f>""</f>
        <v/>
      </c>
      <c r="DI287" t="str">
        <f>""</f>
        <v/>
      </c>
      <c r="DJ287" t="str">
        <f>""</f>
        <v/>
      </c>
      <c r="DK287" t="str">
        <f>""</f>
        <v/>
      </c>
      <c r="DL287" t="str">
        <f>""</f>
        <v/>
      </c>
      <c r="DM287" t="str">
        <f>""</f>
        <v/>
      </c>
      <c r="DN287" t="str">
        <f>""</f>
        <v/>
      </c>
      <c r="DO287" t="str">
        <f>""</f>
        <v/>
      </c>
      <c r="DP287" t="str">
        <f>""</f>
        <v/>
      </c>
      <c r="DQ287" t="str">
        <f>""</f>
        <v/>
      </c>
      <c r="DR287" t="str">
        <f>""</f>
        <v/>
      </c>
      <c r="DS287" t="str">
        <f>""</f>
        <v/>
      </c>
      <c r="DT287" t="str">
        <f>""</f>
        <v/>
      </c>
      <c r="DU287" t="str">
        <f>""</f>
        <v/>
      </c>
    </row>
    <row r="288" spans="1:125" x14ac:dyDescent="0.25">
      <c r="A288" t="str">
        <f>"BDH dynamic title"</f>
        <v>BDH dynamic title</v>
      </c>
      <c r="B288">
        <f ca="1">$B$287</f>
        <v>2</v>
      </c>
      <c r="C288" t="str">
        <f ca="1">IF(LEN($C$287)&lt;&gt;8,$C$287,RIGHT($C$287,4)&amp;" "&amp;MID($C$287,3,1)&amp;LEFT($C$287,1))</f>
        <v>2019 Q1</v>
      </c>
      <c r="D288" t="str">
        <f ca="1">IF(LEN($D$287)&lt;&gt;8,$D$287,RIGHT($D$287,4)&amp;" "&amp;MID($D$287,3,1)&amp;LEFT($D$287,1))</f>
        <v>2018 Q4</v>
      </c>
      <c r="E288" t="str">
        <f ca="1">IF(LEN($E$287)&lt;&gt;8,$E$287,RIGHT($E$287,4)&amp;" "&amp;MID($E$287,3,1)&amp;LEFT($E$287,1))</f>
        <v>2018 Q3</v>
      </c>
      <c r="F288" t="str">
        <f ca="1">IF(LEN($F$287)&lt;&gt;8,$F$287,RIGHT($F$287,4)&amp;" "&amp;MID($F$287,3,1)&amp;LEFT($F$287,1))</f>
        <v>2018 Q2</v>
      </c>
      <c r="G288" t="str">
        <f ca="1">IF(LEN($G$287)&lt;&gt;8,$G$287,RIGHT($G$287,4)&amp;" "&amp;MID($G$287,3,1)&amp;LEFT($G$287,1))</f>
        <v>2018 Q1</v>
      </c>
      <c r="H288" t="str">
        <f ca="1">IF(LEN($H$287)&lt;&gt;8,$H$287,RIGHT($H$287,4)&amp;" "&amp;MID($H$287,3,1)&amp;LEFT($H$287,1))</f>
        <v>2017 Q4</v>
      </c>
      <c r="I288" t="str">
        <f ca="1">IF(LEN($I$287)&lt;&gt;8,$I$287,RIGHT($I$287,4)&amp;" "&amp;MID($I$287,3,1)&amp;LEFT($I$287,1))</f>
        <v>2017 Q3</v>
      </c>
      <c r="J288" t="str">
        <f ca="1">IF(LEN($J$287)&lt;&gt;8,$J$287,RIGHT($J$287,4)&amp;" "&amp;MID($J$287,3,1)&amp;LEFT($J$287,1))</f>
        <v>2017 Q2</v>
      </c>
      <c r="K288" t="str">
        <f ca="1">IF(LEN($K$287)&lt;&gt;8,$K$287,RIGHT($K$287,4)&amp;" "&amp;MID($K$287,3,1)&amp;LEFT($K$287,1))</f>
        <v>2017 Q1</v>
      </c>
      <c r="L288" t="str">
        <f ca="1">IF(LEN($L$287)&lt;&gt;8,$L$287,RIGHT($L$287,4)&amp;" "&amp;MID($L$287,3,1)&amp;LEFT($L$287,1))</f>
        <v>2016 Q4</v>
      </c>
      <c r="M288" t="str">
        <f ca="1">IF(LEN($M$287)&lt;&gt;8,$M$287,RIGHT($M$287,4)&amp;" "&amp;MID($M$287,3,1)&amp;LEFT($M$287,1))</f>
        <v>2016 Q3</v>
      </c>
      <c r="N288" t="str">
        <f ca="1">IF(LEN($N$287)&lt;&gt;8,$N$287,RIGHT($N$287,4)&amp;" "&amp;MID($N$287,3,1)&amp;LEFT($N$287,1))</f>
        <v>2016 Q2</v>
      </c>
      <c r="O288" t="str">
        <f ca="1">IF(LEN($O$287)&lt;&gt;8,$O$287,RIGHT($O$287,4)&amp;" "&amp;MID($O$287,3,1)&amp;LEFT($O$287,1))</f>
        <v>2016 Q1</v>
      </c>
      <c r="P288" t="str">
        <f ca="1">IF(LEN($P$287)&lt;&gt;8,$P$287,RIGHT($P$287,4)&amp;" "&amp;MID($P$287,3,1)&amp;LEFT($P$287,1))</f>
        <v>2015 Q4</v>
      </c>
      <c r="Q288" t="str">
        <f ca="1">IF(LEN($Q$287)&lt;&gt;8,$Q$287,RIGHT($Q$287,4)&amp;" "&amp;MID($Q$287,3,1)&amp;LEFT($Q$287,1))</f>
        <v>2015 Q3</v>
      </c>
      <c r="R288" t="str">
        <f ca="1">IF(LEN($R$287)&lt;&gt;8,$R$287,RIGHT($R$287,4)&amp;" "&amp;MID($R$287,3,1)&amp;LEFT($R$287,1))</f>
        <v>2015 Q2</v>
      </c>
      <c r="S288" t="str">
        <f ca="1">IF(LEN($S$287)&lt;&gt;8,$S$287,RIGHT($S$287,4)&amp;" "&amp;MID($S$287,3,1)&amp;LEFT($S$287,1))</f>
        <v>2015 Q1</v>
      </c>
      <c r="T288" t="str">
        <f ca="1">IF(LEN($T$287)&lt;&gt;8,$T$287,RIGHT($T$287,4)&amp;" "&amp;MID($T$287,3,1)&amp;LEFT($T$287,1))</f>
        <v>2014 Q4</v>
      </c>
      <c r="U288" t="str">
        <f ca="1">IF(LEN($U$287)&lt;&gt;8,$U$287,RIGHT($U$287,4)&amp;" "&amp;MID($U$287,3,1)&amp;LEFT($U$287,1))</f>
        <v>2014 Q3</v>
      </c>
      <c r="V288" t="str">
        <f ca="1">IF(LEN($V$287)&lt;&gt;8,$V$287,RIGHT($V$287,4)&amp;" "&amp;MID($V$287,3,1)&amp;LEFT($V$287,1))</f>
        <v>2014 Q2</v>
      </c>
      <c r="W288" t="str">
        <f ca="1">IF(LEN($W$287)&lt;&gt;8,$W$287,RIGHT($W$287,4)&amp;" "&amp;MID($W$287,3,1)&amp;LEFT($W$287,1))</f>
        <v>2014 Q1</v>
      </c>
      <c r="X288" t="str">
        <f ca="1">IF(LEN($X$287)&lt;&gt;8,$X$287,RIGHT($X$287,4)&amp;" "&amp;MID($X$287,3,1)&amp;LEFT($X$287,1))</f>
        <v>2013 Q4</v>
      </c>
      <c r="Y288" t="str">
        <f ca="1">IF(LEN($Y$287)&lt;&gt;8,$Y$287,RIGHT($Y$287,4)&amp;" "&amp;MID($Y$287,3,1)&amp;LEFT($Y$287,1))</f>
        <v>2013 Q3</v>
      </c>
      <c r="Z288" t="str">
        <f ca="1">IF(LEN($Z$287)&lt;&gt;8,$Z$287,RIGHT($Z$287,4)&amp;" "&amp;MID($Z$287,3,1)&amp;LEFT($Z$287,1))</f>
        <v>2013 Q2</v>
      </c>
      <c r="AA288" t="str">
        <f ca="1">IF(LEN($AA$287)&lt;&gt;8,$AA$287,RIGHT($AA$287,4)&amp;" "&amp;MID($AA$287,3,1)&amp;LEFT($AA$287,1))</f>
        <v>2013 Q1</v>
      </c>
      <c r="AB288" t="str">
        <f ca="1">IF(LEN($AB$287)&lt;&gt;8,$AB$287,RIGHT($AB$287,4)&amp;" "&amp;MID($AB$287,3,1)&amp;LEFT($AB$287,1))</f>
        <v>2012 Q4</v>
      </c>
      <c r="AC288" t="str">
        <f ca="1">IF(LEN($AC$287)&lt;&gt;8,$AC$287,RIGHT($AC$287,4)&amp;" "&amp;MID($AC$287,3,1)&amp;LEFT($AC$287,1))</f>
        <v>2012 Q3</v>
      </c>
      <c r="AD288" t="str">
        <f ca="1">IF(LEN($AD$287)&lt;&gt;8,$AD$287,RIGHT($AD$287,4)&amp;" "&amp;MID($AD$287,3,1)&amp;LEFT($AD$287,1))</f>
        <v>2012 Q2</v>
      </c>
      <c r="AE288" t="str">
        <f ca="1">IF(LEN($AE$287)&lt;&gt;8,$AE$287,RIGHT($AE$287,4)&amp;" "&amp;MID($AE$287,3,1)&amp;LEFT($AE$287,1))</f>
        <v>2012 Q1</v>
      </c>
      <c r="AF288" t="str">
        <f ca="1">IF(LEN($AF$287)&lt;&gt;8,$AF$287,RIGHT($AF$287,4)&amp;" "&amp;MID($AF$287,3,1)&amp;LEFT($AF$287,1))</f>
        <v>2011 Q4</v>
      </c>
      <c r="AG288" t="str">
        <f ca="1">IF(LEN($AG$287)&lt;&gt;8,$AG$287,RIGHT($AG$287,4)&amp;" "&amp;MID($AG$287,3,1)&amp;LEFT($AG$287,1))</f>
        <v>2011 Q3</v>
      </c>
      <c r="AH288" t="str">
        <f ca="1">IF(LEN($AH$287)&lt;&gt;8,$AH$287,RIGHT($AH$287,4)&amp;" "&amp;MID($AH$287,3,1)&amp;LEFT($AH$287,1))</f>
        <v>2011 Q2</v>
      </c>
      <c r="AI288" t="str">
        <f ca="1">IF(LEN($AI$287)&lt;&gt;8,$AI$287,RIGHT($AI$287,4)&amp;" "&amp;MID($AI$287,3,1)&amp;LEFT($AI$287,1))</f>
        <v>2011 Q1</v>
      </c>
      <c r="AJ288" t="str">
        <f ca="1">IF(LEN($AJ$287)&lt;&gt;8,$AJ$287,RIGHT($AJ$287,4)&amp;" "&amp;MID($AJ$287,3,1)&amp;LEFT($AJ$287,1))</f>
        <v>2010 Q4</v>
      </c>
      <c r="AK288" t="str">
        <f ca="1">IF(LEN($AK$287)&lt;&gt;8,$AK$287,RIGHT($AK$287,4)&amp;" "&amp;MID($AK$287,3,1)&amp;LEFT($AK$287,1))</f>
        <v>2010 Q3</v>
      </c>
      <c r="AL288" t="str">
        <f ca="1">IF(LEN($AL$287)&lt;&gt;8,$AL$287,RIGHT($AL$287,4)&amp;" "&amp;MID($AL$287,3,1)&amp;LEFT($AL$287,1))</f>
        <v>2010 Q2</v>
      </c>
      <c r="AM288" t="str">
        <f ca="1">IF(LEN($AM$287)&lt;&gt;8,$AM$287,RIGHT($AM$287,4)&amp;" "&amp;MID($AM$287,3,1)&amp;LEFT($AM$287,1))</f>
        <v>2010 Q1</v>
      </c>
      <c r="AN288" t="str">
        <f ca="1">IF(LEN($AN$287)&lt;&gt;8,$AN$287,RIGHT($AN$287,4)&amp;" "&amp;MID($AN$287,3,1)&amp;LEFT($AN$287,1))</f>
        <v>2009 Q4</v>
      </c>
      <c r="AO288" t="str">
        <f ca="1">IF(LEN($AO$287)&lt;&gt;8,$AO$287,RIGHT($AO$287,4)&amp;" "&amp;MID($AO$287,3,1)&amp;LEFT($AO$287,1))</f>
        <v>2009 Q3</v>
      </c>
      <c r="AP288" t="str">
        <f ca="1">IF(LEN($AP$287)&lt;&gt;8,$AP$287,RIGHT($AP$287,4)&amp;" "&amp;MID($AP$287,3,1)&amp;LEFT($AP$287,1))</f>
        <v>2009 Q2</v>
      </c>
      <c r="AQ288" t="str">
        <f ca="1">IF(LEN($AQ$287)&lt;&gt;8,$AQ$287,RIGHT($AQ$287,4)&amp;" "&amp;MID($AQ$287,3,1)&amp;LEFT($AQ$287,1))</f>
        <v>2009 Q1</v>
      </c>
      <c r="AR288" t="str">
        <f ca="1">IF(LEN($AR$287)&lt;&gt;8,$AR$287,RIGHT($AR$287,4)&amp;" "&amp;MID($AR$287,3,1)&amp;LEFT($AR$287,1))</f>
        <v>2008 Q4</v>
      </c>
      <c r="AS288" t="str">
        <f ca="1">IF(LEN($AS$287)&lt;&gt;8,$AS$287,RIGHT($AS$287,4)&amp;" "&amp;MID($AS$287,3,1)&amp;LEFT($AS$287,1))</f>
        <v>2008 Q3</v>
      </c>
      <c r="AT288" t="str">
        <f ca="1">IF(LEN($AT$287)&lt;&gt;8,$AT$287,RIGHT($AT$287,4)&amp;" "&amp;MID($AT$287,3,1)&amp;LEFT($AT$287,1))</f>
        <v>2008 Q2</v>
      </c>
      <c r="AU288" t="str">
        <f ca="1">IF(LEN($AU$287)&lt;&gt;8,$AU$287,RIGHT($AU$287,4)&amp;" "&amp;MID($AU$287,3,1)&amp;LEFT($AU$287,1))</f>
        <v>2008 Q1</v>
      </c>
      <c r="AV288" t="str">
        <f ca="1">IF(LEN($AV$287)&lt;&gt;8,$AV$287,RIGHT($AV$287,4)&amp;" "&amp;MID($AV$287,3,1)&amp;LEFT($AV$287,1))</f>
        <v>2007 Q4</v>
      </c>
      <c r="AW288" t="str">
        <f ca="1">IF(LEN($AW$287)&lt;&gt;8,$AW$287,RIGHT($AW$287,4)&amp;" "&amp;MID($AW$287,3,1)&amp;LEFT($AW$287,1))</f>
        <v>2007 Q3</v>
      </c>
      <c r="AX288" t="str">
        <f ca="1">IF(LEN($AX$287)&lt;&gt;8,$AX$287,RIGHT($AX$287,4)&amp;" "&amp;MID($AX$287,3,1)&amp;LEFT($AX$287,1))</f>
        <v>2007 Q2</v>
      </c>
      <c r="AY288" t="str">
        <f ca="1">IF(LEN($AY$287)&lt;&gt;8,$AY$287,RIGHT($AY$287,4)&amp;" "&amp;MID($AY$287,3,1)&amp;LEFT($AY$287,1))</f>
        <v>2007 Q1</v>
      </c>
      <c r="AZ288" t="str">
        <f ca="1">IF(LEN($AZ$287)&lt;&gt;8,$AZ$287,RIGHT($AZ$287,4)&amp;" "&amp;MID($AZ$287,3,1)&amp;LEFT($AZ$287,1))</f>
        <v>2006 Q4</v>
      </c>
      <c r="BA288" t="str">
        <f ca="1">IF(LEN($BA$287)&lt;&gt;8,$BA$287,RIGHT($BA$287,4)&amp;" "&amp;MID($BA$287,3,1)&amp;LEFT($BA$287,1))</f>
        <v>2006 Q3</v>
      </c>
      <c r="BB288" t="str">
        <f ca="1">IF(LEN($BB$287)&lt;&gt;8,$BB$287,RIGHT($BB$287,4)&amp;" "&amp;MID($BB$287,3,1)&amp;LEFT($BB$287,1))</f>
        <v>2006 Q2</v>
      </c>
      <c r="BC288" t="str">
        <f ca="1">IF(LEN($BC$287)&lt;&gt;8,$BC$287,RIGHT($BC$287,4)&amp;" "&amp;MID($BC$287,3,1)&amp;LEFT($BC$287,1))</f>
        <v>2006 Q1</v>
      </c>
      <c r="BD288" t="str">
        <f ca="1">IF(LEN($BD$287)&lt;&gt;8,$BD$287,RIGHT($BD$287,4)&amp;" "&amp;MID($BD$287,3,1)&amp;LEFT($BD$287,1))</f>
        <v>2005 Q4</v>
      </c>
      <c r="BE288" t="str">
        <f ca="1">IF(LEN($BE$287)&lt;&gt;8,$BE$287,RIGHT($BE$287,4)&amp;" "&amp;MID($BE$287,3,1)&amp;LEFT($BE$287,1))</f>
        <v>2005 Q3</v>
      </c>
      <c r="BF288" t="str">
        <f ca="1">IF(LEN($BF$287)&lt;&gt;8,$BF$287,RIGHT($BF$287,4)&amp;" "&amp;MID($BF$287,3,1)&amp;LEFT($BF$287,1))</f>
        <v>2005 Q2</v>
      </c>
      <c r="BG288" t="str">
        <f ca="1">IF(LEN($BG$287)&lt;&gt;8,$BG$287,RIGHT($BG$287,4)&amp;" "&amp;MID($BG$287,3,1)&amp;LEFT($BG$287,1))</f>
        <v>2005 Q1</v>
      </c>
      <c r="BH288" t="str">
        <f ca="1">IF(LEN($BH$287)&lt;&gt;8,$BH$287,RIGHT($BH$287,4)&amp;" "&amp;MID($BH$287,3,1)&amp;LEFT($BH$287,1))</f>
        <v>2004 Q4</v>
      </c>
      <c r="BI288" t="str">
        <f ca="1">IF(LEN($BI$287)&lt;&gt;8,$BI$287,RIGHT($BI$287,4)&amp;" "&amp;MID($BI$287,3,1)&amp;LEFT($BI$287,1))</f>
        <v>2004 Q3</v>
      </c>
      <c r="BJ288" t="str">
        <f ca="1">IF(LEN($BJ$287)&lt;&gt;8,$BJ$287,RIGHT($BJ$287,4)&amp;" "&amp;MID($BJ$287,3,1)&amp;LEFT($BJ$287,1))</f>
        <v>2004 Q2</v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  <c r="BT288" t="str">
        <f>""</f>
        <v/>
      </c>
      <c r="BU288" t="str">
        <f>""</f>
        <v/>
      </c>
      <c r="BV288" t="str">
        <f>""</f>
        <v/>
      </c>
      <c r="BW288" t="str">
        <f>""</f>
        <v/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  <c r="CH288" t="str">
        <f>""</f>
        <v/>
      </c>
      <c r="CI288" t="str">
        <f>""</f>
        <v/>
      </c>
      <c r="CJ288" t="str">
        <f>""</f>
        <v/>
      </c>
      <c r="CK288" t="str">
        <f>""</f>
        <v/>
      </c>
      <c r="CL288" t="str">
        <f>""</f>
        <v/>
      </c>
      <c r="CM288" t="str">
        <f>""</f>
        <v/>
      </c>
      <c r="CN288" t="str">
        <f>""</f>
        <v/>
      </c>
      <c r="CO288" t="str">
        <f>""</f>
        <v/>
      </c>
      <c r="CP288" t="str">
        <f>""</f>
        <v/>
      </c>
      <c r="CQ288" t="str">
        <f>""</f>
        <v/>
      </c>
      <c r="CR288" t="str">
        <f>""</f>
        <v/>
      </c>
      <c r="CS288" t="str">
        <f>""</f>
        <v/>
      </c>
      <c r="CT288" t="str">
        <f>""</f>
        <v/>
      </c>
      <c r="CU288" t="str">
        <f>""</f>
        <v/>
      </c>
      <c r="CV288" t="str">
        <f>""</f>
        <v/>
      </c>
      <c r="CW288" t="str">
        <f>""</f>
        <v/>
      </c>
      <c r="CX288" t="str">
        <f>""</f>
        <v/>
      </c>
      <c r="CY288" t="str">
        <f>""</f>
        <v/>
      </c>
      <c r="CZ288" t="str">
        <f>""</f>
        <v/>
      </c>
      <c r="DA288" t="str">
        <f>""</f>
        <v/>
      </c>
      <c r="DB288" t="str">
        <f>""</f>
        <v/>
      </c>
      <c r="DC288" t="str">
        <f>""</f>
        <v/>
      </c>
      <c r="DD288" t="str">
        <f>""</f>
        <v/>
      </c>
      <c r="DE288" t="str">
        <f>""</f>
        <v/>
      </c>
      <c r="DF288" t="str">
        <f>""</f>
        <v/>
      </c>
      <c r="DG288" t="str">
        <f>""</f>
        <v/>
      </c>
      <c r="DH288" t="str">
        <f>""</f>
        <v/>
      </c>
      <c r="DI288" t="str">
        <f>""</f>
        <v/>
      </c>
      <c r="DJ288" t="str">
        <f>""</f>
        <v/>
      </c>
      <c r="DK288" t="str">
        <f>""</f>
        <v/>
      </c>
      <c r="DL288" t="str">
        <f>""</f>
        <v/>
      </c>
      <c r="DM288" t="str">
        <f>""</f>
        <v/>
      </c>
      <c r="DN288" t="str">
        <f>""</f>
        <v/>
      </c>
      <c r="DO288" t="str">
        <f>""</f>
        <v/>
      </c>
      <c r="DP288" t="str">
        <f>""</f>
        <v/>
      </c>
      <c r="DQ288" t="str">
        <f>""</f>
        <v/>
      </c>
      <c r="DR288" t="str">
        <f>""</f>
        <v/>
      </c>
      <c r="DS288" t="str">
        <f>""</f>
        <v/>
      </c>
      <c r="DT288" t="str">
        <f>""</f>
        <v/>
      </c>
      <c r="DU288" t="str">
        <f>""</f>
        <v/>
      </c>
    </row>
    <row r="289" spans="1:125" x14ac:dyDescent="0.25">
      <c r="A289" t="str">
        <f>"No error found"</f>
        <v>No error found</v>
      </c>
      <c r="B289" t="str">
        <f>""</f>
        <v/>
      </c>
      <c r="C289" t="str">
        <f>""</f>
        <v/>
      </c>
      <c r="D289" t="str">
        <f>""</f>
        <v/>
      </c>
      <c r="E289" t="str">
        <f>""</f>
        <v/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  <c r="BT289" t="str">
        <f>""</f>
        <v/>
      </c>
      <c r="BU289" t="str">
        <f>""</f>
        <v/>
      </c>
      <c r="BV289" t="str">
        <f>""</f>
        <v/>
      </c>
      <c r="BW289" t="str">
        <f>""</f>
        <v/>
      </c>
      <c r="BX289" t="str">
        <f>""</f>
        <v/>
      </c>
      <c r="BY289" t="str">
        <f>""</f>
        <v/>
      </c>
      <c r="BZ289" t="str">
        <f>""</f>
        <v/>
      </c>
      <c r="CA289" t="str">
        <f>""</f>
        <v/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""</f>
        <v/>
      </c>
      <c r="CG289" t="str">
        <f>""</f>
        <v/>
      </c>
      <c r="CH289" t="str">
        <f>""</f>
        <v/>
      </c>
      <c r="CI289" t="str">
        <f>""</f>
        <v/>
      </c>
      <c r="CJ289" t="str">
        <f>""</f>
        <v/>
      </c>
      <c r="CK289" t="str">
        <f>""</f>
        <v/>
      </c>
      <c r="CL289" t="str">
        <f>""</f>
        <v/>
      </c>
      <c r="CM289" t="str">
        <f>""</f>
        <v/>
      </c>
      <c r="CN289" t="str">
        <f>""</f>
        <v/>
      </c>
      <c r="CO289" t="str">
        <f>""</f>
        <v/>
      </c>
      <c r="CP289" t="str">
        <f>""</f>
        <v/>
      </c>
      <c r="CQ289" t="str">
        <f>""</f>
        <v/>
      </c>
      <c r="CR289" t="str">
        <f>""</f>
        <v/>
      </c>
      <c r="CS289" t="str">
        <f>""</f>
        <v/>
      </c>
      <c r="CT289" t="str">
        <f>""</f>
        <v/>
      </c>
      <c r="CU289" t="str">
        <f>""</f>
        <v/>
      </c>
      <c r="CV289" t="str">
        <f>""</f>
        <v/>
      </c>
      <c r="CW289" t="str">
        <f>""</f>
        <v/>
      </c>
      <c r="CX289" t="str">
        <f>""</f>
        <v/>
      </c>
      <c r="CY289" t="str">
        <f>""</f>
        <v/>
      </c>
      <c r="CZ289" t="str">
        <f>""</f>
        <v/>
      </c>
      <c r="DA289" t="str">
        <f>""</f>
        <v/>
      </c>
      <c r="DB289" t="str">
        <f>""</f>
        <v/>
      </c>
      <c r="DC289" t="str">
        <f>""</f>
        <v/>
      </c>
      <c r="DD289" t="str">
        <f>""</f>
        <v/>
      </c>
      <c r="DE289" t="str">
        <f>""</f>
        <v/>
      </c>
      <c r="DF289" t="str">
        <f>""</f>
        <v/>
      </c>
      <c r="DG289" t="str">
        <f>""</f>
        <v/>
      </c>
      <c r="DH289" t="str">
        <f>""</f>
        <v/>
      </c>
      <c r="DI289" t="str">
        <f>""</f>
        <v/>
      </c>
      <c r="DJ289" t="str">
        <f>""</f>
        <v/>
      </c>
      <c r="DK289" t="str">
        <f>""</f>
        <v/>
      </c>
      <c r="DL289" t="str">
        <f>""</f>
        <v/>
      </c>
      <c r="DM289" t="str">
        <f>""</f>
        <v/>
      </c>
      <c r="DN289" t="str">
        <f>""</f>
        <v/>
      </c>
      <c r="DO289" t="str">
        <f>""</f>
        <v/>
      </c>
      <c r="DP289" t="str">
        <f>""</f>
        <v/>
      </c>
      <c r="DQ289" t="str">
        <f>""</f>
        <v/>
      </c>
      <c r="DR289" t="str">
        <f>""</f>
        <v/>
      </c>
      <c r="DS289" t="str">
        <f>""</f>
        <v/>
      </c>
      <c r="DT289" t="str">
        <f>""</f>
        <v/>
      </c>
      <c r="DU289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cb3441</cp:lastModifiedBy>
  <dcterms:created xsi:type="dcterms:W3CDTF">2013-04-03T15:49:21Z</dcterms:created>
  <dcterms:modified xsi:type="dcterms:W3CDTF">2019-03-01T00:26:22Z</dcterms:modified>
</cp:coreProperties>
</file>