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Anish\Projects - Anish\Financial Modelling\"/>
    </mc:Choice>
  </mc:AlternateContent>
  <bookViews>
    <workbookView xWindow="0" yWindow="0" windowWidth="20400" windowHeight="7650"/>
  </bookViews>
  <sheets>
    <sheet name="Financial Statements" sheetId="7" r:id="rId1"/>
    <sheet name="Ratio Analysis" sheetId="8" r:id="rId2"/>
    <sheet name="Vertical Analysis" sheetId="9" r:id="rId3"/>
    <sheet name="Horizontal Analysis" sheetId="10" r:id="rId4"/>
    <sheet name="DuPont Analysis" sheetId="11" r:id="rId5"/>
    <sheet name="Data Sheet" sheetId="6" r:id="rId6"/>
  </sheets>
  <definedNames>
    <definedName name="UPDATE">'Data Sheet'!$E$1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1" l="1"/>
  <c r="B2" i="10"/>
  <c r="B63" i="11"/>
  <c r="B62" i="11"/>
  <c r="B59" i="11"/>
  <c r="B53" i="11"/>
  <c r="B38" i="11"/>
  <c r="B43" i="11"/>
  <c r="B42" i="11"/>
  <c r="B44" i="7"/>
  <c r="B39" i="7"/>
  <c r="B33" i="7"/>
  <c r="B30" i="7"/>
  <c r="B27" i="7"/>
  <c r="B24" i="7"/>
  <c r="B21" i="7"/>
  <c r="B18" i="7"/>
  <c r="B15" i="7"/>
  <c r="B12" i="7"/>
  <c r="B9" i="7"/>
  <c r="B6" i="7"/>
  <c r="D29" i="7"/>
  <c r="E29" i="7"/>
  <c r="F29" i="7"/>
  <c r="G29" i="7"/>
  <c r="H29" i="7"/>
  <c r="I29" i="7"/>
  <c r="J29" i="7"/>
  <c r="K29" i="7"/>
  <c r="L29" i="7"/>
  <c r="C29" i="7"/>
  <c r="C29" i="11"/>
  <c r="C43" i="11" s="1"/>
  <c r="D29" i="11"/>
  <c r="D43" i="11" s="1"/>
  <c r="E29" i="11"/>
  <c r="E43" i="11" s="1"/>
  <c r="F29" i="11"/>
  <c r="F43" i="11" s="1"/>
  <c r="G29" i="11"/>
  <c r="G43" i="11" s="1"/>
  <c r="H29" i="11"/>
  <c r="H43" i="11" s="1"/>
  <c r="I29" i="11"/>
  <c r="I43" i="11" s="1"/>
  <c r="J29" i="11"/>
  <c r="K29" i="11"/>
  <c r="K43" i="11" s="1"/>
  <c r="B28" i="11"/>
  <c r="B34" i="11" s="1"/>
  <c r="B52" i="11" l="1"/>
  <c r="B58" i="11"/>
  <c r="J43" i="11"/>
  <c r="K27" i="11"/>
  <c r="J27" i="11"/>
  <c r="I27" i="11"/>
  <c r="H27" i="11"/>
  <c r="G27" i="11"/>
  <c r="F27" i="11"/>
  <c r="E27" i="11"/>
  <c r="D27" i="11"/>
  <c r="C27" i="11"/>
  <c r="B76" i="10"/>
  <c r="B77" i="10" s="1"/>
  <c r="B78" i="10"/>
  <c r="B79" i="10" s="1"/>
  <c r="B80" i="10"/>
  <c r="B81" i="10" s="1"/>
  <c r="B74" i="10"/>
  <c r="B75" i="10" s="1"/>
  <c r="B69" i="10"/>
  <c r="B70" i="10" s="1"/>
  <c r="B66" i="10"/>
  <c r="B67" i="10" s="1"/>
  <c r="B62" i="10"/>
  <c r="B63" i="10" s="1"/>
  <c r="B64" i="10"/>
  <c r="B65" i="10" s="1"/>
  <c r="B60" i="10"/>
  <c r="B61" i="10" s="1"/>
  <c r="B58" i="10"/>
  <c r="B59" i="10" s="1"/>
  <c r="B56" i="10"/>
  <c r="B57" i="10" s="1"/>
  <c r="B54" i="10"/>
  <c r="B55" i="10" s="1"/>
  <c r="B52" i="10"/>
  <c r="B53" i="10" s="1"/>
  <c r="B50" i="10"/>
  <c r="B51" i="10" s="1"/>
  <c r="B49" i="10"/>
  <c r="B43" i="10"/>
  <c r="B40" i="10"/>
  <c r="B41" i="10" s="1"/>
  <c r="B44" i="10"/>
  <c r="B46" i="10"/>
  <c r="B47" i="10" s="1"/>
  <c r="B38" i="10"/>
  <c r="B39" i="10" s="1"/>
  <c r="B33" i="10"/>
  <c r="B34" i="10" s="1"/>
  <c r="B30" i="10"/>
  <c r="B31" i="10" s="1"/>
  <c r="B27" i="10"/>
  <c r="B28" i="10" s="1"/>
  <c r="B25" i="10"/>
  <c r="B26" i="10" s="1"/>
  <c r="B23" i="10"/>
  <c r="B24" i="10" s="1"/>
  <c r="B21" i="10"/>
  <c r="B22" i="10" s="1"/>
  <c r="B19" i="10"/>
  <c r="B20" i="10" s="1"/>
  <c r="B17" i="10"/>
  <c r="B18" i="10" s="1"/>
  <c r="B15" i="10"/>
  <c r="B16" i="10" s="1"/>
  <c r="B13" i="10"/>
  <c r="B14" i="10" s="1"/>
  <c r="B7" i="10"/>
  <c r="B8" i="10" s="1"/>
  <c r="B11" i="10"/>
  <c r="B12" i="10" s="1"/>
  <c r="B9" i="10"/>
  <c r="L3" i="10"/>
  <c r="K3" i="10"/>
  <c r="J3" i="10"/>
  <c r="I3" i="10"/>
  <c r="H3" i="10"/>
  <c r="G3" i="10"/>
  <c r="F3" i="10"/>
  <c r="E3" i="10"/>
  <c r="D3" i="10"/>
  <c r="C3" i="10"/>
  <c r="D33" i="11" l="1"/>
  <c r="D57" i="11" s="1"/>
  <c r="D51" i="11"/>
  <c r="E33" i="11"/>
  <c r="E57" i="11" s="1"/>
  <c r="E51" i="11"/>
  <c r="F33" i="11"/>
  <c r="F57" i="11" s="1"/>
  <c r="F51" i="11"/>
  <c r="J33" i="11"/>
  <c r="J57" i="11" s="1"/>
  <c r="J51" i="11"/>
  <c r="H33" i="11"/>
  <c r="H57" i="11" s="1"/>
  <c r="H51" i="11"/>
  <c r="I33" i="11"/>
  <c r="I57" i="11" s="1"/>
  <c r="I51" i="11"/>
  <c r="C33" i="11"/>
  <c r="C57" i="11" s="1"/>
  <c r="C51" i="11"/>
  <c r="G33" i="11"/>
  <c r="G57" i="11" s="1"/>
  <c r="G51" i="11"/>
  <c r="K33" i="11"/>
  <c r="K57" i="11" s="1"/>
  <c r="K51" i="11"/>
  <c r="B45" i="10"/>
  <c r="B10" i="10"/>
  <c r="B36" i="9"/>
  <c r="B37" i="9"/>
  <c r="B35" i="9"/>
  <c r="B34" i="9"/>
  <c r="B32" i="9"/>
  <c r="B28" i="9"/>
  <c r="B26" i="9"/>
  <c r="B27" i="9"/>
  <c r="B25" i="9"/>
  <c r="B24" i="9"/>
  <c r="B23" i="9"/>
  <c r="B22" i="9"/>
  <c r="B21" i="9"/>
  <c r="B20" i="9"/>
  <c r="B18" i="9"/>
  <c r="B15" i="9"/>
  <c r="B14" i="9"/>
  <c r="B13" i="9"/>
  <c r="B12" i="9"/>
  <c r="B11" i="9"/>
  <c r="B10" i="9"/>
  <c r="B9" i="9"/>
  <c r="B8" i="9"/>
  <c r="B7" i="9"/>
  <c r="B5" i="9"/>
  <c r="B2" i="9"/>
  <c r="L3" i="9"/>
  <c r="K3" i="9"/>
  <c r="J3" i="9"/>
  <c r="I3" i="9"/>
  <c r="H3" i="9"/>
  <c r="G3" i="9"/>
  <c r="F3" i="9"/>
  <c r="E3" i="9"/>
  <c r="D3" i="9"/>
  <c r="C3" i="9"/>
  <c r="B2" i="8" l="1"/>
  <c r="L3" i="8"/>
  <c r="K3" i="8"/>
  <c r="J3" i="8"/>
  <c r="I3" i="8"/>
  <c r="H3" i="8"/>
  <c r="G3" i="8"/>
  <c r="F3" i="8"/>
  <c r="E3" i="8"/>
  <c r="D3" i="8"/>
  <c r="C3" i="8"/>
  <c r="D77" i="7"/>
  <c r="D74" i="10" s="1"/>
  <c r="E77" i="7"/>
  <c r="E74" i="10" s="1"/>
  <c r="F77" i="7"/>
  <c r="F74" i="10" s="1"/>
  <c r="G77" i="7"/>
  <c r="G74" i="10" s="1"/>
  <c r="H77" i="7"/>
  <c r="H74" i="10" s="1"/>
  <c r="I77" i="7"/>
  <c r="I74" i="10" s="1"/>
  <c r="J77" i="7"/>
  <c r="J74" i="10" s="1"/>
  <c r="K77" i="7"/>
  <c r="K74" i="10" s="1"/>
  <c r="L77" i="7"/>
  <c r="L74" i="10" s="1"/>
  <c r="D78" i="7"/>
  <c r="D76" i="10" s="1"/>
  <c r="E78" i="7"/>
  <c r="E76" i="10" s="1"/>
  <c r="F78" i="7"/>
  <c r="F76" i="10" s="1"/>
  <c r="G78" i="7"/>
  <c r="G76" i="10" s="1"/>
  <c r="H78" i="7"/>
  <c r="H76" i="10" s="1"/>
  <c r="I78" i="7"/>
  <c r="I76" i="10" s="1"/>
  <c r="J78" i="7"/>
  <c r="J76" i="10" s="1"/>
  <c r="K78" i="7"/>
  <c r="K76" i="10" s="1"/>
  <c r="L78" i="7"/>
  <c r="L76" i="10" s="1"/>
  <c r="D79" i="7"/>
  <c r="D78" i="10" s="1"/>
  <c r="E79" i="7"/>
  <c r="E78" i="10" s="1"/>
  <c r="F79" i="7"/>
  <c r="F78" i="10" s="1"/>
  <c r="G79" i="7"/>
  <c r="G78" i="10" s="1"/>
  <c r="H79" i="7"/>
  <c r="H78" i="10" s="1"/>
  <c r="I79" i="7"/>
  <c r="I78" i="10" s="1"/>
  <c r="J79" i="7"/>
  <c r="J78" i="10" s="1"/>
  <c r="K79" i="7"/>
  <c r="K78" i="10" s="1"/>
  <c r="L79" i="7"/>
  <c r="L78" i="10" s="1"/>
  <c r="C78" i="7"/>
  <c r="C76" i="10" s="1"/>
  <c r="C77" i="10" s="1"/>
  <c r="C79" i="7"/>
  <c r="C78" i="10" s="1"/>
  <c r="C79" i="10" s="1"/>
  <c r="C77" i="7"/>
  <c r="C74" i="10" s="1"/>
  <c r="C75" i="10" s="1"/>
  <c r="C69" i="7"/>
  <c r="B2" i="7"/>
  <c r="L79" i="10" l="1"/>
  <c r="H79" i="10"/>
  <c r="I79" i="10"/>
  <c r="E79" i="10"/>
  <c r="J77" i="10"/>
  <c r="F77" i="10"/>
  <c r="K75" i="10"/>
  <c r="G75" i="10"/>
  <c r="I77" i="10"/>
  <c r="E77" i="10"/>
  <c r="J75" i="10"/>
  <c r="F75" i="10"/>
  <c r="J79" i="10"/>
  <c r="F79" i="10"/>
  <c r="K77" i="10"/>
  <c r="G77" i="10"/>
  <c r="L75" i="10"/>
  <c r="H75" i="10"/>
  <c r="D75" i="10"/>
  <c r="C64" i="10"/>
  <c r="C65" i="10" s="1"/>
  <c r="D79" i="10"/>
  <c r="K79" i="10"/>
  <c r="G79" i="10"/>
  <c r="L77" i="10"/>
  <c r="H77" i="10"/>
  <c r="D77" i="10"/>
  <c r="I75" i="10"/>
  <c r="E75" i="10"/>
  <c r="K80" i="7"/>
  <c r="K80" i="10" s="1"/>
  <c r="G80" i="7"/>
  <c r="G80" i="10" s="1"/>
  <c r="C80" i="7"/>
  <c r="C80" i="10" s="1"/>
  <c r="C81" i="10" s="1"/>
  <c r="I80" i="7"/>
  <c r="I80" i="10" s="1"/>
  <c r="E80" i="7"/>
  <c r="E80" i="10" s="1"/>
  <c r="J80" i="7"/>
  <c r="J80" i="10" s="1"/>
  <c r="L80" i="7"/>
  <c r="L80" i="10" s="1"/>
  <c r="H80" i="7"/>
  <c r="H80" i="10" s="1"/>
  <c r="D80" i="7"/>
  <c r="D80" i="10" s="1"/>
  <c r="F80" i="7"/>
  <c r="F80" i="10" s="1"/>
  <c r="D63" i="7"/>
  <c r="D56" i="10" s="1"/>
  <c r="E63" i="7"/>
  <c r="E56" i="10" s="1"/>
  <c r="F63" i="7"/>
  <c r="F56" i="10" s="1"/>
  <c r="G63" i="7"/>
  <c r="G56" i="10" s="1"/>
  <c r="H63" i="7"/>
  <c r="H56" i="10" s="1"/>
  <c r="I63" i="7"/>
  <c r="I56" i="10" s="1"/>
  <c r="J63" i="7"/>
  <c r="J56" i="10" s="1"/>
  <c r="K63" i="7"/>
  <c r="K56" i="10" s="1"/>
  <c r="L63" i="7"/>
  <c r="L56" i="10" s="1"/>
  <c r="C63" i="7"/>
  <c r="C56" i="10" s="1"/>
  <c r="C57" i="10" s="1"/>
  <c r="D67" i="7"/>
  <c r="D60" i="10" s="1"/>
  <c r="E67" i="7"/>
  <c r="E60" i="10" s="1"/>
  <c r="F67" i="7"/>
  <c r="F60" i="10" s="1"/>
  <c r="G67" i="7"/>
  <c r="G60" i="10" s="1"/>
  <c r="H67" i="7"/>
  <c r="H60" i="10" s="1"/>
  <c r="I67" i="7"/>
  <c r="I60" i="10" s="1"/>
  <c r="J67" i="7"/>
  <c r="J60" i="10" s="1"/>
  <c r="K67" i="7"/>
  <c r="K60" i="10" s="1"/>
  <c r="L67" i="7"/>
  <c r="L60" i="10" s="1"/>
  <c r="D68" i="7"/>
  <c r="D62" i="10" s="1"/>
  <c r="E68" i="7"/>
  <c r="E62" i="10" s="1"/>
  <c r="F68" i="7"/>
  <c r="F62" i="10" s="1"/>
  <c r="G68" i="7"/>
  <c r="G62" i="10" s="1"/>
  <c r="H68" i="7"/>
  <c r="H62" i="10" s="1"/>
  <c r="I68" i="7"/>
  <c r="I62" i="10" s="1"/>
  <c r="J68" i="7"/>
  <c r="J62" i="10" s="1"/>
  <c r="K68" i="7"/>
  <c r="K62" i="10" s="1"/>
  <c r="L68" i="7"/>
  <c r="L62" i="10" s="1"/>
  <c r="D69" i="7"/>
  <c r="E69" i="7"/>
  <c r="F69" i="7"/>
  <c r="G69" i="7"/>
  <c r="H69" i="7"/>
  <c r="I69" i="7"/>
  <c r="J69" i="7"/>
  <c r="K69" i="7"/>
  <c r="L69" i="7"/>
  <c r="C68" i="7"/>
  <c r="C62" i="10" s="1"/>
  <c r="C63" i="10" s="1"/>
  <c r="C67" i="7"/>
  <c r="C60" i="10" s="1"/>
  <c r="C61" i="10" s="1"/>
  <c r="D60" i="7"/>
  <c r="D50" i="10" s="1"/>
  <c r="E60" i="7"/>
  <c r="E50" i="10" s="1"/>
  <c r="F60" i="7"/>
  <c r="F50" i="10" s="1"/>
  <c r="G60" i="7"/>
  <c r="G50" i="10" s="1"/>
  <c r="H60" i="7"/>
  <c r="H50" i="10" s="1"/>
  <c r="I60" i="7"/>
  <c r="I50" i="10" s="1"/>
  <c r="J60" i="7"/>
  <c r="J50" i="10" s="1"/>
  <c r="K60" i="7"/>
  <c r="K50" i="10" s="1"/>
  <c r="L60" i="7"/>
  <c r="L50" i="10" s="1"/>
  <c r="D61" i="7"/>
  <c r="D52" i="10" s="1"/>
  <c r="E61" i="7"/>
  <c r="E52" i="10" s="1"/>
  <c r="F61" i="7"/>
  <c r="F52" i="10" s="1"/>
  <c r="G61" i="7"/>
  <c r="G52" i="10" s="1"/>
  <c r="H61" i="7"/>
  <c r="H52" i="10" s="1"/>
  <c r="I61" i="7"/>
  <c r="I52" i="10" s="1"/>
  <c r="J61" i="7"/>
  <c r="J52" i="10" s="1"/>
  <c r="K61" i="7"/>
  <c r="K52" i="10" s="1"/>
  <c r="L61" i="7"/>
  <c r="L52" i="10" s="1"/>
  <c r="D62" i="7"/>
  <c r="D54" i="10" s="1"/>
  <c r="E62" i="7"/>
  <c r="E54" i="10" s="1"/>
  <c r="F62" i="7"/>
  <c r="F54" i="10" s="1"/>
  <c r="G62" i="7"/>
  <c r="G54" i="10" s="1"/>
  <c r="H62" i="7"/>
  <c r="H54" i="10" s="1"/>
  <c r="I62" i="7"/>
  <c r="I54" i="10" s="1"/>
  <c r="J62" i="7"/>
  <c r="J54" i="10" s="1"/>
  <c r="K62" i="7"/>
  <c r="K54" i="10" s="1"/>
  <c r="L62" i="7"/>
  <c r="L54" i="10" s="1"/>
  <c r="C61" i="7"/>
  <c r="C52" i="10" s="1"/>
  <c r="C53" i="10" s="1"/>
  <c r="C62" i="7"/>
  <c r="C54" i="10" s="1"/>
  <c r="C55" i="10" s="1"/>
  <c r="C60" i="7"/>
  <c r="C50" i="10" s="1"/>
  <c r="C51" i="10" s="1"/>
  <c r="D53" i="7"/>
  <c r="E53" i="7"/>
  <c r="F53" i="7"/>
  <c r="G53" i="7"/>
  <c r="H53" i="7"/>
  <c r="I53" i="7"/>
  <c r="J53" i="7"/>
  <c r="K53" i="7"/>
  <c r="L53" i="7"/>
  <c r="D54" i="7"/>
  <c r="E54" i="7"/>
  <c r="F54" i="7"/>
  <c r="G54" i="7"/>
  <c r="H54" i="7"/>
  <c r="I54" i="7"/>
  <c r="J54" i="7"/>
  <c r="K54" i="7"/>
  <c r="L54" i="7"/>
  <c r="D55" i="7"/>
  <c r="E55" i="7"/>
  <c r="F55" i="7"/>
  <c r="G55" i="7"/>
  <c r="H55" i="7"/>
  <c r="I55" i="7"/>
  <c r="J55" i="7"/>
  <c r="K55" i="7"/>
  <c r="L55" i="7"/>
  <c r="D56" i="7"/>
  <c r="E56" i="7"/>
  <c r="F56" i="7"/>
  <c r="G56" i="7"/>
  <c r="H56" i="7"/>
  <c r="I56" i="7"/>
  <c r="J56" i="7"/>
  <c r="K56" i="7"/>
  <c r="L56" i="7"/>
  <c r="C54" i="7"/>
  <c r="C55" i="7"/>
  <c r="C56" i="7"/>
  <c r="C13" i="8" s="1"/>
  <c r="C53" i="7"/>
  <c r="L41" i="7"/>
  <c r="L47" i="7" s="1"/>
  <c r="L33" i="10" s="1"/>
  <c r="K41" i="7"/>
  <c r="K47" i="7" s="1"/>
  <c r="K33" i="10" s="1"/>
  <c r="J41" i="7"/>
  <c r="J47" i="7" s="1"/>
  <c r="J33" i="10" s="1"/>
  <c r="I41" i="7"/>
  <c r="I47" i="7" s="1"/>
  <c r="I33" i="10" s="1"/>
  <c r="H41" i="7"/>
  <c r="H47" i="7" s="1"/>
  <c r="H33" i="10" s="1"/>
  <c r="G41" i="7"/>
  <c r="G47" i="7" s="1"/>
  <c r="G33" i="10" s="1"/>
  <c r="F41" i="7"/>
  <c r="F47" i="7" s="1"/>
  <c r="F33" i="10" s="1"/>
  <c r="E41" i="7"/>
  <c r="E47" i="7" s="1"/>
  <c r="E33" i="10" s="1"/>
  <c r="D41" i="7"/>
  <c r="D47" i="7" s="1"/>
  <c r="D33" i="10" s="1"/>
  <c r="C41" i="7"/>
  <c r="C47" i="7" s="1"/>
  <c r="L35" i="7"/>
  <c r="L25" i="10" s="1"/>
  <c r="K35" i="7"/>
  <c r="K25" i="10" s="1"/>
  <c r="J35" i="7"/>
  <c r="J25" i="10" s="1"/>
  <c r="I35" i="7"/>
  <c r="I25" i="10" s="1"/>
  <c r="H35" i="7"/>
  <c r="H25" i="10" s="1"/>
  <c r="G35" i="7"/>
  <c r="G25" i="10" s="1"/>
  <c r="F35" i="7"/>
  <c r="F25" i="10" s="1"/>
  <c r="E35" i="7"/>
  <c r="E25" i="10" s="1"/>
  <c r="D35" i="7"/>
  <c r="D25" i="10" s="1"/>
  <c r="C35" i="7"/>
  <c r="D20" i="7"/>
  <c r="D17" i="10" s="1"/>
  <c r="E20" i="7"/>
  <c r="E17" i="10" s="1"/>
  <c r="F20" i="7"/>
  <c r="F17" i="10" s="1"/>
  <c r="G20" i="7"/>
  <c r="G17" i="10" s="1"/>
  <c r="H20" i="7"/>
  <c r="H17" i="10" s="1"/>
  <c r="I20" i="7"/>
  <c r="I17" i="10" s="1"/>
  <c r="J20" i="7"/>
  <c r="J17" i="10" s="1"/>
  <c r="K20" i="7"/>
  <c r="K17" i="10" s="1"/>
  <c r="L20" i="7"/>
  <c r="L17" i="10" s="1"/>
  <c r="C20" i="7"/>
  <c r="C17" i="10" s="1"/>
  <c r="C18" i="10" s="1"/>
  <c r="L26" i="7"/>
  <c r="L21" i="10" s="1"/>
  <c r="K26" i="7"/>
  <c r="K21" i="10" s="1"/>
  <c r="J26" i="7"/>
  <c r="J21" i="10" s="1"/>
  <c r="I26" i="7"/>
  <c r="I21" i="10" s="1"/>
  <c r="H26" i="7"/>
  <c r="H21" i="10" s="1"/>
  <c r="G26" i="7"/>
  <c r="G21" i="10" s="1"/>
  <c r="F26" i="7"/>
  <c r="F21" i="10" s="1"/>
  <c r="E26" i="7"/>
  <c r="E21" i="10" s="1"/>
  <c r="D26" i="7"/>
  <c r="D21" i="10" s="1"/>
  <c r="C26" i="7"/>
  <c r="C21" i="10" s="1"/>
  <c r="C22" i="10" s="1"/>
  <c r="L63" i="10" l="1"/>
  <c r="H63" i="10"/>
  <c r="I61" i="10"/>
  <c r="E61" i="10"/>
  <c r="K57" i="10"/>
  <c r="G57" i="10"/>
  <c r="F81" i="10"/>
  <c r="L55" i="10"/>
  <c r="H55" i="10"/>
  <c r="I53" i="10"/>
  <c r="E53" i="10"/>
  <c r="J51" i="10"/>
  <c r="F51" i="10"/>
  <c r="J63" i="10"/>
  <c r="F63" i="10"/>
  <c r="K61" i="10"/>
  <c r="G61" i="10"/>
  <c r="L15" i="8"/>
  <c r="H15" i="8"/>
  <c r="D15" i="8"/>
  <c r="J55" i="10"/>
  <c r="F55" i="10"/>
  <c r="K53" i="10"/>
  <c r="G53" i="10"/>
  <c r="L51" i="10"/>
  <c r="H51" i="10"/>
  <c r="D51" i="10"/>
  <c r="D63" i="10"/>
  <c r="J81" i="10"/>
  <c r="D57" i="10"/>
  <c r="I55" i="10"/>
  <c r="E55" i="10"/>
  <c r="J53" i="10"/>
  <c r="F53" i="10"/>
  <c r="K51" i="10"/>
  <c r="G51" i="10"/>
  <c r="K63" i="10"/>
  <c r="G63" i="10"/>
  <c r="L61" i="10"/>
  <c r="H61" i="10"/>
  <c r="J57" i="10"/>
  <c r="F57" i="10"/>
  <c r="D81" i="10"/>
  <c r="E81" i="10"/>
  <c r="K64" i="10"/>
  <c r="K13" i="8"/>
  <c r="G64" i="10"/>
  <c r="G13" i="8"/>
  <c r="G81" i="10"/>
  <c r="C15" i="8"/>
  <c r="G15" i="8"/>
  <c r="D61" i="10"/>
  <c r="K81" i="10"/>
  <c r="J15" i="8"/>
  <c r="F15" i="8"/>
  <c r="D55" i="10"/>
  <c r="I13" i="8"/>
  <c r="I64" i="10"/>
  <c r="E13" i="8"/>
  <c r="E64" i="10"/>
  <c r="I57" i="10"/>
  <c r="E57" i="10"/>
  <c r="H81" i="10"/>
  <c r="I81" i="10"/>
  <c r="K15" i="8"/>
  <c r="J13" i="8"/>
  <c r="J64" i="10"/>
  <c r="F13" i="8"/>
  <c r="F64" i="10"/>
  <c r="I15" i="8"/>
  <c r="E15" i="8"/>
  <c r="K55" i="10"/>
  <c r="G55" i="10"/>
  <c r="L53" i="10"/>
  <c r="H53" i="10"/>
  <c r="D53" i="10"/>
  <c r="I51" i="10"/>
  <c r="E51" i="10"/>
  <c r="L13" i="8"/>
  <c r="L64" i="10"/>
  <c r="H13" i="8"/>
  <c r="H64" i="10"/>
  <c r="D13" i="8"/>
  <c r="D64" i="10"/>
  <c r="D65" i="10" s="1"/>
  <c r="I63" i="10"/>
  <c r="E63" i="10"/>
  <c r="J61" i="10"/>
  <c r="F61" i="10"/>
  <c r="L57" i="10"/>
  <c r="H57" i="10"/>
  <c r="L81" i="10"/>
  <c r="J18" i="10"/>
  <c r="F18" i="10"/>
  <c r="F26" i="10"/>
  <c r="J26" i="10"/>
  <c r="H34" i="10"/>
  <c r="L34" i="10"/>
  <c r="K18" i="10"/>
  <c r="G18" i="10"/>
  <c r="G22" i="10"/>
  <c r="K22" i="10"/>
  <c r="G26" i="10"/>
  <c r="K26" i="10"/>
  <c r="E34" i="10"/>
  <c r="I34" i="10"/>
  <c r="C25" i="10"/>
  <c r="C26" i="10" s="1"/>
  <c r="C38" i="10"/>
  <c r="H46" i="10"/>
  <c r="I37" i="8"/>
  <c r="I44" i="10"/>
  <c r="I31" i="9"/>
  <c r="I32" i="9" s="1"/>
  <c r="E37" i="8"/>
  <c r="E44" i="10"/>
  <c r="E31" i="9"/>
  <c r="E32" i="9" s="1"/>
  <c r="F40" i="10"/>
  <c r="G38" i="10"/>
  <c r="D22" i="10"/>
  <c r="L22" i="10"/>
  <c r="H26" i="10"/>
  <c r="F34" i="10"/>
  <c r="C46" i="10"/>
  <c r="C47" i="10" s="1"/>
  <c r="G46" i="10"/>
  <c r="H37" i="8"/>
  <c r="H44" i="10"/>
  <c r="H31" i="9"/>
  <c r="H32" i="9" s="1"/>
  <c r="D37" i="8"/>
  <c r="D44" i="10"/>
  <c r="D31" i="9"/>
  <c r="D32" i="9" s="1"/>
  <c r="I40" i="10"/>
  <c r="J38" i="10"/>
  <c r="F38" i="10"/>
  <c r="I18" i="10"/>
  <c r="E18" i="10"/>
  <c r="E26" i="10"/>
  <c r="I26" i="10"/>
  <c r="C33" i="10"/>
  <c r="C34" i="10" s="1"/>
  <c r="G34" i="10"/>
  <c r="K34" i="10"/>
  <c r="C37" i="8"/>
  <c r="C44" i="10"/>
  <c r="C31" i="9"/>
  <c r="C32" i="9" s="1"/>
  <c r="J46" i="10"/>
  <c r="F46" i="10"/>
  <c r="K37" i="8"/>
  <c r="K44" i="10"/>
  <c r="K31" i="9"/>
  <c r="K32" i="9" s="1"/>
  <c r="G37" i="8"/>
  <c r="G44" i="10"/>
  <c r="G31" i="9"/>
  <c r="G32" i="9" s="1"/>
  <c r="L40" i="10"/>
  <c r="H40" i="10"/>
  <c r="D40" i="10"/>
  <c r="I38" i="10"/>
  <c r="E38" i="10"/>
  <c r="L46" i="10"/>
  <c r="D46" i="10"/>
  <c r="J40" i="10"/>
  <c r="K38" i="10"/>
  <c r="H22" i="10"/>
  <c r="L26" i="10"/>
  <c r="J34" i="10"/>
  <c r="K46" i="10"/>
  <c r="L37" i="8"/>
  <c r="L44" i="10"/>
  <c r="L31" i="9"/>
  <c r="L32" i="9" s="1"/>
  <c r="E40" i="10"/>
  <c r="E22" i="10"/>
  <c r="I22" i="10"/>
  <c r="F22" i="10"/>
  <c r="J22" i="10"/>
  <c r="L18" i="10"/>
  <c r="H18" i="10"/>
  <c r="D18" i="10"/>
  <c r="C40" i="10"/>
  <c r="C41" i="10" s="1"/>
  <c r="I46" i="10"/>
  <c r="E46" i="10"/>
  <c r="J37" i="8"/>
  <c r="J44" i="10"/>
  <c r="J31" i="9"/>
  <c r="J32" i="9" s="1"/>
  <c r="F37" i="8"/>
  <c r="F44" i="10"/>
  <c r="F31" i="9"/>
  <c r="F32" i="9" s="1"/>
  <c r="K40" i="10"/>
  <c r="G40" i="10"/>
  <c r="L38" i="10"/>
  <c r="H38" i="10"/>
  <c r="D38" i="10"/>
  <c r="C70" i="7"/>
  <c r="C64" i="7"/>
  <c r="C58" i="10" s="1"/>
  <c r="C59" i="10" s="1"/>
  <c r="L70" i="7"/>
  <c r="H70" i="7"/>
  <c r="D70" i="7"/>
  <c r="J70" i="7"/>
  <c r="F70" i="7"/>
  <c r="L57" i="7"/>
  <c r="H57" i="7"/>
  <c r="D57" i="7"/>
  <c r="J57" i="7"/>
  <c r="F57" i="7"/>
  <c r="J64" i="7"/>
  <c r="J58" i="10" s="1"/>
  <c r="F64" i="7"/>
  <c r="F58" i="10" s="1"/>
  <c r="K70" i="7"/>
  <c r="G70" i="7"/>
  <c r="I70" i="7"/>
  <c r="E70" i="7"/>
  <c r="I57" i="7"/>
  <c r="E57" i="7"/>
  <c r="C57" i="7"/>
  <c r="K57" i="7"/>
  <c r="G57" i="7"/>
  <c r="K64" i="7"/>
  <c r="K58" i="10" s="1"/>
  <c r="G64" i="7"/>
  <c r="G58" i="10" s="1"/>
  <c r="I64" i="7"/>
  <c r="I58" i="10" s="1"/>
  <c r="E64" i="7"/>
  <c r="E58" i="10" s="1"/>
  <c r="L64" i="7"/>
  <c r="L58" i="10" s="1"/>
  <c r="L59" i="10" s="1"/>
  <c r="H64" i="7"/>
  <c r="H58" i="10" s="1"/>
  <c r="H59" i="10" s="1"/>
  <c r="D64" i="7"/>
  <c r="D58" i="10" s="1"/>
  <c r="D59" i="10" s="1"/>
  <c r="E34" i="9" l="1"/>
  <c r="K59" i="10"/>
  <c r="E59" i="10"/>
  <c r="J65" i="10"/>
  <c r="G65" i="10"/>
  <c r="L65" i="10"/>
  <c r="I59" i="10"/>
  <c r="G12" i="8"/>
  <c r="G11" i="8"/>
  <c r="G66" i="10"/>
  <c r="H11" i="8"/>
  <c r="H12" i="8"/>
  <c r="H66" i="10"/>
  <c r="E65" i="10"/>
  <c r="K12" i="8"/>
  <c r="K66" i="10"/>
  <c r="K11" i="8"/>
  <c r="F12" i="8"/>
  <c r="F66" i="10"/>
  <c r="F11" i="8"/>
  <c r="L11" i="8"/>
  <c r="L66" i="10"/>
  <c r="L12" i="8"/>
  <c r="E66" i="10"/>
  <c r="E11" i="8"/>
  <c r="E12" i="8"/>
  <c r="F59" i="10"/>
  <c r="J12" i="8"/>
  <c r="J66" i="10"/>
  <c r="J11" i="8"/>
  <c r="H65" i="10"/>
  <c r="I65" i="10"/>
  <c r="G59" i="10"/>
  <c r="I66" i="10"/>
  <c r="I11" i="8"/>
  <c r="I12" i="8"/>
  <c r="J59" i="10"/>
  <c r="D11" i="8"/>
  <c r="D12" i="8"/>
  <c r="D66" i="10"/>
  <c r="C11" i="8"/>
  <c r="C66" i="10"/>
  <c r="C67" i="10" s="1"/>
  <c r="C12" i="8"/>
  <c r="F65" i="10"/>
  <c r="K65" i="10"/>
  <c r="I37" i="9"/>
  <c r="K35" i="9"/>
  <c r="E37" i="9"/>
  <c r="K37" i="9"/>
  <c r="D26" i="10"/>
  <c r="D34" i="9"/>
  <c r="F36" i="9"/>
  <c r="J36" i="9"/>
  <c r="C35" i="9"/>
  <c r="D37" i="9"/>
  <c r="D35" i="9"/>
  <c r="F35" i="9"/>
  <c r="J37" i="9"/>
  <c r="C37" i="9"/>
  <c r="C36" i="9"/>
  <c r="G35" i="9"/>
  <c r="K34" i="9"/>
  <c r="I34" i="9"/>
  <c r="H35" i="9"/>
  <c r="G36" i="9"/>
  <c r="E35" i="9"/>
  <c r="H34" i="9"/>
  <c r="I36" i="9"/>
  <c r="C34" i="9"/>
  <c r="I35" i="9"/>
  <c r="L41" i="10"/>
  <c r="I47" i="10"/>
  <c r="D47" i="10"/>
  <c r="G41" i="10"/>
  <c r="K47" i="10"/>
  <c r="K41" i="10"/>
  <c r="J47" i="10"/>
  <c r="I41" i="10"/>
  <c r="H47" i="10"/>
  <c r="G48" i="10"/>
  <c r="G45" i="10"/>
  <c r="K48" i="10"/>
  <c r="K45" i="10"/>
  <c r="C48" i="10"/>
  <c r="C49" i="10" s="1"/>
  <c r="C45" i="10"/>
  <c r="F39" i="10"/>
  <c r="F42" i="10"/>
  <c r="I48" i="10"/>
  <c r="I45" i="10"/>
  <c r="E47" i="10"/>
  <c r="L36" i="9"/>
  <c r="J35" i="9"/>
  <c r="L37" i="9"/>
  <c r="E42" i="10"/>
  <c r="E39" i="10"/>
  <c r="D41" i="10"/>
  <c r="J34" i="9"/>
  <c r="G37" i="9"/>
  <c r="F41" i="10"/>
  <c r="C42" i="10"/>
  <c r="C43" i="10" s="1"/>
  <c r="C39" i="10"/>
  <c r="K39" i="10"/>
  <c r="K42" i="10"/>
  <c r="L34" i="9"/>
  <c r="F48" i="10"/>
  <c r="F45" i="10"/>
  <c r="J48" i="10"/>
  <c r="J45" i="10"/>
  <c r="D34" i="10"/>
  <c r="L45" i="10"/>
  <c r="L48" i="10"/>
  <c r="J41" i="10"/>
  <c r="L47" i="10"/>
  <c r="K36" i="9"/>
  <c r="F37" i="9"/>
  <c r="J42" i="10"/>
  <c r="J39" i="10"/>
  <c r="D36" i="9"/>
  <c r="H36" i="9"/>
  <c r="G47" i="10"/>
  <c r="G34" i="9"/>
  <c r="E36" i="9"/>
  <c r="H37" i="9"/>
  <c r="L35" i="9"/>
  <c r="E48" i="10"/>
  <c r="E45" i="10"/>
  <c r="H39" i="10"/>
  <c r="H42" i="10"/>
  <c r="D39" i="10"/>
  <c r="D42" i="10"/>
  <c r="L39" i="10"/>
  <c r="L42" i="10"/>
  <c r="E41" i="10"/>
  <c r="I42" i="10"/>
  <c r="I39" i="10"/>
  <c r="H41" i="10"/>
  <c r="F47" i="10"/>
  <c r="F34" i="9"/>
  <c r="D45" i="10"/>
  <c r="D48" i="10"/>
  <c r="H45" i="10"/>
  <c r="H48" i="10"/>
  <c r="G39" i="10"/>
  <c r="G42" i="10"/>
  <c r="C72" i="7"/>
  <c r="G72" i="7"/>
  <c r="H72" i="7"/>
  <c r="F72" i="7"/>
  <c r="L72" i="7"/>
  <c r="K72" i="7"/>
  <c r="D72" i="7"/>
  <c r="J72" i="7"/>
  <c r="I39" i="11" s="1"/>
  <c r="E72" i="7"/>
  <c r="I72" i="7"/>
  <c r="D14" i="7"/>
  <c r="D13" i="10" s="1"/>
  <c r="E14" i="7"/>
  <c r="E13" i="10" s="1"/>
  <c r="F14" i="7"/>
  <c r="F13" i="10" s="1"/>
  <c r="G14" i="7"/>
  <c r="G13" i="10" s="1"/>
  <c r="H14" i="7"/>
  <c r="H13" i="10" s="1"/>
  <c r="I14" i="7"/>
  <c r="I13" i="10" s="1"/>
  <c r="J14" i="7"/>
  <c r="J13" i="10" s="1"/>
  <c r="K14" i="7"/>
  <c r="K13" i="10" s="1"/>
  <c r="L14" i="7"/>
  <c r="L13" i="10" s="1"/>
  <c r="C14" i="7"/>
  <c r="C13" i="10" s="1"/>
  <c r="C14" i="10" s="1"/>
  <c r="D8" i="7"/>
  <c r="E8" i="7"/>
  <c r="F8" i="7"/>
  <c r="G8" i="7"/>
  <c r="H8" i="7"/>
  <c r="I8" i="7"/>
  <c r="J8" i="7"/>
  <c r="K8" i="7"/>
  <c r="L8" i="7"/>
  <c r="C8" i="7"/>
  <c r="D5" i="7"/>
  <c r="E5" i="7"/>
  <c r="F5" i="7"/>
  <c r="G5" i="7"/>
  <c r="H5" i="7"/>
  <c r="I5" i="7"/>
  <c r="J5" i="7"/>
  <c r="K5" i="7"/>
  <c r="L5" i="7"/>
  <c r="C5" i="7"/>
  <c r="C30" i="7" s="1"/>
  <c r="K3" i="7"/>
  <c r="L3" i="7"/>
  <c r="D3" i="7"/>
  <c r="E3" i="7"/>
  <c r="F3" i="7"/>
  <c r="G3" i="7"/>
  <c r="H3" i="7"/>
  <c r="I3" i="7"/>
  <c r="J3" i="7"/>
  <c r="C3" i="7"/>
  <c r="G39" i="11" l="1"/>
  <c r="G63" i="11" s="1"/>
  <c r="D39" i="11"/>
  <c r="K39" i="11"/>
  <c r="K42" i="11" s="1"/>
  <c r="K44" i="11" s="1"/>
  <c r="I53" i="11"/>
  <c r="I42" i="11"/>
  <c r="I44" i="11" s="1"/>
  <c r="I63" i="11"/>
  <c r="E39" i="11"/>
  <c r="C39" i="11"/>
  <c r="G42" i="11"/>
  <c r="G44" i="11" s="1"/>
  <c r="G53" i="11"/>
  <c r="H39" i="11"/>
  <c r="J39" i="11"/>
  <c r="F39" i="11"/>
  <c r="D53" i="11"/>
  <c r="D42" i="11"/>
  <c r="D44" i="11" s="1"/>
  <c r="D63" i="11"/>
  <c r="K53" i="11"/>
  <c r="K63" i="11"/>
  <c r="L30" i="7"/>
  <c r="K35" i="11"/>
  <c r="H30" i="7"/>
  <c r="G35" i="11"/>
  <c r="C35" i="11"/>
  <c r="D30" i="7"/>
  <c r="E30" i="7"/>
  <c r="D35" i="11"/>
  <c r="J35" i="11"/>
  <c r="K30" i="7"/>
  <c r="F35" i="11"/>
  <c r="G30" i="7"/>
  <c r="I30" i="7"/>
  <c r="H35" i="11"/>
  <c r="I35" i="11"/>
  <c r="J30" i="7"/>
  <c r="E35" i="11"/>
  <c r="F30" i="7"/>
  <c r="F67" i="10"/>
  <c r="I67" i="10"/>
  <c r="L67" i="10"/>
  <c r="L27" i="8"/>
  <c r="L28" i="8"/>
  <c r="L24" i="8"/>
  <c r="L30" i="8" s="1"/>
  <c r="H27" i="8"/>
  <c r="H28" i="8"/>
  <c r="H24" i="8"/>
  <c r="H30" i="8" s="1"/>
  <c r="D27" i="8"/>
  <c r="D28" i="8"/>
  <c r="D24" i="8"/>
  <c r="D30" i="8" s="1"/>
  <c r="J9" i="10"/>
  <c r="J25" i="8"/>
  <c r="J31" i="8" s="1"/>
  <c r="J26" i="8"/>
  <c r="J32" i="8" s="1"/>
  <c r="F9" i="10"/>
  <c r="F25" i="8"/>
  <c r="F31" i="8" s="1"/>
  <c r="F26" i="8"/>
  <c r="F32" i="8" s="1"/>
  <c r="D74" i="7"/>
  <c r="D16" i="8"/>
  <c r="D69" i="10"/>
  <c r="H28" i="9"/>
  <c r="H16" i="8"/>
  <c r="H69" i="10"/>
  <c r="K28" i="8"/>
  <c r="K24" i="8"/>
  <c r="K30" i="8" s="1"/>
  <c r="K27" i="8"/>
  <c r="G28" i="8"/>
  <c r="G24" i="8"/>
  <c r="G30" i="8" s="1"/>
  <c r="G27" i="8"/>
  <c r="C26" i="8"/>
  <c r="C32" i="8" s="1"/>
  <c r="C25" i="8"/>
  <c r="C31" i="8" s="1"/>
  <c r="I9" i="10"/>
  <c r="I26" i="8"/>
  <c r="I32" i="8" s="1"/>
  <c r="I25" i="8"/>
  <c r="I31" i="8" s="1"/>
  <c r="E9" i="10"/>
  <c r="E26" i="8"/>
  <c r="E32" i="8" s="1"/>
  <c r="E25" i="8"/>
  <c r="E31" i="8" s="1"/>
  <c r="I69" i="10"/>
  <c r="I16" i="8"/>
  <c r="K24" i="9"/>
  <c r="K69" i="10"/>
  <c r="K16" i="8"/>
  <c r="G24" i="9"/>
  <c r="G16" i="8"/>
  <c r="G69" i="10"/>
  <c r="G67" i="10"/>
  <c r="J28" i="8"/>
  <c r="J24" i="8"/>
  <c r="J30" i="8" s="1"/>
  <c r="J27" i="8"/>
  <c r="F28" i="8"/>
  <c r="F24" i="8"/>
  <c r="F30" i="8" s="1"/>
  <c r="F27" i="8"/>
  <c r="L9" i="10"/>
  <c r="L26" i="8"/>
  <c r="L32" i="8" s="1"/>
  <c r="L25" i="8"/>
  <c r="L31" i="8" s="1"/>
  <c r="H9" i="10"/>
  <c r="I10" i="10" s="1"/>
  <c r="H26" i="8"/>
  <c r="H32" i="8" s="1"/>
  <c r="H25" i="8"/>
  <c r="H31" i="8" s="1"/>
  <c r="D9" i="10"/>
  <c r="D26" i="8"/>
  <c r="D32" i="8" s="1"/>
  <c r="D25" i="8"/>
  <c r="D31" i="8" s="1"/>
  <c r="E28" i="9"/>
  <c r="E69" i="10"/>
  <c r="E16" i="8"/>
  <c r="L16" i="8"/>
  <c r="L69" i="10"/>
  <c r="C28" i="9"/>
  <c r="C16" i="8"/>
  <c r="C69" i="10"/>
  <c r="C70" i="10" s="1"/>
  <c r="J67" i="10"/>
  <c r="H67" i="10"/>
  <c r="C27" i="8"/>
  <c r="C28" i="8"/>
  <c r="C24" i="8"/>
  <c r="C30" i="8" s="1"/>
  <c r="I27" i="8"/>
  <c r="I24" i="8"/>
  <c r="I30" i="8" s="1"/>
  <c r="I28" i="8"/>
  <c r="E27" i="8"/>
  <c r="E28" i="8"/>
  <c r="E24" i="8"/>
  <c r="E30" i="8" s="1"/>
  <c r="K9" i="10"/>
  <c r="K25" i="8"/>
  <c r="K31" i="8" s="1"/>
  <c r="K26" i="8"/>
  <c r="K32" i="8" s="1"/>
  <c r="G9" i="10"/>
  <c r="H10" i="10" s="1"/>
  <c r="G25" i="8"/>
  <c r="G31" i="8" s="1"/>
  <c r="G26" i="8"/>
  <c r="G32" i="8" s="1"/>
  <c r="J28" i="9"/>
  <c r="J69" i="10"/>
  <c r="J16" i="8"/>
  <c r="F74" i="7"/>
  <c r="F69" i="10"/>
  <c r="F70" i="10" s="1"/>
  <c r="F16" i="8"/>
  <c r="D67" i="10"/>
  <c r="E67" i="10"/>
  <c r="K67" i="10"/>
  <c r="F28" i="9"/>
  <c r="C74" i="7"/>
  <c r="D49" i="10"/>
  <c r="J24" i="9"/>
  <c r="J49" i="10"/>
  <c r="L14" i="10"/>
  <c r="H14" i="10"/>
  <c r="H49" i="10"/>
  <c r="K49" i="10"/>
  <c r="I14" i="10"/>
  <c r="E14" i="10"/>
  <c r="J43" i="10"/>
  <c r="J14" i="10"/>
  <c r="F14" i="10"/>
  <c r="G43" i="10"/>
  <c r="E49" i="10"/>
  <c r="H74" i="7"/>
  <c r="K43" i="10"/>
  <c r="C7" i="10"/>
  <c r="C8" i="10" s="1"/>
  <c r="C5" i="9"/>
  <c r="I36" i="8"/>
  <c r="I18" i="9"/>
  <c r="I27" i="9"/>
  <c r="I26" i="9"/>
  <c r="I20" i="9"/>
  <c r="I22" i="9"/>
  <c r="I21" i="9"/>
  <c r="I23" i="9"/>
  <c r="I25" i="9"/>
  <c r="K36" i="8"/>
  <c r="K18" i="9"/>
  <c r="K27" i="9"/>
  <c r="K21" i="9"/>
  <c r="K23" i="9"/>
  <c r="K25" i="9"/>
  <c r="K20" i="9"/>
  <c r="K22" i="9"/>
  <c r="K26" i="9"/>
  <c r="I28" i="9"/>
  <c r="L49" i="10"/>
  <c r="L35" i="8"/>
  <c r="L7" i="10"/>
  <c r="L5" i="9"/>
  <c r="H7" i="10"/>
  <c r="H5" i="9"/>
  <c r="D7" i="10"/>
  <c r="D5" i="9"/>
  <c r="D14" i="10"/>
  <c r="D36" i="8"/>
  <c r="D18" i="9"/>
  <c r="D21" i="9"/>
  <c r="D22" i="9"/>
  <c r="D20" i="9"/>
  <c r="D26" i="9"/>
  <c r="D23" i="9"/>
  <c r="D27" i="9"/>
  <c r="D25" i="9"/>
  <c r="L18" i="9"/>
  <c r="L25" i="9"/>
  <c r="L23" i="9"/>
  <c r="L26" i="9"/>
  <c r="L22" i="9"/>
  <c r="L20" i="9"/>
  <c r="L27" i="9"/>
  <c r="L21" i="9"/>
  <c r="C36" i="8"/>
  <c r="C18" i="9"/>
  <c r="C27" i="9"/>
  <c r="C21" i="9"/>
  <c r="C23" i="9"/>
  <c r="C20" i="9"/>
  <c r="C26" i="9"/>
  <c r="C22" i="9"/>
  <c r="C25" i="9"/>
  <c r="L28" i="9"/>
  <c r="D24" i="9"/>
  <c r="I49" i="10"/>
  <c r="G49" i="10"/>
  <c r="J7" i="10"/>
  <c r="J5" i="9"/>
  <c r="F7" i="10"/>
  <c r="F5" i="9"/>
  <c r="E18" i="9"/>
  <c r="E20" i="9"/>
  <c r="E23" i="9"/>
  <c r="E25" i="9"/>
  <c r="E26" i="9"/>
  <c r="E22" i="9"/>
  <c r="E21" i="9"/>
  <c r="E27" i="9"/>
  <c r="H18" i="9"/>
  <c r="H22" i="9"/>
  <c r="H25" i="9"/>
  <c r="H27" i="9"/>
  <c r="H26" i="9"/>
  <c r="H20" i="9"/>
  <c r="H23" i="9"/>
  <c r="H21" i="9"/>
  <c r="I43" i="10"/>
  <c r="H43" i="10"/>
  <c r="I7" i="10"/>
  <c r="I5" i="9"/>
  <c r="E7" i="10"/>
  <c r="E5" i="9"/>
  <c r="J36" i="8"/>
  <c r="J18" i="9"/>
  <c r="J25" i="9"/>
  <c r="J27" i="9"/>
  <c r="J26" i="9"/>
  <c r="J22" i="9"/>
  <c r="J20" i="9"/>
  <c r="J21" i="9"/>
  <c r="J23" i="9"/>
  <c r="G36" i="8"/>
  <c r="G18" i="9"/>
  <c r="G26" i="9"/>
  <c r="G25" i="9"/>
  <c r="G23" i="9"/>
  <c r="G22" i="9"/>
  <c r="G21" i="9"/>
  <c r="G20" i="9"/>
  <c r="G27" i="9"/>
  <c r="E43" i="10"/>
  <c r="D43" i="10"/>
  <c r="I24" i="9"/>
  <c r="K7" i="10"/>
  <c r="K5" i="9"/>
  <c r="G7" i="10"/>
  <c r="G5" i="9"/>
  <c r="C9" i="10"/>
  <c r="C9" i="7"/>
  <c r="C7" i="9" s="1"/>
  <c r="K14" i="10"/>
  <c r="G14" i="10"/>
  <c r="G74" i="7"/>
  <c r="H36" i="8"/>
  <c r="F36" i="8"/>
  <c r="F18" i="9"/>
  <c r="F21" i="9"/>
  <c r="F23" i="9"/>
  <c r="F20" i="9"/>
  <c r="F22" i="9"/>
  <c r="F25" i="9"/>
  <c r="F27" i="9"/>
  <c r="F26" i="9"/>
  <c r="L43" i="10"/>
  <c r="D28" i="9"/>
  <c r="H24" i="9"/>
  <c r="E24" i="9"/>
  <c r="C24" i="9"/>
  <c r="F49" i="10"/>
  <c r="F24" i="9"/>
  <c r="K28" i="9"/>
  <c r="G28" i="9"/>
  <c r="F43" i="10"/>
  <c r="L24" i="9"/>
  <c r="K74" i="7"/>
  <c r="L74" i="7"/>
  <c r="L36" i="8"/>
  <c r="C6" i="7"/>
  <c r="C35" i="8"/>
  <c r="I35" i="8"/>
  <c r="E35" i="8"/>
  <c r="J35" i="8"/>
  <c r="H35" i="8"/>
  <c r="D35" i="8"/>
  <c r="F35" i="8"/>
  <c r="K35" i="8"/>
  <c r="G35" i="8"/>
  <c r="I74" i="7"/>
  <c r="J74" i="7"/>
  <c r="E74" i="7"/>
  <c r="E36" i="8"/>
  <c r="L9" i="7"/>
  <c r="L7" i="9" s="1"/>
  <c r="I6" i="7"/>
  <c r="E6" i="7"/>
  <c r="G9" i="7"/>
  <c r="G7" i="9" s="1"/>
  <c r="K9" i="7"/>
  <c r="K7" i="9" s="1"/>
  <c r="E15" i="7"/>
  <c r="E9" i="9" s="1"/>
  <c r="H9" i="7"/>
  <c r="H7" i="9" s="1"/>
  <c r="D9" i="7"/>
  <c r="D7" i="9" s="1"/>
  <c r="J9" i="7"/>
  <c r="J7" i="9" s="1"/>
  <c r="F9" i="7"/>
  <c r="F7" i="9" s="1"/>
  <c r="K15" i="7"/>
  <c r="K9" i="9" s="1"/>
  <c r="G15" i="7"/>
  <c r="G9" i="9" s="1"/>
  <c r="E11" i="7"/>
  <c r="D6" i="7"/>
  <c r="I11" i="7"/>
  <c r="K11" i="7"/>
  <c r="G11" i="7"/>
  <c r="I9" i="7"/>
  <c r="I7" i="9" s="1"/>
  <c r="E9" i="7"/>
  <c r="E7" i="9" s="1"/>
  <c r="C15" i="7"/>
  <c r="C9" i="9" s="1"/>
  <c r="I15" i="7"/>
  <c r="I9" i="9" s="1"/>
  <c r="F15" i="7"/>
  <c r="F9" i="9" s="1"/>
  <c r="L15" i="7"/>
  <c r="L9" i="9" s="1"/>
  <c r="H15" i="7"/>
  <c r="H9" i="9" s="1"/>
  <c r="D15" i="7"/>
  <c r="D9" i="9" s="1"/>
  <c r="J21" i="7"/>
  <c r="J11" i="9" s="1"/>
  <c r="J27" i="7"/>
  <c r="J13" i="9" s="1"/>
  <c r="L6" i="7"/>
  <c r="F11" i="7"/>
  <c r="J11" i="7"/>
  <c r="J15" i="7"/>
  <c r="J9" i="9" s="1"/>
  <c r="C27" i="7"/>
  <c r="C13" i="9" s="1"/>
  <c r="C21" i="7"/>
  <c r="C11" i="9" s="1"/>
  <c r="I27" i="7"/>
  <c r="I13" i="9" s="1"/>
  <c r="I21" i="7"/>
  <c r="I11" i="9" s="1"/>
  <c r="E27" i="7"/>
  <c r="E13" i="9" s="1"/>
  <c r="E21" i="7"/>
  <c r="E11" i="9" s="1"/>
  <c r="K6" i="7"/>
  <c r="G6" i="7"/>
  <c r="C11" i="7"/>
  <c r="K27" i="7"/>
  <c r="K13" i="9" s="1"/>
  <c r="K21" i="7"/>
  <c r="K11" i="9" s="1"/>
  <c r="G21" i="7"/>
  <c r="G11" i="9" s="1"/>
  <c r="G27" i="7"/>
  <c r="G13" i="9" s="1"/>
  <c r="F21" i="7"/>
  <c r="F11" i="9" s="1"/>
  <c r="F27" i="7"/>
  <c r="F13" i="9" s="1"/>
  <c r="H6" i="7"/>
  <c r="L27" i="7"/>
  <c r="L13" i="9" s="1"/>
  <c r="L21" i="7"/>
  <c r="L11" i="9" s="1"/>
  <c r="H21" i="7"/>
  <c r="H11" i="9" s="1"/>
  <c r="H27" i="7"/>
  <c r="H13" i="9" s="1"/>
  <c r="D27" i="7"/>
  <c r="D13" i="9" s="1"/>
  <c r="D21" i="7"/>
  <c r="D11" i="9" s="1"/>
  <c r="J6" i="7"/>
  <c r="F6" i="7"/>
  <c r="D11" i="7"/>
  <c r="H11" i="7"/>
  <c r="L11" i="7"/>
  <c r="B6" i="6"/>
  <c r="E1" i="6"/>
  <c r="L70" i="10" l="1"/>
  <c r="J10" i="10"/>
  <c r="J42" i="11"/>
  <c r="J44" i="11" s="1"/>
  <c r="J63" i="11"/>
  <c r="J53" i="11"/>
  <c r="E53" i="11"/>
  <c r="E63" i="11"/>
  <c r="E42" i="11"/>
  <c r="E44" i="11" s="1"/>
  <c r="F53" i="11"/>
  <c r="F42" i="11"/>
  <c r="F44" i="11" s="1"/>
  <c r="F63" i="11"/>
  <c r="K10" i="10"/>
  <c r="H63" i="11"/>
  <c r="H42" i="11"/>
  <c r="H44" i="11" s="1"/>
  <c r="H53" i="11"/>
  <c r="C42" i="11"/>
  <c r="C44" i="11" s="1"/>
  <c r="C63" i="11"/>
  <c r="C53" i="11"/>
  <c r="D59" i="11"/>
  <c r="D38" i="11"/>
  <c r="G38" i="11"/>
  <c r="G59" i="11"/>
  <c r="I38" i="11"/>
  <c r="I59" i="11"/>
  <c r="F59" i="11"/>
  <c r="F38" i="11"/>
  <c r="H59" i="11"/>
  <c r="H38" i="11"/>
  <c r="K59" i="11"/>
  <c r="K38" i="11"/>
  <c r="E59" i="11"/>
  <c r="E38" i="11"/>
  <c r="J59" i="11"/>
  <c r="J38" i="11"/>
  <c r="C38" i="11"/>
  <c r="C59" i="11"/>
  <c r="E70" i="10"/>
  <c r="G10" i="10"/>
  <c r="F10" i="10"/>
  <c r="E10" i="10"/>
  <c r="L10" i="10"/>
  <c r="G70" i="10"/>
  <c r="K70" i="10"/>
  <c r="C33" i="8"/>
  <c r="I70" i="10"/>
  <c r="J70" i="10"/>
  <c r="E33" i="8"/>
  <c r="I33" i="8"/>
  <c r="J33" i="8"/>
  <c r="G33" i="8"/>
  <c r="D70" i="10"/>
  <c r="H33" i="8"/>
  <c r="K33" i="8"/>
  <c r="L33" i="8"/>
  <c r="F33" i="8"/>
  <c r="H70" i="10"/>
  <c r="D33" i="8"/>
  <c r="K8" i="10"/>
  <c r="D8" i="10"/>
  <c r="G8" i="10"/>
  <c r="J8" i="10"/>
  <c r="H12" i="7"/>
  <c r="H5" i="8" s="1"/>
  <c r="H11" i="10"/>
  <c r="F17" i="7"/>
  <c r="F11" i="10"/>
  <c r="G17" i="7"/>
  <c r="G11" i="10"/>
  <c r="E17" i="7"/>
  <c r="E11" i="10"/>
  <c r="E8" i="10"/>
  <c r="L12" i="7"/>
  <c r="L5" i="8" s="1"/>
  <c r="L11" i="10"/>
  <c r="J17" i="7"/>
  <c r="J11" i="10"/>
  <c r="H8" i="10"/>
  <c r="D12" i="7"/>
  <c r="D5" i="8" s="1"/>
  <c r="D11" i="10"/>
  <c r="C17" i="7"/>
  <c r="C11" i="10"/>
  <c r="C12" i="10" s="1"/>
  <c r="K12" i="7"/>
  <c r="K5" i="8" s="1"/>
  <c r="K11" i="10"/>
  <c r="D10" i="10"/>
  <c r="C10" i="10"/>
  <c r="L8" i="10"/>
  <c r="I17" i="7"/>
  <c r="I11" i="10"/>
  <c r="I8" i="10"/>
  <c r="F8" i="10"/>
  <c r="J12" i="7"/>
  <c r="J5" i="8" s="1"/>
  <c r="E12" i="7"/>
  <c r="E5" i="8" s="1"/>
  <c r="C12" i="7"/>
  <c r="C5" i="8" s="1"/>
  <c r="K17" i="7"/>
  <c r="L17" i="7"/>
  <c r="H17" i="7"/>
  <c r="G12" i="7"/>
  <c r="G5" i="8" s="1"/>
  <c r="D17" i="7"/>
  <c r="I12" i="7"/>
  <c r="I5" i="8" s="1"/>
  <c r="F12" i="7"/>
  <c r="F5" i="8" s="1"/>
  <c r="J62" i="11" l="1"/>
  <c r="J64" i="11" s="1"/>
  <c r="J40" i="11"/>
  <c r="K40" i="11"/>
  <c r="K62" i="11"/>
  <c r="K64" i="11" s="1"/>
  <c r="F62" i="11"/>
  <c r="F64" i="11" s="1"/>
  <c r="F40" i="11"/>
  <c r="G40" i="11"/>
  <c r="G62" i="11"/>
  <c r="G64" i="11" s="1"/>
  <c r="E62" i="11"/>
  <c r="E64" i="11" s="1"/>
  <c r="E40" i="11"/>
  <c r="H40" i="11"/>
  <c r="H62" i="11"/>
  <c r="H64" i="11" s="1"/>
  <c r="D62" i="11"/>
  <c r="D64" i="11" s="1"/>
  <c r="D40" i="11"/>
  <c r="C40" i="11"/>
  <c r="C62" i="11"/>
  <c r="C64" i="11" s="1"/>
  <c r="I62" i="11"/>
  <c r="I64" i="11" s="1"/>
  <c r="I40" i="11"/>
  <c r="G18" i="7"/>
  <c r="G6" i="8" s="1"/>
  <c r="C18" i="7"/>
  <c r="C6" i="8" s="1"/>
  <c r="E18" i="7"/>
  <c r="E6" i="8" s="1"/>
  <c r="F18" i="7"/>
  <c r="F6" i="8" s="1"/>
  <c r="K12" i="10"/>
  <c r="D12" i="10"/>
  <c r="I12" i="10"/>
  <c r="K8" i="9"/>
  <c r="D8" i="9"/>
  <c r="L12" i="10"/>
  <c r="E23" i="7"/>
  <c r="E32" i="7" s="1"/>
  <c r="E38" i="7" s="1"/>
  <c r="D28" i="11" s="1"/>
  <c r="E15" i="10"/>
  <c r="F23" i="7"/>
  <c r="F32" i="7" s="1"/>
  <c r="F33" i="7" s="1"/>
  <c r="F15" i="10"/>
  <c r="E8" i="9"/>
  <c r="J8" i="9"/>
  <c r="J23" i="7"/>
  <c r="J32" i="7" s="1"/>
  <c r="J36" i="7" s="1"/>
  <c r="J15" i="10"/>
  <c r="F12" i="10"/>
  <c r="D23" i="7"/>
  <c r="D15" i="10"/>
  <c r="G8" i="9"/>
  <c r="L8" i="9"/>
  <c r="G12" i="10"/>
  <c r="H12" i="10"/>
  <c r="L23" i="7"/>
  <c r="L15" i="10"/>
  <c r="F38" i="7"/>
  <c r="I23" i="7"/>
  <c r="I32" i="7" s="1"/>
  <c r="I38" i="7" s="1"/>
  <c r="H28" i="11" s="1"/>
  <c r="I15" i="10"/>
  <c r="E12" i="10"/>
  <c r="F8" i="9"/>
  <c r="K23" i="7"/>
  <c r="K15" i="10"/>
  <c r="I8" i="9"/>
  <c r="C8" i="9"/>
  <c r="G10" i="9"/>
  <c r="J18" i="7"/>
  <c r="J6" i="8" s="1"/>
  <c r="I18" i="7"/>
  <c r="I6" i="8" s="1"/>
  <c r="H15" i="10"/>
  <c r="C23" i="7"/>
  <c r="C32" i="7" s="1"/>
  <c r="C23" i="10" s="1"/>
  <c r="C24" i="10" s="1"/>
  <c r="C15" i="10"/>
  <c r="C16" i="10" s="1"/>
  <c r="J12" i="10"/>
  <c r="G23" i="7"/>
  <c r="G32" i="7" s="1"/>
  <c r="G38" i="7" s="1"/>
  <c r="F28" i="11" s="1"/>
  <c r="G15" i="10"/>
  <c r="H8" i="9"/>
  <c r="H23" i="7"/>
  <c r="L18" i="7"/>
  <c r="L6" i="8" s="1"/>
  <c r="H18" i="7"/>
  <c r="H6" i="8" s="1"/>
  <c r="D18" i="7"/>
  <c r="D6" i="8" s="1"/>
  <c r="K18" i="7"/>
  <c r="K6" i="8" s="1"/>
  <c r="G33" i="7" l="1"/>
  <c r="G8" i="8" s="1"/>
  <c r="C38" i="7"/>
  <c r="C21" i="8" s="1"/>
  <c r="C33" i="7"/>
  <c r="C8" i="8" s="1"/>
  <c r="C36" i="7"/>
  <c r="G36" i="7"/>
  <c r="G23" i="10"/>
  <c r="D34" i="11"/>
  <c r="D30" i="11"/>
  <c r="F8" i="8"/>
  <c r="F14" i="9"/>
  <c r="F34" i="11"/>
  <c r="F30" i="11"/>
  <c r="H34" i="11"/>
  <c r="H30" i="11"/>
  <c r="E23" i="10"/>
  <c r="E33" i="7"/>
  <c r="E8" i="8" s="1"/>
  <c r="F36" i="7"/>
  <c r="F23" i="10"/>
  <c r="E36" i="7"/>
  <c r="D19" i="10"/>
  <c r="D32" i="7"/>
  <c r="D38" i="7" s="1"/>
  <c r="C28" i="11" s="1"/>
  <c r="F39" i="7"/>
  <c r="F9" i="8" s="1"/>
  <c r="E28" i="11"/>
  <c r="H19" i="10"/>
  <c r="H32" i="7"/>
  <c r="H23" i="10" s="1"/>
  <c r="K19" i="10"/>
  <c r="K32" i="7"/>
  <c r="K23" i="10" s="1"/>
  <c r="L19" i="10"/>
  <c r="L20" i="10" s="1"/>
  <c r="L32" i="7"/>
  <c r="L36" i="7" s="1"/>
  <c r="E10" i="9"/>
  <c r="C10" i="9"/>
  <c r="D17" i="8"/>
  <c r="C39" i="7"/>
  <c r="C9" i="8" s="1"/>
  <c r="D24" i="7"/>
  <c r="D12" i="9" s="1"/>
  <c r="D19" i="8"/>
  <c r="J38" i="7"/>
  <c r="L17" i="8"/>
  <c r="F10" i="9"/>
  <c r="F43" i="7"/>
  <c r="F30" i="10" s="1"/>
  <c r="C43" i="7"/>
  <c r="C30" i="10" s="1"/>
  <c r="C31" i="10" s="1"/>
  <c r="L19" i="8"/>
  <c r="I33" i="7"/>
  <c r="I8" i="8" s="1"/>
  <c r="L24" i="7"/>
  <c r="K17" i="8"/>
  <c r="K24" i="7"/>
  <c r="K19" i="8"/>
  <c r="J16" i="10"/>
  <c r="F16" i="10"/>
  <c r="G21" i="8"/>
  <c r="G27" i="10"/>
  <c r="D16" i="10"/>
  <c r="J19" i="10"/>
  <c r="J24" i="7"/>
  <c r="J7" i="8" s="1"/>
  <c r="J17" i="8"/>
  <c r="J19" i="8"/>
  <c r="G43" i="7"/>
  <c r="G48" i="7" s="1"/>
  <c r="G49" i="7" s="1"/>
  <c r="G20" i="8" s="1"/>
  <c r="D23" i="10"/>
  <c r="D24" i="10" s="1"/>
  <c r="D10" i="9"/>
  <c r="L10" i="9"/>
  <c r="C27" i="10"/>
  <c r="G19" i="10"/>
  <c r="G24" i="7"/>
  <c r="G7" i="8" s="1"/>
  <c r="G19" i="8"/>
  <c r="G17" i="8"/>
  <c r="I36" i="7"/>
  <c r="I23" i="10"/>
  <c r="J10" i="9"/>
  <c r="I16" i="10"/>
  <c r="L16" i="10"/>
  <c r="C14" i="9"/>
  <c r="E16" i="10"/>
  <c r="H10" i="9"/>
  <c r="I21" i="8"/>
  <c r="I27" i="10"/>
  <c r="H36" i="7"/>
  <c r="E21" i="8"/>
  <c r="E27" i="10"/>
  <c r="G16" i="10"/>
  <c r="C19" i="10"/>
  <c r="C20" i="10" s="1"/>
  <c r="C17" i="8"/>
  <c r="C24" i="7"/>
  <c r="C7" i="8" s="1"/>
  <c r="C19" i="8"/>
  <c r="I10" i="9"/>
  <c r="K16" i="10"/>
  <c r="F21" i="8"/>
  <c r="F27" i="10"/>
  <c r="F19" i="10"/>
  <c r="F19" i="8"/>
  <c r="F17" i="8"/>
  <c r="F24" i="7"/>
  <c r="F7" i="8" s="1"/>
  <c r="H33" i="7"/>
  <c r="H8" i="8" s="1"/>
  <c r="G39" i="7"/>
  <c r="G9" i="8" s="1"/>
  <c r="K10" i="9"/>
  <c r="G14" i="9"/>
  <c r="H16" i="10"/>
  <c r="I19" i="10"/>
  <c r="I17" i="8"/>
  <c r="I24" i="7"/>
  <c r="I7" i="8" s="1"/>
  <c r="I19" i="8"/>
  <c r="J33" i="7"/>
  <c r="J8" i="8" s="1"/>
  <c r="J23" i="10"/>
  <c r="E19" i="10"/>
  <c r="E24" i="7"/>
  <c r="E7" i="8" s="1"/>
  <c r="E19" i="8"/>
  <c r="E17" i="8"/>
  <c r="E43" i="7"/>
  <c r="E48" i="7" s="1"/>
  <c r="E49" i="7" s="1"/>
  <c r="E20" i="8" s="1"/>
  <c r="I43" i="7"/>
  <c r="I39" i="7"/>
  <c r="I9" i="8" s="1"/>
  <c r="H19" i="8"/>
  <c r="H17" i="8"/>
  <c r="H24" i="7"/>
  <c r="E39" i="7"/>
  <c r="E9" i="8" s="1"/>
  <c r="D36" i="7"/>
  <c r="F24" i="10" l="1"/>
  <c r="E20" i="10"/>
  <c r="E14" i="9"/>
  <c r="H20" i="10"/>
  <c r="G24" i="10"/>
  <c r="I20" i="10"/>
  <c r="K38" i="7"/>
  <c r="J28" i="11" s="1"/>
  <c r="J34" i="11" s="1"/>
  <c r="K33" i="7"/>
  <c r="K8" i="8" s="1"/>
  <c r="K20" i="10"/>
  <c r="H24" i="10"/>
  <c r="K36" i="7"/>
  <c r="L33" i="7"/>
  <c r="L8" i="8" s="1"/>
  <c r="D33" i="7"/>
  <c r="D8" i="8" s="1"/>
  <c r="I24" i="10"/>
  <c r="L23" i="10"/>
  <c r="L24" i="10" s="1"/>
  <c r="L38" i="7"/>
  <c r="K28" i="11" s="1"/>
  <c r="K34" i="11" s="1"/>
  <c r="H38" i="7"/>
  <c r="G28" i="11" s="1"/>
  <c r="C34" i="11"/>
  <c r="C30" i="11"/>
  <c r="F15" i="9"/>
  <c r="E30" i="11"/>
  <c r="E34" i="11"/>
  <c r="H27" i="10"/>
  <c r="I28" i="10" s="1"/>
  <c r="J27" i="10"/>
  <c r="I28" i="11"/>
  <c r="H58" i="11"/>
  <c r="H60" i="11" s="1"/>
  <c r="H66" i="11" s="1"/>
  <c r="H36" i="11"/>
  <c r="H46" i="11" s="1"/>
  <c r="H48" i="11" s="1"/>
  <c r="H52" i="11"/>
  <c r="H54" i="11" s="1"/>
  <c r="F52" i="11"/>
  <c r="F54" i="11" s="1"/>
  <c r="F58" i="11"/>
  <c r="F60" i="11" s="1"/>
  <c r="F66" i="11" s="1"/>
  <c r="F36" i="11"/>
  <c r="F46" i="11" s="1"/>
  <c r="F48" i="11" s="1"/>
  <c r="D58" i="11"/>
  <c r="D60" i="11" s="1"/>
  <c r="D66" i="11" s="1"/>
  <c r="D36" i="11"/>
  <c r="D46" i="11" s="1"/>
  <c r="D48" i="11" s="1"/>
  <c r="D52" i="11"/>
  <c r="D54" i="11" s="1"/>
  <c r="D7" i="8"/>
  <c r="C15" i="9"/>
  <c r="J39" i="7"/>
  <c r="J9" i="8" s="1"/>
  <c r="J43" i="7"/>
  <c r="J30" i="10" s="1"/>
  <c r="J21" i="8"/>
  <c r="C48" i="7"/>
  <c r="C49" i="7" s="1"/>
  <c r="C20" i="8" s="1"/>
  <c r="C22" i="8" s="1"/>
  <c r="C44" i="7"/>
  <c r="E22" i="8"/>
  <c r="G45" i="7"/>
  <c r="F48" i="7"/>
  <c r="F49" i="7" s="1"/>
  <c r="F20" i="8" s="1"/>
  <c r="F22" i="8" s="1"/>
  <c r="H43" i="7"/>
  <c r="I45" i="7" s="1"/>
  <c r="K12" i="9"/>
  <c r="K7" i="8"/>
  <c r="I14" i="9"/>
  <c r="H12" i="9"/>
  <c r="H7" i="8"/>
  <c r="L12" i="9"/>
  <c r="L7" i="8"/>
  <c r="J28" i="10"/>
  <c r="F28" i="10"/>
  <c r="G28" i="10"/>
  <c r="K27" i="10"/>
  <c r="L21" i="8"/>
  <c r="G15" i="9"/>
  <c r="J12" i="9"/>
  <c r="L39" i="7"/>
  <c r="L9" i="8" s="1"/>
  <c r="J24" i="10"/>
  <c r="I12" i="9"/>
  <c r="H14" i="9"/>
  <c r="C12" i="9"/>
  <c r="K24" i="10"/>
  <c r="G12" i="9"/>
  <c r="D14" i="9"/>
  <c r="J20" i="10"/>
  <c r="E15" i="9"/>
  <c r="I15" i="9"/>
  <c r="F45" i="7"/>
  <c r="E30" i="10"/>
  <c r="E12" i="9"/>
  <c r="C28" i="10"/>
  <c r="I48" i="7"/>
  <c r="I49" i="7" s="1"/>
  <c r="I20" i="8" s="1"/>
  <c r="I22" i="8" s="1"/>
  <c r="I30" i="10"/>
  <c r="D20" i="10"/>
  <c r="E24" i="10"/>
  <c r="G22" i="8"/>
  <c r="D39" i="7"/>
  <c r="D9" i="8" s="1"/>
  <c r="D27" i="10"/>
  <c r="D28" i="10" s="1"/>
  <c r="J14" i="9"/>
  <c r="F12" i="9"/>
  <c r="F20" i="10"/>
  <c r="G20" i="10"/>
  <c r="G44" i="7"/>
  <c r="G30" i="10"/>
  <c r="G31" i="10" s="1"/>
  <c r="F44" i="7"/>
  <c r="D43" i="7"/>
  <c r="D44" i="7" s="1"/>
  <c r="D21" i="8"/>
  <c r="L43" i="7" l="1"/>
  <c r="L30" i="10" s="1"/>
  <c r="K30" i="11"/>
  <c r="K14" i="9"/>
  <c r="H68" i="11"/>
  <c r="K28" i="10"/>
  <c r="L14" i="9"/>
  <c r="K43" i="7"/>
  <c r="L45" i="7" s="1"/>
  <c r="L27" i="10"/>
  <c r="L28" i="10" s="1"/>
  <c r="J30" i="11"/>
  <c r="K21" i="8"/>
  <c r="K39" i="7"/>
  <c r="K9" i="8" s="1"/>
  <c r="H21" i="8"/>
  <c r="H39" i="7"/>
  <c r="H9" i="8" s="1"/>
  <c r="H28" i="10"/>
  <c r="D68" i="11"/>
  <c r="K52" i="11"/>
  <c r="K54" i="11" s="1"/>
  <c r="K36" i="11"/>
  <c r="K46" i="11" s="1"/>
  <c r="K48" i="11" s="1"/>
  <c r="K58" i="11"/>
  <c r="K60" i="11" s="1"/>
  <c r="K66" i="11" s="1"/>
  <c r="G30" i="11"/>
  <c r="G34" i="11"/>
  <c r="F68" i="11"/>
  <c r="J52" i="11"/>
  <c r="J54" i="11" s="1"/>
  <c r="J36" i="11"/>
  <c r="J46" i="11" s="1"/>
  <c r="J48" i="11" s="1"/>
  <c r="J58" i="11"/>
  <c r="J60" i="11" s="1"/>
  <c r="J66" i="11" s="1"/>
  <c r="I30" i="11"/>
  <c r="I34" i="11"/>
  <c r="E58" i="11"/>
  <c r="E60" i="11" s="1"/>
  <c r="E66" i="11" s="1"/>
  <c r="E52" i="11"/>
  <c r="E54" i="11" s="1"/>
  <c r="E36" i="11"/>
  <c r="E46" i="11" s="1"/>
  <c r="E48" i="11" s="1"/>
  <c r="C52" i="11"/>
  <c r="C54" i="11" s="1"/>
  <c r="C36" i="11"/>
  <c r="C46" i="11" s="1"/>
  <c r="C48" i="11" s="1"/>
  <c r="C58" i="11"/>
  <c r="C60" i="11" s="1"/>
  <c r="C66" i="11" s="1"/>
  <c r="J45" i="7"/>
  <c r="I44" i="7"/>
  <c r="J44" i="7"/>
  <c r="J48" i="7"/>
  <c r="J49" i="7" s="1"/>
  <c r="J20" i="8" s="1"/>
  <c r="J22" i="8" s="1"/>
  <c r="J15" i="9"/>
  <c r="H45" i="7"/>
  <c r="L48" i="7"/>
  <c r="L49" i="7" s="1"/>
  <c r="L20" i="8" s="1"/>
  <c r="L22" i="8" s="1"/>
  <c r="H48" i="7"/>
  <c r="H49" i="7" s="1"/>
  <c r="H20" i="8" s="1"/>
  <c r="H22" i="8" s="1"/>
  <c r="H30" i="10"/>
  <c r="I31" i="10" s="1"/>
  <c r="H44" i="7"/>
  <c r="J31" i="10"/>
  <c r="F31" i="10"/>
  <c r="D29" i="10"/>
  <c r="L15" i="9"/>
  <c r="D45" i="7"/>
  <c r="D30" i="10"/>
  <c r="D31" i="10" s="1"/>
  <c r="E28" i="10"/>
  <c r="D15" i="9"/>
  <c r="D48" i="7"/>
  <c r="D49" i="7" s="1"/>
  <c r="D20" i="8" s="1"/>
  <c r="D22" i="8" s="1"/>
  <c r="E45" i="7"/>
  <c r="E44" i="7"/>
  <c r="K48" i="7"/>
  <c r="K49" i="7" s="1"/>
  <c r="K20" i="8" s="1"/>
  <c r="K22" i="8" s="1"/>
  <c r="K45" i="7"/>
  <c r="L44" i="7"/>
  <c r="K44" i="7" l="1"/>
  <c r="K30" i="10"/>
  <c r="K31" i="10" s="1"/>
  <c r="K15" i="9"/>
  <c r="H15" i="9"/>
  <c r="C68" i="11"/>
  <c r="E68" i="11"/>
  <c r="K68" i="11"/>
  <c r="I58" i="11"/>
  <c r="I60" i="11" s="1"/>
  <c r="I66" i="11" s="1"/>
  <c r="I52" i="11"/>
  <c r="I54" i="11" s="1"/>
  <c r="I36" i="11"/>
  <c r="I46" i="11" s="1"/>
  <c r="I48" i="11" s="1"/>
  <c r="J68" i="11"/>
  <c r="G36" i="11"/>
  <c r="G46" i="11" s="1"/>
  <c r="G48" i="11" s="1"/>
  <c r="G58" i="11"/>
  <c r="G60" i="11" s="1"/>
  <c r="G66" i="11" s="1"/>
  <c r="G52" i="11"/>
  <c r="G54" i="11" s="1"/>
  <c r="H31" i="10"/>
  <c r="L31" i="10"/>
  <c r="D32" i="10"/>
  <c r="E31" i="10"/>
  <c r="I68" i="11" l="1"/>
  <c r="G68" i="11"/>
</calcChain>
</file>

<file path=xl/sharedStrings.xml><?xml version="1.0" encoding="utf-8"?>
<sst xmlns="http://schemas.openxmlformats.org/spreadsheetml/2006/main" count="182" uniqueCount="127">
  <si>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</si>
  <si>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</si>
  <si>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</si>
  <si>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</si>
  <si>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</si>
  <si>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</si>
  <si>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</si>
  <si>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</si>
  <si>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</si>
  <si>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</si>
  <si>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</si>
  <si>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</si>
  <si>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</si>
  <si>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</si>
  <si>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</si>
  <si>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</si>
  <si>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</si>
  <si>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</si>
  <si>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</si>
  <si>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</si>
  <si>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</si>
  <si>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</si>
  <si>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</si>
  <si>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</si>
  <si>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</si>
  <si>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</si>
  <si>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</si>
  <si>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</si>
  <si>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</si>
  <si>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</si>
  <si>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</si>
  <si>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</si>
  <si>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TATA CONSUMER PRODUCTS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</si>
  <si>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</si>
  <si>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</si>
  <si>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</si>
  <si>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</si>
  <si>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</si>
  <si>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</si>
  <si>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</si>
  <si>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</si>
  <si>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</si>
  <si>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</si>
  <si>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</si>
  <si>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</si>
  <si>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</si>
  <si>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</si>
  <si>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</si>
  <si>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</si>
  <si>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</si>
  <si>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</si>
  <si>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</si>
  <si>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</si>
  <si>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</si>
  <si>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Years</t>
  </si>
  <si>
    <t>Income Statement</t>
  </si>
  <si>
    <t>#</t>
  </si>
  <si>
    <t>COGS</t>
  </si>
  <si>
    <t>Gross Profit</t>
  </si>
  <si>
    <t>Selling &amp; Other Exp.</t>
  </si>
  <si>
    <t>EBITDA</t>
  </si>
  <si>
    <t>EBT</t>
  </si>
  <si>
    <t>Effective Tax Rate</t>
  </si>
  <si>
    <t>Net Profit</t>
  </si>
  <si>
    <t>Earnings Per Share</t>
  </si>
  <si>
    <t>Dividend Per Share</t>
  </si>
  <si>
    <t>Dividend Payout Ratio</t>
  </si>
  <si>
    <t>Retained Earnings</t>
  </si>
  <si>
    <t>Balance Sheet</t>
  </si>
  <si>
    <t>Total Equity &amp; Liabilities</t>
  </si>
  <si>
    <t>Equity &amp; Liabilities</t>
  </si>
  <si>
    <t>Non Current Assets</t>
  </si>
  <si>
    <t>Total Non Current Assets</t>
  </si>
  <si>
    <t>Current Assets</t>
  </si>
  <si>
    <t>Total Current Assets</t>
  </si>
  <si>
    <t>Total Assets</t>
  </si>
  <si>
    <t>Check</t>
  </si>
  <si>
    <t>Cash Flow Statement</t>
  </si>
  <si>
    <t>EBITDA Margin</t>
  </si>
  <si>
    <t>EBIT Margin</t>
  </si>
  <si>
    <t>EBT Margin</t>
  </si>
  <si>
    <t>Net Profit Margin</t>
  </si>
  <si>
    <t>Return on Capital Employed</t>
  </si>
  <si>
    <t>Retained Earnings %</t>
  </si>
  <si>
    <t>Return on Equity %</t>
  </si>
  <si>
    <t>Self Sustained Growth Rate</t>
  </si>
  <si>
    <t>Interest Coverage Ratio</t>
  </si>
  <si>
    <t>Creditor Turnover Ratio</t>
  </si>
  <si>
    <t>Debtor Turnover Ratio</t>
  </si>
  <si>
    <t>Inventory Turnover Ratio</t>
  </si>
  <si>
    <t>Fixed Asset Turnover Ratio</t>
  </si>
  <si>
    <t>Capital Turnover Ratio</t>
  </si>
  <si>
    <t>Debtor Days</t>
  </si>
  <si>
    <t>Payable Days</t>
  </si>
  <si>
    <t>Inventory Days</t>
  </si>
  <si>
    <t>Cash Conversion Cycle</t>
  </si>
  <si>
    <t>CFO/Sales</t>
  </si>
  <si>
    <t>CFO/Total Assets</t>
  </si>
  <si>
    <t>CFO/Total Debt</t>
  </si>
  <si>
    <t>EBIT</t>
  </si>
  <si>
    <t>Income Statement % Sales</t>
  </si>
  <si>
    <t>Balance Sheet % Total Assets</t>
  </si>
  <si>
    <t>Balance Sheet % Total Liabilities</t>
  </si>
  <si>
    <t>Total Liabilities</t>
  </si>
  <si>
    <t>Income Statement YoY Growth</t>
  </si>
  <si>
    <t>Balance Sheet YoY Growth</t>
  </si>
  <si>
    <t>Total Equity</t>
  </si>
  <si>
    <t>Total Debt</t>
  </si>
  <si>
    <t>Gross Profit Margin</t>
  </si>
  <si>
    <t>Current Ratio</t>
  </si>
  <si>
    <t>Quick Ratio</t>
  </si>
  <si>
    <t>Cash Ratio</t>
  </si>
  <si>
    <t>Debt to Assets Ratio</t>
  </si>
  <si>
    <t>Debt to Equity Ratio</t>
  </si>
  <si>
    <t>Cash Flow Statement YoY Growth</t>
  </si>
  <si>
    <t>Trend</t>
  </si>
  <si>
    <t>Return on Equity (ROE)</t>
  </si>
  <si>
    <t>Average Shareholder's Equity</t>
  </si>
  <si>
    <t>Net Profit Margin (A)</t>
  </si>
  <si>
    <t>ROE - DuPont Equation</t>
  </si>
  <si>
    <t>Average Total Assets</t>
  </si>
  <si>
    <t>Asset Turnover Ratio (B)</t>
  </si>
  <si>
    <t>Equity Multiplier (C)</t>
  </si>
  <si>
    <t>Return on Equity (A*B*C)</t>
  </si>
  <si>
    <t>Return on Assets (ROA)</t>
  </si>
  <si>
    <t>ROA - DuPont Equation</t>
  </si>
  <si>
    <t>Return on Assets (A*B)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</si>
</sst>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0"/>
    <numFmt numFmtId="167" formatCode="&quot;₹&quot;\ #,##0.00;\(&quot;₹&quot;\ #,##0.00\);\-"/>
    <numFmt numFmtId="168" formatCode="0.00&quot;x&quot;"/>
    <numFmt numFmtId="169" formatCode="#,##0.00;\(#,##0.00\);\-"/>
    <numFmt numFmtId="170" formatCode="0.00&quot; days&quot;"/>
    <numFmt numFmtId="171" formatCode="#.00&quot; :1&quot;"/>
    <numFmt numFmtId="172" formatCode="0.00\x"/>
    <numFmt numFmtId="173" formatCode="mmm/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87">
    <xf numFmtId="0" fontId="0" fillId="0" borderId="0" xfId="0"/>
    <xf numFmtId="43" fontId="1" fillId="0" borderId="0" xfId="1" applyFont="1" applyBorder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Border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17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0" fontId="7" fillId="0" borderId="0" xfId="4" applyNumberFormat="1" applyFont="1" applyAlignment="1">
      <alignment horizontal="right"/>
    </xf>
    <xf numFmtId="10" fontId="7" fillId="0" borderId="0" xfId="4" applyNumberFormat="1" applyFont="1"/>
    <xf numFmtId="167" fontId="0" fillId="0" borderId="0" xfId="0" applyNumberFormat="1"/>
    <xf numFmtId="2" fontId="0" fillId="0" borderId="0" xfId="0" applyNumberFormat="1"/>
    <xf numFmtId="0" fontId="0" fillId="5" borderId="0" xfId="0" applyFill="1"/>
    <xf numFmtId="0" fontId="1" fillId="5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167" fontId="1" fillId="0" borderId="0" xfId="0" applyNumberFormat="1" applyFont="1"/>
    <xf numFmtId="167" fontId="0" fillId="0" borderId="0" xfId="0" applyNumberFormat="1" applyFont="1"/>
    <xf numFmtId="167" fontId="0" fillId="0" borderId="0" xfId="0" applyNumberFormat="1" applyAlignment="1">
      <alignment horizontal="right"/>
    </xf>
    <xf numFmtId="167" fontId="1" fillId="0" borderId="0" xfId="0" applyNumberFormat="1" applyFont="1" applyAlignment="1">
      <alignment horizontal="right"/>
    </xf>
    <xf numFmtId="167" fontId="0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0" fontId="0" fillId="0" borderId="0" xfId="0" applyBorder="1"/>
    <xf numFmtId="10" fontId="0" fillId="0" borderId="0" xfId="4" applyNumberFormat="1" applyFont="1" applyBorder="1"/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/>
    <xf numFmtId="1" fontId="0" fillId="0" borderId="0" xfId="0" applyNumberFormat="1" applyBorder="1"/>
    <xf numFmtId="10" fontId="0" fillId="0" borderId="0" xfId="4" applyNumberFormat="1" applyFont="1"/>
    <xf numFmtId="10" fontId="1" fillId="0" borderId="0" xfId="4" applyNumberFormat="1" applyFont="1"/>
    <xf numFmtId="0" fontId="8" fillId="0" borderId="0" xfId="0" applyFont="1"/>
    <xf numFmtId="10" fontId="1" fillId="0" borderId="0" xfId="4" applyNumberFormat="1" applyFont="1" applyAlignment="1">
      <alignment horizontal="right"/>
    </xf>
    <xf numFmtId="10" fontId="9" fillId="0" borderId="0" xfId="4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0" fillId="0" borderId="0" xfId="0" applyFont="1"/>
    <xf numFmtId="10" fontId="11" fillId="0" borderId="0" xfId="4" applyNumberFormat="1" applyFont="1" applyAlignment="1">
      <alignment horizontal="right"/>
    </xf>
    <xf numFmtId="0" fontId="12" fillId="6" borderId="1" xfId="0" applyFont="1" applyFill="1" applyBorder="1" applyAlignment="1">
      <alignment horizontal="left"/>
    </xf>
    <xf numFmtId="17" fontId="1" fillId="6" borderId="1" xfId="0" applyNumberFormat="1" applyFont="1" applyFill="1" applyBorder="1" applyAlignment="1">
      <alignment horizontal="right"/>
    </xf>
    <xf numFmtId="0" fontId="1" fillId="6" borderId="1" xfId="0" applyFont="1" applyFill="1" applyBorder="1"/>
    <xf numFmtId="0" fontId="0" fillId="6" borderId="1" xfId="0" applyFill="1" applyBorder="1"/>
    <xf numFmtId="0" fontId="12" fillId="5" borderId="0" xfId="0" applyFont="1" applyFill="1" applyBorder="1" applyAlignment="1">
      <alignment horizontal="left"/>
    </xf>
    <xf numFmtId="17" fontId="1" fillId="5" borderId="0" xfId="0" applyNumberFormat="1" applyFont="1" applyFill="1" applyBorder="1" applyAlignment="1">
      <alignment horizontal="right"/>
    </xf>
    <xf numFmtId="166" fontId="8" fillId="0" borderId="0" xfId="0" applyNumberFormat="1" applyFont="1"/>
    <xf numFmtId="0" fontId="0" fillId="0" borderId="0" xfId="0" applyFill="1" applyBorder="1"/>
    <xf numFmtId="43" fontId="7" fillId="0" borderId="0" xfId="0" applyNumberFormat="1" applyFont="1"/>
    <xf numFmtId="171" fontId="0" fillId="0" borderId="0" xfId="4" applyNumberFormat="1" applyFont="1" applyBorder="1"/>
    <xf numFmtId="17" fontId="2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6" borderId="2" xfId="0" applyFont="1" applyFill="1" applyBorder="1"/>
    <xf numFmtId="10" fontId="1" fillId="6" borderId="2" xfId="4" applyNumberFormat="1" applyFont="1" applyFill="1" applyBorder="1" applyAlignment="1">
      <alignment horizontal="right"/>
    </xf>
    <xf numFmtId="172" fontId="1" fillId="6" borderId="2" xfId="4" applyNumberFormat="1" applyFont="1" applyFill="1" applyBorder="1" applyAlignment="1">
      <alignment horizontal="right"/>
    </xf>
    <xf numFmtId="0" fontId="1" fillId="7" borderId="0" xfId="0" applyFont="1" applyFill="1" applyBorder="1"/>
    <xf numFmtId="10" fontId="1" fillId="7" borderId="0" xfId="4" applyNumberFormat="1" applyFont="1" applyFill="1" applyBorder="1" applyAlignment="1">
      <alignment horizontal="right"/>
    </xf>
    <xf numFmtId="173" fontId="1" fillId="5" borderId="0" xfId="0" applyNumberFormat="1" applyFont="1" applyFill="1" applyAlignment="1">
      <alignment horizontal="right"/>
    </xf>
    <xf numFmtId="0" fontId="14" fillId="0" borderId="0" xfId="0" applyFont="1"/>
    <xf numFmtId="0" fontId="1" fillId="6" borderId="0" xfId="0" applyFont="1" applyFill="1" applyBorder="1"/>
    <xf numFmtId="0" fontId="0" fillId="6" borderId="0" xfId="0" applyFill="1" applyBorder="1"/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/>
    <xf numFmtId="43" fontId="1" fillId="0" borderId="2" xfId="1" applyFont="1" applyBorder="1"/>
    <xf numFmtId="0" fontId="0" fillId="0" borderId="1" xfId="0" applyBorder="1"/>
    <xf numFmtId="10" fontId="0" fillId="0" borderId="1" xfId="4" applyNumberFormat="1" applyFont="1" applyBorder="1"/>
    <xf numFmtId="0" fontId="0" fillId="0" borderId="2" xfId="0" applyBorder="1"/>
    <xf numFmtId="10" fontId="0" fillId="0" borderId="2" xfId="4" applyNumberFormat="1" applyFont="1" applyBorder="1"/>
    <xf numFmtId="0" fontId="0" fillId="0" borderId="2" xfId="0" applyFill="1" applyBorder="1"/>
    <xf numFmtId="171" fontId="0" fillId="0" borderId="2" xfId="4" applyNumberFormat="1" applyFont="1" applyBorder="1"/>
    <xf numFmtId="0" fontId="0" fillId="0" borderId="1" xfId="0" applyFill="1" applyBorder="1"/>
    <xf numFmtId="171" fontId="0" fillId="0" borderId="1" xfId="4" applyNumberFormat="1" applyFont="1" applyBorder="1"/>
    <xf numFmtId="168" fontId="0" fillId="0" borderId="2" xfId="0" applyNumberFormat="1" applyBorder="1"/>
    <xf numFmtId="168" fontId="0" fillId="0" borderId="1" xfId="0" applyNumberFormat="1" applyBorder="1"/>
    <xf numFmtId="169" fontId="0" fillId="0" borderId="2" xfId="0" applyNumberFormat="1" applyBorder="1"/>
    <xf numFmtId="0" fontId="1" fillId="0" borderId="1" xfId="0" applyFont="1" applyBorder="1"/>
    <xf numFmtId="169" fontId="1" fillId="0" borderId="1" xfId="0" applyNumberFormat="1" applyFont="1" applyBorder="1"/>
    <xf numFmtId="0" fontId="2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43" fontId="7" fillId="0" borderId="0" xfId="0" applyNumberFormat="1" applyFont="1" applyAlignment="1">
      <alignment horizontal="left"/>
    </xf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Equity Multiplier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solidFill>
                <a:schemeClr val="tx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31DD-4D04-B70A-2496078B83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1DD-4D04-B70A-2496078B83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31DD-4D04-B70A-2496078B834A}"/>
              </c:ext>
            </c:extLst>
          </c:dPt>
          <c:dLbls>
            <c:delete val="1"/>
          </c:dLbls>
          <c:cat>
            <c:numRef>
              <c:f>'DuPont Analysis'!$H$27:$K$27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Analysis'!$H$44:$K$44</c:f>
              <c:numCache>
                <c:formatCode>0.00\x</c:formatCode>
                <c:ptCount val="4"/>
                <c:pt idx="0">
                  <c:v>1.3914295678896904</c:v>
                </c:pt>
                <c:pt idx="1">
                  <c:v>1.3952655508750376</c:v>
                </c:pt>
                <c:pt idx="2">
                  <c:v>1.5662170813552507</c:v>
                </c:pt>
                <c:pt idx="3">
                  <c:v>1.6559328102297775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E-49CB-8576-D85D8A629F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0.00\x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Sales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2060"/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65EC-46FC-92CE-4FE6FEF778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5EC-46FC-92CE-4FE6FEF778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65EC-46FC-92CE-4FE6FEF778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5EC-46FC-92CE-4FE6FEF778FC}"/>
              </c:ext>
            </c:extLst>
          </c:dPt>
          <c:dLbls>
            <c:delete val="1"/>
          </c:dLbls>
          <c:cat>
            <c:numRef>
              <c:f>'DuPont Analysis'!$H$27:$K$27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Analysis'!$H$35:$K$35</c:f>
              <c:numCache>
                <c:formatCode>"₹"\ #,##0.00;\("₹"\ #,##0.00\);\-</c:formatCode>
                <c:ptCount val="4"/>
                <c:pt idx="0">
                  <c:v>12425.37</c:v>
                </c:pt>
                <c:pt idx="1">
                  <c:v>13783.16</c:v>
                </c:pt>
                <c:pt idx="2">
                  <c:v>15205.85</c:v>
                </c:pt>
                <c:pt idx="3">
                  <c:v>17618.3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B-457B-B17A-5789D32620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&quot;₹&quot;\ #,##0.00;\(&quot;₹&quot;\ #,##0.00\);\-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ROE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6DD7-4C38-82A4-CE2B93DD06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DD7-4C38-82A4-CE2B93DD06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6DD7-4C38-82A4-CE2B93DD0665}"/>
              </c:ext>
            </c:extLst>
          </c:dPt>
          <c:dLbls>
            <c:delete val="1"/>
          </c:dLbls>
          <c:cat>
            <c:numRef>
              <c:f>'DuPont Analysis'!$H$27:$K$27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Analysis'!$H$30:$K$30</c:f>
              <c:numCache>
                <c:formatCode>0.00%</c:formatCode>
                <c:ptCount val="4"/>
                <c:pt idx="0">
                  <c:v>7.2714222893910996E-2</c:v>
                </c:pt>
                <c:pt idx="1">
                  <c:v>8.5714694934378013E-2</c:v>
                </c:pt>
                <c:pt idx="2">
                  <c:v>8.0473193437147275E-2</c:v>
                </c:pt>
                <c:pt idx="3">
                  <c:v>7.6560817374958595E-2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6-4E4B-A4F6-B83D6E8FC4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ROA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2060"/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9747-4241-A2B7-8D5819EAD6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747-4241-A2B7-8D5819EAD6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9747-4241-A2B7-8D5819EAD6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747-4241-A2B7-8D5819EAD6E4}"/>
              </c:ext>
            </c:extLst>
          </c:dPt>
          <c:dLbls>
            <c:delete val="1"/>
          </c:dLbls>
          <c:cat>
            <c:numRef>
              <c:f>'DuPont Analysis'!$H$51:$K$51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Analysis'!$H$54:$K$54</c:f>
              <c:numCache>
                <c:formatCode>0.00%</c:formatCode>
                <c:ptCount val="4"/>
                <c:pt idx="0">
                  <c:v>5.2258644326635177E-2</c:v>
                </c:pt>
                <c:pt idx="1">
                  <c:v>6.1432531521058653E-2</c:v>
                </c:pt>
                <c:pt idx="2">
                  <c:v>5.1380612812314409E-2</c:v>
                </c:pt>
                <c:pt idx="3">
                  <c:v>4.6234253528882614E-2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9-4EA0-9CF1-CB724B317C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Net Margin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2060"/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99C2-4311-BFD2-790DDA3177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9C2-4311-BFD2-790DDA3177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99C2-4311-BFD2-790DDA3177B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9C2-4311-BFD2-790DDA3177BB}"/>
              </c:ext>
            </c:extLst>
          </c:dPt>
          <c:dLbls>
            <c:delete val="1"/>
          </c:dLbls>
          <c:cat>
            <c:numRef>
              <c:f>'DuPont Analysis'!$H$33:$K$33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Analysis'!$H$36:$K$36</c:f>
              <c:numCache>
                <c:formatCode>0.00%</c:formatCode>
                <c:ptCount val="4"/>
                <c:pt idx="0">
                  <c:v>8.6834436318596747E-2</c:v>
                </c:pt>
                <c:pt idx="1">
                  <c:v>9.76931269752363E-2</c:v>
                </c:pt>
                <c:pt idx="2">
                  <c:v>8.5558518596461269E-2</c:v>
                </c:pt>
                <c:pt idx="3">
                  <c:v>7.8345243298161532E-2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5EA-BAC3-4BBAD9500E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Asset Turnover ratio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2060"/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AE4A-4872-A467-6006A4698A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E4A-4872-A467-6006A4698A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AE4A-4872-A467-6006A4698A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E4A-4872-A467-6006A4698AA5}"/>
              </c:ext>
            </c:extLst>
          </c:dPt>
          <c:dLbls>
            <c:delete val="1"/>
          </c:dLbls>
          <c:cat>
            <c:numRef>
              <c:f>'DuPont Analysis'!$H$33:$K$33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Analysis'!$H$40:$K$40</c:f>
              <c:numCache>
                <c:formatCode>0.00\x</c:formatCode>
                <c:ptCount val="4"/>
                <c:pt idx="0">
                  <c:v>0.60181935349816151</c:v>
                </c:pt>
                <c:pt idx="1">
                  <c:v>0.62883166322059536</c:v>
                </c:pt>
                <c:pt idx="2">
                  <c:v>0.600531819100939</c:v>
                </c:pt>
                <c:pt idx="3">
                  <c:v>0.59013478779977901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1-4F06-A1C4-5A11D22480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0.00\x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3</xdr:row>
      <xdr:rowOff>9525</xdr:rowOff>
    </xdr:from>
    <xdr:to>
      <xdr:col>10</xdr:col>
      <xdr:colOff>657225</xdr:colOff>
      <xdr:row>23</xdr:row>
      <xdr:rowOff>66675</xdr:rowOff>
    </xdr:to>
    <xdr:grpSp>
      <xdr:nvGrpSpPr>
        <xdr:cNvPr id="12" name="Group 11"/>
        <xdr:cNvGrpSpPr/>
      </xdr:nvGrpSpPr>
      <xdr:grpSpPr>
        <a:xfrm>
          <a:off x="266700" y="657225"/>
          <a:ext cx="9077325" cy="3867150"/>
          <a:chOff x="314325" y="723900"/>
          <a:chExt cx="9077325" cy="3867150"/>
        </a:xfrm>
      </xdr:grpSpPr>
      <xdr:graphicFrame macro="">
        <xdr:nvGraphicFramePr>
          <xdr:cNvPr id="6" name="Chart 5"/>
          <xdr:cNvGraphicFramePr/>
        </xdr:nvGraphicFramePr>
        <xdr:xfrm>
          <a:off x="3657600" y="742951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361950" y="723900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6962775" y="742950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314325" y="2819400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3638550" y="2790825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6972300" y="2743200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0"/>
  <sheetViews>
    <sheetView showGridLines="0" tabSelected="1" zoomScaleNormal="100" zoomScaleSheetLayoutView="100" workbookViewId="0">
      <pane ySplit="3" topLeftCell="A28" activePane="bottomLeft" state="frozen"/>
      <selection pane="bottomLeft" activeCell="M68" sqref="M68"/>
    </sheetView>
  </sheetViews>
  <sheetFormatPr defaultRowHeight="15" x14ac:dyDescent="0.25"/>
  <cols>
    <col min="1" max="1" width="1.85546875" customWidth="1"/>
    <col min="2" max="2" width="27.7109375" bestFit="1" customWidth="1"/>
    <col min="3" max="12" width="13.7109375" customWidth="1"/>
    <col min="13" max="13" width="9.7109375" bestFit="1" customWidth="1"/>
  </cols>
  <sheetData>
    <row r="2" spans="1:12" x14ac:dyDescent="0.25">
      <c r="B2" s="82" t="str">
        <f>"Financial Statements"&amp;" - "&amp;'Data Sheet'!B1</f>
        <v>Financial Statements - TATA CONSUMER PRODUCTS LTD</v>
      </c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x14ac:dyDescent="0.25">
      <c r="B3" s="9" t="s">
        <v>54</v>
      </c>
      <c r="C3" s="8">
        <f>'Data Sheet'!B16</f>
        <v>42460</v>
      </c>
      <c r="D3" s="8">
        <f>'Data Sheet'!C16</f>
        <v>42825</v>
      </c>
      <c r="E3" s="8">
        <f>'Data Sheet'!D16</f>
        <v>43190</v>
      </c>
      <c r="F3" s="8">
        <f>'Data Sheet'!E16</f>
        <v>43555</v>
      </c>
      <c r="G3" s="8">
        <f>'Data Sheet'!F16</f>
        <v>43921</v>
      </c>
      <c r="H3" s="8">
        <f>'Data Sheet'!G16</f>
        <v>44286</v>
      </c>
      <c r="I3" s="8">
        <f>'Data Sheet'!H16</f>
        <v>44651</v>
      </c>
      <c r="J3" s="8">
        <f>'Data Sheet'!I16</f>
        <v>45016</v>
      </c>
      <c r="K3" s="8">
        <f>'Data Sheet'!J16</f>
        <v>45382</v>
      </c>
      <c r="L3" s="8">
        <f>'Data Sheet'!K16</f>
        <v>45747</v>
      </c>
    </row>
    <row r="4" spans="1:12" s="30" customFormat="1" x14ac:dyDescent="0.25">
      <c r="A4" s="30" t="s">
        <v>56</v>
      </c>
      <c r="B4" s="64" t="s">
        <v>55</v>
      </c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 x14ac:dyDescent="0.25">
      <c r="B5" t="s">
        <v>1</v>
      </c>
      <c r="C5" s="25">
        <f>IFERROR('Data Sheet'!B17,0)</f>
        <v>6636.54</v>
      </c>
      <c r="D5" s="25">
        <f>IFERROR('Data Sheet'!C17,0)</f>
        <v>6779.55</v>
      </c>
      <c r="E5" s="25">
        <f>IFERROR('Data Sheet'!D17,0)</f>
        <v>6815.35</v>
      </c>
      <c r="F5" s="25">
        <f>IFERROR('Data Sheet'!E17,0)</f>
        <v>7251.5</v>
      </c>
      <c r="G5" s="25">
        <f>IFERROR('Data Sheet'!F17,0)</f>
        <v>9637.42</v>
      </c>
      <c r="H5" s="25">
        <f>IFERROR('Data Sheet'!G17,0)</f>
        <v>11602.03</v>
      </c>
      <c r="I5" s="25">
        <f>IFERROR('Data Sheet'!H17,0)</f>
        <v>12425.37</v>
      </c>
      <c r="J5" s="25">
        <f>IFERROR('Data Sheet'!I17,0)</f>
        <v>13783.16</v>
      </c>
      <c r="K5" s="25">
        <f>IFERROR('Data Sheet'!J17,0)</f>
        <v>15205.85</v>
      </c>
      <c r="L5" s="25">
        <f>IFERROR('Data Sheet'!K17,0)</f>
        <v>17618.3</v>
      </c>
    </row>
    <row r="6" spans="1:12" x14ac:dyDescent="0.25">
      <c r="B6" s="11" t="str">
        <f>B5&amp;" Growth"</f>
        <v>Sales Growth</v>
      </c>
      <c r="C6" s="12" t="str">
        <f>IFERROR((C5/B5)-1,"-")</f>
        <v>-</v>
      </c>
      <c r="D6" s="13">
        <f t="shared" ref="D6:L6" si="0">IFERROR((D5/C5)-1,"-")</f>
        <v>2.1548879385945074E-2</v>
      </c>
      <c r="E6" s="13">
        <f t="shared" si="0"/>
        <v>5.2805864696034988E-3</v>
      </c>
      <c r="F6" s="13">
        <f t="shared" si="0"/>
        <v>6.3995246025515984E-2</v>
      </c>
      <c r="G6" s="13">
        <f t="shared" si="0"/>
        <v>0.32902433979176715</v>
      </c>
      <c r="H6" s="13">
        <f t="shared" si="0"/>
        <v>0.20385227581655685</v>
      </c>
      <c r="I6" s="13">
        <f t="shared" si="0"/>
        <v>7.0965167302618593E-2</v>
      </c>
      <c r="J6" s="13">
        <f t="shared" si="0"/>
        <v>0.10927561915661266</v>
      </c>
      <c r="K6" s="13">
        <f t="shared" si="0"/>
        <v>0.10321943589133409</v>
      </c>
      <c r="L6" s="13">
        <f t="shared" si="0"/>
        <v>0.1586527553540249</v>
      </c>
    </row>
    <row r="7" spans="1:12" x14ac:dyDescent="0.25">
      <c r="B7" s="11"/>
      <c r="C7" s="12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B8" t="s">
        <v>57</v>
      </c>
      <c r="C8" s="25">
        <f>IFERROR(SUM('Data Sheet'!B18,'Data Sheet'!B20:B22)-1*('Data Sheet'!B19),0)</f>
        <v>4698.24</v>
      </c>
      <c r="D8" s="25">
        <f>IFERROR(SUM('Data Sheet'!C18,'Data Sheet'!C20:C22)-1*('Data Sheet'!C19),0)</f>
        <v>4680.7100000000009</v>
      </c>
      <c r="E8" s="25">
        <f>IFERROR(SUM('Data Sheet'!D18,'Data Sheet'!D20:D22)-1*('Data Sheet'!D19),0)</f>
        <v>4802.4400000000005</v>
      </c>
      <c r="F8" s="25">
        <f>IFERROR(SUM('Data Sheet'!E18,'Data Sheet'!E20:E22)-1*('Data Sheet'!E19),0)</f>
        <v>5112.8100000000004</v>
      </c>
      <c r="G8" s="25">
        <f>IFERROR(SUM('Data Sheet'!F18,'Data Sheet'!F20:F22)-1*('Data Sheet'!F19),0)</f>
        <v>6637.79</v>
      </c>
      <c r="H8" s="25">
        <f>IFERROR(SUM('Data Sheet'!G18,'Data Sheet'!G20:G22)-1*('Data Sheet'!G19),0)</f>
        <v>8227.5899999999983</v>
      </c>
      <c r="I8" s="25">
        <f>IFERROR(SUM('Data Sheet'!H18,'Data Sheet'!H20:H22)-1*('Data Sheet'!H19),0)</f>
        <v>8594.9299999999985</v>
      </c>
      <c r="J8" s="25">
        <f>IFERROR(SUM('Data Sheet'!I18,'Data Sheet'!I20:I22)-1*('Data Sheet'!I19),0)</f>
        <v>9681.1700000000019</v>
      </c>
      <c r="K8" s="25">
        <f>IFERROR(SUM('Data Sheet'!J18,'Data Sheet'!J20:J22)-1*('Data Sheet'!J19),0)</f>
        <v>10354.23</v>
      </c>
      <c r="L8" s="25">
        <f>IFERROR(SUM('Data Sheet'!K18,'Data Sheet'!K20:K22)-1*('Data Sheet'!K19),0)</f>
        <v>12092.75</v>
      </c>
    </row>
    <row r="9" spans="1:12" x14ac:dyDescent="0.25">
      <c r="B9" s="11" t="str">
        <f>B8&amp;" % Sales"</f>
        <v>COGS % Sales</v>
      </c>
      <c r="C9" s="13">
        <f>IFERROR(C8/C5,0)</f>
        <v>0.70793515898344617</v>
      </c>
      <c r="D9" s="13">
        <f t="shared" ref="D9:L9" si="1">IFERROR(D8/D5,0)</f>
        <v>0.69041603056250056</v>
      </c>
      <c r="E9" s="13">
        <f t="shared" si="1"/>
        <v>0.70465053152075829</v>
      </c>
      <c r="F9" s="13">
        <f t="shared" si="1"/>
        <v>0.70506929600772261</v>
      </c>
      <c r="G9" s="13">
        <f t="shared" si="1"/>
        <v>0.68875176136351846</v>
      </c>
      <c r="H9" s="13">
        <f t="shared" si="1"/>
        <v>0.70915089859274605</v>
      </c>
      <c r="I9" s="13">
        <f t="shared" si="1"/>
        <v>0.69172427058510111</v>
      </c>
      <c r="J9" s="13">
        <f t="shared" si="1"/>
        <v>0.7023911788007976</v>
      </c>
      <c r="K9" s="13">
        <f t="shared" si="1"/>
        <v>0.68093727085299405</v>
      </c>
      <c r="L9" s="13">
        <f t="shared" si="1"/>
        <v>0.68637439480540119</v>
      </c>
    </row>
    <row r="10" spans="1:12" x14ac:dyDescent="0.25">
      <c r="B10" s="11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B11" s="21" t="s">
        <v>58</v>
      </c>
      <c r="C11" s="26">
        <f t="shared" ref="C11:L11" si="2">IFERROR(C5-C8,0)</f>
        <v>1938.3000000000002</v>
      </c>
      <c r="D11" s="26">
        <f t="shared" si="2"/>
        <v>2098.8399999999992</v>
      </c>
      <c r="E11" s="26">
        <f t="shared" si="2"/>
        <v>2012.9099999999999</v>
      </c>
      <c r="F11" s="26">
        <f t="shared" si="2"/>
        <v>2138.6899999999996</v>
      </c>
      <c r="G11" s="26">
        <f t="shared" si="2"/>
        <v>2999.63</v>
      </c>
      <c r="H11" s="26">
        <f t="shared" si="2"/>
        <v>3374.4400000000023</v>
      </c>
      <c r="I11" s="26">
        <f t="shared" si="2"/>
        <v>3830.4400000000023</v>
      </c>
      <c r="J11" s="26">
        <f t="shared" si="2"/>
        <v>4101.989999999998</v>
      </c>
      <c r="K11" s="26">
        <f t="shared" si="2"/>
        <v>4851.6200000000008</v>
      </c>
      <c r="L11" s="26">
        <f t="shared" si="2"/>
        <v>5525.5499999999993</v>
      </c>
    </row>
    <row r="12" spans="1:12" x14ac:dyDescent="0.25">
      <c r="B12" s="11" t="str">
        <f>B11&amp;" % Sales"</f>
        <v>Gross Profit % Sales</v>
      </c>
      <c r="C12" s="13">
        <f t="shared" ref="C12:L12" si="3">IFERROR(C11/C5,0)</f>
        <v>0.29206484101655383</v>
      </c>
      <c r="D12" s="13">
        <f t="shared" si="3"/>
        <v>0.30958396943749944</v>
      </c>
      <c r="E12" s="13">
        <f t="shared" si="3"/>
        <v>0.29534946847924165</v>
      </c>
      <c r="F12" s="13">
        <f t="shared" si="3"/>
        <v>0.29493070399227739</v>
      </c>
      <c r="G12" s="13">
        <f t="shared" si="3"/>
        <v>0.31124823863648154</v>
      </c>
      <c r="H12" s="13">
        <f t="shared" si="3"/>
        <v>0.2908491014072539</v>
      </c>
      <c r="I12" s="13">
        <f t="shared" si="3"/>
        <v>0.30827572941489889</v>
      </c>
      <c r="J12" s="13">
        <f t="shared" si="3"/>
        <v>0.29760882119920234</v>
      </c>
      <c r="K12" s="13">
        <f t="shared" si="3"/>
        <v>0.31906272914700595</v>
      </c>
      <c r="L12" s="13">
        <f t="shared" si="3"/>
        <v>0.31362560519459876</v>
      </c>
    </row>
    <row r="13" spans="1:12" x14ac:dyDescent="0.25">
      <c r="B13" s="11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B14" t="s">
        <v>59</v>
      </c>
      <c r="C14" s="25">
        <f>IFERROR(SUM('Data Sheet'!B23:B24),0)</f>
        <v>1572.3899999999999</v>
      </c>
      <c r="D14" s="25">
        <f>IFERROR(SUM('Data Sheet'!C23:C24),0)</f>
        <v>1307.71</v>
      </c>
      <c r="E14" s="25">
        <f>IFERROR(SUM('Data Sheet'!D23:D24),0)</f>
        <v>1174</v>
      </c>
      <c r="F14" s="25">
        <f>IFERROR(SUM('Data Sheet'!E23:E24),0)</f>
        <v>1352.78</v>
      </c>
      <c r="G14" s="25">
        <f>IFERROR(SUM('Data Sheet'!F23:F24),0)</f>
        <v>1707.48</v>
      </c>
      <c r="H14" s="25">
        <f>IFERROR(SUM('Data Sheet'!G23:G24),0)</f>
        <v>1830.68</v>
      </c>
      <c r="I14" s="25">
        <f>IFERROR(SUM('Data Sheet'!H23:H24),0)</f>
        <v>2111.66</v>
      </c>
      <c r="J14" s="25">
        <f>IFERROR(SUM('Data Sheet'!I23:I24),0)</f>
        <v>2245.52</v>
      </c>
      <c r="K14" s="25">
        <f>IFERROR(SUM('Data Sheet'!J23:J24),0)</f>
        <v>2567.52</v>
      </c>
      <c r="L14" s="25">
        <f>IFERROR(SUM('Data Sheet'!K23:K24),0)</f>
        <v>3046.2</v>
      </c>
    </row>
    <row r="15" spans="1:12" x14ac:dyDescent="0.25">
      <c r="B15" s="11" t="str">
        <f>B14&amp;" % Sales"</f>
        <v>Selling &amp; Other Exp. % Sales</v>
      </c>
      <c r="C15" s="13">
        <f t="shared" ref="C15:L15" si="4">IFERROR(C14/C5,0)</f>
        <v>0.23692918297787702</v>
      </c>
      <c r="D15" s="13">
        <f t="shared" si="4"/>
        <v>0.19289038358003113</v>
      </c>
      <c r="E15" s="13">
        <f t="shared" si="4"/>
        <v>0.17225821124373655</v>
      </c>
      <c r="F15" s="13">
        <f t="shared" si="4"/>
        <v>0.18655174791422463</v>
      </c>
      <c r="G15" s="13">
        <f t="shared" si="4"/>
        <v>0.1771718987031799</v>
      </c>
      <c r="H15" s="13">
        <f t="shared" si="4"/>
        <v>0.15778962819437634</v>
      </c>
      <c r="I15" s="13">
        <f t="shared" si="4"/>
        <v>0.1699474542810395</v>
      </c>
      <c r="J15" s="13">
        <f t="shared" si="4"/>
        <v>0.16291764733196162</v>
      </c>
      <c r="K15" s="13">
        <f t="shared" si="4"/>
        <v>0.16885080413130471</v>
      </c>
      <c r="L15" s="13">
        <f t="shared" si="4"/>
        <v>0.17289976899019768</v>
      </c>
    </row>
    <row r="16" spans="1:12" x14ac:dyDescent="0.25">
      <c r="B16" s="11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x14ac:dyDescent="0.25">
      <c r="B17" s="22" t="s">
        <v>60</v>
      </c>
      <c r="C17" s="27">
        <f>IFERROR(C11-C14,0)</f>
        <v>365.91000000000031</v>
      </c>
      <c r="D17" s="27">
        <f t="shared" ref="D17:L17" si="5">IFERROR(D11-D14,0)</f>
        <v>791.1299999999992</v>
      </c>
      <c r="E17" s="27">
        <f t="shared" si="5"/>
        <v>838.90999999999985</v>
      </c>
      <c r="F17" s="27">
        <f t="shared" si="5"/>
        <v>785.90999999999963</v>
      </c>
      <c r="G17" s="27">
        <f t="shared" si="5"/>
        <v>1292.1500000000001</v>
      </c>
      <c r="H17" s="27">
        <f t="shared" si="5"/>
        <v>1543.7600000000023</v>
      </c>
      <c r="I17" s="27">
        <f t="shared" si="5"/>
        <v>1718.7800000000025</v>
      </c>
      <c r="J17" s="27">
        <f t="shared" si="5"/>
        <v>1856.469999999998</v>
      </c>
      <c r="K17" s="27">
        <f t="shared" si="5"/>
        <v>2284.1000000000008</v>
      </c>
      <c r="L17" s="27">
        <f t="shared" si="5"/>
        <v>2479.3499999999995</v>
      </c>
    </row>
    <row r="18" spans="2:12" x14ac:dyDescent="0.25">
      <c r="B18" s="11" t="str">
        <f>B17&amp;" % Sales"</f>
        <v>EBITDA % Sales</v>
      </c>
      <c r="C18" s="13">
        <f t="shared" ref="C18:L18" si="6">IFERROR(C17/C5,0)</f>
        <v>5.513565803867683E-2</v>
      </c>
      <c r="D18" s="13">
        <f t="shared" si="6"/>
        <v>0.11669358585746829</v>
      </c>
      <c r="E18" s="13">
        <f t="shared" si="6"/>
        <v>0.12309125723550512</v>
      </c>
      <c r="F18" s="13">
        <f t="shared" si="6"/>
        <v>0.10837895607805277</v>
      </c>
      <c r="G18" s="13">
        <f t="shared" si="6"/>
        <v>0.13407633993330165</v>
      </c>
      <c r="H18" s="13">
        <f t="shared" si="6"/>
        <v>0.13305947321287759</v>
      </c>
      <c r="I18" s="13">
        <f t="shared" si="6"/>
        <v>0.1383282751338594</v>
      </c>
      <c r="J18" s="13">
        <f t="shared" si="6"/>
        <v>0.13469117386724075</v>
      </c>
      <c r="K18" s="13">
        <f t="shared" si="6"/>
        <v>0.15021192501570124</v>
      </c>
      <c r="L18" s="13">
        <f t="shared" si="6"/>
        <v>0.14072583620440107</v>
      </c>
    </row>
    <row r="19" spans="2:12" x14ac:dyDescent="0.25">
      <c r="B19" s="11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x14ac:dyDescent="0.25">
      <c r="B20" t="s">
        <v>5</v>
      </c>
      <c r="C20" s="25">
        <f>IFERROR('Data Sheet'!B26,0)</f>
        <v>116.79</v>
      </c>
      <c r="D20" s="25">
        <f>IFERROR('Data Sheet'!C26,0)</f>
        <v>126.04</v>
      </c>
      <c r="E20" s="25">
        <f>IFERROR('Data Sheet'!D26,0)</f>
        <v>116.04</v>
      </c>
      <c r="F20" s="25">
        <f>IFERROR('Data Sheet'!E26,0)</f>
        <v>122.57</v>
      </c>
      <c r="G20" s="25">
        <f>IFERROR('Data Sheet'!F26,0)</f>
        <v>241.71</v>
      </c>
      <c r="H20" s="25">
        <f>IFERROR('Data Sheet'!G26,0)</f>
        <v>254.74</v>
      </c>
      <c r="I20" s="25">
        <f>IFERROR('Data Sheet'!H26,0)</f>
        <v>278.01</v>
      </c>
      <c r="J20" s="25">
        <f>IFERROR('Data Sheet'!I26,0)</f>
        <v>304.08</v>
      </c>
      <c r="K20" s="25">
        <f>IFERROR('Data Sheet'!J26,0)</f>
        <v>377.15</v>
      </c>
      <c r="L20" s="25">
        <f>IFERROR('Data Sheet'!K26,0)</f>
        <v>600.74</v>
      </c>
    </row>
    <row r="21" spans="2:12" x14ac:dyDescent="0.25">
      <c r="B21" s="11" t="str">
        <f>B20&amp;" % Sales"</f>
        <v>Depreciation % Sales</v>
      </c>
      <c r="C21" s="13">
        <f t="shared" ref="C21:L21" si="7">IFERROR(C20/C5,0)</f>
        <v>1.7598025477131157E-2</v>
      </c>
      <c r="D21" s="13">
        <f t="shared" si="7"/>
        <v>1.8591204430972556E-2</v>
      </c>
      <c r="E21" s="13">
        <f t="shared" si="7"/>
        <v>1.7026271578128784E-2</v>
      </c>
      <c r="F21" s="13">
        <f t="shared" si="7"/>
        <v>1.6902709784182582E-2</v>
      </c>
      <c r="G21" s="13">
        <f t="shared" si="7"/>
        <v>2.5080363831813911E-2</v>
      </c>
      <c r="H21" s="13">
        <f t="shared" si="7"/>
        <v>2.1956502439659267E-2</v>
      </c>
      <c r="I21" s="13">
        <f t="shared" si="7"/>
        <v>2.237438402236714E-2</v>
      </c>
      <c r="J21" s="13">
        <f t="shared" si="7"/>
        <v>2.2061704282617337E-2</v>
      </c>
      <c r="K21" s="13">
        <f t="shared" si="7"/>
        <v>2.4802954126208004E-2</v>
      </c>
      <c r="L21" s="13">
        <f t="shared" si="7"/>
        <v>3.4097500893956856E-2</v>
      </c>
    </row>
    <row r="22" spans="2:12" x14ac:dyDescent="0.25">
      <c r="B22" s="11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x14ac:dyDescent="0.25">
      <c r="B23" s="22" t="s">
        <v>99</v>
      </c>
      <c r="C23" s="27">
        <f>IFERROR(C17-C20,0)</f>
        <v>249.12000000000029</v>
      </c>
      <c r="D23" s="27">
        <f t="shared" ref="D23:L23" si="8">IFERROR(D17-D20,0)</f>
        <v>665.08999999999924</v>
      </c>
      <c r="E23" s="27">
        <f t="shared" si="8"/>
        <v>722.86999999999989</v>
      </c>
      <c r="F23" s="27">
        <f t="shared" si="8"/>
        <v>663.33999999999969</v>
      </c>
      <c r="G23" s="27">
        <f t="shared" si="8"/>
        <v>1050.44</v>
      </c>
      <c r="H23" s="27">
        <f t="shared" si="8"/>
        <v>1289.0200000000023</v>
      </c>
      <c r="I23" s="27">
        <f t="shared" si="8"/>
        <v>1440.7700000000025</v>
      </c>
      <c r="J23" s="27">
        <f t="shared" si="8"/>
        <v>1552.3899999999981</v>
      </c>
      <c r="K23" s="27">
        <f t="shared" si="8"/>
        <v>1906.9500000000007</v>
      </c>
      <c r="L23" s="27">
        <f t="shared" si="8"/>
        <v>1878.6099999999994</v>
      </c>
    </row>
    <row r="24" spans="2:12" x14ac:dyDescent="0.25">
      <c r="B24" s="11" t="str">
        <f>B23&amp;" % Sales"</f>
        <v>EBIT % Sales</v>
      </c>
      <c r="C24" s="13">
        <f t="shared" ref="C24:L24" si="9">IFERROR(C23/C5,0)</f>
        <v>3.7537632561545665E-2</v>
      </c>
      <c r="D24" s="13">
        <f t="shared" si="9"/>
        <v>9.8102381426495744E-2</v>
      </c>
      <c r="E24" s="13">
        <f t="shared" si="9"/>
        <v>0.10606498565737635</v>
      </c>
      <c r="F24" s="13">
        <f t="shared" si="9"/>
        <v>9.1476246293870189E-2</v>
      </c>
      <c r="G24" s="13">
        <f t="shared" si="9"/>
        <v>0.10899597610148774</v>
      </c>
      <c r="H24" s="13">
        <f t="shared" si="9"/>
        <v>0.11110297077321832</v>
      </c>
      <c r="I24" s="13">
        <f t="shared" si="9"/>
        <v>0.11595389111149225</v>
      </c>
      <c r="J24" s="13">
        <f t="shared" si="9"/>
        <v>0.11262946958462342</v>
      </c>
      <c r="K24" s="13">
        <f t="shared" si="9"/>
        <v>0.12540897088949324</v>
      </c>
      <c r="L24" s="13">
        <f t="shared" si="9"/>
        <v>0.10662833531044423</v>
      </c>
    </row>
    <row r="25" spans="2:12" x14ac:dyDescent="0.25">
      <c r="B25" s="11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2:12" x14ac:dyDescent="0.25">
      <c r="B26" t="s">
        <v>6</v>
      </c>
      <c r="C26" s="25">
        <f>IFERROR('Data Sheet'!B27,0)</f>
        <v>116.9</v>
      </c>
      <c r="D26" s="25">
        <f>IFERROR('Data Sheet'!C27,0)</f>
        <v>91.53</v>
      </c>
      <c r="E26" s="25">
        <f>IFERROR('Data Sheet'!D27,0)</f>
        <v>42.76</v>
      </c>
      <c r="F26" s="25">
        <f>IFERROR('Data Sheet'!E27,0)</f>
        <v>52.47</v>
      </c>
      <c r="G26" s="25">
        <f>IFERROR('Data Sheet'!F27,0)</f>
        <v>77.86</v>
      </c>
      <c r="H26" s="25">
        <f>IFERROR('Data Sheet'!G27,0)</f>
        <v>68.69</v>
      </c>
      <c r="I26" s="25">
        <f>IFERROR('Data Sheet'!H27,0)</f>
        <v>72.78</v>
      </c>
      <c r="J26" s="25">
        <f>IFERROR('Data Sheet'!I27,0)</f>
        <v>87.16</v>
      </c>
      <c r="K26" s="25">
        <f>IFERROR('Data Sheet'!J27,0)</f>
        <v>129.81</v>
      </c>
      <c r="L26" s="25">
        <f>IFERROR('Data Sheet'!K27,0)</f>
        <v>290.2</v>
      </c>
    </row>
    <row r="27" spans="2:12" x14ac:dyDescent="0.25">
      <c r="B27" s="11" t="str">
        <f>B26&amp;" % Sales"</f>
        <v>Interest % Sales</v>
      </c>
      <c r="C27" s="13">
        <f t="shared" ref="C27:L27" si="10">IFERROR(C26/C5,0)</f>
        <v>1.7614600379113214E-2</v>
      </c>
      <c r="D27" s="13">
        <f t="shared" si="10"/>
        <v>1.3500896077173264E-2</v>
      </c>
      <c r="E27" s="13">
        <f t="shared" si="10"/>
        <v>6.274072498110881E-3</v>
      </c>
      <c r="F27" s="13">
        <f t="shared" si="10"/>
        <v>7.235744328759567E-3</v>
      </c>
      <c r="G27" s="13">
        <f t="shared" si="10"/>
        <v>8.0789256875802851E-3</v>
      </c>
      <c r="H27" s="13">
        <f t="shared" si="10"/>
        <v>5.9205156339019981E-3</v>
      </c>
      <c r="I27" s="13">
        <f t="shared" si="10"/>
        <v>5.8573708469043572E-3</v>
      </c>
      <c r="J27" s="13">
        <f t="shared" si="10"/>
        <v>6.3236587255752668E-3</v>
      </c>
      <c r="K27" s="13">
        <f t="shared" si="10"/>
        <v>8.536846016500229E-3</v>
      </c>
      <c r="L27" s="13">
        <f t="shared" si="10"/>
        <v>1.6471509737034786E-2</v>
      </c>
    </row>
    <row r="28" spans="2:12" x14ac:dyDescent="0.25">
      <c r="B28" s="11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25">
      <c r="B29" s="22" t="s">
        <v>4</v>
      </c>
      <c r="C29" s="27">
        <f>IFERROR('Data Sheet'!B25,0)</f>
        <v>37.54</v>
      </c>
      <c r="D29" s="27">
        <f>IFERROR('Data Sheet'!C25,0)</f>
        <v>88.4</v>
      </c>
      <c r="E29" s="27">
        <f>IFERROR('Data Sheet'!D25,0)</f>
        <v>73.02</v>
      </c>
      <c r="F29" s="27">
        <f>IFERROR('Data Sheet'!E25,0)</f>
        <v>123.84</v>
      </c>
      <c r="G29" s="27">
        <f>IFERROR('Data Sheet'!F25,0)</f>
        <v>-163.19999999999999</v>
      </c>
      <c r="H29" s="27">
        <f>IFERROR('Data Sheet'!G25,0)</f>
        <v>90.73</v>
      </c>
      <c r="I29" s="27">
        <f>IFERROR('Data Sheet'!H25,0)</f>
        <v>88</v>
      </c>
      <c r="J29" s="27">
        <f>IFERROR('Data Sheet'!I25,0)</f>
        <v>328.33</v>
      </c>
      <c r="K29" s="27">
        <f>IFERROR('Data Sheet'!J25,0)</f>
        <v>-81.42</v>
      </c>
      <c r="L29" s="27">
        <f>IFERROR('Data Sheet'!K25,0)</f>
        <v>188.14</v>
      </c>
    </row>
    <row r="30" spans="2:12" x14ac:dyDescent="0.25">
      <c r="B30" s="11" t="str">
        <f>B29&amp;" % Sales"</f>
        <v>Other Income % Sales</v>
      </c>
      <c r="C30" s="13">
        <f>IFERROR(C29/C5,0)</f>
        <v>5.656562003694696E-3</v>
      </c>
      <c r="D30" s="13">
        <f t="shared" ref="D30:L30" si="11">IFERROR(D29/D5,0)</f>
        <v>1.3039213517121343E-2</v>
      </c>
      <c r="E30" s="13">
        <f t="shared" si="11"/>
        <v>1.0714049902059321E-2</v>
      </c>
      <c r="F30" s="13">
        <f t="shared" si="11"/>
        <v>1.7077845962904226E-2</v>
      </c>
      <c r="G30" s="13">
        <f t="shared" si="11"/>
        <v>-1.6933992707591865E-2</v>
      </c>
      <c r="H30" s="13">
        <f t="shared" si="11"/>
        <v>7.8201831920793174E-3</v>
      </c>
      <c r="I30" s="13">
        <f t="shared" si="11"/>
        <v>7.0822840688043896E-3</v>
      </c>
      <c r="J30" s="13">
        <f t="shared" si="11"/>
        <v>2.3821097629280946E-2</v>
      </c>
      <c r="K30" s="13">
        <f t="shared" si="11"/>
        <v>-5.3545181624177537E-3</v>
      </c>
      <c r="L30" s="13">
        <f t="shared" si="11"/>
        <v>1.0678669338131374E-2</v>
      </c>
    </row>
    <row r="31" spans="2:12" x14ac:dyDescent="0.25">
      <c r="B31" s="22"/>
      <c r="C31" s="27"/>
      <c r="D31" s="27"/>
      <c r="E31" s="27"/>
      <c r="F31" s="27"/>
      <c r="G31" s="27"/>
      <c r="H31" s="27"/>
      <c r="I31" s="27"/>
      <c r="J31" s="27"/>
      <c r="K31" s="27"/>
      <c r="L31" s="27"/>
    </row>
    <row r="32" spans="2:12" x14ac:dyDescent="0.25">
      <c r="B32" s="22" t="s">
        <v>61</v>
      </c>
      <c r="C32" s="25">
        <f>IFERROR(C23-C26+C29,0)</f>
        <v>169.76000000000028</v>
      </c>
      <c r="D32" s="25">
        <f t="shared" ref="D32:K32" si="12">IFERROR(D23-D26+D29,0)</f>
        <v>661.95999999999924</v>
      </c>
      <c r="E32" s="25">
        <f t="shared" si="12"/>
        <v>753.12999999999988</v>
      </c>
      <c r="F32" s="25">
        <f t="shared" si="12"/>
        <v>734.7099999999997</v>
      </c>
      <c r="G32" s="25">
        <f t="shared" si="12"/>
        <v>809.38000000000011</v>
      </c>
      <c r="H32" s="25">
        <f t="shared" si="12"/>
        <v>1311.0600000000022</v>
      </c>
      <c r="I32" s="25">
        <f t="shared" si="12"/>
        <v>1455.9900000000025</v>
      </c>
      <c r="J32" s="25">
        <f t="shared" si="12"/>
        <v>1793.5599999999979</v>
      </c>
      <c r="K32" s="25">
        <f t="shared" si="12"/>
        <v>1695.7200000000007</v>
      </c>
      <c r="L32" s="25">
        <f>IFERROR(L23-L26+L29,0)</f>
        <v>1776.5499999999993</v>
      </c>
    </row>
    <row r="33" spans="2:12" x14ac:dyDescent="0.25">
      <c r="B33" s="11" t="str">
        <f>B32&amp;" % Sales"</f>
        <v>EBT % Sales</v>
      </c>
      <c r="C33" s="13">
        <f t="shared" ref="C33:L33" si="13">IFERROR(C32/C5,0)</f>
        <v>2.5579594186127149E-2</v>
      </c>
      <c r="D33" s="13">
        <f t="shared" si="13"/>
        <v>9.7640698866443817E-2</v>
      </c>
      <c r="E33" s="13">
        <f t="shared" si="13"/>
        <v>0.11050496306132478</v>
      </c>
      <c r="F33" s="13">
        <f t="shared" si="13"/>
        <v>0.10131834792801485</v>
      </c>
      <c r="G33" s="13">
        <f t="shared" si="13"/>
        <v>8.3983057706315603E-2</v>
      </c>
      <c r="H33" s="13">
        <f t="shared" si="13"/>
        <v>0.11300263833139564</v>
      </c>
      <c r="I33" s="13">
        <f t="shared" si="13"/>
        <v>0.11717880433339228</v>
      </c>
      <c r="J33" s="13">
        <f t="shared" si="13"/>
        <v>0.13012690848832908</v>
      </c>
      <c r="K33" s="13">
        <f t="shared" si="13"/>
        <v>0.11151760671057526</v>
      </c>
      <c r="L33" s="13">
        <f t="shared" si="13"/>
        <v>0.1008354949115408</v>
      </c>
    </row>
    <row r="34" spans="2:12" x14ac:dyDescent="0.25">
      <c r="B34" s="11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2:12" x14ac:dyDescent="0.25">
      <c r="B35" t="s">
        <v>8</v>
      </c>
      <c r="C35" s="25">
        <f>IFERROR('Data Sheet'!B29,0)</f>
        <v>200.01</v>
      </c>
      <c r="D35" s="25">
        <f>IFERROR('Data Sheet'!C29,0)</f>
        <v>198.31</v>
      </c>
      <c r="E35" s="25">
        <f>IFERROR('Data Sheet'!D29,0)</f>
        <v>185.87</v>
      </c>
      <c r="F35" s="25">
        <f>IFERROR('Data Sheet'!E29,0)</f>
        <v>260.88</v>
      </c>
      <c r="G35" s="25">
        <f>IFERROR('Data Sheet'!F29,0)</f>
        <v>274.19</v>
      </c>
      <c r="H35" s="25">
        <f>IFERROR('Data Sheet'!G29,0)</f>
        <v>317.27</v>
      </c>
      <c r="I35" s="25">
        <f>IFERROR('Data Sheet'!H29,0)</f>
        <v>377.04</v>
      </c>
      <c r="J35" s="25">
        <f>IFERROR('Data Sheet'!I29,0)</f>
        <v>447.04</v>
      </c>
      <c r="K35" s="25">
        <f>IFERROR('Data Sheet'!J29,0)</f>
        <v>394.73</v>
      </c>
      <c r="L35" s="25">
        <f>IFERROR('Data Sheet'!K29,0)</f>
        <v>396.24</v>
      </c>
    </row>
    <row r="36" spans="2:12" x14ac:dyDescent="0.25">
      <c r="B36" s="11" t="s">
        <v>62</v>
      </c>
      <c r="C36" s="13">
        <f>IFERROR(C35/C32,0)</f>
        <v>1.1781927426955683</v>
      </c>
      <c r="D36" s="13">
        <f t="shared" ref="D36:L36" si="14">IFERROR(D35/D32,0)</f>
        <v>0.29958003504743524</v>
      </c>
      <c r="E36" s="13">
        <f t="shared" si="14"/>
        <v>0.24679670176463564</v>
      </c>
      <c r="F36" s="13">
        <f t="shared" si="14"/>
        <v>0.35507887465802845</v>
      </c>
      <c r="G36" s="13">
        <f t="shared" si="14"/>
        <v>0.33876547480787761</v>
      </c>
      <c r="H36" s="13">
        <f t="shared" si="14"/>
        <v>0.24199502692477801</v>
      </c>
      <c r="I36" s="13">
        <f t="shared" si="14"/>
        <v>0.25895782251251681</v>
      </c>
      <c r="J36" s="13">
        <f t="shared" si="14"/>
        <v>0.24924730703182527</v>
      </c>
      <c r="K36" s="13">
        <f t="shared" si="14"/>
        <v>0.23278017597244818</v>
      </c>
      <c r="L36" s="13">
        <f t="shared" si="14"/>
        <v>0.22303903633446859</v>
      </c>
    </row>
    <row r="37" spans="2:12" x14ac:dyDescent="0.25">
      <c r="B37" s="11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5">
      <c r="B38" s="21" t="s">
        <v>63</v>
      </c>
      <c r="C38" s="26">
        <f t="shared" ref="C38:L38" si="15">IFERROR(C32-C35,0)</f>
        <v>-30.249999999999716</v>
      </c>
      <c r="D38" s="26">
        <f t="shared" si="15"/>
        <v>463.64999999999924</v>
      </c>
      <c r="E38" s="26">
        <f t="shared" si="15"/>
        <v>567.25999999999988</v>
      </c>
      <c r="F38" s="26">
        <f t="shared" si="15"/>
        <v>473.8299999999997</v>
      </c>
      <c r="G38" s="26">
        <f t="shared" si="15"/>
        <v>535.19000000000005</v>
      </c>
      <c r="H38" s="26">
        <f t="shared" si="15"/>
        <v>993.79000000000224</v>
      </c>
      <c r="I38" s="26">
        <f t="shared" si="15"/>
        <v>1078.9500000000025</v>
      </c>
      <c r="J38" s="26">
        <f t="shared" si="15"/>
        <v>1346.5199999999979</v>
      </c>
      <c r="K38" s="26">
        <f t="shared" si="15"/>
        <v>1300.9900000000007</v>
      </c>
      <c r="L38" s="26">
        <f t="shared" si="15"/>
        <v>1380.3099999999993</v>
      </c>
    </row>
    <row r="39" spans="2:12" x14ac:dyDescent="0.25">
      <c r="B39" s="11" t="str">
        <f>B38&amp;" % Sales"</f>
        <v>Net Profit % Sales</v>
      </c>
      <c r="C39" s="13">
        <f t="shared" ref="C39:L39" si="16">IFERROR(C38/C5,0)</f>
        <v>-4.5580980450656092E-3</v>
      </c>
      <c r="D39" s="13">
        <f t="shared" si="16"/>
        <v>6.8389494877978518E-2</v>
      </c>
      <c r="E39" s="13">
        <f t="shared" si="16"/>
        <v>8.3232702649166934E-2</v>
      </c>
      <c r="F39" s="13">
        <f t="shared" si="16"/>
        <v>6.5342342963524744E-2</v>
      </c>
      <c r="G39" s="13">
        <f t="shared" si="16"/>
        <v>5.5532497286618208E-2</v>
      </c>
      <c r="H39" s="13">
        <f t="shared" si="16"/>
        <v>8.56565618258186E-2</v>
      </c>
      <c r="I39" s="13">
        <f t="shared" si="16"/>
        <v>8.6834436318596747E-2</v>
      </c>
      <c r="J39" s="13">
        <f t="shared" si="16"/>
        <v>9.76931269752363E-2</v>
      </c>
      <c r="K39" s="13">
        <f t="shared" si="16"/>
        <v>8.5558518596461269E-2</v>
      </c>
      <c r="L39" s="13">
        <f t="shared" si="16"/>
        <v>7.8345243298161532E-2</v>
      </c>
    </row>
    <row r="40" spans="2:12" x14ac:dyDescent="0.25">
      <c r="B40" s="11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2:12" x14ac:dyDescent="0.25">
      <c r="B41" t="s">
        <v>38</v>
      </c>
      <c r="C41" s="16">
        <f>IFERROR('Data Sheet'!B93,0)</f>
        <v>65.540000000000006</v>
      </c>
      <c r="D41">
        <f>IFERROR('Data Sheet'!C93,0)</f>
        <v>65.540000000000006</v>
      </c>
      <c r="E41">
        <f>IFERROR('Data Sheet'!D93,0)</f>
        <v>65.540000000000006</v>
      </c>
      <c r="F41">
        <f>IFERROR('Data Sheet'!E93,0)</f>
        <v>65.540000000000006</v>
      </c>
      <c r="G41">
        <f>IFERROR('Data Sheet'!F93,0)</f>
        <v>95.7</v>
      </c>
      <c r="H41">
        <f>IFERROR('Data Sheet'!G93,0)</f>
        <v>95.7</v>
      </c>
      <c r="I41">
        <f>IFERROR('Data Sheet'!H93,0)</f>
        <v>95.7</v>
      </c>
      <c r="J41">
        <f>IFERROR('Data Sheet'!I93,0)</f>
        <v>96.47</v>
      </c>
      <c r="K41">
        <f>IFERROR('Data Sheet'!J93,0)</f>
        <v>98.95</v>
      </c>
      <c r="L41">
        <f>IFERROR('Data Sheet'!K93,0)</f>
        <v>98.95</v>
      </c>
    </row>
    <row r="43" spans="2:12" x14ac:dyDescent="0.25">
      <c r="B43" t="s">
        <v>64</v>
      </c>
      <c r="C43" s="27">
        <f>IFERROR(C38/C41,0)</f>
        <v>-0.461550198352147</v>
      </c>
      <c r="D43" s="27">
        <f t="shared" ref="D43" si="17">IFERROR(D38/D41,0)</f>
        <v>7.0743057674702348</v>
      </c>
      <c r="E43" s="27">
        <f t="shared" ref="E43:L43" si="18">IFERROR(E38/E41,0)</f>
        <v>8.6551724137931014</v>
      </c>
      <c r="F43" s="27">
        <f t="shared" si="18"/>
        <v>7.2296307598413128</v>
      </c>
      <c r="G43" s="27">
        <f t="shared" si="18"/>
        <v>5.5923719958202724</v>
      </c>
      <c r="H43" s="27">
        <f t="shared" si="18"/>
        <v>10.384430512016742</v>
      </c>
      <c r="I43" s="27">
        <f t="shared" si="18"/>
        <v>11.274294670846421</v>
      </c>
      <c r="J43" s="27">
        <f t="shared" si="18"/>
        <v>13.957914377526672</v>
      </c>
      <c r="K43" s="27">
        <f t="shared" si="18"/>
        <v>13.147953511874691</v>
      </c>
      <c r="L43" s="27">
        <f t="shared" si="18"/>
        <v>13.949570490146531</v>
      </c>
    </row>
    <row r="44" spans="2:12" x14ac:dyDescent="0.25">
      <c r="B44" s="11" t="str">
        <f>B43&amp;" Growth"</f>
        <v>Earnings Per Share Growth</v>
      </c>
      <c r="C44" s="13" t="str">
        <f t="shared" ref="C44:L44" si="19">IFERROR(C43/B43-1,"-")</f>
        <v>-</v>
      </c>
      <c r="D44" s="13">
        <f t="shared" si="19"/>
        <v>-16.327272727272845</v>
      </c>
      <c r="E44" s="13">
        <f t="shared" si="19"/>
        <v>0.22346597649088928</v>
      </c>
      <c r="F44" s="13">
        <f t="shared" si="19"/>
        <v>-0.16470401579522664</v>
      </c>
      <c r="G44" s="13">
        <f>IFERROR(G43/F43-1,"-")</f>
        <v>-0.2264650600298399</v>
      </c>
      <c r="H44" s="13">
        <f t="shared" si="19"/>
        <v>0.85689194491676246</v>
      </c>
      <c r="I44" s="13">
        <f t="shared" si="19"/>
        <v>8.569214824057414E-2</v>
      </c>
      <c r="J44" s="13">
        <f t="shared" si="19"/>
        <v>0.23802994200778471</v>
      </c>
      <c r="K44" s="13">
        <f t="shared" si="19"/>
        <v>-5.802878881074669E-2</v>
      </c>
      <c r="L44" s="13">
        <f t="shared" si="19"/>
        <v>6.0968954411639187E-2</v>
      </c>
    </row>
    <row r="45" spans="2:12" x14ac:dyDescent="0.25">
      <c r="B45" s="11"/>
      <c r="C45" s="13"/>
      <c r="D45" s="13" t="str">
        <f>IFERROR(IF(AND(C43&lt;0,D43&gt;0),"Profit Swing",IF(AND(C43&gt;0,D43&lt;0),"Loss-Making",IF(C43=0,"-","-"))),0)</f>
        <v>Profit Swing</v>
      </c>
      <c r="E45" s="13" t="str">
        <f t="shared" ref="E45:L45" si="20">IFERROR(IF(AND(D43&lt;0,E43&gt;0),"Profit Swing",IF(AND(D43&gt;0,E43&lt;0),"Loss-Making",IF(D43=0,"-","-"))),0)</f>
        <v>-</v>
      </c>
      <c r="F45" s="13" t="str">
        <f t="shared" si="20"/>
        <v>-</v>
      </c>
      <c r="G45" s="13" t="str">
        <f t="shared" si="20"/>
        <v>-</v>
      </c>
      <c r="H45" s="13" t="str">
        <f t="shared" si="20"/>
        <v>-</v>
      </c>
      <c r="I45" s="13" t="str">
        <f t="shared" si="20"/>
        <v>-</v>
      </c>
      <c r="J45" s="13" t="str">
        <f t="shared" si="20"/>
        <v>-</v>
      </c>
      <c r="K45" s="13" t="str">
        <f t="shared" si="20"/>
        <v>-</v>
      </c>
      <c r="L45" s="13" t="str">
        <f t="shared" si="20"/>
        <v>-</v>
      </c>
    </row>
    <row r="46" spans="2:12" x14ac:dyDescent="0.25"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2:12" x14ac:dyDescent="0.25">
      <c r="B47" t="s">
        <v>65</v>
      </c>
      <c r="C47" s="24">
        <f>IFERROR('Data Sheet'!B31/'Financial Statements'!C41,0)</f>
        <v>2.1666158071406771</v>
      </c>
      <c r="D47" s="24">
        <f>IFERROR('Data Sheet'!C31/'Financial Statements'!D41,0)</f>
        <v>2.2628928898382665</v>
      </c>
      <c r="E47" s="24">
        <f>IFERROR('Data Sheet'!D31/'Financial Statements'!E41,0)</f>
        <v>2.2628928898382665</v>
      </c>
      <c r="F47" s="24">
        <f>IFERROR('Data Sheet'!E31/'Financial Statements'!F41,0)</f>
        <v>2.4073848031736342</v>
      </c>
      <c r="G47" s="24">
        <f>IFERROR('Data Sheet'!F31/'Financial Statements'!G41,0)</f>
        <v>2.6001044932079416</v>
      </c>
      <c r="H47" s="24">
        <f>IFERROR('Data Sheet'!G31/'Financial Statements'!H41,0)</f>
        <v>3.9002089864158829</v>
      </c>
      <c r="I47" s="24">
        <f>IFERROR('Data Sheet'!H31/'Financial Statements'!I41,0)</f>
        <v>5.8262277951933124</v>
      </c>
      <c r="J47" s="24">
        <f>IFERROR('Data Sheet'!I31/'Financial Statements'!J41,0)</f>
        <v>8.1372447392971914</v>
      </c>
      <c r="K47" s="24">
        <f>IFERROR('Data Sheet'!J31/'Financial Statements'!K41,0)</f>
        <v>7.4625568468923689</v>
      </c>
      <c r="L47" s="24">
        <f>IFERROR('Data Sheet'!K31/'Financial Statements'!L41,0)</f>
        <v>8.2500252652854975</v>
      </c>
    </row>
    <row r="48" spans="2:12" x14ac:dyDescent="0.25">
      <c r="B48" s="11" t="s">
        <v>66</v>
      </c>
      <c r="C48" s="14">
        <f>IFERROR(C47/C43,0)</f>
        <v>-4.6942148760331017</v>
      </c>
      <c r="D48" s="14">
        <f t="shared" ref="D48" si="21">IFERROR(D47/D43,0)</f>
        <v>0.31987490564003074</v>
      </c>
      <c r="E48" s="14">
        <f t="shared" ref="E48:L48" si="22">IFERROR(E47/E43,0)</f>
        <v>0.26144977611677189</v>
      </c>
      <c r="F48" s="14">
        <f t="shared" si="22"/>
        <v>0.33298862461220291</v>
      </c>
      <c r="G48" s="14">
        <f t="shared" si="22"/>
        <v>0.46493768568172045</v>
      </c>
      <c r="H48" s="14">
        <f t="shared" si="22"/>
        <v>0.37558236649593896</v>
      </c>
      <c r="I48" s="14">
        <f t="shared" si="22"/>
        <v>0.5167709347050361</v>
      </c>
      <c r="J48" s="14">
        <f t="shared" si="22"/>
        <v>0.58298428541722458</v>
      </c>
      <c r="K48" s="14">
        <f t="shared" si="22"/>
        <v>0.56758314821789524</v>
      </c>
      <c r="L48" s="14">
        <f t="shared" si="22"/>
        <v>0.59141786989879119</v>
      </c>
    </row>
    <row r="49" spans="1:15" x14ac:dyDescent="0.25">
      <c r="B49" s="11" t="s">
        <v>67</v>
      </c>
      <c r="C49" s="14">
        <f t="shared" ref="C49:L49" si="23">IFERROR(IF(C43&gt;C47,1-C48,0),0)</f>
        <v>0</v>
      </c>
      <c r="D49" s="14">
        <f t="shared" si="23"/>
        <v>0.68012509435996926</v>
      </c>
      <c r="E49" s="14">
        <f t="shared" si="23"/>
        <v>0.73855022388322811</v>
      </c>
      <c r="F49" s="14">
        <f t="shared" si="23"/>
        <v>0.66701137538779709</v>
      </c>
      <c r="G49" s="14">
        <f t="shared" si="23"/>
        <v>0.53506231431827955</v>
      </c>
      <c r="H49" s="14">
        <f t="shared" si="23"/>
        <v>0.62441763350406099</v>
      </c>
      <c r="I49" s="14">
        <f t="shared" si="23"/>
        <v>0.4832290652949639</v>
      </c>
      <c r="J49" s="14">
        <f t="shared" si="23"/>
        <v>0.41701571458277542</v>
      </c>
      <c r="K49" s="14">
        <f t="shared" si="23"/>
        <v>0.43241685178210476</v>
      </c>
      <c r="L49" s="14">
        <f t="shared" si="23"/>
        <v>0.40858213010120881</v>
      </c>
    </row>
    <row r="50" spans="1:15" x14ac:dyDescent="0.25">
      <c r="O50" s="22"/>
    </row>
    <row r="51" spans="1:15" s="30" customFormat="1" x14ac:dyDescent="0.25">
      <c r="A51" s="30" t="s">
        <v>56</v>
      </c>
      <c r="B51" s="64" t="s">
        <v>68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</row>
    <row r="52" spans="1:15" s="17" customFormat="1" x14ac:dyDescent="0.25">
      <c r="B52" s="18" t="s">
        <v>70</v>
      </c>
    </row>
    <row r="53" spans="1:15" x14ac:dyDescent="0.25">
      <c r="B53" s="56" t="s">
        <v>10</v>
      </c>
      <c r="C53" s="15">
        <f>IFERROR('Data Sheet'!B57,0)</f>
        <v>63.11</v>
      </c>
      <c r="D53" s="15">
        <f>IFERROR('Data Sheet'!C57,0)</f>
        <v>63.11</v>
      </c>
      <c r="E53" s="15">
        <f>IFERROR('Data Sheet'!D57,0)</f>
        <v>63.11</v>
      </c>
      <c r="F53" s="15">
        <f>IFERROR('Data Sheet'!E57,0)</f>
        <v>63.11</v>
      </c>
      <c r="G53" s="15">
        <f>IFERROR('Data Sheet'!F57,0)</f>
        <v>92.16</v>
      </c>
      <c r="H53" s="15">
        <f>IFERROR('Data Sheet'!G57,0)</f>
        <v>92.16</v>
      </c>
      <c r="I53" s="15">
        <f>IFERROR('Data Sheet'!H57,0)</f>
        <v>92.16</v>
      </c>
      <c r="J53" s="15">
        <f>IFERROR('Data Sheet'!I57,0)</f>
        <v>92.9</v>
      </c>
      <c r="K53" s="15">
        <f>IFERROR('Data Sheet'!J57,0)</f>
        <v>95.28</v>
      </c>
      <c r="L53" s="15">
        <f>IFERROR('Data Sheet'!K57,0)</f>
        <v>98.95</v>
      </c>
    </row>
    <row r="54" spans="1:15" x14ac:dyDescent="0.25">
      <c r="B54" s="56" t="s">
        <v>11</v>
      </c>
      <c r="C54" s="15">
        <f>IFERROR('Data Sheet'!B58,0)</f>
        <v>6184.06</v>
      </c>
      <c r="D54" s="15">
        <f>IFERROR('Data Sheet'!C58,0)</f>
        <v>6202.39</v>
      </c>
      <c r="E54" s="15">
        <f>IFERROR('Data Sheet'!D58,0)</f>
        <v>6968.49</v>
      </c>
      <c r="F54" s="15">
        <f>IFERROR('Data Sheet'!E58,0)</f>
        <v>7268.58</v>
      </c>
      <c r="G54" s="15">
        <f>IFERROR('Data Sheet'!F58,0)</f>
        <v>13722.7</v>
      </c>
      <c r="H54" s="15">
        <f>IFERROR('Data Sheet'!G58,0)</f>
        <v>14442.35</v>
      </c>
      <c r="I54" s="15">
        <f>IFERROR('Data Sheet'!H58,0)</f>
        <v>15049.78</v>
      </c>
      <c r="J54" s="15">
        <f>IFERROR('Data Sheet'!I58,0)</f>
        <v>16183.81</v>
      </c>
      <c r="K54" s="15">
        <f>IFERROR('Data Sheet'!J58,0)</f>
        <v>15961.51</v>
      </c>
      <c r="L54" s="15">
        <f>IFERROR('Data Sheet'!K58,0)</f>
        <v>19902.13</v>
      </c>
      <c r="M54" s="10"/>
    </row>
    <row r="55" spans="1:15" x14ac:dyDescent="0.25">
      <c r="B55" s="56" t="s">
        <v>35</v>
      </c>
      <c r="C55" s="15">
        <f>IFERROR('Data Sheet'!B59,0)</f>
        <v>1354.05</v>
      </c>
      <c r="D55" s="15">
        <f>IFERROR('Data Sheet'!C59,0)</f>
        <v>786.56</v>
      </c>
      <c r="E55" s="15">
        <f>IFERROR('Data Sheet'!D59,0)</f>
        <v>1067.58</v>
      </c>
      <c r="F55" s="15">
        <f>IFERROR('Data Sheet'!E59,0)</f>
        <v>1141.0999999999999</v>
      </c>
      <c r="G55" s="15">
        <f>IFERROR('Data Sheet'!F59,0)</f>
        <v>1586.32</v>
      </c>
      <c r="H55" s="15">
        <f>IFERROR('Data Sheet'!G59,0)</f>
        <v>1633.55</v>
      </c>
      <c r="I55" s="15">
        <f>IFERROR('Data Sheet'!H59,0)</f>
        <v>1412.01</v>
      </c>
      <c r="J55" s="15">
        <f>IFERROR('Data Sheet'!I59,0)</f>
        <v>1600.04</v>
      </c>
      <c r="K55" s="15">
        <f>IFERROR('Data Sheet'!J59,0)</f>
        <v>3477.22</v>
      </c>
      <c r="L55" s="15">
        <f>IFERROR('Data Sheet'!K59,0)</f>
        <v>2392.6799999999998</v>
      </c>
    </row>
    <row r="56" spans="1:15" x14ac:dyDescent="0.25">
      <c r="B56" s="56" t="s">
        <v>36</v>
      </c>
      <c r="C56" s="15">
        <f>IFERROR('Data Sheet'!B60,0)</f>
        <v>2293.54</v>
      </c>
      <c r="D56" s="15">
        <f>IFERROR('Data Sheet'!C60,0)</f>
        <v>2499.35</v>
      </c>
      <c r="E56" s="15">
        <f>IFERROR('Data Sheet'!D60,0)</f>
        <v>2361.58</v>
      </c>
      <c r="F56" s="15">
        <f>IFERROR('Data Sheet'!E60,0)</f>
        <v>2407.89</v>
      </c>
      <c r="G56" s="15">
        <f>IFERROR('Data Sheet'!F60,0)</f>
        <v>3071.86</v>
      </c>
      <c r="H56" s="15">
        <f>IFERROR('Data Sheet'!G60,0)</f>
        <v>4049.76</v>
      </c>
      <c r="I56" s="15">
        <f>IFERROR('Data Sheet'!H60,0)</f>
        <v>4520.92</v>
      </c>
      <c r="J56" s="15">
        <f>IFERROR('Data Sheet'!I60,0)</f>
        <v>4885.74</v>
      </c>
      <c r="K56" s="15">
        <f>IFERROR('Data Sheet'!J60,0)</f>
        <v>8344.7800000000007</v>
      </c>
      <c r="L56" s="15">
        <f>IFERROR('Data Sheet'!K60,0)</f>
        <v>9436.86</v>
      </c>
    </row>
    <row r="57" spans="1:15" x14ac:dyDescent="0.25">
      <c r="B57" s="66" t="s">
        <v>69</v>
      </c>
      <c r="C57" s="67">
        <f>IFERROR(SUM(C53:C56),0)</f>
        <v>9894.76</v>
      </c>
      <c r="D57" s="67">
        <f t="shared" ref="D57:L57" si="24">IFERROR(SUM(D53:D56),0)</f>
        <v>9551.41</v>
      </c>
      <c r="E57" s="67">
        <f t="shared" si="24"/>
        <v>10460.759999999998</v>
      </c>
      <c r="F57" s="67">
        <f t="shared" si="24"/>
        <v>10880.679999999998</v>
      </c>
      <c r="G57" s="67">
        <f t="shared" si="24"/>
        <v>18473.04</v>
      </c>
      <c r="H57" s="67">
        <f t="shared" si="24"/>
        <v>20217.82</v>
      </c>
      <c r="I57" s="67">
        <f t="shared" si="24"/>
        <v>21074.870000000003</v>
      </c>
      <c r="J57" s="67">
        <f t="shared" si="24"/>
        <v>22762.489999999998</v>
      </c>
      <c r="K57" s="67">
        <f t="shared" si="24"/>
        <v>27878.79</v>
      </c>
      <c r="L57" s="67">
        <f t="shared" si="24"/>
        <v>31830.620000000003</v>
      </c>
    </row>
    <row r="59" spans="1:15" x14ac:dyDescent="0.25">
      <c r="B59" s="19" t="s">
        <v>71</v>
      </c>
    </row>
    <row r="60" spans="1:15" x14ac:dyDescent="0.25">
      <c r="B60" s="20" t="s">
        <v>13</v>
      </c>
      <c r="C60" s="15">
        <f>IFERROR('Data Sheet'!B62,0)</f>
        <v>4661.8</v>
      </c>
      <c r="D60" s="15">
        <f>IFERROR('Data Sheet'!C62,0)</f>
        <v>4572.59</v>
      </c>
      <c r="E60" s="15">
        <f>IFERROR('Data Sheet'!D62,0)</f>
        <v>4798.18</v>
      </c>
      <c r="F60" s="15">
        <f>IFERROR('Data Sheet'!E62,0)</f>
        <v>4913.3100000000004</v>
      </c>
      <c r="G60" s="15">
        <f>IFERROR('Data Sheet'!F62,0)</f>
        <v>11656.04</v>
      </c>
      <c r="H60" s="15">
        <f>IFERROR('Data Sheet'!G62,0)</f>
        <v>12023.13</v>
      </c>
      <c r="I60" s="15">
        <f>IFERROR('Data Sheet'!H62,0)</f>
        <v>12599.35</v>
      </c>
      <c r="J60" s="15">
        <f>IFERROR('Data Sheet'!I62,0)</f>
        <v>13070.04</v>
      </c>
      <c r="K60" s="15">
        <f>IFERROR('Data Sheet'!J62,0)</f>
        <v>19357.900000000001</v>
      </c>
      <c r="L60" s="15">
        <f>IFERROR('Data Sheet'!K62,0)</f>
        <v>21476.84</v>
      </c>
    </row>
    <row r="61" spans="1:15" x14ac:dyDescent="0.25">
      <c r="B61" s="20" t="s">
        <v>14</v>
      </c>
      <c r="C61" s="15">
        <f>IFERROR('Data Sheet'!B63,0)</f>
        <v>39.42</v>
      </c>
      <c r="D61" s="15">
        <f>IFERROR('Data Sheet'!C63,0)</f>
        <v>63.19</v>
      </c>
      <c r="E61" s="15">
        <f>IFERROR('Data Sheet'!D63,0)</f>
        <v>135.16</v>
      </c>
      <c r="F61" s="15">
        <f>IFERROR('Data Sheet'!E63,0)</f>
        <v>424.41</v>
      </c>
      <c r="G61" s="15">
        <f>IFERROR('Data Sheet'!F63,0)</f>
        <v>95.35</v>
      </c>
      <c r="H61" s="15">
        <f>IFERROR('Data Sheet'!G63,0)</f>
        <v>112.85</v>
      </c>
      <c r="I61" s="15">
        <f>IFERROR('Data Sheet'!H63,0)</f>
        <v>246.97</v>
      </c>
      <c r="J61" s="15">
        <f>IFERROR('Data Sheet'!I63,0)</f>
        <v>294.89999999999998</v>
      </c>
      <c r="K61" s="15">
        <f>IFERROR('Data Sheet'!J63,0)</f>
        <v>189.6</v>
      </c>
      <c r="L61" s="15">
        <f>IFERROR('Data Sheet'!K63,0)</f>
        <v>218.1</v>
      </c>
    </row>
    <row r="62" spans="1:15" x14ac:dyDescent="0.25">
      <c r="B62" s="20" t="s">
        <v>15</v>
      </c>
      <c r="C62" s="15">
        <f>IFERROR('Data Sheet'!B64,0)</f>
        <v>1365.94</v>
      </c>
      <c r="D62" s="15">
        <f>IFERROR('Data Sheet'!C64,0)</f>
        <v>1451.04</v>
      </c>
      <c r="E62" s="15">
        <f>IFERROR('Data Sheet'!D64,0)</f>
        <v>1161.33</v>
      </c>
      <c r="F62" s="15">
        <f>IFERROR('Data Sheet'!E64,0)</f>
        <v>1187.6600000000001</v>
      </c>
      <c r="G62" s="15">
        <f>IFERROR('Data Sheet'!F64,0)</f>
        <v>1322.85</v>
      </c>
      <c r="H62" s="15">
        <f>IFERROR('Data Sheet'!G64,0)</f>
        <v>805.89</v>
      </c>
      <c r="I62" s="15">
        <f>IFERROR('Data Sheet'!H64,0)</f>
        <v>797.28</v>
      </c>
      <c r="J62" s="15">
        <f>IFERROR('Data Sheet'!I64,0)</f>
        <v>1432.97</v>
      </c>
      <c r="K62" s="15">
        <f>IFERROR('Data Sheet'!J64,0)</f>
        <v>870.55</v>
      </c>
      <c r="L62" s="15">
        <f>IFERROR('Data Sheet'!K64,0)</f>
        <v>968.67</v>
      </c>
    </row>
    <row r="63" spans="1:15" x14ac:dyDescent="0.25">
      <c r="B63" s="20" t="s">
        <v>37</v>
      </c>
      <c r="C63" s="15">
        <f>IFERROR('Data Sheet'!B65-SUM('Data Sheet'!B67:B69),0)</f>
        <v>1105.1299999999997</v>
      </c>
      <c r="D63" s="15">
        <f>IFERROR('Data Sheet'!C65-SUM('Data Sheet'!C67:C69),0)</f>
        <v>844.36000000000013</v>
      </c>
      <c r="E63" s="15">
        <f>IFERROR('Data Sheet'!D65-SUM('Data Sheet'!D67:D69),0)</f>
        <v>1031.3599999999997</v>
      </c>
      <c r="F63" s="15">
        <f>IFERROR('Data Sheet'!E65-SUM('Data Sheet'!E67:E69),0)</f>
        <v>1032.6000000000004</v>
      </c>
      <c r="G63" s="15">
        <f>IFERROR('Data Sheet'!F65-SUM('Data Sheet'!F67:F69),0)</f>
        <v>1142.9000000000005</v>
      </c>
      <c r="H63" s="15">
        <f>IFERROR('Data Sheet'!G65-SUM('Data Sheet'!G67:G69),0)</f>
        <v>1190.5899999999992</v>
      </c>
      <c r="I63" s="15">
        <f>IFERROR('Data Sheet'!H65-SUM('Data Sheet'!H67:H69),0)</f>
        <v>1729.7200000000003</v>
      </c>
      <c r="J63" s="15">
        <f>IFERROR('Data Sheet'!I65-SUM('Data Sheet'!I67:I69),0)</f>
        <v>1667.6399999999994</v>
      </c>
      <c r="K63" s="15">
        <f>IFERROR('Data Sheet'!J65-SUM('Data Sheet'!J67:J69),0)</f>
        <v>1340.1499999999996</v>
      </c>
      <c r="L63" s="15">
        <f>IFERROR('Data Sheet'!K65-SUM('Data Sheet'!K67:K69),0)</f>
        <v>1879.4500000000007</v>
      </c>
    </row>
    <row r="64" spans="1:15" x14ac:dyDescent="0.25">
      <c r="B64" s="66" t="s">
        <v>72</v>
      </c>
      <c r="C64" s="67">
        <f>IFERROR(SUM(C60:C63),0)</f>
        <v>7172.2899999999991</v>
      </c>
      <c r="D64" s="67">
        <f t="shared" ref="D64:L64" si="25">IFERROR(SUM(D60:D63),0)</f>
        <v>6931.18</v>
      </c>
      <c r="E64" s="67">
        <f t="shared" si="25"/>
        <v>7126.03</v>
      </c>
      <c r="F64" s="67">
        <f t="shared" si="25"/>
        <v>7557.9800000000005</v>
      </c>
      <c r="G64" s="67">
        <f t="shared" si="25"/>
        <v>14217.140000000003</v>
      </c>
      <c r="H64" s="67">
        <f t="shared" si="25"/>
        <v>14132.46</v>
      </c>
      <c r="I64" s="67">
        <f t="shared" si="25"/>
        <v>15373.32</v>
      </c>
      <c r="J64" s="67">
        <f t="shared" si="25"/>
        <v>16465.55</v>
      </c>
      <c r="K64" s="67">
        <f t="shared" si="25"/>
        <v>21758.199999999997</v>
      </c>
      <c r="L64" s="67">
        <f t="shared" si="25"/>
        <v>24543.059999999998</v>
      </c>
    </row>
    <row r="65" spans="1:13" x14ac:dyDescent="0.25">
      <c r="D65" s="36"/>
    </row>
    <row r="66" spans="1:13" x14ac:dyDescent="0.25">
      <c r="B66" s="19" t="s">
        <v>73</v>
      </c>
    </row>
    <row r="67" spans="1:13" x14ac:dyDescent="0.25">
      <c r="B67" s="20" t="s">
        <v>42</v>
      </c>
      <c r="C67" s="15">
        <f>IFERROR('Data Sheet'!B67,0)</f>
        <v>592.42999999999995</v>
      </c>
      <c r="D67" s="15">
        <f>IFERROR('Data Sheet'!C67,0)</f>
        <v>592.45000000000005</v>
      </c>
      <c r="E67" s="15">
        <f>IFERROR('Data Sheet'!D67,0)</f>
        <v>648.28</v>
      </c>
      <c r="F67" s="15">
        <f>IFERROR('Data Sheet'!E67,0)</f>
        <v>680.55</v>
      </c>
      <c r="G67" s="15">
        <f>IFERROR('Data Sheet'!F67,0)</f>
        <v>922.41</v>
      </c>
      <c r="H67" s="15">
        <f>IFERROR('Data Sheet'!G67,0)</f>
        <v>761.32</v>
      </c>
      <c r="I67" s="15">
        <f>IFERROR('Data Sheet'!H67,0)</f>
        <v>835.15</v>
      </c>
      <c r="J67" s="15">
        <f>IFERROR('Data Sheet'!I67,0)</f>
        <v>798.33</v>
      </c>
      <c r="K67" s="15">
        <f>IFERROR('Data Sheet'!J67,0)</f>
        <v>896.75</v>
      </c>
      <c r="L67" s="15">
        <f>IFERROR('Data Sheet'!K67,0)</f>
        <v>869.79</v>
      </c>
    </row>
    <row r="68" spans="1:13" x14ac:dyDescent="0.25">
      <c r="B68" s="20" t="s">
        <v>29</v>
      </c>
      <c r="C68" s="15">
        <f>IFERROR('Data Sheet'!B68,0)</f>
        <v>1629.01</v>
      </c>
      <c r="D68" s="15">
        <f>IFERROR('Data Sheet'!C68,0)</f>
        <v>1452.96</v>
      </c>
      <c r="E68" s="15">
        <f>IFERROR('Data Sheet'!D68,0)</f>
        <v>1448.31</v>
      </c>
      <c r="F68" s="15">
        <f>IFERROR('Data Sheet'!E68,0)</f>
        <v>1608.54</v>
      </c>
      <c r="G68" s="15">
        <f>IFERROR('Data Sheet'!F68,0)</f>
        <v>1712.03</v>
      </c>
      <c r="H68" s="15">
        <f>IFERROR('Data Sheet'!G68,0)</f>
        <v>2249.16</v>
      </c>
      <c r="I68" s="15">
        <f>IFERROR('Data Sheet'!H68,0)</f>
        <v>2266.5100000000002</v>
      </c>
      <c r="J68" s="15">
        <f>IFERROR('Data Sheet'!I68,0)</f>
        <v>2701.67</v>
      </c>
      <c r="K68" s="15">
        <f>IFERROR('Data Sheet'!J68,0)</f>
        <v>2769.35</v>
      </c>
      <c r="L68" s="15">
        <f>IFERROR('Data Sheet'!K68,0)</f>
        <v>3599.91</v>
      </c>
      <c r="M68" s="10"/>
    </row>
    <row r="69" spans="1:13" x14ac:dyDescent="0.25">
      <c r="B69" s="20" t="s">
        <v>51</v>
      </c>
      <c r="C69" s="15">
        <f>IFERROR('Data Sheet'!B69,0)</f>
        <v>501.03</v>
      </c>
      <c r="D69" s="15">
        <f>IFERROR('Data Sheet'!C69,0)</f>
        <v>574.82000000000005</v>
      </c>
      <c r="E69" s="15">
        <f>IFERROR('Data Sheet'!D69,0)</f>
        <v>1238.1400000000001</v>
      </c>
      <c r="F69" s="15">
        <f>IFERROR('Data Sheet'!E69,0)</f>
        <v>1033.6099999999999</v>
      </c>
      <c r="G69" s="15">
        <f>IFERROR('Data Sheet'!F69,0)</f>
        <v>1621.46</v>
      </c>
      <c r="H69" s="15">
        <f>IFERROR('Data Sheet'!G69,0)</f>
        <v>3074.88</v>
      </c>
      <c r="I69" s="15">
        <f>IFERROR('Data Sheet'!H69,0)</f>
        <v>2599.89</v>
      </c>
      <c r="J69" s="15">
        <f>IFERROR('Data Sheet'!I69,0)</f>
        <v>2796.94</v>
      </c>
      <c r="K69" s="15">
        <f>IFERROR('Data Sheet'!J69,0)</f>
        <v>2454.4899999999998</v>
      </c>
      <c r="L69" s="15">
        <f>IFERROR('Data Sheet'!K69,0)</f>
        <v>2817.86</v>
      </c>
    </row>
    <row r="70" spans="1:13" x14ac:dyDescent="0.25">
      <c r="B70" s="66" t="s">
        <v>74</v>
      </c>
      <c r="C70" s="67">
        <f>IFERROR(SUM(C67:C69),0)</f>
        <v>2722.4700000000003</v>
      </c>
      <c r="D70" s="67">
        <f t="shared" ref="D70:L70" si="26">IFERROR(SUM(D67:D69),0)</f>
        <v>2620.23</v>
      </c>
      <c r="E70" s="67">
        <f t="shared" si="26"/>
        <v>3334.7300000000005</v>
      </c>
      <c r="F70" s="67">
        <f t="shared" si="26"/>
        <v>3322.7</v>
      </c>
      <c r="G70" s="67">
        <f t="shared" si="26"/>
        <v>4255.8999999999996</v>
      </c>
      <c r="H70" s="67">
        <f t="shared" si="26"/>
        <v>6085.3600000000006</v>
      </c>
      <c r="I70" s="67">
        <f t="shared" si="26"/>
        <v>5701.55</v>
      </c>
      <c r="J70" s="67">
        <f t="shared" si="26"/>
        <v>6296.9400000000005</v>
      </c>
      <c r="K70" s="67">
        <f t="shared" si="26"/>
        <v>6120.59</v>
      </c>
      <c r="L70" s="67">
        <f t="shared" si="26"/>
        <v>7287.5599999999995</v>
      </c>
    </row>
    <row r="71" spans="1:13" x14ac:dyDescent="0.25"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3" x14ac:dyDescent="0.25">
      <c r="B72" s="19" t="s">
        <v>75</v>
      </c>
      <c r="C72" s="23">
        <f>IFERROR(C64+C70,0)</f>
        <v>9894.7599999999984</v>
      </c>
      <c r="D72" s="23">
        <f t="shared" ref="D72:L72" si="27">IFERROR(D64+D70,0)</f>
        <v>9551.41</v>
      </c>
      <c r="E72" s="23">
        <f t="shared" si="27"/>
        <v>10460.76</v>
      </c>
      <c r="F72" s="23">
        <f t="shared" si="27"/>
        <v>10880.68</v>
      </c>
      <c r="G72" s="23">
        <f t="shared" si="27"/>
        <v>18473.04</v>
      </c>
      <c r="H72" s="23">
        <f t="shared" si="27"/>
        <v>20217.82</v>
      </c>
      <c r="I72" s="23">
        <f t="shared" si="27"/>
        <v>21074.87</v>
      </c>
      <c r="J72" s="23">
        <f t="shared" si="27"/>
        <v>22762.489999999998</v>
      </c>
      <c r="K72" s="23">
        <f t="shared" si="27"/>
        <v>27878.789999999997</v>
      </c>
      <c r="L72" s="23">
        <f t="shared" si="27"/>
        <v>31830.619999999995</v>
      </c>
    </row>
    <row r="74" spans="1:13" x14ac:dyDescent="0.25">
      <c r="B74" s="11" t="s">
        <v>76</v>
      </c>
      <c r="C74" s="11" t="b">
        <f>C57=C72</f>
        <v>1</v>
      </c>
      <c r="D74" s="11" t="b">
        <f t="shared" ref="D74:L74" si="28">D57=D72</f>
        <v>1</v>
      </c>
      <c r="E74" s="11" t="b">
        <f t="shared" si="28"/>
        <v>1</v>
      </c>
      <c r="F74" s="11" t="b">
        <f t="shared" si="28"/>
        <v>1</v>
      </c>
      <c r="G74" s="11" t="b">
        <f t="shared" si="28"/>
        <v>1</v>
      </c>
      <c r="H74" s="11" t="b">
        <f t="shared" si="28"/>
        <v>1</v>
      </c>
      <c r="I74" s="11" t="b">
        <f t="shared" si="28"/>
        <v>1</v>
      </c>
      <c r="J74" s="11" t="b">
        <f t="shared" si="28"/>
        <v>1</v>
      </c>
      <c r="K74" s="11" t="b">
        <f t="shared" si="28"/>
        <v>1</v>
      </c>
      <c r="L74" s="11" t="b">
        <f t="shared" si="28"/>
        <v>1</v>
      </c>
    </row>
    <row r="76" spans="1:13" x14ac:dyDescent="0.25">
      <c r="A76" t="s">
        <v>56</v>
      </c>
      <c r="B76" s="46" t="s">
        <v>77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</row>
    <row r="77" spans="1:13" x14ac:dyDescent="0.25">
      <c r="B77" s="3" t="s">
        <v>17</v>
      </c>
      <c r="C77" s="15">
        <f>IFERROR('Data Sheet'!B82,0)</f>
        <v>115.98</v>
      </c>
      <c r="D77" s="15">
        <f>IFERROR('Data Sheet'!C82,0)</f>
        <v>741.2</v>
      </c>
      <c r="E77" s="15">
        <f>IFERROR('Data Sheet'!D82,0)</f>
        <v>355.58</v>
      </c>
      <c r="F77" s="15">
        <f>IFERROR('Data Sheet'!E82,0)</f>
        <v>209.87</v>
      </c>
      <c r="G77" s="15">
        <f>IFERROR('Data Sheet'!F82,0)</f>
        <v>1082.23</v>
      </c>
      <c r="H77" s="15">
        <f>IFERROR('Data Sheet'!G82,0)</f>
        <v>1656.37</v>
      </c>
      <c r="I77" s="15">
        <f>IFERROR('Data Sheet'!H82,0)</f>
        <v>1515.81</v>
      </c>
      <c r="J77" s="15">
        <f>IFERROR('Data Sheet'!I82,0)</f>
        <v>1461.29</v>
      </c>
      <c r="K77" s="15">
        <f>IFERROR('Data Sheet'!J82,0)</f>
        <v>1936.68</v>
      </c>
      <c r="L77" s="15">
        <f>IFERROR('Data Sheet'!K82,0)</f>
        <v>2056.65</v>
      </c>
    </row>
    <row r="78" spans="1:13" x14ac:dyDescent="0.25">
      <c r="B78" s="3" t="s">
        <v>18</v>
      </c>
      <c r="C78" s="15">
        <f>IFERROR('Data Sheet'!B83,0)</f>
        <v>144.62</v>
      </c>
      <c r="D78" s="15">
        <f>IFERROR('Data Sheet'!C83,0)</f>
        <v>145.05000000000001</v>
      </c>
      <c r="E78" s="15">
        <f>IFERROR('Data Sheet'!D83,0)</f>
        <v>-31.1</v>
      </c>
      <c r="F78" s="15">
        <f>IFERROR('Data Sheet'!E83,0)</f>
        <v>53.17</v>
      </c>
      <c r="G78" s="15">
        <f>IFERROR('Data Sheet'!F83,0)</f>
        <v>-622.04</v>
      </c>
      <c r="H78" s="15">
        <f>IFERROR('Data Sheet'!G83,0)</f>
        <v>-346.5</v>
      </c>
      <c r="I78" s="15">
        <f>IFERROR('Data Sheet'!H83,0)</f>
        <v>-1317.11</v>
      </c>
      <c r="J78" s="15">
        <f>IFERROR('Data Sheet'!I83,0)</f>
        <v>-833.61</v>
      </c>
      <c r="K78" s="15">
        <f>IFERROR('Data Sheet'!J83,0)</f>
        <v>-1910.77</v>
      </c>
      <c r="L78" s="15">
        <f>IFERROR('Data Sheet'!K83,0)</f>
        <v>-2303.48</v>
      </c>
    </row>
    <row r="79" spans="1:13" x14ac:dyDescent="0.25">
      <c r="B79" s="3" t="s">
        <v>19</v>
      </c>
      <c r="C79" s="15">
        <f>IFERROR('Data Sheet'!B84,0)</f>
        <v>-281.8</v>
      </c>
      <c r="D79" s="15">
        <f>IFERROR('Data Sheet'!C84,0)</f>
        <v>-815.84</v>
      </c>
      <c r="E79" s="15">
        <f>IFERROR('Data Sheet'!D84,0)</f>
        <v>-30.39</v>
      </c>
      <c r="F79" s="15">
        <f>IFERROR('Data Sheet'!E84,0)</f>
        <v>-223.73</v>
      </c>
      <c r="G79" s="15">
        <f>IFERROR('Data Sheet'!F84,0)</f>
        <v>-308.33</v>
      </c>
      <c r="H79" s="15">
        <f>IFERROR('Data Sheet'!G84,0)</f>
        <v>-426.03</v>
      </c>
      <c r="I79" s="15">
        <f>IFERROR('Data Sheet'!H84,0)</f>
        <v>-994.77</v>
      </c>
      <c r="J79" s="15">
        <f>IFERROR('Data Sheet'!I84,0)</f>
        <v>-714.4</v>
      </c>
      <c r="K79" s="15">
        <f>IFERROR('Data Sheet'!J84,0)</f>
        <v>255.55</v>
      </c>
      <c r="L79" s="15">
        <f>IFERROR('Data Sheet'!K84,0)</f>
        <v>452.7</v>
      </c>
    </row>
    <row r="80" spans="1:13" x14ac:dyDescent="0.25">
      <c r="B80" s="68" t="s">
        <v>20</v>
      </c>
      <c r="C80" s="67">
        <f>SUM(C77:C79)</f>
        <v>-21.199999999999989</v>
      </c>
      <c r="D80" s="67">
        <f t="shared" ref="D80:L80" si="29">SUM(D77:D79)</f>
        <v>70.409999999999968</v>
      </c>
      <c r="E80" s="67">
        <f t="shared" si="29"/>
        <v>294.08999999999997</v>
      </c>
      <c r="F80" s="67">
        <f t="shared" si="29"/>
        <v>39.310000000000031</v>
      </c>
      <c r="G80" s="67">
        <f t="shared" si="29"/>
        <v>151.86000000000007</v>
      </c>
      <c r="H80" s="67">
        <f t="shared" si="29"/>
        <v>883.83999999999992</v>
      </c>
      <c r="I80" s="67">
        <f t="shared" si="29"/>
        <v>-796.06999999999994</v>
      </c>
      <c r="J80" s="67">
        <f t="shared" si="29"/>
        <v>-86.720000000000027</v>
      </c>
      <c r="K80" s="67">
        <f t="shared" si="29"/>
        <v>281.46000000000009</v>
      </c>
      <c r="L80" s="67">
        <f t="shared" si="29"/>
        <v>205.87000000000006</v>
      </c>
    </row>
  </sheetData>
  <mergeCells count="1">
    <mergeCell ref="B2:L2"/>
  </mergeCells>
  <pageMargins left="0.25" right="0.25" top="0.75" bottom="0.75" header="0.3" footer="0.3"/>
  <pageSetup scale="59" orientation="portrait" horizontalDpi="1200" verticalDpi="1200" r:id="rId1"/>
  <colBreaks count="1" manualBreakCount="1">
    <brk id="12" max="1048575" man="1"/>
  </colBreaks>
  <ignoredErrors>
    <ignoredError sqref="C14:L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51"/>
  <sheetViews>
    <sheetView showGridLines="0" zoomScaleNormal="100" workbookViewId="0">
      <pane ySplit="3" topLeftCell="A13" activePane="bottomLeft" state="frozen"/>
      <selection pane="bottomLeft" activeCell="H1" sqref="H1"/>
    </sheetView>
  </sheetViews>
  <sheetFormatPr defaultRowHeight="15" x14ac:dyDescent="0.25"/>
  <cols>
    <col min="1" max="1" width="1.85546875" customWidth="1"/>
    <col min="2" max="2" width="26.140625" bestFit="1" customWidth="1"/>
    <col min="3" max="12" width="13.7109375" customWidth="1"/>
    <col min="13" max="13" width="17.140625" customWidth="1"/>
  </cols>
  <sheetData>
    <row r="2" spans="2:13" x14ac:dyDescent="0.25">
      <c r="B2" s="82" t="str">
        <f>"Ratio Analysis"&amp;" - "&amp;'Data Sheet'!B1</f>
        <v>Ratio Analysis - TATA CONSUMER PRODUCTS LTD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2:13" x14ac:dyDescent="0.25">
      <c r="B3" s="9" t="s">
        <v>54</v>
      </c>
      <c r="C3" s="8">
        <f>'Data Sheet'!B16</f>
        <v>42460</v>
      </c>
      <c r="D3" s="8">
        <f>'Data Sheet'!C16</f>
        <v>42825</v>
      </c>
      <c r="E3" s="8">
        <f>'Data Sheet'!D16</f>
        <v>43190</v>
      </c>
      <c r="F3" s="8">
        <f>'Data Sheet'!E16</f>
        <v>43555</v>
      </c>
      <c r="G3" s="8">
        <f>'Data Sheet'!F16</f>
        <v>43921</v>
      </c>
      <c r="H3" s="8">
        <f>'Data Sheet'!G16</f>
        <v>44286</v>
      </c>
      <c r="I3" s="8">
        <f>'Data Sheet'!H16</f>
        <v>44651</v>
      </c>
      <c r="J3" s="8">
        <f>'Data Sheet'!I16</f>
        <v>45016</v>
      </c>
      <c r="K3" s="8">
        <f>'Data Sheet'!J16</f>
        <v>45382</v>
      </c>
      <c r="L3" s="8">
        <f>'Data Sheet'!K16</f>
        <v>45747</v>
      </c>
      <c r="M3" s="54" t="s">
        <v>115</v>
      </c>
    </row>
    <row r="4" spans="2:13" x14ac:dyDescent="0.25">
      <c r="D4" s="28"/>
      <c r="E4" s="28"/>
      <c r="F4" s="28"/>
      <c r="G4" s="28"/>
      <c r="H4" s="28"/>
      <c r="I4" s="28"/>
      <c r="J4" s="28"/>
      <c r="K4" s="28"/>
      <c r="L4" s="28"/>
    </row>
    <row r="5" spans="2:13" x14ac:dyDescent="0.25">
      <c r="B5" s="71" t="s">
        <v>108</v>
      </c>
      <c r="C5" s="72">
        <f>IFERROR('Financial Statements'!C12,0)</f>
        <v>0.29206484101655383</v>
      </c>
      <c r="D5" s="72">
        <f>IFERROR('Financial Statements'!D12,0)</f>
        <v>0.30958396943749944</v>
      </c>
      <c r="E5" s="72">
        <f>IFERROR('Financial Statements'!E12,0)</f>
        <v>0.29534946847924165</v>
      </c>
      <c r="F5" s="72">
        <f>IFERROR('Financial Statements'!F12,0)</f>
        <v>0.29493070399227739</v>
      </c>
      <c r="G5" s="72">
        <f>IFERROR('Financial Statements'!G12,0)</f>
        <v>0.31124823863648154</v>
      </c>
      <c r="H5" s="72">
        <f>IFERROR('Financial Statements'!H12,0)</f>
        <v>0.2908491014072539</v>
      </c>
      <c r="I5" s="72">
        <f>IFERROR('Financial Statements'!I12,0)</f>
        <v>0.30827572941489889</v>
      </c>
      <c r="J5" s="72">
        <f>IFERROR('Financial Statements'!J12,0)</f>
        <v>0.29760882119920234</v>
      </c>
      <c r="K5" s="72">
        <f>IFERROR('Financial Statements'!K12,0)</f>
        <v>0.31906272914700595</v>
      </c>
      <c r="L5" s="72">
        <f>IFERROR('Financial Statements'!L12,0)</f>
        <v>0.31362560519459876</v>
      </c>
      <c r="M5" s="71"/>
    </row>
    <row r="6" spans="2:13" x14ac:dyDescent="0.25">
      <c r="B6" s="30" t="s">
        <v>78</v>
      </c>
      <c r="C6" s="31">
        <f>IFERROR('Financial Statements'!C18,0)</f>
        <v>5.513565803867683E-2</v>
      </c>
      <c r="D6" s="31">
        <f>IFERROR('Financial Statements'!D18,0)</f>
        <v>0.11669358585746829</v>
      </c>
      <c r="E6" s="31">
        <f>IFERROR('Financial Statements'!E18,0)</f>
        <v>0.12309125723550512</v>
      </c>
      <c r="F6" s="31">
        <f>IFERROR('Financial Statements'!F18,0)</f>
        <v>0.10837895607805277</v>
      </c>
      <c r="G6" s="31">
        <f>IFERROR('Financial Statements'!G18,0)</f>
        <v>0.13407633993330165</v>
      </c>
      <c r="H6" s="31">
        <f>IFERROR('Financial Statements'!H18,0)</f>
        <v>0.13305947321287759</v>
      </c>
      <c r="I6" s="31">
        <f>IFERROR('Financial Statements'!I18,0)</f>
        <v>0.1383282751338594</v>
      </c>
      <c r="J6" s="31">
        <f>IFERROR('Financial Statements'!J18,0)</f>
        <v>0.13469117386724075</v>
      </c>
      <c r="K6" s="31">
        <f>IFERROR('Financial Statements'!K18,0)</f>
        <v>0.15021192501570124</v>
      </c>
      <c r="L6" s="31">
        <f>IFERROR('Financial Statements'!L18,0)</f>
        <v>0.14072583620440107</v>
      </c>
      <c r="M6" s="30"/>
    </row>
    <row r="7" spans="2:13" x14ac:dyDescent="0.25">
      <c r="B7" s="30" t="s">
        <v>79</v>
      </c>
      <c r="C7" s="31">
        <f>IFERROR('Financial Statements'!C24,)</f>
        <v>3.7537632561545665E-2</v>
      </c>
      <c r="D7" s="31">
        <f>IFERROR('Financial Statements'!D24,)</f>
        <v>9.8102381426495744E-2</v>
      </c>
      <c r="E7" s="31">
        <f>IFERROR('Financial Statements'!E24,)</f>
        <v>0.10606498565737635</v>
      </c>
      <c r="F7" s="31">
        <f>IFERROR('Financial Statements'!F24,)</f>
        <v>9.1476246293870189E-2</v>
      </c>
      <c r="G7" s="31">
        <f>IFERROR('Financial Statements'!G24,)</f>
        <v>0.10899597610148774</v>
      </c>
      <c r="H7" s="31">
        <f>IFERROR('Financial Statements'!H24,)</f>
        <v>0.11110297077321832</v>
      </c>
      <c r="I7" s="31">
        <f>IFERROR('Financial Statements'!I24,)</f>
        <v>0.11595389111149225</v>
      </c>
      <c r="J7" s="31">
        <f>IFERROR('Financial Statements'!J24,)</f>
        <v>0.11262946958462342</v>
      </c>
      <c r="K7" s="31">
        <f>IFERROR('Financial Statements'!K24,)</f>
        <v>0.12540897088949324</v>
      </c>
      <c r="L7" s="31">
        <f>IFERROR('Financial Statements'!L24,)</f>
        <v>0.10662833531044423</v>
      </c>
      <c r="M7" s="30"/>
    </row>
    <row r="8" spans="2:13" x14ac:dyDescent="0.25">
      <c r="B8" s="30" t="s">
        <v>80</v>
      </c>
      <c r="C8" s="31">
        <f>IFERROR('Financial Statements'!C33,0)</f>
        <v>2.5579594186127149E-2</v>
      </c>
      <c r="D8" s="31">
        <f>IFERROR('Financial Statements'!D33,0)</f>
        <v>9.7640698866443817E-2</v>
      </c>
      <c r="E8" s="31">
        <f>IFERROR('Financial Statements'!E33,0)</f>
        <v>0.11050496306132478</v>
      </c>
      <c r="F8" s="31">
        <f>IFERROR('Financial Statements'!F33,0)</f>
        <v>0.10131834792801485</v>
      </c>
      <c r="G8" s="31">
        <f>IFERROR('Financial Statements'!G33,0)</f>
        <v>8.3983057706315603E-2</v>
      </c>
      <c r="H8" s="31">
        <f>IFERROR('Financial Statements'!H33,0)</f>
        <v>0.11300263833139564</v>
      </c>
      <c r="I8" s="31">
        <f>IFERROR('Financial Statements'!I33,0)</f>
        <v>0.11717880433339228</v>
      </c>
      <c r="J8" s="31">
        <f>IFERROR('Financial Statements'!J33,0)</f>
        <v>0.13012690848832908</v>
      </c>
      <c r="K8" s="31">
        <f>IFERROR('Financial Statements'!K33,0)</f>
        <v>0.11151760671057526</v>
      </c>
      <c r="L8" s="31">
        <f>IFERROR('Financial Statements'!L33,0)</f>
        <v>0.1008354949115408</v>
      </c>
      <c r="M8" s="30"/>
    </row>
    <row r="9" spans="2:13" x14ac:dyDescent="0.25">
      <c r="B9" s="69" t="s">
        <v>81</v>
      </c>
      <c r="C9" s="70">
        <f>IFERROR('Financial Statements'!C39,)</f>
        <v>-4.5580980450656092E-3</v>
      </c>
      <c r="D9" s="70">
        <f>IFERROR('Financial Statements'!D39,)</f>
        <v>6.8389494877978518E-2</v>
      </c>
      <c r="E9" s="70">
        <f>IFERROR('Financial Statements'!E39,)</f>
        <v>8.3232702649166934E-2</v>
      </c>
      <c r="F9" s="70">
        <f>IFERROR('Financial Statements'!F39,)</f>
        <v>6.5342342963524744E-2</v>
      </c>
      <c r="G9" s="70">
        <f>IFERROR('Financial Statements'!G39,)</f>
        <v>5.5532497286618208E-2</v>
      </c>
      <c r="H9" s="70">
        <f>IFERROR('Financial Statements'!H39,)</f>
        <v>8.56565618258186E-2</v>
      </c>
      <c r="I9" s="70">
        <f>IFERROR('Financial Statements'!I39,)</f>
        <v>8.6834436318596747E-2</v>
      </c>
      <c r="J9" s="70">
        <f>IFERROR('Financial Statements'!J39,)</f>
        <v>9.76931269752363E-2</v>
      </c>
      <c r="K9" s="70">
        <f>IFERROR('Financial Statements'!K39,)</f>
        <v>8.5558518596461269E-2</v>
      </c>
      <c r="L9" s="70">
        <f>IFERROR('Financial Statements'!L39,)</f>
        <v>7.8345243298161532E-2</v>
      </c>
      <c r="M9" s="69"/>
    </row>
    <row r="10" spans="2:13" x14ac:dyDescent="0.25"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2:13" x14ac:dyDescent="0.25">
      <c r="B11" s="73" t="s">
        <v>109</v>
      </c>
      <c r="C11" s="74">
        <f>IFERROR('Financial Statements'!C70/'Financial Statements'!C56,0)</f>
        <v>1.1870165769945151</v>
      </c>
      <c r="D11" s="74">
        <f>IFERROR('Financial Statements'!D70/'Financial Statements'!D56,0)</f>
        <v>1.0483645747894452</v>
      </c>
      <c r="E11" s="74">
        <f>IFERROR('Financial Statements'!E70/'Financial Statements'!E56,0)</f>
        <v>1.4120758136501836</v>
      </c>
      <c r="F11" s="74">
        <f>IFERROR('Financial Statements'!F70/'Financial Statements'!F56,0)</f>
        <v>1.3799218402834017</v>
      </c>
      <c r="G11" s="74">
        <f>IFERROR('Financial Statements'!G70/'Financial Statements'!G56,0)</f>
        <v>1.3854472534555609</v>
      </c>
      <c r="H11" s="74">
        <f>IFERROR('Financial Statements'!H70/'Financial Statements'!H56,0)</f>
        <v>1.5026470704436807</v>
      </c>
      <c r="I11" s="74">
        <f>IFERROR('Financial Statements'!I70/'Financial Statements'!I56,0)</f>
        <v>1.2611481733806393</v>
      </c>
      <c r="J11" s="74">
        <f>IFERROR('Financial Statements'!J70/'Financial Statements'!J56,0)</f>
        <v>1.2888405850495526</v>
      </c>
      <c r="K11" s="74">
        <f>IFERROR('Financial Statements'!K70/'Financial Statements'!K56,0)</f>
        <v>0.73346331479080329</v>
      </c>
      <c r="L11" s="74">
        <f>IFERROR('Financial Statements'!L70/'Financial Statements'!L56,0)</f>
        <v>0.77224415748458697</v>
      </c>
      <c r="M11" s="71"/>
    </row>
    <row r="12" spans="2:13" x14ac:dyDescent="0.25">
      <c r="B12" s="51" t="s">
        <v>110</v>
      </c>
      <c r="C12" s="53">
        <f>IFERROR(('Financial Statements'!C70-'Financial Statements'!C68)/'Financial Statements'!C56,0)</f>
        <v>0.47675645508689635</v>
      </c>
      <c r="D12" s="53">
        <f>IFERROR(('Financial Statements'!D70-'Financial Statements'!D68)/'Financial Statements'!D56,0)</f>
        <v>0.46702942765118932</v>
      </c>
      <c r="E12" s="53">
        <f>IFERROR(('Financial Statements'!E70-'Financial Statements'!E68)/'Financial Statements'!E56,0)</f>
        <v>0.79879572150848188</v>
      </c>
      <c r="F12" s="53">
        <f>IFERROR(('Financial Statements'!F70-'Financial Statements'!F68)/'Financial Statements'!F56,0)</f>
        <v>0.71189298514467025</v>
      </c>
      <c r="G12" s="53">
        <f>IFERROR(('Financial Statements'!G70-'Financial Statements'!G68)/'Financial Statements'!G56,0)</f>
        <v>0.82812042215465542</v>
      </c>
      <c r="H12" s="53">
        <f>IFERROR(('Financial Statements'!H70-'Financial Statements'!H68)/'Financial Statements'!H56,0)</f>
        <v>0.94726601082533302</v>
      </c>
      <c r="I12" s="53">
        <f>IFERROR(('Financial Statements'!I70-'Financial Statements'!I68)/'Financial Statements'!I56,0)</f>
        <v>0.75980995018713005</v>
      </c>
      <c r="J12" s="53">
        <f>IFERROR(('Financial Statements'!J70-'Financial Statements'!J68)/'Financial Statements'!J56,0)</f>
        <v>0.73587010360764193</v>
      </c>
      <c r="K12" s="53">
        <f>IFERROR(('Financial Statements'!K70-'Financial Statements'!K68)/'Financial Statements'!K56,0)</f>
        <v>0.40159716613260027</v>
      </c>
      <c r="L12" s="53">
        <f>IFERROR(('Financial Statements'!L70-'Financial Statements'!L68)/'Financial Statements'!L56,0)</f>
        <v>0.39077087081931905</v>
      </c>
      <c r="M12" s="30"/>
    </row>
    <row r="13" spans="2:13" x14ac:dyDescent="0.25">
      <c r="B13" s="75" t="s">
        <v>111</v>
      </c>
      <c r="C13" s="76">
        <f>IFERROR('Financial Statements'!C69/'Financial Statements'!C56,0)</f>
        <v>0.21845269757667185</v>
      </c>
      <c r="D13" s="76">
        <f>IFERROR('Financial Statements'!D69/'Financial Statements'!D56,0)</f>
        <v>0.2299877968271751</v>
      </c>
      <c r="E13" s="76">
        <f>IFERROR('Financial Statements'!E69/'Financial Statements'!E56,0)</f>
        <v>0.52428458913100562</v>
      </c>
      <c r="F13" s="76">
        <f>IFERROR('Financial Statements'!F69/'Financial Statements'!F56,0)</f>
        <v>0.42925964225940549</v>
      </c>
      <c r="G13" s="76">
        <f>IFERROR('Financial Statements'!G69/'Financial Statements'!G56,0)</f>
        <v>0.52784306576471585</v>
      </c>
      <c r="H13" s="76">
        <f>IFERROR('Financial Statements'!H69/'Financial Statements'!H56,0)</f>
        <v>0.7592746236814033</v>
      </c>
      <c r="I13" s="76">
        <f>IFERROR('Financial Statements'!I69/'Financial Statements'!I56,0)</f>
        <v>0.57507985100377801</v>
      </c>
      <c r="J13" s="76">
        <f>IFERROR('Financial Statements'!J69/'Financial Statements'!J56,0)</f>
        <v>0.57247008641474995</v>
      </c>
      <c r="K13" s="76">
        <f>IFERROR('Financial Statements'!K69/'Financial Statements'!K56,0)</f>
        <v>0.29413477647103931</v>
      </c>
      <c r="L13" s="76">
        <f>IFERROR('Financial Statements'!L69/'Financial Statements'!L56,0)</f>
        <v>0.29860144158120389</v>
      </c>
      <c r="M13" s="69"/>
    </row>
    <row r="14" spans="2:13" x14ac:dyDescent="0.25">
      <c r="B14" s="5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2:13" x14ac:dyDescent="0.25">
      <c r="B15" s="73" t="s">
        <v>113</v>
      </c>
      <c r="C15" s="77">
        <f>IFERROR(SUM('Financial Statements'!C55:C56)/SUM('Financial Statements'!C53:C54),0)</f>
        <v>0.58387878031172513</v>
      </c>
      <c r="D15" s="77">
        <f>IFERROR(SUM('Financial Statements'!D55:D56)/SUM('Financial Statements'!D53:D54),0)</f>
        <v>0.52444497645838317</v>
      </c>
      <c r="E15" s="77">
        <f>IFERROR(SUM('Financial Statements'!E55:E56)/SUM('Financial Statements'!E53:E54),0)</f>
        <v>0.48767848000455088</v>
      </c>
      <c r="F15" s="77">
        <f>IFERROR(SUM('Financial Statements'!F55:F56)/SUM('Financial Statements'!F53:F54),0)</f>
        <v>0.48406165563464904</v>
      </c>
      <c r="G15" s="77">
        <f>IFERROR(SUM('Financial Statements'!G55:G56)/SUM('Financial Statements'!G53:G54),0)</f>
        <v>0.33718618936420636</v>
      </c>
      <c r="H15" s="77">
        <f>IFERROR(SUM('Financial Statements'!H55:H56)/SUM('Financial Statements'!H53:H54),0)</f>
        <v>0.39102178195205756</v>
      </c>
      <c r="I15" s="77">
        <f>IFERROR(SUM('Financial Statements'!I55:I56)/SUM('Financial Statements'!I53:I54),0)</f>
        <v>0.39182099519612412</v>
      </c>
      <c r="J15" s="77">
        <f>IFERROR(SUM('Financial Statements'!J55:J56)/SUM('Financial Statements'!J53:J54),0)</f>
        <v>0.39846996106707067</v>
      </c>
      <c r="K15" s="77">
        <f>IFERROR(SUM('Financial Statements'!K55:K56)/SUM('Financial Statements'!K53:K54),0)</f>
        <v>0.73626173101846626</v>
      </c>
      <c r="L15" s="77">
        <f>IFERROR(SUM('Financial Statements'!L55:L56)/SUM('Financial Statements'!L53:L54),0)</f>
        <v>0.59144506196665381</v>
      </c>
      <c r="M15" s="71"/>
    </row>
    <row r="16" spans="2:13" x14ac:dyDescent="0.25">
      <c r="B16" s="51" t="s">
        <v>112</v>
      </c>
      <c r="C16" s="32">
        <f>IFERROR(SUM('Financial Statements'!C55:C56)/'Financial Statements'!C72,0)</f>
        <v>0.36863855212253765</v>
      </c>
      <c r="D16" s="32">
        <f>IFERROR(SUM('Financial Statements'!D55:D56)/'Financial Statements'!D72,0)</f>
        <v>0.34402355254355116</v>
      </c>
      <c r="E16" s="32">
        <f>IFERROR(SUM('Financial Statements'!E55:E56)/'Financial Statements'!E72,0)</f>
        <v>0.327811745991687</v>
      </c>
      <c r="F16" s="32">
        <f>IFERROR(SUM('Financial Statements'!F55:F56)/'Financial Statements'!F72,0)</f>
        <v>0.32617354797678083</v>
      </c>
      <c r="G16" s="32">
        <f>IFERROR(SUM('Financial Statements'!G55:G56)/'Financial Statements'!G72,0)</f>
        <v>0.25216098703840839</v>
      </c>
      <c r="H16" s="32">
        <f>IFERROR(SUM('Financial Statements'!H55:H56)/'Financial Statements'!H72,0)</f>
        <v>0.28110399637547473</v>
      </c>
      <c r="I16" s="32">
        <f>IFERROR(SUM('Financial Statements'!I55:I56)/'Financial Statements'!I72,0)</f>
        <v>0.28151680176437627</v>
      </c>
      <c r="J16" s="32">
        <f>IFERROR(SUM('Financial Statements'!J55:J56)/'Financial Statements'!J72,0)</f>
        <v>0.28493279953115852</v>
      </c>
      <c r="K16" s="32">
        <f>IFERROR(SUM('Financial Statements'!K55:K56)/'Financial Statements'!K72,0)</f>
        <v>0.4240499677353286</v>
      </c>
      <c r="L16" s="32">
        <f>IFERROR(SUM('Financial Statements'!L55:L56)/'Financial Statements'!L72,0)</f>
        <v>0.37164026336904538</v>
      </c>
      <c r="M16" s="30"/>
    </row>
    <row r="17" spans="2:13" x14ac:dyDescent="0.25">
      <c r="B17" s="69" t="s">
        <v>86</v>
      </c>
      <c r="C17" s="78">
        <f>IFERROR('Financial Statements'!C23/'Financial Statements'!C26,0)</f>
        <v>2.1310521813515848</v>
      </c>
      <c r="D17" s="78">
        <f>IFERROR('Financial Statements'!D23/'Financial Statements'!D26,0)</f>
        <v>7.2663607560362635</v>
      </c>
      <c r="E17" s="78">
        <f>IFERROR('Financial Statements'!E23/'Financial Statements'!E26,0)</f>
        <v>16.905285313376986</v>
      </c>
      <c r="F17" s="78">
        <f>IFERROR('Financial Statements'!F23/'Financial Statements'!F26,0)</f>
        <v>12.64227177434724</v>
      </c>
      <c r="G17" s="78">
        <f>IFERROR('Financial Statements'!G23/'Financial Statements'!G26,0)</f>
        <v>13.491394811199589</v>
      </c>
      <c r="H17" s="78">
        <f>IFERROR('Financial Statements'!H23/'Financial Statements'!H26,0)</f>
        <v>18.765759208036137</v>
      </c>
      <c r="I17" s="78">
        <f>IFERROR('Financial Statements'!I23/'Financial Statements'!I26,0)</f>
        <v>19.796235229458677</v>
      </c>
      <c r="J17" s="78">
        <f>IFERROR('Financial Statements'!J23/'Financial Statements'!J26,0)</f>
        <v>17.810807709958674</v>
      </c>
      <c r="K17" s="78">
        <f>IFERROR('Financial Statements'!K23/'Financial Statements'!K26,0)</f>
        <v>14.690316616593488</v>
      </c>
      <c r="L17" s="78">
        <f>IFERROR('Financial Statements'!L23/'Financial Statements'!L26,0)</f>
        <v>6.4735010337698125</v>
      </c>
      <c r="M17" s="69"/>
    </row>
    <row r="18" spans="2:13" x14ac:dyDescent="0.25">
      <c r="E18" s="22"/>
    </row>
    <row r="19" spans="2:13" x14ac:dyDescent="0.25">
      <c r="B19" s="71" t="s">
        <v>82</v>
      </c>
      <c r="C19" s="72">
        <f>IFERROR('Financial Statements'!C23/SUM('Financial Statements'!C53:C55),0)</f>
        <v>3.2773686329299806E-2</v>
      </c>
      <c r="D19" s="72">
        <f>IFERROR('Financial Statements'!D23/SUM('Financial Statements'!D53:D55),0)</f>
        <v>9.4311449420452928E-2</v>
      </c>
      <c r="E19" s="72">
        <f>IFERROR('Financial Statements'!E23/SUM('Financial Statements'!E53:E55),0)</f>
        <v>8.9252245289029253E-2</v>
      </c>
      <c r="F19" s="72">
        <f>IFERROR('Financial Statements'!F23/SUM('Financial Statements'!F53:F55),0)</f>
        <v>7.8290622097325652E-2</v>
      </c>
      <c r="G19" s="72">
        <f>IFERROR('Financial Statements'!G23/SUM('Financial Statements'!G53:G55),0)</f>
        <v>6.8205163500459062E-2</v>
      </c>
      <c r="H19" s="72">
        <f>IFERROR('Financial Statements'!H23/SUM('Financial Statements'!H53:H55),0)</f>
        <v>7.9726324617795968E-2</v>
      </c>
      <c r="I19" s="72">
        <f>IFERROR('Financial Statements'!I23/SUM('Financial Statements'!I53:I55),0)</f>
        <v>8.7034816463744447E-2</v>
      </c>
      <c r="J19" s="72">
        <f>IFERROR('Financial Statements'!J23/SUM('Financial Statements'!J53:J55),0)</f>
        <v>8.6838491336512405E-2</v>
      </c>
      <c r="K19" s="72">
        <f>IFERROR('Financial Statements'!K23/SUM('Financial Statements'!K53:K55),0)</f>
        <v>9.7622044833600499E-2</v>
      </c>
      <c r="L19" s="72">
        <f>IFERROR('Financial Statements'!L23/SUM('Financial Statements'!L53:L55),0)</f>
        <v>8.3889887182858044E-2</v>
      </c>
      <c r="M19" s="71"/>
    </row>
    <row r="20" spans="2:13" x14ac:dyDescent="0.25">
      <c r="B20" s="30" t="s">
        <v>83</v>
      </c>
      <c r="C20" s="31">
        <f>IFERROR('Financial Statements'!C49,0)</f>
        <v>0</v>
      </c>
      <c r="D20" s="31">
        <f>IFERROR('Financial Statements'!D49,0)</f>
        <v>0.68012509435996926</v>
      </c>
      <c r="E20" s="31">
        <f>IFERROR('Financial Statements'!E49,0)</f>
        <v>0.73855022388322811</v>
      </c>
      <c r="F20" s="31">
        <f>IFERROR('Financial Statements'!F49,0)</f>
        <v>0.66701137538779709</v>
      </c>
      <c r="G20" s="31">
        <f>IFERROR('Financial Statements'!G49,0)</f>
        <v>0.53506231431827955</v>
      </c>
      <c r="H20" s="31">
        <f>IFERROR('Financial Statements'!H49,0)</f>
        <v>0.62441763350406099</v>
      </c>
      <c r="I20" s="31">
        <f>IFERROR('Financial Statements'!I49,0)</f>
        <v>0.4832290652949639</v>
      </c>
      <c r="J20" s="31">
        <f>IFERROR('Financial Statements'!J49,0)</f>
        <v>0.41701571458277542</v>
      </c>
      <c r="K20" s="31">
        <f>IFERROR('Financial Statements'!K49,0)</f>
        <v>0.43241685178210476</v>
      </c>
      <c r="L20" s="31">
        <f>IFERROR('Financial Statements'!L49,0)</f>
        <v>0.40858213010120881</v>
      </c>
      <c r="M20" s="30"/>
    </row>
    <row r="21" spans="2:13" x14ac:dyDescent="0.25">
      <c r="B21" s="30" t="s">
        <v>84</v>
      </c>
      <c r="C21" s="31">
        <f>IFERROR('Financial Statements'!C38/SUM('Financial Statements'!C53:C54),0)</f>
        <v>-4.8421925447842329E-3</v>
      </c>
      <c r="D21" s="31">
        <f>IFERROR('Financial Statements'!D38/SUM('Financial Statements'!D53:D54),0)</f>
        <v>7.4000478812544762E-2</v>
      </c>
      <c r="E21" s="31">
        <f>IFERROR('Financial Statements'!E38/SUM('Financial Statements'!E53:E54),0)</f>
        <v>8.0672962056999822E-2</v>
      </c>
      <c r="F21" s="31">
        <f>IFERROR('Financial Statements'!F38/SUM('Financial Statements'!F53:F54),0)</f>
        <v>6.4627664290224998E-2</v>
      </c>
      <c r="G21" s="31">
        <f>IFERROR('Financial Statements'!G38/SUM('Financial Statements'!G53:G54),0)</f>
        <v>3.874016819569652E-2</v>
      </c>
      <c r="H21" s="31">
        <f>IFERROR('Financial Statements'!H38/SUM('Financial Statements'!H53:H54),0)</f>
        <v>6.8374510045402445E-2</v>
      </c>
      <c r="I21" s="31">
        <f>IFERROR('Financial Statements'!I38/SUM('Financial Statements'!I53:I54),0)</f>
        <v>7.1255730771618592E-2</v>
      </c>
      <c r="J21" s="31">
        <f>IFERROR('Financial Statements'!J38/SUM('Financial Statements'!J53:J54),0)</f>
        <v>8.2726791839382655E-2</v>
      </c>
      <c r="K21" s="31">
        <f>IFERROR('Financial Statements'!K38/SUM('Financial Statements'!K53:K54),0)</f>
        <v>8.1024289412765599E-2</v>
      </c>
      <c r="L21" s="31">
        <f>IFERROR('Financial Statements'!L38/SUM('Financial Statements'!L53:L54),0)</f>
        <v>6.9011773364238291E-2</v>
      </c>
      <c r="M21" s="30"/>
    </row>
    <row r="22" spans="2:13" x14ac:dyDescent="0.25">
      <c r="B22" s="69" t="s">
        <v>85</v>
      </c>
      <c r="C22" s="70">
        <f>IFERROR(C21*C20,0)</f>
        <v>0</v>
      </c>
      <c r="D22" s="70">
        <f t="shared" ref="D22:L22" si="0">IFERROR(D21*D20,0)</f>
        <v>5.0329582635064915E-2</v>
      </c>
      <c r="E22" s="70">
        <f t="shared" si="0"/>
        <v>5.9581034188520385E-2</v>
      </c>
      <c r="F22" s="70">
        <f t="shared" si="0"/>
        <v>4.3107387246323799E-2</v>
      </c>
      <c r="G22" s="70">
        <f t="shared" si="0"/>
        <v>2.0728404051868789E-2</v>
      </c>
      <c r="H22" s="70">
        <f t="shared" si="0"/>
        <v>4.2694249754549843E-2</v>
      </c>
      <c r="I22" s="70">
        <f t="shared" si="0"/>
        <v>3.443284017767885E-2</v>
      </c>
      <c r="J22" s="70">
        <f t="shared" si="0"/>
        <v>3.4498372214040673E-2</v>
      </c>
      <c r="K22" s="70">
        <f t="shared" si="0"/>
        <v>3.503626814575022E-2</v>
      </c>
      <c r="L22" s="70">
        <f t="shared" si="0"/>
        <v>2.8196977363222346E-2</v>
      </c>
      <c r="M22" s="69"/>
    </row>
    <row r="24" spans="2:13" x14ac:dyDescent="0.25">
      <c r="B24" s="71" t="s">
        <v>88</v>
      </c>
      <c r="C24" s="77">
        <f>IFERROR('Financial Statements'!C5/'Financial Statements'!C67,0)</f>
        <v>11.202234863190588</v>
      </c>
      <c r="D24" s="77">
        <f>IFERROR('Financial Statements'!D5/'Financial Statements'!D67,0)</f>
        <v>11.443244155624948</v>
      </c>
      <c r="E24" s="77">
        <f>IFERROR('Financial Statements'!E5/'Financial Statements'!E67,0)</f>
        <v>10.512972789535388</v>
      </c>
      <c r="F24" s="77">
        <f>IFERROR('Financial Statements'!F5/'Financial Statements'!F67,0)</f>
        <v>10.655352288590112</v>
      </c>
      <c r="G24" s="77">
        <f>IFERROR('Financial Statements'!G5/'Financial Statements'!G67,0)</f>
        <v>10.448087076245921</v>
      </c>
      <c r="H24" s="77">
        <f>IFERROR('Financial Statements'!H5/'Financial Statements'!H67,0)</f>
        <v>15.239360584248411</v>
      </c>
      <c r="I24" s="77">
        <f>IFERROR('Financial Statements'!I5/'Financial Statements'!I67,0)</f>
        <v>14.878009938334433</v>
      </c>
      <c r="J24" s="77">
        <f>IFERROR('Financial Statements'!J5/'Financial Statements'!J67,0)</f>
        <v>17.26499066801949</v>
      </c>
      <c r="K24" s="77">
        <f>IFERROR('Financial Statements'!K5/'Financial Statements'!K67,0)</f>
        <v>16.95662113186507</v>
      </c>
      <c r="L24" s="77">
        <f>IFERROR('Financial Statements'!L5/'Financial Statements'!L67,0)</f>
        <v>20.255808873406224</v>
      </c>
      <c r="M24" s="71"/>
    </row>
    <row r="25" spans="2:13" x14ac:dyDescent="0.25">
      <c r="B25" s="30" t="s">
        <v>87</v>
      </c>
      <c r="C25" s="32">
        <f>IFERROR(('Financial Statements'!C8+'Financial Statements'!C68)/'Financial Statements'!C56,0)</f>
        <v>2.7587266845138956</v>
      </c>
      <c r="D25" s="32">
        <f>IFERROR(('Financial Statements'!D8+'Financial Statements'!D68)/'Financial Statements'!D56,0)</f>
        <v>2.4541060675775705</v>
      </c>
      <c r="E25" s="32">
        <f>IFERROR(('Financial Statements'!E8+'Financial Statements'!E68)/'Financial Statements'!E56,0)</f>
        <v>2.6468508371513986</v>
      </c>
      <c r="F25" s="32">
        <f>IFERROR(('Financial Statements'!F8+'Financial Statements'!F68)/'Financial Statements'!F56,0)</f>
        <v>2.7913858191196446</v>
      </c>
      <c r="G25" s="32">
        <f>IFERROR(('Financial Statements'!G8+'Financial Statements'!G68)/'Financial Statements'!G56,0)</f>
        <v>2.7181642392556951</v>
      </c>
      <c r="H25" s="32">
        <f>IFERROR(('Financial Statements'!H8+'Financial Statements'!H68)/'Financial Statements'!H56,0)</f>
        <v>2.5870051558610876</v>
      </c>
      <c r="I25" s="32">
        <f>IFERROR(('Financial Statements'!I8+'Financial Statements'!I68)/'Financial Statements'!I56,0)</f>
        <v>2.4024844500676852</v>
      </c>
      <c r="J25" s="32">
        <f>IFERROR(('Financial Statements'!J8+'Financial Statements'!J68)/'Financial Statements'!J56,0)</f>
        <v>2.53448607580428</v>
      </c>
      <c r="K25" s="32">
        <f>IFERROR(('Financial Statements'!K8+'Financial Statements'!K68)/'Financial Statements'!K56,0)</f>
        <v>1.5726693813377943</v>
      </c>
      <c r="L25" s="32">
        <f>IFERROR(('Financial Statements'!L8+'Financial Statements'!L68)/'Financial Statements'!L56,0)</f>
        <v>1.662911180201889</v>
      </c>
      <c r="M25" s="30"/>
    </row>
    <row r="26" spans="2:13" x14ac:dyDescent="0.25">
      <c r="B26" s="30" t="s">
        <v>89</v>
      </c>
      <c r="C26" s="32">
        <f>IFERROR('Financial Statements'!C8/'Financial Statements'!C68,0)</f>
        <v>2.8841075254295552</v>
      </c>
      <c r="D26" s="32">
        <f>IFERROR('Financial Statements'!D8/'Financial Statements'!D68,0)</f>
        <v>3.2214995595198772</v>
      </c>
      <c r="E26" s="32">
        <f>IFERROR('Financial Statements'!E8/'Financial Statements'!E68,0)</f>
        <v>3.3158923158716025</v>
      </c>
      <c r="F26" s="32">
        <f>IFERROR('Financial Statements'!F8/'Financial Statements'!F68,0)</f>
        <v>3.1785407885411621</v>
      </c>
      <c r="G26" s="32">
        <f>IFERROR('Financial Statements'!G8/'Financial Statements'!G68,0)</f>
        <v>3.877145844406932</v>
      </c>
      <c r="H26" s="32">
        <f>IFERROR('Financial Statements'!H8/'Financial Statements'!H68,0)</f>
        <v>3.6580723470095498</v>
      </c>
      <c r="I26" s="32">
        <f>IFERROR('Financial Statements'!I8/'Financial Statements'!I68,0)</f>
        <v>3.7921429863534675</v>
      </c>
      <c r="J26" s="32">
        <f>IFERROR('Financial Statements'!J8/'Financial Statements'!J68,0)</f>
        <v>3.583402117949269</v>
      </c>
      <c r="K26" s="32">
        <f>IFERROR('Financial Statements'!K8/'Financial Statements'!K68,0)</f>
        <v>3.7388665210247893</v>
      </c>
      <c r="L26" s="32">
        <f>IFERROR('Financial Statements'!L8/'Financial Statements'!L68,0)</f>
        <v>3.359181201752266</v>
      </c>
      <c r="M26" s="30"/>
    </row>
    <row r="27" spans="2:13" x14ac:dyDescent="0.25">
      <c r="B27" s="30" t="s">
        <v>90</v>
      </c>
      <c r="C27" s="32">
        <f>IFERROR('Financial Statements'!C5/SUM('Financial Statements'!C60:C62),0)</f>
        <v>1.0938462147034198</v>
      </c>
      <c r="D27" s="32">
        <f>IFERROR('Financial Statements'!D5/SUM('Financial Statements'!D60:D62),0)</f>
        <v>1.1138081954123829</v>
      </c>
      <c r="E27" s="32">
        <f>IFERROR('Financial Statements'!E5/SUM('Financial Statements'!E60:E62),0)</f>
        <v>1.11824758354431</v>
      </c>
      <c r="F27" s="32">
        <f>IFERROR('Financial Statements'!F5/SUM('Financial Statements'!F60:F62),0)</f>
        <v>1.1112762781631107</v>
      </c>
      <c r="G27" s="32">
        <f>IFERROR('Financial Statements'!G5/SUM('Financial Statements'!G60:G62),0)</f>
        <v>0.73713041828817571</v>
      </c>
      <c r="H27" s="32">
        <f>IFERROR('Financial Statements'!H5/SUM('Financial Statements'!H60:H62),0)</f>
        <v>0.89647245722604241</v>
      </c>
      <c r="I27" s="32">
        <f>IFERROR('Financial Statements'!I5/SUM('Financial Statements'!I60:I62),0)</f>
        <v>0.91071051628602429</v>
      </c>
      <c r="J27" s="32">
        <f>IFERROR('Financial Statements'!J5/SUM('Financial Statements'!J60:J62),0)</f>
        <v>0.93142612706794403</v>
      </c>
      <c r="K27" s="32">
        <f>IFERROR('Financial Statements'!K5/SUM('Financial Statements'!K60:K62),0)</f>
        <v>0.74472586755346382</v>
      </c>
      <c r="L27" s="32">
        <f>IFERROR('Financial Statements'!L5/SUM('Financial Statements'!L60:L62),0)</f>
        <v>0.77738277352990104</v>
      </c>
      <c r="M27" s="30"/>
    </row>
    <row r="28" spans="2:13" x14ac:dyDescent="0.25">
      <c r="B28" s="69" t="s">
        <v>91</v>
      </c>
      <c r="C28" s="78">
        <f>IFERROR('Financial Statements'!C5/SUM('Financial Statements'!C53:C55),0)</f>
        <v>0.87308879364102077</v>
      </c>
      <c r="D28" s="78">
        <f>IFERROR('Financial Statements'!D5/SUM('Financial Statements'!D53:D55),0)</f>
        <v>0.96135739060643277</v>
      </c>
      <c r="E28" s="78">
        <f>IFERROR('Financial Statements'!E5/SUM('Financial Statements'!E53:E55),0)</f>
        <v>0.84148642208223556</v>
      </c>
      <c r="F28" s="78">
        <f>IFERROR('Financial Statements'!F5/SUM('Financial Statements'!F53:F55),0)</f>
        <v>0.85585739762227087</v>
      </c>
      <c r="G28" s="78">
        <f>IFERROR('Financial Statements'!G5/SUM('Financial Statements'!G53:G55),0)</f>
        <v>0.62575854577376533</v>
      </c>
      <c r="H28" s="78">
        <f>IFERROR('Financial Statements'!H5/SUM('Financial Statements'!H53:H55),0)</f>
        <v>0.71758949434873454</v>
      </c>
      <c r="I28" s="78">
        <f>IFERROR('Financial Statements'!I5/SUM('Financial Statements'!I53:I55),0)</f>
        <v>0.75059849763953623</v>
      </c>
      <c r="J28" s="78">
        <f>IFERROR('Financial Statements'!J5/SUM('Financial Statements'!J53:J55),0)</f>
        <v>0.77101039059113097</v>
      </c>
      <c r="K28" s="78">
        <f>IFERROR('Financial Statements'!K5/SUM('Financial Statements'!K53:K55),0)</f>
        <v>0.77842951856787213</v>
      </c>
      <c r="L28" s="78">
        <f>IFERROR('Financial Statements'!L5/SUM('Financial Statements'!L53:L55),0)</f>
        <v>0.78675041618736641</v>
      </c>
      <c r="M28" s="69"/>
    </row>
    <row r="30" spans="2:13" x14ac:dyDescent="0.25">
      <c r="B30" s="71" t="s">
        <v>92</v>
      </c>
      <c r="C30" s="79">
        <f>IFERROR(365/C24,0)</f>
        <v>32.582784101354015</v>
      </c>
      <c r="D30" s="79">
        <f t="shared" ref="D30:L30" si="1">IFERROR(365/D24,0)</f>
        <v>31.896549180992839</v>
      </c>
      <c r="E30" s="79">
        <f t="shared" si="1"/>
        <v>34.719009295193935</v>
      </c>
      <c r="F30" s="79">
        <f t="shared" si="1"/>
        <v>34.255085154795552</v>
      </c>
      <c r="G30" s="79">
        <f t="shared" si="1"/>
        <v>34.934624619452094</v>
      </c>
      <c r="H30" s="79">
        <f t="shared" si="1"/>
        <v>23.951136137382854</v>
      </c>
      <c r="I30" s="79">
        <f t="shared" si="1"/>
        <v>24.532850933211645</v>
      </c>
      <c r="J30" s="79">
        <f t="shared" si="1"/>
        <v>21.141048206652176</v>
      </c>
      <c r="K30" s="79">
        <f t="shared" si="1"/>
        <v>21.525514851192138</v>
      </c>
      <c r="L30" s="79">
        <f t="shared" si="1"/>
        <v>18.019522314865792</v>
      </c>
      <c r="M30" s="71"/>
    </row>
    <row r="31" spans="2:13" x14ac:dyDescent="0.25">
      <c r="B31" s="30" t="s">
        <v>93</v>
      </c>
      <c r="C31" s="33">
        <f>IFERROR(365/C25,0)</f>
        <v>132.3074163341104</v>
      </c>
      <c r="D31" s="33">
        <f t="shared" ref="D31:L31" si="2">IFERROR(365/D25,0)</f>
        <v>148.73032784613451</v>
      </c>
      <c r="E31" s="33">
        <f t="shared" si="2"/>
        <v>137.89972403311603</v>
      </c>
      <c r="F31" s="33">
        <f t="shared" si="2"/>
        <v>130.75942333013455</v>
      </c>
      <c r="G31" s="33">
        <f t="shared" si="2"/>
        <v>134.28180487723088</v>
      </c>
      <c r="H31" s="33">
        <f t="shared" si="2"/>
        <v>141.08978452287209</v>
      </c>
      <c r="I31" s="33">
        <f t="shared" si="2"/>
        <v>151.92606136939486</v>
      </c>
      <c r="J31" s="33">
        <f t="shared" si="2"/>
        <v>144.01341695443045</v>
      </c>
      <c r="K31" s="33">
        <f t="shared" si="2"/>
        <v>232.08946796529608</v>
      </c>
      <c r="L31" s="33">
        <f t="shared" si="2"/>
        <v>219.49458536666188</v>
      </c>
      <c r="M31" s="30"/>
    </row>
    <row r="32" spans="2:13" x14ac:dyDescent="0.25">
      <c r="B32" s="30" t="s">
        <v>94</v>
      </c>
      <c r="C32" s="33">
        <f>IFERROR(365/C26,0)</f>
        <v>126.5556144428552</v>
      </c>
      <c r="D32" s="33">
        <f t="shared" ref="D32:L32" si="3">IFERROR(365/D26,0)</f>
        <v>113.30127267017181</v>
      </c>
      <c r="E32" s="33">
        <f t="shared" si="3"/>
        <v>110.07595097492107</v>
      </c>
      <c r="F32" s="33">
        <f t="shared" si="3"/>
        <v>114.83256760959236</v>
      </c>
      <c r="G32" s="33">
        <f t="shared" si="3"/>
        <v>94.141416043592827</v>
      </c>
      <c r="H32" s="33">
        <f t="shared" si="3"/>
        <v>99.779327846915095</v>
      </c>
      <c r="I32" s="33">
        <f t="shared" si="3"/>
        <v>96.251644865054189</v>
      </c>
      <c r="J32" s="33">
        <f t="shared" si="3"/>
        <v>101.8585098701913</v>
      </c>
      <c r="K32" s="33">
        <f t="shared" si="3"/>
        <v>97.623169467937259</v>
      </c>
      <c r="L32" s="33">
        <f t="shared" si="3"/>
        <v>108.6574311054144</v>
      </c>
      <c r="M32" s="30"/>
    </row>
    <row r="33" spans="2:13" x14ac:dyDescent="0.25">
      <c r="B33" s="80" t="s">
        <v>95</v>
      </c>
      <c r="C33" s="81">
        <f>IFERROR(C30+C32-C31,0)</f>
        <v>26.830982210098824</v>
      </c>
      <c r="D33" s="81">
        <f t="shared" ref="D33:L33" si="4">IFERROR(D30+D32-D31,0)</f>
        <v>-3.5325059949698527</v>
      </c>
      <c r="E33" s="81">
        <f t="shared" si="4"/>
        <v>6.8952362369989828</v>
      </c>
      <c r="F33" s="81">
        <f t="shared" si="4"/>
        <v>18.328229434253359</v>
      </c>
      <c r="G33" s="81">
        <f t="shared" si="4"/>
        <v>-5.2057642141859617</v>
      </c>
      <c r="H33" s="81">
        <f t="shared" si="4"/>
        <v>-17.359320538574138</v>
      </c>
      <c r="I33" s="81">
        <f t="shared" si="4"/>
        <v>-31.141565571129021</v>
      </c>
      <c r="J33" s="81">
        <f t="shared" si="4"/>
        <v>-21.013858877586983</v>
      </c>
      <c r="K33" s="81">
        <f t="shared" si="4"/>
        <v>-112.94078364616668</v>
      </c>
      <c r="L33" s="81">
        <f t="shared" si="4"/>
        <v>-92.817631946381681</v>
      </c>
      <c r="M33" s="69"/>
    </row>
    <row r="35" spans="2:13" x14ac:dyDescent="0.25">
      <c r="B35" s="71" t="s">
        <v>96</v>
      </c>
      <c r="C35" s="72">
        <f>IFERROR('Financial Statements'!C77/'Financial Statements'!C5,0)</f>
        <v>1.7475973926172374E-2</v>
      </c>
      <c r="D35" s="72">
        <f>IFERROR('Financial Statements'!D77/'Financial Statements'!D5,0)</f>
        <v>0.10932879025894049</v>
      </c>
      <c r="E35" s="72">
        <f>IFERROR('Financial Statements'!E77/'Financial Statements'!E5,0)</f>
        <v>5.2173402686582486E-2</v>
      </c>
      <c r="F35" s="72">
        <f>IFERROR('Financial Statements'!F77/'Financial Statements'!F5,0)</f>
        <v>2.8941598290008964E-2</v>
      </c>
      <c r="G35" s="72">
        <f>IFERROR('Financial Statements'!G77/'Financial Statements'!G5,0)</f>
        <v>0.11229457676432074</v>
      </c>
      <c r="H35" s="72">
        <f>IFERROR('Financial Statements'!H77/'Financial Statements'!H5,0)</f>
        <v>0.14276553327305652</v>
      </c>
      <c r="I35" s="72">
        <f>IFERROR('Financial Statements'!I77/'Financial Statements'!I5,0)</f>
        <v>0.12199314789016343</v>
      </c>
      <c r="J35" s="72">
        <f>IFERROR('Financial Statements'!J77/'Financial Statements'!J5,0)</f>
        <v>0.1060199547854048</v>
      </c>
      <c r="K35" s="72">
        <f>IFERROR('Financial Statements'!K77/'Financial Statements'!K5,0)</f>
        <v>0.12736413945948435</v>
      </c>
      <c r="L35" s="72">
        <f>IFERROR('Financial Statements'!L77/'Financial Statements'!L5,0)</f>
        <v>0.11673373708019504</v>
      </c>
      <c r="M35" s="71"/>
    </row>
    <row r="36" spans="2:13" x14ac:dyDescent="0.25">
      <c r="B36" s="30" t="s">
        <v>97</v>
      </c>
      <c r="C36" s="31">
        <f>IFERROR('Financial Statements'!C77/'Financial Statements'!C72,0)</f>
        <v>1.1721355545763619E-2</v>
      </c>
      <c r="D36" s="31">
        <f>IFERROR('Financial Statements'!D77/'Financial Statements'!D72,0)</f>
        <v>7.7601108108645747E-2</v>
      </c>
      <c r="E36" s="31">
        <f>IFERROR('Financial Statements'!E77/'Financial Statements'!E72,0)</f>
        <v>3.3991794095266502E-2</v>
      </c>
      <c r="F36" s="31">
        <f>IFERROR('Financial Statements'!F77/'Financial Statements'!F72,0)</f>
        <v>1.928831653903984E-2</v>
      </c>
      <c r="G36" s="31">
        <f>IFERROR('Financial Statements'!G77/'Financial Statements'!G72,0)</f>
        <v>5.8584293651721644E-2</v>
      </c>
      <c r="H36" s="31">
        <f>IFERROR('Financial Statements'!H77/'Financial Statements'!H72,0)</f>
        <v>8.1926241305937036E-2</v>
      </c>
      <c r="I36" s="31">
        <f>IFERROR('Financial Statements'!I77/'Financial Statements'!I72,0)</f>
        <v>7.1924998825615538E-2</v>
      </c>
      <c r="J36" s="31">
        <f>IFERROR('Financial Statements'!J77/'Financial Statements'!J72,0)</f>
        <v>6.4197282458992852E-2</v>
      </c>
      <c r="K36" s="31">
        <f>IFERROR('Financial Statements'!K77/'Financial Statements'!K72,0)</f>
        <v>6.9467864279619027E-2</v>
      </c>
      <c r="L36" s="31">
        <f>IFERROR('Financial Statements'!L77/'Financial Statements'!L72,0)</f>
        <v>6.4612313552170841E-2</v>
      </c>
      <c r="M36" s="30"/>
    </row>
    <row r="37" spans="2:13" x14ac:dyDescent="0.25">
      <c r="B37" s="69" t="s">
        <v>98</v>
      </c>
      <c r="C37" s="70">
        <f>IFERROR('Financial Statements'!C77/'Financial Statements'!C55,0)</f>
        <v>8.5654148665115767E-2</v>
      </c>
      <c r="D37" s="70">
        <f>IFERROR('Financial Statements'!D77/'Financial Statements'!D55,0)</f>
        <v>0.94233116354759983</v>
      </c>
      <c r="E37" s="70">
        <f>IFERROR('Financial Statements'!E77/'Financial Statements'!E55,0)</f>
        <v>0.33307105790666741</v>
      </c>
      <c r="F37" s="70">
        <f>IFERROR('Financial Statements'!F77/'Financial Statements'!F55,0)</f>
        <v>0.18391902550170888</v>
      </c>
      <c r="G37" s="70">
        <f>IFERROR('Financial Statements'!G77/'Financial Statements'!G55,0)</f>
        <v>0.68222678904634626</v>
      </c>
      <c r="H37" s="70">
        <f>IFERROR('Financial Statements'!H77/'Financial Statements'!H55,0)</f>
        <v>1.0139695754644791</v>
      </c>
      <c r="I37" s="70">
        <f>IFERROR('Financial Statements'!I77/'Financial Statements'!I55,0)</f>
        <v>1.0735122272505151</v>
      </c>
      <c r="J37" s="70">
        <f>IFERROR('Financial Statements'!J77/'Financial Statements'!J55,0)</f>
        <v>0.91328341791455214</v>
      </c>
      <c r="K37" s="70">
        <f>IFERROR('Financial Statements'!K77/'Financial Statements'!K55,0)</f>
        <v>0.55696217092965072</v>
      </c>
      <c r="L37" s="70">
        <f>IFERROR('Financial Statements'!L77/'Financial Statements'!L55,0)</f>
        <v>0.85955915542404338</v>
      </c>
      <c r="M37" s="69"/>
    </row>
    <row r="41" spans="2:13" x14ac:dyDescent="0.25">
      <c r="B41" s="32"/>
      <c r="C41" s="32"/>
      <c r="D41" s="32"/>
      <c r="E41" s="32"/>
      <c r="F41" s="32"/>
      <c r="G41" s="32"/>
      <c r="H41" s="32"/>
      <c r="I41" s="32"/>
      <c r="J41" s="32"/>
    </row>
    <row r="42" spans="2:13" x14ac:dyDescent="0.25">
      <c r="B42" s="35"/>
      <c r="C42" s="35"/>
      <c r="D42" s="35"/>
      <c r="E42" s="35"/>
      <c r="F42" s="35"/>
      <c r="G42" s="35"/>
      <c r="H42" s="35"/>
      <c r="I42" s="35"/>
      <c r="J42" s="35"/>
    </row>
    <row r="43" spans="2:13" x14ac:dyDescent="0.25">
      <c r="B43" s="32"/>
      <c r="C43" s="32"/>
      <c r="D43" s="32"/>
      <c r="E43" s="32"/>
      <c r="F43" s="32"/>
      <c r="G43" s="32"/>
      <c r="H43" s="32"/>
      <c r="I43" s="32"/>
      <c r="J43" s="32"/>
    </row>
    <row r="45" spans="2:13" x14ac:dyDescent="0.25">
      <c r="B45" s="34"/>
      <c r="C45" s="34"/>
      <c r="D45" s="34"/>
      <c r="E45" s="34"/>
      <c r="F45" s="34"/>
      <c r="G45" s="34"/>
      <c r="H45" s="34"/>
      <c r="I45" s="34"/>
      <c r="J45" s="34"/>
    </row>
    <row r="46" spans="2:13" x14ac:dyDescent="0.25">
      <c r="B46" s="34"/>
      <c r="C46" s="34"/>
      <c r="D46" s="34"/>
      <c r="E46" s="34"/>
      <c r="F46" s="34"/>
      <c r="G46" s="34"/>
      <c r="H46" s="34"/>
      <c r="I46" s="34"/>
      <c r="J46" s="34"/>
    </row>
    <row r="47" spans="2:13" x14ac:dyDescent="0.25">
      <c r="C47" s="34"/>
      <c r="D47" s="34"/>
      <c r="E47" s="34"/>
      <c r="F47" s="34"/>
      <c r="G47" s="34"/>
      <c r="H47" s="34"/>
      <c r="I47" s="34"/>
      <c r="J47" s="34"/>
      <c r="K47" s="34"/>
      <c r="L47" s="34"/>
    </row>
    <row r="48" spans="2:13" x14ac:dyDescent="0.25">
      <c r="C48" s="34"/>
      <c r="D48" s="34"/>
      <c r="E48" s="34"/>
      <c r="F48" s="34"/>
      <c r="G48" s="34"/>
      <c r="H48" s="34"/>
      <c r="I48" s="34"/>
      <c r="J48" s="34"/>
      <c r="K48" s="34"/>
      <c r="L48" s="34"/>
    </row>
    <row r="51" spans="4:4" x14ac:dyDescent="0.25">
      <c r="D51" s="22"/>
    </row>
  </sheetData>
  <mergeCells count="1">
    <mergeCell ref="B2:M2"/>
  </mergeCells>
  <pageMargins left="0.70866141732283472" right="0.70866141732283472" top="0.74803149606299213" bottom="0.74803149606299213" header="0.31496062992125984" footer="0.31496062992125984"/>
  <pageSetup scale="68" orientation="landscape" horizontalDpi="2400" verticalDpi="24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4"/>
          <x14:colorNegative theme="5"/>
          <x14:colorAxis rgb="FF000000"/>
          <x14:colorMarkers theme="1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'Ratio Analysis'!C5:L5</xm:f>
              <xm:sqref>M5</xm:sqref>
            </x14:sparkline>
            <x14:sparkline>
              <xm:f>'Ratio Analysis'!C6:L6</xm:f>
              <xm:sqref>M6</xm:sqref>
            </x14:sparkline>
            <x14:sparkline>
              <xm:f>'Ratio Analysis'!C7:L7</xm:f>
              <xm:sqref>M7</xm:sqref>
            </x14:sparkline>
            <x14:sparkline>
              <xm:f>'Ratio Analysis'!C8:L8</xm:f>
              <xm:sqref>M8</xm:sqref>
            </x14:sparkline>
            <x14:sparkline>
              <xm:f>'Ratio Analysis'!C9:L9</xm:f>
              <xm:sqref>M9</xm:sqref>
            </x14:sparkline>
            <x14:sparkline>
              <xm:f>'Ratio Analysis'!C10:L10</xm:f>
              <xm:sqref>M10</xm:sqref>
            </x14:sparkline>
            <x14:sparkline>
              <xm:f>'Ratio Analysis'!C11:L11</xm:f>
              <xm:sqref>M11</xm:sqref>
            </x14:sparkline>
            <x14:sparkline>
              <xm:f>'Ratio Analysis'!C12:L12</xm:f>
              <xm:sqref>M12</xm:sqref>
            </x14:sparkline>
            <x14:sparkline>
              <xm:f>'Ratio Analysis'!C13:L13</xm:f>
              <xm:sqref>M13</xm:sqref>
            </x14:sparkline>
            <x14:sparkline>
              <xm:f>'Ratio Analysis'!C14:L14</xm:f>
              <xm:sqref>M14</xm:sqref>
            </x14:sparkline>
            <x14:sparkline>
              <xm:f>'Ratio Analysis'!C15:L15</xm:f>
              <xm:sqref>M15</xm:sqref>
            </x14:sparkline>
            <x14:sparkline>
              <xm:f>'Ratio Analysis'!C16:L16</xm:f>
              <xm:sqref>M16</xm:sqref>
            </x14:sparkline>
            <x14:sparkline>
              <xm:f>'Ratio Analysis'!C17:L17</xm:f>
              <xm:sqref>M17</xm:sqref>
            </x14:sparkline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  <x14:sparkline>
              <xm:f>'Ratio Analysis'!C20:L20</xm:f>
              <xm:sqref>M20</xm:sqref>
            </x14:sparkline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  <x14:sparkline>
              <xm:f>'Ratio Analysis'!C26:L26</xm:f>
              <xm:sqref>M26</xm:sqref>
            </x14:sparkline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  <x14:sparkline>
              <xm:f>'Ratio Analysis'!C32:L32</xm:f>
              <xm:sqref>M32</xm:sqref>
            </x14:sparkline>
            <x14:sparkline>
              <xm:f>'Ratio Analysis'!C33:L33</xm:f>
              <xm:sqref>M33</xm:sqref>
            </x14:sparkline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37"/>
  <sheetViews>
    <sheetView showGridLines="0" zoomScaleNormal="100" workbookViewId="0">
      <selection activeCell="N10" sqref="N10"/>
    </sheetView>
  </sheetViews>
  <sheetFormatPr defaultRowHeight="15" x14ac:dyDescent="0.25"/>
  <cols>
    <col min="1" max="1" width="1.85546875" customWidth="1"/>
    <col min="2" max="2" width="36.28515625" bestFit="1" customWidth="1"/>
    <col min="3" max="7" width="10.28515625" bestFit="1" customWidth="1"/>
    <col min="8" max="10" width="10.85546875" bestFit="1" customWidth="1"/>
    <col min="11" max="12" width="11.28515625" bestFit="1" customWidth="1"/>
  </cols>
  <sheetData>
    <row r="2" spans="1:15" x14ac:dyDescent="0.25">
      <c r="B2" s="82" t="str">
        <f>"Vertical Analysis"&amp;" - "&amp;'Data Sheet'!B1</f>
        <v>Vertical Analysis - TATA CONSUMER PRODUCTS LTD</v>
      </c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5" x14ac:dyDescent="0.25">
      <c r="B3" s="9" t="s">
        <v>54</v>
      </c>
      <c r="C3" s="8">
        <f>'Data Sheet'!B16</f>
        <v>42460</v>
      </c>
      <c r="D3" s="8">
        <f>'Data Sheet'!C16</f>
        <v>42825</v>
      </c>
      <c r="E3" s="8">
        <f>'Data Sheet'!D16</f>
        <v>43190</v>
      </c>
      <c r="F3" s="8">
        <f>'Data Sheet'!E16</f>
        <v>43555</v>
      </c>
      <c r="G3" s="8">
        <f>'Data Sheet'!F16</f>
        <v>43921</v>
      </c>
      <c r="H3" s="8">
        <f>'Data Sheet'!G16</f>
        <v>44286</v>
      </c>
      <c r="I3" s="8">
        <f>'Data Sheet'!H16</f>
        <v>44651</v>
      </c>
      <c r="J3" s="8">
        <f>'Data Sheet'!I16</f>
        <v>45016</v>
      </c>
      <c r="K3" s="8">
        <f>'Data Sheet'!J16</f>
        <v>45382</v>
      </c>
      <c r="L3" s="8">
        <f>'Data Sheet'!K16</f>
        <v>45747</v>
      </c>
    </row>
    <row r="4" spans="1:15" ht="18.75" x14ac:dyDescent="0.3">
      <c r="A4" s="63" t="s">
        <v>56</v>
      </c>
      <c r="B4" s="44" t="s">
        <v>100</v>
      </c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5" x14ac:dyDescent="0.25">
      <c r="B5" s="21" t="str">
        <f>'Financial Statements'!B5&amp;" % Sales"</f>
        <v>Sales % Sales</v>
      </c>
      <c r="C5" s="37">
        <f>IFERROR('Financial Statements'!C5/'Financial Statements'!C5,0)</f>
        <v>1</v>
      </c>
      <c r="D5" s="37">
        <f>IFERROR('Financial Statements'!D5/'Financial Statements'!D5,0)</f>
        <v>1</v>
      </c>
      <c r="E5" s="37">
        <f>IFERROR('Financial Statements'!E5/'Financial Statements'!E5,0)</f>
        <v>1</v>
      </c>
      <c r="F5" s="37">
        <f>IFERROR('Financial Statements'!F5/'Financial Statements'!F5,0)</f>
        <v>1</v>
      </c>
      <c r="G5" s="37">
        <f>IFERROR('Financial Statements'!G5/'Financial Statements'!G5,0)</f>
        <v>1</v>
      </c>
      <c r="H5" s="37">
        <f>IFERROR('Financial Statements'!H5/'Financial Statements'!H5,0)</f>
        <v>1</v>
      </c>
      <c r="I5" s="37">
        <f>IFERROR('Financial Statements'!I5/'Financial Statements'!I5,0)</f>
        <v>1</v>
      </c>
      <c r="J5" s="37">
        <f>IFERROR('Financial Statements'!J5/'Financial Statements'!J5,0)</f>
        <v>1</v>
      </c>
      <c r="K5" s="37">
        <f>IFERROR('Financial Statements'!K5/'Financial Statements'!K5,0)</f>
        <v>1</v>
      </c>
      <c r="L5" s="37">
        <f>IFERROR('Financial Statements'!L5/'Financial Statements'!L5,0)</f>
        <v>1</v>
      </c>
    </row>
    <row r="6" spans="1:15" x14ac:dyDescent="0.25">
      <c r="B6" s="21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5" x14ac:dyDescent="0.25">
      <c r="B7" t="str">
        <f>'Financial Statements'!B8&amp;" % Sales"</f>
        <v>COGS % Sales</v>
      </c>
      <c r="C7" s="36">
        <f>IFERROR('Financial Statements'!C9,0)</f>
        <v>0.70793515898344617</v>
      </c>
      <c r="D7" s="36">
        <f>IFERROR('Financial Statements'!D9,0)</f>
        <v>0.69041603056250056</v>
      </c>
      <c r="E7" s="36">
        <f>IFERROR('Financial Statements'!E9,0)</f>
        <v>0.70465053152075829</v>
      </c>
      <c r="F7" s="36">
        <f>IFERROR('Financial Statements'!F9,0)</f>
        <v>0.70506929600772261</v>
      </c>
      <c r="G7" s="36">
        <f>IFERROR('Financial Statements'!G9,0)</f>
        <v>0.68875176136351846</v>
      </c>
      <c r="H7" s="36">
        <f>IFERROR('Financial Statements'!H9,0)</f>
        <v>0.70915089859274605</v>
      </c>
      <c r="I7" s="36">
        <f>IFERROR('Financial Statements'!I9,0)</f>
        <v>0.69172427058510111</v>
      </c>
      <c r="J7" s="36">
        <f>IFERROR('Financial Statements'!J9,0)</f>
        <v>0.7023911788007976</v>
      </c>
      <c r="K7" s="36">
        <f>IFERROR('Financial Statements'!K9,0)</f>
        <v>0.68093727085299405</v>
      </c>
      <c r="L7" s="36">
        <f>IFERROR('Financial Statements'!L9,0)</f>
        <v>0.68637439480540119</v>
      </c>
    </row>
    <row r="8" spans="1:15" x14ac:dyDescent="0.25">
      <c r="B8" t="str">
        <f>'Financial Statements'!B11&amp;" % Sales"</f>
        <v>Gross Profit % Sales</v>
      </c>
      <c r="C8" s="36">
        <f>IFERROR('Financial Statements'!C12,0)</f>
        <v>0.29206484101655383</v>
      </c>
      <c r="D8" s="36">
        <f>IFERROR('Financial Statements'!D12,0)</f>
        <v>0.30958396943749944</v>
      </c>
      <c r="E8" s="36">
        <f>IFERROR('Financial Statements'!E12,0)</f>
        <v>0.29534946847924165</v>
      </c>
      <c r="F8" s="36">
        <f>IFERROR('Financial Statements'!F12,0)</f>
        <v>0.29493070399227739</v>
      </c>
      <c r="G8" s="36">
        <f>IFERROR('Financial Statements'!G12,0)</f>
        <v>0.31124823863648154</v>
      </c>
      <c r="H8" s="36">
        <f>IFERROR('Financial Statements'!H12,0)</f>
        <v>0.2908491014072539</v>
      </c>
      <c r="I8" s="36">
        <f>IFERROR('Financial Statements'!I12,0)</f>
        <v>0.30827572941489889</v>
      </c>
      <c r="J8" s="36">
        <f>IFERROR('Financial Statements'!J12,0)</f>
        <v>0.29760882119920234</v>
      </c>
      <c r="K8" s="36">
        <f>IFERROR('Financial Statements'!K12,0)</f>
        <v>0.31906272914700595</v>
      </c>
      <c r="L8" s="36">
        <f>IFERROR('Financial Statements'!L12,0)</f>
        <v>0.31362560519459876</v>
      </c>
    </row>
    <row r="9" spans="1:15" x14ac:dyDescent="0.25">
      <c r="B9" t="str">
        <f>'Financial Statements'!B14&amp;" % Sales"</f>
        <v>Selling &amp; Other Exp. % Sales</v>
      </c>
      <c r="C9" s="36">
        <f>IFERROR('Financial Statements'!C15,0)</f>
        <v>0.23692918297787702</v>
      </c>
      <c r="D9" s="36">
        <f>IFERROR('Financial Statements'!D15,0)</f>
        <v>0.19289038358003113</v>
      </c>
      <c r="E9" s="36">
        <f>IFERROR('Financial Statements'!E15,0)</f>
        <v>0.17225821124373655</v>
      </c>
      <c r="F9" s="36">
        <f>IFERROR('Financial Statements'!F15,0)</f>
        <v>0.18655174791422463</v>
      </c>
      <c r="G9" s="36">
        <f>IFERROR('Financial Statements'!G15,0)</f>
        <v>0.1771718987031799</v>
      </c>
      <c r="H9" s="36">
        <f>IFERROR('Financial Statements'!H15,0)</f>
        <v>0.15778962819437634</v>
      </c>
      <c r="I9" s="36">
        <f>IFERROR('Financial Statements'!I15,0)</f>
        <v>0.1699474542810395</v>
      </c>
      <c r="J9" s="36">
        <f>IFERROR('Financial Statements'!J15,0)</f>
        <v>0.16291764733196162</v>
      </c>
      <c r="K9" s="36">
        <f>IFERROR('Financial Statements'!K15,0)</f>
        <v>0.16885080413130471</v>
      </c>
      <c r="L9" s="36">
        <f>IFERROR('Financial Statements'!L15,0)</f>
        <v>0.17289976899019768</v>
      </c>
    </row>
    <row r="10" spans="1:15" x14ac:dyDescent="0.25">
      <c r="B10" t="str">
        <f>'Financial Statements'!B17&amp;" % Sales"</f>
        <v>EBITDA % Sales</v>
      </c>
      <c r="C10" s="36">
        <f>IFERROR('Financial Statements'!C18,0)</f>
        <v>5.513565803867683E-2</v>
      </c>
      <c r="D10" s="36">
        <f>IFERROR('Financial Statements'!D18,0)</f>
        <v>0.11669358585746829</v>
      </c>
      <c r="E10" s="36">
        <f>IFERROR('Financial Statements'!E18,0)</f>
        <v>0.12309125723550512</v>
      </c>
      <c r="F10" s="36">
        <f>IFERROR('Financial Statements'!F18,0)</f>
        <v>0.10837895607805277</v>
      </c>
      <c r="G10" s="36">
        <f>IFERROR('Financial Statements'!G18,0)</f>
        <v>0.13407633993330165</v>
      </c>
      <c r="H10" s="36">
        <f>IFERROR('Financial Statements'!H18,0)</f>
        <v>0.13305947321287759</v>
      </c>
      <c r="I10" s="36">
        <f>IFERROR('Financial Statements'!I18,0)</f>
        <v>0.1383282751338594</v>
      </c>
      <c r="J10" s="36">
        <f>IFERROR('Financial Statements'!J18,0)</f>
        <v>0.13469117386724075</v>
      </c>
      <c r="K10" s="36">
        <f>IFERROR('Financial Statements'!K18,0)</f>
        <v>0.15021192501570124</v>
      </c>
      <c r="L10" s="36">
        <f>IFERROR('Financial Statements'!L18,0)</f>
        <v>0.14072583620440107</v>
      </c>
    </row>
    <row r="11" spans="1:15" x14ac:dyDescent="0.25">
      <c r="B11" t="str">
        <f>'Financial Statements'!B20&amp;" % Sales"</f>
        <v>Depreciation % Sales</v>
      </c>
      <c r="C11" s="36">
        <f>IFERROR('Financial Statements'!C21,0)</f>
        <v>1.7598025477131157E-2</v>
      </c>
      <c r="D11" s="36">
        <f>IFERROR('Financial Statements'!D21,0)</f>
        <v>1.8591204430972556E-2</v>
      </c>
      <c r="E11" s="36">
        <f>IFERROR('Financial Statements'!E21,0)</f>
        <v>1.7026271578128784E-2</v>
      </c>
      <c r="F11" s="36">
        <f>IFERROR('Financial Statements'!F21,0)</f>
        <v>1.6902709784182582E-2</v>
      </c>
      <c r="G11" s="36">
        <f>IFERROR('Financial Statements'!G21,0)</f>
        <v>2.5080363831813911E-2</v>
      </c>
      <c r="H11" s="36">
        <f>IFERROR('Financial Statements'!H21,0)</f>
        <v>2.1956502439659267E-2</v>
      </c>
      <c r="I11" s="36">
        <f>IFERROR('Financial Statements'!I21,0)</f>
        <v>2.237438402236714E-2</v>
      </c>
      <c r="J11" s="36">
        <f>IFERROR('Financial Statements'!J21,0)</f>
        <v>2.2061704282617337E-2</v>
      </c>
      <c r="K11" s="36">
        <f>IFERROR('Financial Statements'!K21,0)</f>
        <v>2.4802954126208004E-2</v>
      </c>
      <c r="L11" s="36">
        <f>IFERROR('Financial Statements'!L21,0)</f>
        <v>3.4097500893956856E-2</v>
      </c>
    </row>
    <row r="12" spans="1:15" x14ac:dyDescent="0.25">
      <c r="B12" t="str">
        <f>'Financial Statements'!B23&amp;" % Sales"</f>
        <v>EBIT % Sales</v>
      </c>
      <c r="C12" s="36">
        <f>IFERROR('Financial Statements'!C24,0)</f>
        <v>3.7537632561545665E-2</v>
      </c>
      <c r="D12" s="36">
        <f>IFERROR('Financial Statements'!D24,0)</f>
        <v>9.8102381426495744E-2</v>
      </c>
      <c r="E12" s="36">
        <f>IFERROR('Financial Statements'!E24,0)</f>
        <v>0.10606498565737635</v>
      </c>
      <c r="F12" s="36">
        <f>IFERROR('Financial Statements'!F24,0)</f>
        <v>9.1476246293870189E-2</v>
      </c>
      <c r="G12" s="36">
        <f>IFERROR('Financial Statements'!G24,0)</f>
        <v>0.10899597610148774</v>
      </c>
      <c r="H12" s="36">
        <f>IFERROR('Financial Statements'!H24,0)</f>
        <v>0.11110297077321832</v>
      </c>
      <c r="I12" s="36">
        <f>IFERROR('Financial Statements'!I24,0)</f>
        <v>0.11595389111149225</v>
      </c>
      <c r="J12" s="36">
        <f>IFERROR('Financial Statements'!J24,0)</f>
        <v>0.11262946958462342</v>
      </c>
      <c r="K12" s="36">
        <f>IFERROR('Financial Statements'!K24,0)</f>
        <v>0.12540897088949324</v>
      </c>
      <c r="L12" s="36">
        <f>IFERROR('Financial Statements'!L24,0)</f>
        <v>0.10662833531044423</v>
      </c>
    </row>
    <row r="13" spans="1:15" x14ac:dyDescent="0.25">
      <c r="B13" t="str">
        <f>'Financial Statements'!B26&amp;" % Sales"</f>
        <v>Interest % Sales</v>
      </c>
      <c r="C13" s="36">
        <f>IFERROR('Financial Statements'!C27,0)</f>
        <v>1.7614600379113214E-2</v>
      </c>
      <c r="D13" s="36">
        <f>IFERROR('Financial Statements'!D27,0)</f>
        <v>1.3500896077173264E-2</v>
      </c>
      <c r="E13" s="36">
        <f>IFERROR('Financial Statements'!E27,0)</f>
        <v>6.274072498110881E-3</v>
      </c>
      <c r="F13" s="36">
        <f>IFERROR('Financial Statements'!F27,0)</f>
        <v>7.235744328759567E-3</v>
      </c>
      <c r="G13" s="36">
        <f>IFERROR('Financial Statements'!G27,0)</f>
        <v>8.0789256875802851E-3</v>
      </c>
      <c r="H13" s="36">
        <f>IFERROR('Financial Statements'!H27,0)</f>
        <v>5.9205156339019981E-3</v>
      </c>
      <c r="I13" s="36">
        <f>IFERROR('Financial Statements'!I27,0)</f>
        <v>5.8573708469043572E-3</v>
      </c>
      <c r="J13" s="36">
        <f>IFERROR('Financial Statements'!J27,0)</f>
        <v>6.3236587255752668E-3</v>
      </c>
      <c r="K13" s="36">
        <f>IFERROR('Financial Statements'!K27,0)</f>
        <v>8.536846016500229E-3</v>
      </c>
      <c r="L13" s="36">
        <f>IFERROR('Financial Statements'!L27,0)</f>
        <v>1.6471509737034786E-2</v>
      </c>
      <c r="O13" s="22"/>
    </row>
    <row r="14" spans="1:15" x14ac:dyDescent="0.25">
      <c r="B14" t="str">
        <f>'Financial Statements'!B32&amp;" % Sales"</f>
        <v>EBT % Sales</v>
      </c>
      <c r="C14" s="36">
        <f>IFERROR('Financial Statements'!C33,0)</f>
        <v>2.5579594186127149E-2</v>
      </c>
      <c r="D14" s="36">
        <f>IFERROR('Financial Statements'!D33,0)</f>
        <v>9.7640698866443817E-2</v>
      </c>
      <c r="E14" s="36">
        <f>IFERROR('Financial Statements'!E33,0)</f>
        <v>0.11050496306132478</v>
      </c>
      <c r="F14" s="36">
        <f>IFERROR('Financial Statements'!F33,0)</f>
        <v>0.10131834792801485</v>
      </c>
      <c r="G14" s="36">
        <f>IFERROR('Financial Statements'!G33,0)</f>
        <v>8.3983057706315603E-2</v>
      </c>
      <c r="H14" s="36">
        <f>IFERROR('Financial Statements'!H33,0)</f>
        <v>0.11300263833139564</v>
      </c>
      <c r="I14" s="36">
        <f>IFERROR('Financial Statements'!I33,0)</f>
        <v>0.11717880433339228</v>
      </c>
      <c r="J14" s="36">
        <f>IFERROR('Financial Statements'!J33,0)</f>
        <v>0.13012690848832908</v>
      </c>
      <c r="K14" s="36">
        <f>IFERROR('Financial Statements'!K33,0)</f>
        <v>0.11151760671057526</v>
      </c>
      <c r="L14" s="36">
        <f>IFERROR('Financial Statements'!L33,0)</f>
        <v>0.1008354949115408</v>
      </c>
    </row>
    <row r="15" spans="1:15" x14ac:dyDescent="0.25">
      <c r="B15" t="str">
        <f>'Financial Statements'!B38&amp;" % Sales"</f>
        <v>Net Profit % Sales</v>
      </c>
      <c r="C15" s="36">
        <f>IFERROR('Financial Statements'!C39,0)</f>
        <v>-4.5580980450656092E-3</v>
      </c>
      <c r="D15" s="36">
        <f>IFERROR('Financial Statements'!D39,0)</f>
        <v>6.8389494877978518E-2</v>
      </c>
      <c r="E15" s="36">
        <f>IFERROR('Financial Statements'!E39,0)</f>
        <v>8.3232702649166934E-2</v>
      </c>
      <c r="F15" s="36">
        <f>IFERROR('Financial Statements'!F39,0)</f>
        <v>6.5342342963524744E-2</v>
      </c>
      <c r="G15" s="36">
        <f>IFERROR('Financial Statements'!G39,0)</f>
        <v>5.5532497286618208E-2</v>
      </c>
      <c r="H15" s="36">
        <f>IFERROR('Financial Statements'!H39,0)</f>
        <v>8.56565618258186E-2</v>
      </c>
      <c r="I15" s="36">
        <f>IFERROR('Financial Statements'!I39,0)</f>
        <v>8.6834436318596747E-2</v>
      </c>
      <c r="J15" s="36">
        <f>IFERROR('Financial Statements'!J39,0)</f>
        <v>9.76931269752363E-2</v>
      </c>
      <c r="K15" s="36">
        <f>IFERROR('Financial Statements'!K39,0)</f>
        <v>8.5558518596461269E-2</v>
      </c>
      <c r="L15" s="36">
        <f>IFERROR('Financial Statements'!L39,0)</f>
        <v>7.8345243298161532E-2</v>
      </c>
    </row>
    <row r="17" spans="1:14" ht="18.75" x14ac:dyDescent="0.3">
      <c r="A17" s="63" t="s">
        <v>56</v>
      </c>
      <c r="B17" s="44" t="s">
        <v>101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4" x14ac:dyDescent="0.25">
      <c r="B18" s="21" t="str">
        <f>'Financial Statements'!B72&amp;" % Total Assets"</f>
        <v>Total Assets % Total Assets</v>
      </c>
      <c r="C18" s="37">
        <f>IFERROR('Financial Statements'!C72/'Financial Statements'!C72,0)</f>
        <v>1</v>
      </c>
      <c r="D18" s="37">
        <f>IFERROR('Financial Statements'!D72/'Financial Statements'!D72,0)</f>
        <v>1</v>
      </c>
      <c r="E18" s="37">
        <f>IFERROR('Financial Statements'!E72/'Financial Statements'!E72,0)</f>
        <v>1</v>
      </c>
      <c r="F18" s="37">
        <f>IFERROR('Financial Statements'!F72/'Financial Statements'!F72,0)</f>
        <v>1</v>
      </c>
      <c r="G18" s="37">
        <f>IFERROR('Financial Statements'!G72/'Financial Statements'!G72,0)</f>
        <v>1</v>
      </c>
      <c r="H18" s="37">
        <f>IFERROR('Financial Statements'!H72/'Financial Statements'!H72,0)</f>
        <v>1</v>
      </c>
      <c r="I18" s="37">
        <f>IFERROR('Financial Statements'!I72/'Financial Statements'!I72,0)</f>
        <v>1</v>
      </c>
      <c r="J18" s="37">
        <f>IFERROR('Financial Statements'!J72/'Financial Statements'!J72,0)</f>
        <v>1</v>
      </c>
      <c r="K18" s="37">
        <f>IFERROR('Financial Statements'!K72/'Financial Statements'!K72,0)</f>
        <v>1</v>
      </c>
      <c r="L18" s="37">
        <f>IFERROR('Financial Statements'!L72/'Financial Statements'!L72,0)</f>
        <v>1</v>
      </c>
    </row>
    <row r="19" spans="1:14" x14ac:dyDescent="0.25">
      <c r="B19" s="21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4" x14ac:dyDescent="0.25">
      <c r="B20" s="22" t="str">
        <f>'Financial Statements'!B60&amp;" % Total Assets"</f>
        <v>Net Block % Total Assets</v>
      </c>
      <c r="C20" s="36">
        <f>IFERROR('Financial Statements'!C60/'Financial Statements'!C$72,0)</f>
        <v>0.47113825903811724</v>
      </c>
      <c r="D20" s="36">
        <f>IFERROR('Financial Statements'!D60/'Financial Statements'!D$72,0)</f>
        <v>0.47873455332772857</v>
      </c>
      <c r="E20" s="36">
        <f>IFERROR('Financial Statements'!E60/'Financial Statements'!E$72,0)</f>
        <v>0.45868369028636546</v>
      </c>
      <c r="F20" s="36">
        <f>IFERROR('Financial Statements'!F60/'Financial Statements'!F$72,0)</f>
        <v>0.45156276997393546</v>
      </c>
      <c r="G20" s="36">
        <f>IFERROR('Financial Statements'!G60/'Financial Statements'!G$72,0)</f>
        <v>0.63097573545014796</v>
      </c>
      <c r="H20" s="36">
        <f>IFERROR('Financial Statements'!H60/'Financial Statements'!H$72,0)</f>
        <v>0.59467984184249334</v>
      </c>
      <c r="I20" s="36">
        <f>IFERROR('Financial Statements'!I60/'Financial Statements'!I$72,0)</f>
        <v>0.59783761418219905</v>
      </c>
      <c r="J20" s="36">
        <f>IFERROR('Financial Statements'!J60/'Financial Statements'!J$72,0)</f>
        <v>0.57419201502120387</v>
      </c>
      <c r="K20" s="36">
        <f>IFERROR('Financial Statements'!K60/'Financial Statements'!K$72,0)</f>
        <v>0.69435940369004545</v>
      </c>
      <c r="L20" s="36">
        <f>IFERROR('Financial Statements'!L60/'Financial Statements'!L$72,0)</f>
        <v>0.67472264128062864</v>
      </c>
    </row>
    <row r="21" spans="1:14" x14ac:dyDescent="0.25">
      <c r="B21" s="22" t="str">
        <f>'Financial Statements'!B61&amp;" % Total Assets"</f>
        <v>Capital Work in Progress % Total Assets</v>
      </c>
      <c r="C21" s="36">
        <f>IFERROR('Financial Statements'!C61/'Financial Statements'!C$72,0)</f>
        <v>3.9839268461286589E-3</v>
      </c>
      <c r="D21" s="36">
        <f>IFERROR('Financial Statements'!D61/'Financial Statements'!D$72,0)</f>
        <v>6.6157771470390231E-3</v>
      </c>
      <c r="E21" s="36">
        <f>IFERROR('Financial Statements'!E61/'Financial Statements'!E$72,0)</f>
        <v>1.2920667332010293E-2</v>
      </c>
      <c r="F21" s="36">
        <f>IFERROR('Financial Statements'!F61/'Financial Statements'!F$72,0)</f>
        <v>3.9005834194186392E-2</v>
      </c>
      <c r="G21" s="36">
        <f>IFERROR('Financial Statements'!G61/'Financial Statements'!G$72,0)</f>
        <v>5.1615760048156663E-3</v>
      </c>
      <c r="H21" s="36">
        <f>IFERROR('Financial Statements'!H61/'Financial Statements'!H$72,0)</f>
        <v>5.5817096007383582E-3</v>
      </c>
      <c r="I21" s="36">
        <f>IFERROR('Financial Statements'!I61/'Financial Statements'!I$72,0)</f>
        <v>1.1718696248185636E-2</v>
      </c>
      <c r="J21" s="36">
        <f>IFERROR('Financial Statements'!J61/'Financial Statements'!J$72,0)</f>
        <v>1.2955524637243114E-2</v>
      </c>
      <c r="K21" s="36">
        <f>IFERROR('Financial Statements'!K61/'Financial Statements'!K$72,0)</f>
        <v>6.8008690477599646E-3</v>
      </c>
      <c r="L21" s="36">
        <f>IFERROR('Financial Statements'!L61/'Financial Statements'!L$72,0)</f>
        <v>6.8518929257425721E-3</v>
      </c>
    </row>
    <row r="22" spans="1:14" x14ac:dyDescent="0.25">
      <c r="B22" s="22" t="str">
        <f>'Financial Statements'!B62&amp;" % Total Assets"</f>
        <v>Investments % Total Assets</v>
      </c>
      <c r="C22" s="36">
        <f>IFERROR('Financial Statements'!C62/'Financial Statements'!C$72,0)</f>
        <v>0.13804680457130847</v>
      </c>
      <c r="D22" s="36">
        <f>IFERROR('Financial Statements'!D62/'Financial Statements'!D$72,0)</f>
        <v>0.15191893134102713</v>
      </c>
      <c r="E22" s="36">
        <f>IFERROR('Financial Statements'!E62/'Financial Statements'!E$72,0)</f>
        <v>0.11101774632053502</v>
      </c>
      <c r="F22" s="36">
        <f>IFERROR('Financial Statements'!F62/'Financial Statements'!F$72,0)</f>
        <v>0.10915310440156314</v>
      </c>
      <c r="G22" s="36">
        <f>IFERROR('Financial Statements'!G62/'Financial Statements'!G$72,0)</f>
        <v>7.160976211820036E-2</v>
      </c>
      <c r="H22" s="36">
        <f>IFERROR('Financial Statements'!H62/'Financial Statements'!H$72,0)</f>
        <v>3.98603805949405E-2</v>
      </c>
      <c r="I22" s="36">
        <f>IFERROR('Financial Statements'!I62/'Financial Statements'!I$72,0)</f>
        <v>3.783083833969083E-2</v>
      </c>
      <c r="J22" s="36">
        <f>IFERROR('Financial Statements'!J62/'Financial Statements'!J$72,0)</f>
        <v>6.2953130347338987E-2</v>
      </c>
      <c r="K22" s="36">
        <f>IFERROR('Financial Statements'!K62/'Financial Statements'!K$72,0)</f>
        <v>3.1226247624089855E-2</v>
      </c>
      <c r="L22" s="36">
        <f>IFERROR('Financial Statements'!L62/'Financial Statements'!L$72,0)</f>
        <v>3.0432017975144689E-2</v>
      </c>
    </row>
    <row r="23" spans="1:14" x14ac:dyDescent="0.25">
      <c r="B23" s="22" t="str">
        <f>'Financial Statements'!B63&amp;" % Total Assets"</f>
        <v>Other Assets % Total Assets</v>
      </c>
      <c r="C23" s="36">
        <f>IFERROR('Financial Statements'!C63/'Financial Statements'!C$72,0)</f>
        <v>0.11168840881436233</v>
      </c>
      <c r="D23" s="36">
        <f>IFERROR('Financial Statements'!D63/'Financial Statements'!D$72,0)</f>
        <v>8.8401607720744915E-2</v>
      </c>
      <c r="E23" s="36">
        <f>IFERROR('Financial Statements'!E63/'Financial Statements'!E$72,0)</f>
        <v>9.8593218848343683E-2</v>
      </c>
      <c r="F23" s="36">
        <f>IFERROR('Financial Statements'!F63/'Financial Statements'!F$72,0)</f>
        <v>9.4902156850490998E-2</v>
      </c>
      <c r="G23" s="36">
        <f>IFERROR('Financial Statements'!G63/'Financial Statements'!G$72,0)</f>
        <v>6.186853923339096E-2</v>
      </c>
      <c r="H23" s="36">
        <f>IFERROR('Financial Statements'!H63/'Financial Statements'!H$72,0)</f>
        <v>5.8888149167417615E-2</v>
      </c>
      <c r="I23" s="36">
        <f>IFERROR('Financial Statements'!I63/'Financial Statements'!I$72,0)</f>
        <v>8.2075002123382035E-2</v>
      </c>
      <c r="J23" s="36">
        <f>IFERROR('Financial Statements'!J63/'Financial Statements'!J$72,0)</f>
        <v>7.3262635151075284E-2</v>
      </c>
      <c r="K23" s="36">
        <f>IFERROR('Financial Statements'!K63/'Financial Statements'!K$72,0)</f>
        <v>4.8070594168541737E-2</v>
      </c>
      <c r="L23" s="36">
        <f>IFERROR('Financial Statements'!L63/'Financial Statements'!L$72,0)</f>
        <v>5.9045346901819729E-2</v>
      </c>
      <c r="N23" s="22"/>
    </row>
    <row r="24" spans="1:14" x14ac:dyDescent="0.25">
      <c r="B24" s="22" t="str">
        <f>'Financial Statements'!B64&amp;" % Total Assets"</f>
        <v>Total Non Current Assets % Total Assets</v>
      </c>
      <c r="C24" s="36">
        <f>IFERROR('Financial Statements'!C64/'Financial Statements'!C$72,0)</f>
        <v>0.72485739926991666</v>
      </c>
      <c r="D24" s="36">
        <f>IFERROR('Financial Statements'!D64/'Financial Statements'!D$72,0)</f>
        <v>0.7256708695365397</v>
      </c>
      <c r="E24" s="36">
        <f>IFERROR('Financial Statements'!E64/'Financial Statements'!E$72,0)</f>
        <v>0.68121532278725438</v>
      </c>
      <c r="F24" s="36">
        <f>IFERROR('Financial Statements'!F64/'Financial Statements'!F$72,0)</f>
        <v>0.69462386542017596</v>
      </c>
      <c r="G24" s="36">
        <f>IFERROR('Financial Statements'!G64/'Financial Statements'!G$72,0)</f>
        <v>0.76961561280655499</v>
      </c>
      <c r="H24" s="36">
        <f>IFERROR('Financial Statements'!H64/'Financial Statements'!H$72,0)</f>
        <v>0.69901008120558994</v>
      </c>
      <c r="I24" s="36">
        <f>IFERROR('Financial Statements'!I64/'Financial Statements'!I$72,0)</f>
        <v>0.72946215089345745</v>
      </c>
      <c r="J24" s="36">
        <f>IFERROR('Financial Statements'!J64/'Financial Statements'!J$72,0)</f>
        <v>0.7233633051568612</v>
      </c>
      <c r="K24" s="36">
        <f>IFERROR('Financial Statements'!K64/'Financial Statements'!K$72,0)</f>
        <v>0.78045711453043687</v>
      </c>
      <c r="L24" s="36">
        <f>IFERROR('Financial Statements'!L64/'Financial Statements'!L$72,0)</f>
        <v>0.77105189908333549</v>
      </c>
    </row>
    <row r="25" spans="1:14" x14ac:dyDescent="0.25">
      <c r="B25" s="22" t="str">
        <f>'Financial Statements'!B67&amp;" % Total Assets"</f>
        <v>Receivables % Total Assets</v>
      </c>
      <c r="C25" s="36">
        <f>IFERROR('Financial Statements'!C67/'Financial Statements'!C$72,0)</f>
        <v>5.9873104552308501E-2</v>
      </c>
      <c r="D25" s="36">
        <f>IFERROR('Financial Statements'!D67/'Financial Statements'!D$72,0)</f>
        <v>6.2027491229043677E-2</v>
      </c>
      <c r="E25" s="36">
        <f>IFERROR('Financial Statements'!E67/'Financial Statements'!E$72,0)</f>
        <v>6.1972552663477599E-2</v>
      </c>
      <c r="F25" s="36">
        <f>IFERROR('Financial Statements'!F67/'Financial Statements'!F$72,0)</f>
        <v>6.2546642305444142E-2</v>
      </c>
      <c r="G25" s="36">
        <f>IFERROR('Financial Statements'!G67/'Financial Statements'!G$72,0)</f>
        <v>4.9932766886229878E-2</v>
      </c>
      <c r="H25" s="36">
        <f>IFERROR('Financial Statements'!H67/'Financial Statements'!H$72,0)</f>
        <v>3.7655889705220449E-2</v>
      </c>
      <c r="I25" s="36">
        <f>IFERROR('Financial Statements'!I67/'Financial Statements'!I$72,0)</f>
        <v>3.9627765200924134E-2</v>
      </c>
      <c r="J25" s="36">
        <f>IFERROR('Financial Statements'!J67/'Financial Statements'!J$72,0)</f>
        <v>3.5072173562734135E-2</v>
      </c>
      <c r="K25" s="36">
        <f>IFERROR('Financial Statements'!K67/'Financial Statements'!K$72,0)</f>
        <v>3.2166030161280314E-2</v>
      </c>
      <c r="L25" s="36">
        <f>IFERROR('Financial Statements'!L67/'Financial Statements'!L$72,0)</f>
        <v>2.7325575185151909E-2</v>
      </c>
    </row>
    <row r="26" spans="1:14" x14ac:dyDescent="0.25">
      <c r="B26" s="22" t="str">
        <f>'Financial Statements'!B68&amp;" % Total Assets"</f>
        <v>Inventory % Total Assets</v>
      </c>
      <c r="C26" s="36">
        <f>IFERROR('Financial Statements'!C68/'Financial Statements'!C$72,0)</f>
        <v>0.16463360404901184</v>
      </c>
      <c r="D26" s="36">
        <f>IFERROR('Financial Statements'!D68/'Financial Statements'!D$72,0)</f>
        <v>0.15211994878243107</v>
      </c>
      <c r="E26" s="36">
        <f>IFERROR('Financial Statements'!E68/'Financial Statements'!E$72,0)</f>
        <v>0.1384516994941094</v>
      </c>
      <c r="F26" s="36">
        <f>IFERROR('Financial Statements'!F68/'Financial Statements'!F$72,0)</f>
        <v>0.14783451034310355</v>
      </c>
      <c r="G26" s="36">
        <f>IFERROR('Financial Statements'!G68/'Financial Statements'!G$72,0)</f>
        <v>9.2677220425008547E-2</v>
      </c>
      <c r="H26" s="36">
        <f>IFERROR('Financial Statements'!H68/'Financial Statements'!H$72,0)</f>
        <v>0.11124641529106501</v>
      </c>
      <c r="I26" s="36">
        <f>IFERROR('Financial Statements'!I68/'Financial Statements'!I$72,0)</f>
        <v>0.10754562187097716</v>
      </c>
      <c r="J26" s="36">
        <f>IFERROR('Financial Statements'!J68/'Financial Statements'!J$72,0)</f>
        <v>0.1186895634001377</v>
      </c>
      <c r="K26" s="36">
        <f>IFERROR('Financial Statements'!K68/'Financial Statements'!K$72,0)</f>
        <v>9.9335372876656419E-2</v>
      </c>
      <c r="L26" s="36">
        <f>IFERROR('Financial Statements'!L68/'Financial Statements'!L$72,0)</f>
        <v>0.11309581780059579</v>
      </c>
    </row>
    <row r="27" spans="1:14" x14ac:dyDescent="0.25">
      <c r="B27" s="22" t="str">
        <f>'Financial Statements'!B69&amp;" % Total Assets"</f>
        <v>Cash &amp; Bank % Total Assets</v>
      </c>
      <c r="C27" s="36">
        <f>IFERROR('Financial Statements'!C69/'Financial Statements'!C$72,0)</f>
        <v>5.0635892128763106E-2</v>
      </c>
      <c r="D27" s="36">
        <f>IFERROR('Financial Statements'!D69/'Financial Statements'!D$72,0)</f>
        <v>6.0181690451985632E-2</v>
      </c>
      <c r="E27" s="36">
        <f>IFERROR('Financial Statements'!E69/'Financial Statements'!E$72,0)</f>
        <v>0.11836042505515852</v>
      </c>
      <c r="F27" s="36">
        <f>IFERROR('Financial Statements'!F69/'Financial Statements'!F$72,0)</f>
        <v>9.499498193127634E-2</v>
      </c>
      <c r="G27" s="36">
        <f>IFERROR('Financial Statements'!G69/'Financial Statements'!G$72,0)</f>
        <v>8.7774399882206713E-2</v>
      </c>
      <c r="H27" s="36">
        <f>IFERROR('Financial Statements'!H69/'Financial Statements'!H$72,0)</f>
        <v>0.15208761379812463</v>
      </c>
      <c r="I27" s="36">
        <f>IFERROR('Financial Statements'!I69/'Financial Statements'!I$72,0)</f>
        <v>0.12336446203464126</v>
      </c>
      <c r="J27" s="36">
        <f>IFERROR('Financial Statements'!J69/'Financial Statements'!J$72,0)</f>
        <v>0.12287495788026706</v>
      </c>
      <c r="K27" s="36">
        <f>IFERROR('Financial Statements'!K69/'Financial Statements'!K$72,0)</f>
        <v>8.8041482431626336E-2</v>
      </c>
      <c r="L27" s="36">
        <f>IFERROR('Financial Statements'!L69/'Financial Statements'!L$72,0)</f>
        <v>8.8526707930916854E-2</v>
      </c>
    </row>
    <row r="28" spans="1:14" x14ac:dyDescent="0.25">
      <c r="B28" s="22" t="str">
        <f>'Financial Statements'!B70&amp;" % Total Assets"</f>
        <v>Total Current Assets % Total Assets</v>
      </c>
      <c r="C28" s="36">
        <f>IFERROR('Financial Statements'!C70/'Financial Statements'!C$72,0)</f>
        <v>0.27514260073008345</v>
      </c>
      <c r="D28" s="36">
        <f>IFERROR('Financial Statements'!D70/'Financial Statements'!D$72,0)</f>
        <v>0.27432913046346036</v>
      </c>
      <c r="E28" s="36">
        <f>IFERROR('Financial Statements'!E70/'Financial Statements'!E$72,0)</f>
        <v>0.31878467721274556</v>
      </c>
      <c r="F28" s="36">
        <f>IFERROR('Financial Statements'!F70/'Financial Statements'!F$72,0)</f>
        <v>0.30537613457982404</v>
      </c>
      <c r="G28" s="36">
        <f>IFERROR('Financial Statements'!G70/'Financial Statements'!G$72,0)</f>
        <v>0.23038438719344512</v>
      </c>
      <c r="H28" s="36">
        <f>IFERROR('Financial Statements'!H70/'Financial Statements'!H$72,0)</f>
        <v>0.30098991879441012</v>
      </c>
      <c r="I28" s="36">
        <f>IFERROR('Financial Statements'!I70/'Financial Statements'!I$72,0)</f>
        <v>0.27053784910654255</v>
      </c>
      <c r="J28" s="36">
        <f>IFERROR('Financial Statements'!J70/'Financial Statements'!J$72,0)</f>
        <v>0.27663669484313891</v>
      </c>
      <c r="K28" s="36">
        <f>IFERROR('Financial Statements'!K70/'Financial Statements'!K$72,0)</f>
        <v>0.21954288546956308</v>
      </c>
      <c r="L28" s="36">
        <f>IFERROR('Financial Statements'!L70/'Financial Statements'!L$72,0)</f>
        <v>0.22894810091666454</v>
      </c>
    </row>
    <row r="30" spans="1:14" ht="18.75" x14ac:dyDescent="0.3">
      <c r="A30" s="63" t="s">
        <v>56</v>
      </c>
      <c r="B30" s="44" t="s">
        <v>102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4" x14ac:dyDescent="0.25">
      <c r="B31" s="38" t="s">
        <v>103</v>
      </c>
      <c r="C31" s="50">
        <f>IFERROR('Financial Statements'!C55+'Financial Statements'!C56,0)</f>
        <v>3647.59</v>
      </c>
      <c r="D31" s="50">
        <f>IFERROR('Financial Statements'!D55+'Financial Statements'!D56,0)</f>
        <v>3285.91</v>
      </c>
      <c r="E31" s="50">
        <f>IFERROR('Financial Statements'!E55+'Financial Statements'!E56,0)</f>
        <v>3429.16</v>
      </c>
      <c r="F31" s="50">
        <f>IFERROR('Financial Statements'!F55+'Financial Statements'!F56,0)</f>
        <v>3548.99</v>
      </c>
      <c r="G31" s="50">
        <f>IFERROR('Financial Statements'!G55+'Financial Statements'!G56,0)</f>
        <v>4658.18</v>
      </c>
      <c r="H31" s="50">
        <f>IFERROR('Financial Statements'!H55+'Financial Statements'!H56,0)</f>
        <v>5683.31</v>
      </c>
      <c r="I31" s="50">
        <f>IFERROR('Financial Statements'!I55+'Financial Statements'!I56,0)</f>
        <v>5932.93</v>
      </c>
      <c r="J31" s="50">
        <f>IFERROR('Financial Statements'!J55+'Financial Statements'!J56,0)</f>
        <v>6485.78</v>
      </c>
      <c r="K31" s="50">
        <f>IFERROR('Financial Statements'!K55+'Financial Statements'!K56,0)</f>
        <v>11822</v>
      </c>
      <c r="L31" s="50">
        <f>IFERROR('Financial Statements'!L55+'Financial Statements'!L56,0)</f>
        <v>11829.54</v>
      </c>
    </row>
    <row r="32" spans="1:14" x14ac:dyDescent="0.25">
      <c r="B32" s="21" t="str">
        <f>B31&amp;" % Total Liabilities"</f>
        <v>Total Liabilities % Total Liabilities</v>
      </c>
      <c r="C32" s="37">
        <f>IFERROR(C31/C31,0)</f>
        <v>1</v>
      </c>
      <c r="D32" s="37">
        <f t="shared" ref="D32:L32" si="0">IFERROR(D31/D31,0)</f>
        <v>1</v>
      </c>
      <c r="E32" s="37">
        <f t="shared" si="0"/>
        <v>1</v>
      </c>
      <c r="F32" s="37">
        <f t="shared" si="0"/>
        <v>1</v>
      </c>
      <c r="G32" s="37">
        <f t="shared" si="0"/>
        <v>1</v>
      </c>
      <c r="H32" s="37">
        <f t="shared" si="0"/>
        <v>1</v>
      </c>
      <c r="I32" s="37">
        <f t="shared" si="0"/>
        <v>1</v>
      </c>
      <c r="J32" s="37">
        <f t="shared" si="0"/>
        <v>1</v>
      </c>
      <c r="K32" s="37">
        <f t="shared" si="0"/>
        <v>1</v>
      </c>
      <c r="L32" s="37">
        <f t="shared" si="0"/>
        <v>1</v>
      </c>
    </row>
    <row r="33" spans="2:12" x14ac:dyDescent="0.25">
      <c r="B33" s="22"/>
      <c r="C33" s="36"/>
      <c r="D33" s="36"/>
      <c r="E33" s="36"/>
      <c r="F33" s="36"/>
      <c r="G33" s="36"/>
      <c r="H33" s="36"/>
      <c r="I33" s="36"/>
      <c r="J33" s="36"/>
      <c r="K33" s="36"/>
      <c r="L33" s="36"/>
    </row>
    <row r="34" spans="2:12" x14ac:dyDescent="0.25">
      <c r="B34" s="22" t="str">
        <f>'Financial Statements'!B53&amp;" % Total Liabilities"</f>
        <v>Equity Share Capital % Total Liabilities</v>
      </c>
      <c r="C34" s="36">
        <f>IFERROR('Financial Statements'!C53/'Vertical Analysis'!C$31,0)</f>
        <v>1.7301834910173567E-2</v>
      </c>
      <c r="D34" s="36">
        <f>IFERROR('Financial Statements'!D53/'Vertical Analysis'!D$31,0)</f>
        <v>1.920624728005332E-2</v>
      </c>
      <c r="E34" s="36">
        <f>IFERROR('Financial Statements'!E53/'Vertical Analysis'!E$31,0)</f>
        <v>1.8403923993047862E-2</v>
      </c>
      <c r="F34" s="36">
        <f>IFERROR('Financial Statements'!F53/'Vertical Analysis'!F$31,0)</f>
        <v>1.7782524042051401E-2</v>
      </c>
      <c r="G34" s="36">
        <f>IFERROR('Financial Statements'!G53/'Vertical Analysis'!G$31,0)</f>
        <v>1.978455104783413E-2</v>
      </c>
      <c r="H34" s="36">
        <f>IFERROR('Financial Statements'!H53/'Vertical Analysis'!H$31,0)</f>
        <v>1.621590235267828E-2</v>
      </c>
      <c r="I34" s="36">
        <f>IFERROR('Financial Statements'!I53/'Vertical Analysis'!I$31,0)</f>
        <v>1.5533640208126507E-2</v>
      </c>
      <c r="J34" s="36">
        <f>IFERROR('Financial Statements'!J53/'Vertical Analysis'!J$31,0)</f>
        <v>1.4323643416828818E-2</v>
      </c>
      <c r="K34" s="36">
        <f>IFERROR('Financial Statements'!K53/'Vertical Analysis'!K$31,0)</f>
        <v>8.0595499915411938E-3</v>
      </c>
      <c r="L34" s="36">
        <f>IFERROR('Financial Statements'!L53/'Vertical Analysis'!L$31,0)</f>
        <v>8.3646532325010094E-3</v>
      </c>
    </row>
    <row r="35" spans="2:12" x14ac:dyDescent="0.25">
      <c r="B35" s="22" t="str">
        <f>'Financial Statements'!B54&amp;" % Total Liabilities"</f>
        <v>Reserves % Total Liabilities</v>
      </c>
      <c r="C35" s="36">
        <f>IFERROR('Financial Statements'!C54/'Vertical Analysis'!C$31,0)</f>
        <v>1.6953824305911576</v>
      </c>
      <c r="D35" s="36">
        <f>IFERROR('Financial Statements'!D54/'Vertical Analysis'!D$31,0)</f>
        <v>1.8875714794379641</v>
      </c>
      <c r="E35" s="36">
        <f>IFERROR('Financial Statements'!E54/'Vertical Analysis'!E$31,0)</f>
        <v>2.0321274014627488</v>
      </c>
      <c r="F35" s="36">
        <f>IFERROR('Financial Statements'!F54/'Vertical Analysis'!F$31,0)</f>
        <v>2.0480700142857549</v>
      </c>
      <c r="G35" s="36">
        <f>IFERROR('Financial Statements'!G54/'Vertical Analysis'!G$31,0)</f>
        <v>2.9459359664074811</v>
      </c>
      <c r="H35" s="36">
        <f>IFERROR('Financial Statements'!H54/'Vertical Analysis'!H$31,0)</f>
        <v>2.5411863861024648</v>
      </c>
      <c r="I35" s="36">
        <f>IFERROR('Financial Statements'!I54/'Vertical Analysis'!I$31,0)</f>
        <v>2.5366522106278011</v>
      </c>
      <c r="J35" s="36">
        <f>IFERROR('Financial Statements'!J54/'Vertical Analysis'!J$31,0)</f>
        <v>2.4952758187912636</v>
      </c>
      <c r="K35" s="36">
        <f>IFERROR('Financial Statements'!K54/'Vertical Analysis'!K$31,0)</f>
        <v>1.3501531043816613</v>
      </c>
      <c r="L35" s="36">
        <f>IFERROR('Financial Statements'!L54/'Vertical Analysis'!L$31,0)</f>
        <v>1.6824094597084924</v>
      </c>
    </row>
    <row r="36" spans="2:12" x14ac:dyDescent="0.25">
      <c r="B36" s="22" t="str">
        <f>'Financial Statements'!B55&amp;" % Total Liabilities"</f>
        <v>Borrowings % Total Liabilities</v>
      </c>
      <c r="C36" s="36">
        <f>IFERROR('Financial Statements'!C55/'Vertical Analysis'!C$31,0)</f>
        <v>0.37121770813057386</v>
      </c>
      <c r="D36" s="36">
        <f>IFERROR('Financial Statements'!D55/'Vertical Analysis'!D$31,0)</f>
        <v>0.23937356774835586</v>
      </c>
      <c r="E36" s="36">
        <f>IFERROR('Financial Statements'!E55/'Vertical Analysis'!E$31,0)</f>
        <v>0.31132405603704699</v>
      </c>
      <c r="F36" s="36">
        <f>IFERROR('Financial Statements'!F55/'Vertical Analysis'!F$31,0)</f>
        <v>0.32152809672611082</v>
      </c>
      <c r="G36" s="36">
        <f>IFERROR('Financial Statements'!G55/'Vertical Analysis'!G$31,0)</f>
        <v>0.34054501972873524</v>
      </c>
      <c r="H36" s="36">
        <f>IFERROR('Financial Statements'!H55/'Vertical Analysis'!H$31,0)</f>
        <v>0.28742933255444447</v>
      </c>
      <c r="I36" s="36">
        <f>IFERROR('Financial Statements'!I55/'Vertical Analysis'!I$31,0)</f>
        <v>0.23799539182157886</v>
      </c>
      <c r="J36" s="36">
        <f>IFERROR('Financial Statements'!J55/'Vertical Analysis'!J$31,0)</f>
        <v>0.2466997030426564</v>
      </c>
      <c r="K36" s="36">
        <f>IFERROR('Financial Statements'!K55/'Vertical Analysis'!K$31,0)</f>
        <v>0.29413128066317035</v>
      </c>
      <c r="L36" s="36">
        <f>IFERROR('Financial Statements'!L55/'Vertical Analysis'!L$31,0)</f>
        <v>0.20226314801758982</v>
      </c>
    </row>
    <row r="37" spans="2:12" x14ac:dyDescent="0.25">
      <c r="B37" s="22" t="str">
        <f>'Financial Statements'!B56&amp;" % Total Liabilities"</f>
        <v>Other Liabilities % Total Liabilities</v>
      </c>
      <c r="C37" s="36">
        <f>IFERROR('Financial Statements'!C56/'Vertical Analysis'!C$31,0)</f>
        <v>0.62878229186942602</v>
      </c>
      <c r="D37" s="36">
        <f>IFERROR('Financial Statements'!D56/'Vertical Analysis'!D$31,0)</f>
        <v>0.76062643225164417</v>
      </c>
      <c r="E37" s="36">
        <f>IFERROR('Financial Statements'!E56/'Vertical Analysis'!E$31,0)</f>
        <v>0.68867594396295306</v>
      </c>
      <c r="F37" s="36">
        <f>IFERROR('Financial Statements'!F56/'Vertical Analysis'!F$31,0)</f>
        <v>0.67847190327388918</v>
      </c>
      <c r="G37" s="36">
        <f>IFERROR('Financial Statements'!G56/'Vertical Analysis'!G$31,0)</f>
        <v>0.6594549802712647</v>
      </c>
      <c r="H37" s="36">
        <f>IFERROR('Financial Statements'!H56/'Vertical Analysis'!H$31,0)</f>
        <v>0.71257066744555553</v>
      </c>
      <c r="I37" s="36">
        <f>IFERROR('Financial Statements'!I56/'Vertical Analysis'!I$31,0)</f>
        <v>0.76200460817842108</v>
      </c>
      <c r="J37" s="36">
        <f>IFERROR('Financial Statements'!J56/'Vertical Analysis'!J$31,0)</f>
        <v>0.75330029695734357</v>
      </c>
      <c r="K37" s="36">
        <f>IFERROR('Financial Statements'!K56/'Vertical Analysis'!K$31,0)</f>
        <v>0.70586871933682971</v>
      </c>
      <c r="L37" s="36">
        <f>IFERROR('Financial Statements'!L56/'Vertical Analysis'!L$31,0)</f>
        <v>0.79773685198241018</v>
      </c>
    </row>
  </sheetData>
  <mergeCells count="1">
    <mergeCell ref="B2:L2"/>
  </mergeCells>
  <pageMargins left="0.7" right="0.7" top="0.75" bottom="0.75" header="0.3" footer="0.3"/>
  <pageSetup scale="62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3"/>
  <sheetViews>
    <sheetView showGridLines="0" zoomScaleNormal="100" workbookViewId="0">
      <pane ySplit="3" topLeftCell="A4" activePane="bottomLeft" state="frozen"/>
      <selection pane="bottomLeft" activeCell="B82" sqref="B82"/>
    </sheetView>
  </sheetViews>
  <sheetFormatPr defaultRowHeight="15" x14ac:dyDescent="0.25"/>
  <cols>
    <col min="1" max="1" width="1.85546875" customWidth="1"/>
    <col min="2" max="2" width="34.28515625" customWidth="1"/>
    <col min="3" max="12" width="12.7109375" customWidth="1"/>
    <col min="13" max="13" width="14.28515625" customWidth="1"/>
  </cols>
  <sheetData>
    <row r="2" spans="1:14" x14ac:dyDescent="0.25">
      <c r="B2" s="82" t="str">
        <f>"Horizontal Analysis"&amp;" - "&amp;'Data Sheet'!B1</f>
        <v>Horizontal Analysis - TATA CONSUMER PRODUCTS LTD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4" x14ac:dyDescent="0.25">
      <c r="B3" s="9" t="s">
        <v>54</v>
      </c>
      <c r="C3" s="8">
        <f>'Data Sheet'!B16</f>
        <v>42460</v>
      </c>
      <c r="D3" s="8">
        <f>'Data Sheet'!C16</f>
        <v>42825</v>
      </c>
      <c r="E3" s="8">
        <f>'Data Sheet'!D16</f>
        <v>43190</v>
      </c>
      <c r="F3" s="8">
        <f>'Data Sheet'!E16</f>
        <v>43555</v>
      </c>
      <c r="G3" s="8">
        <f>'Data Sheet'!F16</f>
        <v>43921</v>
      </c>
      <c r="H3" s="8">
        <f>'Data Sheet'!G16</f>
        <v>44286</v>
      </c>
      <c r="I3" s="8">
        <f>'Data Sheet'!H16</f>
        <v>44651</v>
      </c>
      <c r="J3" s="8">
        <f>'Data Sheet'!I16</f>
        <v>45016</v>
      </c>
      <c r="K3" s="8">
        <f>'Data Sheet'!J16</f>
        <v>45382</v>
      </c>
      <c r="L3" s="8">
        <f>'Data Sheet'!K16</f>
        <v>45747</v>
      </c>
      <c r="M3" s="54" t="s">
        <v>115</v>
      </c>
    </row>
    <row r="5" spans="1:14" ht="18.75" x14ac:dyDescent="0.3">
      <c r="A5" s="63" t="s">
        <v>56</v>
      </c>
      <c r="B5" s="44" t="s">
        <v>104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4" s="17" customFormat="1" ht="15" customHeight="1" x14ac:dyDescent="0.3"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</row>
    <row r="7" spans="1:14" x14ac:dyDescent="0.25">
      <c r="B7" s="11" t="str">
        <f>'Financial Statements'!B5</f>
        <v>Sales</v>
      </c>
      <c r="C7" s="29">
        <f>IFERROR('Financial Statements'!C5,0)</f>
        <v>6636.54</v>
      </c>
      <c r="D7" s="29">
        <f>IFERROR('Financial Statements'!D5,0)</f>
        <v>6779.55</v>
      </c>
      <c r="E7" s="29">
        <f>IFERROR('Financial Statements'!E5,0)</f>
        <v>6815.35</v>
      </c>
      <c r="F7" s="29">
        <f>IFERROR('Financial Statements'!F5,0)</f>
        <v>7251.5</v>
      </c>
      <c r="G7" s="29">
        <f>IFERROR('Financial Statements'!G5,0)</f>
        <v>9637.42</v>
      </c>
      <c r="H7" s="29">
        <f>IFERROR('Financial Statements'!H5,0)</f>
        <v>11602.03</v>
      </c>
      <c r="I7" s="29">
        <f>IFERROR('Financial Statements'!I5,0)</f>
        <v>12425.37</v>
      </c>
      <c r="J7" s="29">
        <f>IFERROR('Financial Statements'!J5,0)</f>
        <v>13783.16</v>
      </c>
      <c r="K7" s="29">
        <f>IFERROR('Financial Statements'!K5,0)</f>
        <v>15205.85</v>
      </c>
      <c r="L7" s="29">
        <f>IFERROR('Financial Statements'!L5,0)</f>
        <v>17618.3</v>
      </c>
    </row>
    <row r="8" spans="1:14" x14ac:dyDescent="0.25">
      <c r="B8" s="21" t="str">
        <f>B7&amp;" Growth"</f>
        <v>Sales Growth</v>
      </c>
      <c r="C8" s="41" t="str">
        <f t="shared" ref="C8:K8" si="0">IFERROR((C7/B7)-1,"-")</f>
        <v>-</v>
      </c>
      <c r="D8" s="37">
        <f t="shared" si="0"/>
        <v>2.1548879385945074E-2</v>
      </c>
      <c r="E8" s="37">
        <f t="shared" si="0"/>
        <v>5.2805864696034988E-3</v>
      </c>
      <c r="F8" s="37">
        <f t="shared" si="0"/>
        <v>6.3995246025515984E-2</v>
      </c>
      <c r="G8" s="37">
        <f t="shared" si="0"/>
        <v>0.32902433979176715</v>
      </c>
      <c r="H8" s="37">
        <f t="shared" si="0"/>
        <v>0.20385227581655685</v>
      </c>
      <c r="I8" s="37">
        <f t="shared" si="0"/>
        <v>7.0965167302618593E-2</v>
      </c>
      <c r="J8" s="37">
        <f t="shared" si="0"/>
        <v>0.10927561915661266</v>
      </c>
      <c r="K8" s="37">
        <f t="shared" si="0"/>
        <v>0.10321943589133409</v>
      </c>
      <c r="L8" s="37">
        <f>IFERROR((L7/K7)-1,"-")</f>
        <v>0.1586527553540249</v>
      </c>
      <c r="N8" s="22"/>
    </row>
    <row r="9" spans="1:14" x14ac:dyDescent="0.25">
      <c r="B9" s="11" t="str">
        <f>'Financial Statements'!B8</f>
        <v>COGS</v>
      </c>
      <c r="C9" s="29">
        <f>IFERROR('Financial Statements'!C8,0)</f>
        <v>4698.24</v>
      </c>
      <c r="D9" s="29">
        <f>IFERROR('Financial Statements'!D8,0)</f>
        <v>4680.7100000000009</v>
      </c>
      <c r="E9" s="29">
        <f>IFERROR('Financial Statements'!E8,0)</f>
        <v>4802.4400000000005</v>
      </c>
      <c r="F9" s="29">
        <f>IFERROR('Financial Statements'!F8,0)</f>
        <v>5112.8100000000004</v>
      </c>
      <c r="G9" s="29">
        <f>IFERROR('Financial Statements'!G8,0)</f>
        <v>6637.79</v>
      </c>
      <c r="H9" s="29">
        <f>IFERROR('Financial Statements'!H8,0)</f>
        <v>8227.5899999999983</v>
      </c>
      <c r="I9" s="29">
        <f>IFERROR('Financial Statements'!I8,0)</f>
        <v>8594.9299999999985</v>
      </c>
      <c r="J9" s="29">
        <f>IFERROR('Financial Statements'!J8,0)</f>
        <v>9681.1700000000019</v>
      </c>
      <c r="K9" s="29">
        <f>IFERROR('Financial Statements'!K8,0)</f>
        <v>10354.23</v>
      </c>
      <c r="L9" s="29">
        <f>IFERROR('Financial Statements'!L8,0)</f>
        <v>12092.75</v>
      </c>
    </row>
    <row r="10" spans="1:14" x14ac:dyDescent="0.25">
      <c r="B10" s="21" t="str">
        <f>B9&amp;" Growth"</f>
        <v>COGS Growth</v>
      </c>
      <c r="C10" s="39" t="str">
        <f t="shared" ref="C10:K10" si="1">IFERROR((C9/B9)-1,"-")</f>
        <v>-</v>
      </c>
      <c r="D10" s="37">
        <f t="shared" si="1"/>
        <v>-3.7311844435360397E-3</v>
      </c>
      <c r="E10" s="37">
        <f t="shared" si="1"/>
        <v>2.6006738293976595E-2</v>
      </c>
      <c r="F10" s="37">
        <f t="shared" si="1"/>
        <v>6.4627564321469988E-2</v>
      </c>
      <c r="G10" s="37">
        <f t="shared" si="1"/>
        <v>0.29826651097928525</v>
      </c>
      <c r="H10" s="37">
        <f t="shared" si="1"/>
        <v>0.2395074264175272</v>
      </c>
      <c r="I10" s="37">
        <f t="shared" si="1"/>
        <v>4.4647339014219245E-2</v>
      </c>
      <c r="J10" s="37">
        <f t="shared" si="1"/>
        <v>0.12638148303709329</v>
      </c>
      <c r="K10" s="37">
        <f t="shared" si="1"/>
        <v>6.952258869537431E-2</v>
      </c>
      <c r="L10" s="37">
        <f>IFERROR((L9/K9)-1,"-")</f>
        <v>0.16790432509225695</v>
      </c>
    </row>
    <row r="11" spans="1:14" x14ac:dyDescent="0.25">
      <c r="B11" s="11" t="str">
        <f>'Financial Statements'!B11</f>
        <v>Gross Profit</v>
      </c>
      <c r="C11" s="29">
        <f>IFERROR('Financial Statements'!C11,0)</f>
        <v>1938.3000000000002</v>
      </c>
      <c r="D11" s="29">
        <f>IFERROR('Financial Statements'!D11,0)</f>
        <v>2098.8399999999992</v>
      </c>
      <c r="E11" s="29">
        <f>IFERROR('Financial Statements'!E11,0)</f>
        <v>2012.9099999999999</v>
      </c>
      <c r="F11" s="29">
        <f>IFERROR('Financial Statements'!F11,0)</f>
        <v>2138.6899999999996</v>
      </c>
      <c r="G11" s="29">
        <f>IFERROR('Financial Statements'!G11,0)</f>
        <v>2999.63</v>
      </c>
      <c r="H11" s="29">
        <f>IFERROR('Financial Statements'!H11,0)</f>
        <v>3374.4400000000023</v>
      </c>
      <c r="I11" s="29">
        <f>IFERROR('Financial Statements'!I11,0)</f>
        <v>3830.4400000000023</v>
      </c>
      <c r="J11" s="29">
        <f>IFERROR('Financial Statements'!J11,0)</f>
        <v>4101.989999999998</v>
      </c>
      <c r="K11" s="29">
        <f>IFERROR('Financial Statements'!K11,0)</f>
        <v>4851.6200000000008</v>
      </c>
      <c r="L11" s="29">
        <f>IFERROR('Financial Statements'!L11,0)</f>
        <v>5525.5499999999993</v>
      </c>
    </row>
    <row r="12" spans="1:14" x14ac:dyDescent="0.25">
      <c r="B12" s="21" t="str">
        <f>B11&amp;" Growth"</f>
        <v>Gross Profit Growth</v>
      </c>
      <c r="C12" s="39" t="str">
        <f t="shared" ref="C12:K12" si="2">IFERROR((C11/B11)-1,"-")</f>
        <v>-</v>
      </c>
      <c r="D12" s="37">
        <f t="shared" si="2"/>
        <v>8.2825156064592287E-2</v>
      </c>
      <c r="E12" s="37">
        <f t="shared" si="2"/>
        <v>-4.0941663013855045E-2</v>
      </c>
      <c r="F12" s="37">
        <f t="shared" si="2"/>
        <v>6.2486648682752666E-2</v>
      </c>
      <c r="G12" s="37">
        <f t="shared" si="2"/>
        <v>0.40255483496907019</v>
      </c>
      <c r="H12" s="37">
        <f t="shared" si="2"/>
        <v>0.12495207742288295</v>
      </c>
      <c r="I12" s="37">
        <f t="shared" si="2"/>
        <v>0.13513353326774213</v>
      </c>
      <c r="J12" s="37">
        <f t="shared" si="2"/>
        <v>7.0892638965757371E-2</v>
      </c>
      <c r="K12" s="37">
        <f t="shared" si="2"/>
        <v>0.18274788578226753</v>
      </c>
      <c r="L12" s="37">
        <f>IFERROR((L11/K11)-1,"-")</f>
        <v>0.1389082409586897</v>
      </c>
    </row>
    <row r="13" spans="1:14" x14ac:dyDescent="0.25">
      <c r="B13" s="11" t="str">
        <f>'Financial Statements'!B14</f>
        <v>Selling &amp; Other Exp.</v>
      </c>
      <c r="C13" s="29">
        <f>'Financial Statements'!C14</f>
        <v>1572.3899999999999</v>
      </c>
      <c r="D13" s="29">
        <f>'Financial Statements'!D14</f>
        <v>1307.71</v>
      </c>
      <c r="E13" s="29">
        <f>'Financial Statements'!E14</f>
        <v>1174</v>
      </c>
      <c r="F13" s="29">
        <f>'Financial Statements'!F14</f>
        <v>1352.78</v>
      </c>
      <c r="G13" s="29">
        <f>'Financial Statements'!G14</f>
        <v>1707.48</v>
      </c>
      <c r="H13" s="29">
        <f>'Financial Statements'!H14</f>
        <v>1830.68</v>
      </c>
      <c r="I13" s="29">
        <f>'Financial Statements'!I14</f>
        <v>2111.66</v>
      </c>
      <c r="J13" s="29">
        <f>'Financial Statements'!J14</f>
        <v>2245.52</v>
      </c>
      <c r="K13" s="29">
        <f>'Financial Statements'!K14</f>
        <v>2567.52</v>
      </c>
      <c r="L13" s="29">
        <f>'Financial Statements'!L14</f>
        <v>3046.2</v>
      </c>
      <c r="M13" s="27"/>
    </row>
    <row r="14" spans="1:14" x14ac:dyDescent="0.25">
      <c r="B14" s="21" t="str">
        <f>B13&amp;" Growth"</f>
        <v>Selling &amp; Other Exp. Growth</v>
      </c>
      <c r="C14" s="39" t="str">
        <f t="shared" ref="C14:K14" si="3">IFERROR((C13/B13)-1,"-")</f>
        <v>-</v>
      </c>
      <c r="D14" s="37">
        <f t="shared" si="3"/>
        <v>-0.16832974007720725</v>
      </c>
      <c r="E14" s="37">
        <f t="shared" si="3"/>
        <v>-0.10224744018169163</v>
      </c>
      <c r="F14" s="37">
        <f t="shared" si="3"/>
        <v>0.15228279386712096</v>
      </c>
      <c r="G14" s="37">
        <f t="shared" si="3"/>
        <v>0.26220080131285206</v>
      </c>
      <c r="H14" s="37">
        <f t="shared" si="3"/>
        <v>7.2153114531356088E-2</v>
      </c>
      <c r="I14" s="37">
        <f t="shared" si="3"/>
        <v>0.15348395131863568</v>
      </c>
      <c r="J14" s="37">
        <f t="shared" si="3"/>
        <v>6.33908867904871E-2</v>
      </c>
      <c r="K14" s="37">
        <f t="shared" si="3"/>
        <v>0.14339662973387002</v>
      </c>
      <c r="L14" s="37">
        <f>IFERROR((L13/K13)-1,"-")</f>
        <v>0.18643671714339116</v>
      </c>
    </row>
    <row r="15" spans="1:14" x14ac:dyDescent="0.25">
      <c r="B15" s="11" t="str">
        <f>'Financial Statements'!B17</f>
        <v>EBITDA</v>
      </c>
      <c r="C15" s="29">
        <f>'Financial Statements'!C17</f>
        <v>365.91000000000031</v>
      </c>
      <c r="D15" s="29">
        <f>'Financial Statements'!D17</f>
        <v>791.1299999999992</v>
      </c>
      <c r="E15" s="29">
        <f>'Financial Statements'!E17</f>
        <v>838.90999999999985</v>
      </c>
      <c r="F15" s="29">
        <f>'Financial Statements'!F17</f>
        <v>785.90999999999963</v>
      </c>
      <c r="G15" s="29">
        <f>'Financial Statements'!G17</f>
        <v>1292.1500000000001</v>
      </c>
      <c r="H15" s="29">
        <f>'Financial Statements'!H17</f>
        <v>1543.7600000000023</v>
      </c>
      <c r="I15" s="29">
        <f>'Financial Statements'!I17</f>
        <v>1718.7800000000025</v>
      </c>
      <c r="J15" s="29">
        <f>'Financial Statements'!J17</f>
        <v>1856.469999999998</v>
      </c>
      <c r="K15" s="29">
        <f>'Financial Statements'!K17</f>
        <v>2284.1000000000008</v>
      </c>
      <c r="L15" s="29">
        <f>'Financial Statements'!L17</f>
        <v>2479.3499999999995</v>
      </c>
    </row>
    <row r="16" spans="1:14" x14ac:dyDescent="0.25">
      <c r="B16" s="21" t="str">
        <f>B15&amp;" Growth"</f>
        <v>EBITDA Growth</v>
      </c>
      <c r="C16" s="39" t="str">
        <f t="shared" ref="C16:K16" si="4">IFERROR((C15/B15)-1,"-")</f>
        <v>-</v>
      </c>
      <c r="D16" s="37">
        <f t="shared" si="4"/>
        <v>1.1620890382880997</v>
      </c>
      <c r="E16" s="37">
        <f t="shared" si="4"/>
        <v>6.0394625409225577E-2</v>
      </c>
      <c r="F16" s="37">
        <f t="shared" si="4"/>
        <v>-6.3177218056764461E-2</v>
      </c>
      <c r="G16" s="37">
        <f t="shared" si="4"/>
        <v>0.6441450038808525</v>
      </c>
      <c r="H16" s="37">
        <f t="shared" si="4"/>
        <v>0.19472197500290389</v>
      </c>
      <c r="I16" s="37">
        <f t="shared" si="4"/>
        <v>0.11337254495517435</v>
      </c>
      <c r="J16" s="37">
        <f t="shared" si="4"/>
        <v>8.0109147185791763E-2</v>
      </c>
      <c r="K16" s="37">
        <f t="shared" si="4"/>
        <v>0.23034576373440085</v>
      </c>
      <c r="L16" s="37">
        <f>IFERROR((L15/K15)-1,"-")</f>
        <v>8.5482246836827924E-2</v>
      </c>
    </row>
    <row r="17" spans="1:12" x14ac:dyDescent="0.25">
      <c r="B17" s="11" t="str">
        <f>'Financial Statements'!B20</f>
        <v>Depreciation</v>
      </c>
      <c r="C17" s="29">
        <f>'Financial Statements'!C20</f>
        <v>116.79</v>
      </c>
      <c r="D17" s="29">
        <f>'Financial Statements'!D20</f>
        <v>126.04</v>
      </c>
      <c r="E17" s="29">
        <f>'Financial Statements'!E20</f>
        <v>116.04</v>
      </c>
      <c r="F17" s="29">
        <f>'Financial Statements'!F20</f>
        <v>122.57</v>
      </c>
      <c r="G17" s="29">
        <f>'Financial Statements'!G20</f>
        <v>241.71</v>
      </c>
      <c r="H17" s="29">
        <f>'Financial Statements'!H20</f>
        <v>254.74</v>
      </c>
      <c r="I17" s="29">
        <f>'Financial Statements'!I20</f>
        <v>278.01</v>
      </c>
      <c r="J17" s="29">
        <f>'Financial Statements'!J20</f>
        <v>304.08</v>
      </c>
      <c r="K17" s="29">
        <f>'Financial Statements'!K20</f>
        <v>377.15</v>
      </c>
      <c r="L17" s="29">
        <f>'Financial Statements'!L20</f>
        <v>600.74</v>
      </c>
    </row>
    <row r="18" spans="1:12" x14ac:dyDescent="0.25">
      <c r="B18" s="21" t="str">
        <f>B17&amp;" Growth"</f>
        <v>Depreciation Growth</v>
      </c>
      <c r="C18" s="39" t="str">
        <f t="shared" ref="C18:K18" si="5">IFERROR((C17/B17)-1,"-")</f>
        <v>-</v>
      </c>
      <c r="D18" s="37">
        <f t="shared" si="5"/>
        <v>7.9201986471444386E-2</v>
      </c>
      <c r="E18" s="37">
        <f t="shared" si="5"/>
        <v>-7.9339892097746723E-2</v>
      </c>
      <c r="F18" s="37">
        <f t="shared" si="5"/>
        <v>5.6273698724577548E-2</v>
      </c>
      <c r="G18" s="37">
        <f t="shared" si="5"/>
        <v>0.97201599086236445</v>
      </c>
      <c r="H18" s="37">
        <f t="shared" si="5"/>
        <v>5.3907575193413493E-2</v>
      </c>
      <c r="I18" s="37">
        <f t="shared" si="5"/>
        <v>9.1348041139985847E-2</v>
      </c>
      <c r="J18" s="37">
        <f t="shared" si="5"/>
        <v>9.377360526599765E-2</v>
      </c>
      <c r="K18" s="37">
        <f t="shared" si="5"/>
        <v>0.24029860563009731</v>
      </c>
      <c r="L18" s="37">
        <f>IFERROR((L17/K17)-1,"-")</f>
        <v>0.59284104467718435</v>
      </c>
    </row>
    <row r="19" spans="1:12" x14ac:dyDescent="0.25">
      <c r="A19" s="42"/>
      <c r="B19" s="11" t="str">
        <f>'Financial Statements'!B23</f>
        <v>EBIT</v>
      </c>
      <c r="C19" s="29">
        <f>'Financial Statements'!C23</f>
        <v>249.12000000000029</v>
      </c>
      <c r="D19" s="29">
        <f>'Financial Statements'!D23</f>
        <v>665.08999999999924</v>
      </c>
      <c r="E19" s="29">
        <f>'Financial Statements'!E23</f>
        <v>722.86999999999989</v>
      </c>
      <c r="F19" s="29">
        <f>'Financial Statements'!F23</f>
        <v>663.33999999999969</v>
      </c>
      <c r="G19" s="29">
        <f>'Financial Statements'!G23</f>
        <v>1050.44</v>
      </c>
      <c r="H19" s="29">
        <f>'Financial Statements'!H23</f>
        <v>1289.0200000000023</v>
      </c>
      <c r="I19" s="29">
        <f>'Financial Statements'!I23</f>
        <v>1440.7700000000025</v>
      </c>
      <c r="J19" s="29">
        <f>'Financial Statements'!J23</f>
        <v>1552.3899999999981</v>
      </c>
      <c r="K19" s="29">
        <f>'Financial Statements'!K23</f>
        <v>1906.9500000000007</v>
      </c>
      <c r="L19" s="29">
        <f>'Financial Statements'!L23</f>
        <v>1878.6099999999994</v>
      </c>
    </row>
    <row r="20" spans="1:12" x14ac:dyDescent="0.25">
      <c r="B20" s="21" t="str">
        <f>B19&amp;" Growth"</f>
        <v>EBIT Growth</v>
      </c>
      <c r="C20" s="39" t="str">
        <f t="shared" ref="C20:K20" si="6">IFERROR((C19/B19)-1,"-")</f>
        <v>-</v>
      </c>
      <c r="D20" s="37">
        <f t="shared" si="6"/>
        <v>1.6697575465638987</v>
      </c>
      <c r="E20" s="37">
        <f t="shared" si="6"/>
        <v>8.6875460463998522E-2</v>
      </c>
      <c r="F20" s="37">
        <f t="shared" si="6"/>
        <v>-8.2352290176657239E-2</v>
      </c>
      <c r="G20" s="37">
        <f t="shared" si="6"/>
        <v>0.5835619742515159</v>
      </c>
      <c r="H20" s="37">
        <f t="shared" si="6"/>
        <v>0.22712387190130068</v>
      </c>
      <c r="I20" s="37">
        <f t="shared" si="6"/>
        <v>0.11772509348186988</v>
      </c>
      <c r="J20" s="37">
        <f t="shared" si="6"/>
        <v>7.7472462641501094E-2</v>
      </c>
      <c r="K20" s="37">
        <f t="shared" si="6"/>
        <v>0.22839621486868844</v>
      </c>
      <c r="L20" s="37">
        <f>IFERROR((L19/K19)-1,"-")</f>
        <v>-1.486142793466072E-2</v>
      </c>
    </row>
    <row r="21" spans="1:12" x14ac:dyDescent="0.25">
      <c r="B21" s="11" t="str">
        <f>'Financial Statements'!B26</f>
        <v>Interest</v>
      </c>
      <c r="C21" s="29">
        <f>'Financial Statements'!C26</f>
        <v>116.9</v>
      </c>
      <c r="D21" s="29">
        <f>'Financial Statements'!D26</f>
        <v>91.53</v>
      </c>
      <c r="E21" s="29">
        <f>'Financial Statements'!E26</f>
        <v>42.76</v>
      </c>
      <c r="F21" s="29">
        <f>'Financial Statements'!F26</f>
        <v>52.47</v>
      </c>
      <c r="G21" s="29">
        <f>'Financial Statements'!G26</f>
        <v>77.86</v>
      </c>
      <c r="H21" s="29">
        <f>'Financial Statements'!H26</f>
        <v>68.69</v>
      </c>
      <c r="I21" s="29">
        <f>'Financial Statements'!I26</f>
        <v>72.78</v>
      </c>
      <c r="J21" s="29">
        <f>'Financial Statements'!J26</f>
        <v>87.16</v>
      </c>
      <c r="K21" s="29">
        <f>'Financial Statements'!K26</f>
        <v>129.81</v>
      </c>
      <c r="L21" s="29">
        <f>'Financial Statements'!L26</f>
        <v>290.2</v>
      </c>
    </row>
    <row r="22" spans="1:12" x14ac:dyDescent="0.25">
      <c r="B22" s="21" t="str">
        <f>B21&amp;" Growth"</f>
        <v>Interest Growth</v>
      </c>
      <c r="C22" s="39" t="str">
        <f t="shared" ref="C22:K22" si="7">IFERROR((C21/B21)-1,"-")</f>
        <v>-</v>
      </c>
      <c r="D22" s="37">
        <f t="shared" si="7"/>
        <v>-0.21702309666381525</v>
      </c>
      <c r="E22" s="37">
        <f t="shared" si="7"/>
        <v>-0.53283076586911404</v>
      </c>
      <c r="F22" s="37">
        <f t="shared" si="7"/>
        <v>0.22708138447146875</v>
      </c>
      <c r="G22" s="37">
        <f t="shared" si="7"/>
        <v>0.48389555936725759</v>
      </c>
      <c r="H22" s="37">
        <f t="shared" si="7"/>
        <v>-0.11777549447726687</v>
      </c>
      <c r="I22" s="37">
        <f t="shared" si="7"/>
        <v>5.954287378075418E-2</v>
      </c>
      <c r="J22" s="37">
        <f t="shared" si="7"/>
        <v>0.19758175322890903</v>
      </c>
      <c r="K22" s="37">
        <f t="shared" si="7"/>
        <v>0.48932996787517213</v>
      </c>
      <c r="L22" s="37">
        <f>IFERROR((L21/K21)-1,"-")</f>
        <v>1.2355750712579923</v>
      </c>
    </row>
    <row r="23" spans="1:12" x14ac:dyDescent="0.25">
      <c r="B23" s="11" t="str">
        <f>'Financial Statements'!B32</f>
        <v>EBT</v>
      </c>
      <c r="C23" s="29">
        <f>'Financial Statements'!C32</f>
        <v>169.76000000000028</v>
      </c>
      <c r="D23" s="29">
        <f>'Financial Statements'!D32</f>
        <v>661.95999999999924</v>
      </c>
      <c r="E23" s="29">
        <f>'Financial Statements'!E32</f>
        <v>753.12999999999988</v>
      </c>
      <c r="F23" s="29">
        <f>'Financial Statements'!F32</f>
        <v>734.7099999999997</v>
      </c>
      <c r="G23" s="29">
        <f>'Financial Statements'!G32</f>
        <v>809.38000000000011</v>
      </c>
      <c r="H23" s="29">
        <f>'Financial Statements'!H32</f>
        <v>1311.0600000000022</v>
      </c>
      <c r="I23" s="29">
        <f>'Financial Statements'!I32</f>
        <v>1455.9900000000025</v>
      </c>
      <c r="J23" s="29">
        <f>'Financial Statements'!J32</f>
        <v>1793.5599999999979</v>
      </c>
      <c r="K23" s="29">
        <f>'Financial Statements'!K32</f>
        <v>1695.7200000000007</v>
      </c>
      <c r="L23" s="29">
        <f>'Financial Statements'!L32</f>
        <v>1776.5499999999993</v>
      </c>
    </row>
    <row r="24" spans="1:12" x14ac:dyDescent="0.25">
      <c r="B24" s="21" t="str">
        <f>B23&amp;" Growth"</f>
        <v>EBT Growth</v>
      </c>
      <c r="C24" s="39" t="str">
        <f t="shared" ref="C24:K24" si="8">IFERROR((C23/B23)-1,"-")</f>
        <v>-</v>
      </c>
      <c r="D24" s="37">
        <f t="shared" si="8"/>
        <v>2.8993873704052673</v>
      </c>
      <c r="E24" s="37">
        <f t="shared" si="8"/>
        <v>0.13772735512719914</v>
      </c>
      <c r="F24" s="37">
        <f t="shared" si="8"/>
        <v>-2.4457928910015747E-2</v>
      </c>
      <c r="G24" s="37">
        <f t="shared" si="8"/>
        <v>0.1016319364102849</v>
      </c>
      <c r="H24" s="37">
        <f t="shared" si="8"/>
        <v>0.61983246435543515</v>
      </c>
      <c r="I24" s="37">
        <f t="shared" si="8"/>
        <v>0.11054413985629963</v>
      </c>
      <c r="J24" s="37">
        <f t="shared" si="8"/>
        <v>0.2318491198428525</v>
      </c>
      <c r="K24" s="37">
        <f t="shared" si="8"/>
        <v>-5.4550725930549993E-2</v>
      </c>
      <c r="L24" s="37">
        <f>IFERROR((L23/K23)-1,"-")</f>
        <v>4.7667067676266495E-2</v>
      </c>
    </row>
    <row r="25" spans="1:12" x14ac:dyDescent="0.25">
      <c r="B25" s="11" t="str">
        <f>'Financial Statements'!B35</f>
        <v>Tax</v>
      </c>
      <c r="C25" s="29">
        <f>'Financial Statements'!C35</f>
        <v>200.01</v>
      </c>
      <c r="D25" s="29">
        <f>'Financial Statements'!D35</f>
        <v>198.31</v>
      </c>
      <c r="E25" s="29">
        <f>'Financial Statements'!E35</f>
        <v>185.87</v>
      </c>
      <c r="F25" s="29">
        <f>'Financial Statements'!F35</f>
        <v>260.88</v>
      </c>
      <c r="G25" s="29">
        <f>'Financial Statements'!G35</f>
        <v>274.19</v>
      </c>
      <c r="H25" s="29">
        <f>'Financial Statements'!H35</f>
        <v>317.27</v>
      </c>
      <c r="I25" s="29">
        <f>'Financial Statements'!I35</f>
        <v>377.04</v>
      </c>
      <c r="J25" s="29">
        <f>'Financial Statements'!J35</f>
        <v>447.04</v>
      </c>
      <c r="K25" s="29">
        <f>'Financial Statements'!K35</f>
        <v>394.73</v>
      </c>
      <c r="L25" s="29">
        <f>'Financial Statements'!L35</f>
        <v>396.24</v>
      </c>
    </row>
    <row r="26" spans="1:12" x14ac:dyDescent="0.25">
      <c r="B26" s="21" t="str">
        <f>B25&amp;" Growth"</f>
        <v>Tax Growth</v>
      </c>
      <c r="C26" s="39" t="str">
        <f t="shared" ref="C26:K26" si="9">IFERROR((C25/B25)-1,"-")</f>
        <v>-</v>
      </c>
      <c r="D26" s="37">
        <f t="shared" si="9"/>
        <v>-8.499575021248873E-3</v>
      </c>
      <c r="E26" s="37">
        <f t="shared" si="9"/>
        <v>-6.2730069083757778E-2</v>
      </c>
      <c r="F26" s="37">
        <f t="shared" si="9"/>
        <v>0.40356162909560434</v>
      </c>
      <c r="G26" s="37">
        <f t="shared" si="9"/>
        <v>5.1019625881631336E-2</v>
      </c>
      <c r="H26" s="37">
        <f t="shared" si="9"/>
        <v>0.15711732740070739</v>
      </c>
      <c r="I26" s="37">
        <f t="shared" si="9"/>
        <v>0.18838843886910217</v>
      </c>
      <c r="J26" s="37">
        <f t="shared" si="9"/>
        <v>0.18565669424994691</v>
      </c>
      <c r="K26" s="37">
        <f t="shared" si="9"/>
        <v>-0.11701413743736577</v>
      </c>
      <c r="L26" s="37">
        <f>IFERROR((L25/K25)-1,"-")</f>
        <v>3.8253996402604074E-3</v>
      </c>
    </row>
    <row r="27" spans="1:12" x14ac:dyDescent="0.25">
      <c r="B27" s="11" t="str">
        <f>'Financial Statements'!B38</f>
        <v>Net Profit</v>
      </c>
      <c r="C27" s="29">
        <f>'Financial Statements'!C38</f>
        <v>-30.249999999999716</v>
      </c>
      <c r="D27" s="29">
        <f>'Financial Statements'!D38</f>
        <v>463.64999999999924</v>
      </c>
      <c r="E27" s="29">
        <f>'Financial Statements'!E38</f>
        <v>567.25999999999988</v>
      </c>
      <c r="F27" s="29">
        <f>'Financial Statements'!F38</f>
        <v>473.8299999999997</v>
      </c>
      <c r="G27" s="29">
        <f>'Financial Statements'!G38</f>
        <v>535.19000000000005</v>
      </c>
      <c r="H27" s="29">
        <f>'Financial Statements'!H38</f>
        <v>993.79000000000224</v>
      </c>
      <c r="I27" s="29">
        <f>'Financial Statements'!I38</f>
        <v>1078.9500000000025</v>
      </c>
      <c r="J27" s="29">
        <f>'Financial Statements'!J38</f>
        <v>1346.5199999999979</v>
      </c>
      <c r="K27" s="29">
        <f>'Financial Statements'!K38</f>
        <v>1300.9900000000007</v>
      </c>
      <c r="L27" s="29">
        <f>'Financial Statements'!L38</f>
        <v>1380.3099999999993</v>
      </c>
    </row>
    <row r="28" spans="1:12" x14ac:dyDescent="0.25">
      <c r="B28" s="21" t="str">
        <f>B27&amp;" Growth"</f>
        <v>Net Profit Growth</v>
      </c>
      <c r="C28" s="39" t="str">
        <f t="shared" ref="C28:K28" si="10">IFERROR((C27/B27)-1,"-")</f>
        <v>-</v>
      </c>
      <c r="D28" s="37">
        <f t="shared" si="10"/>
        <v>-16.327272727272845</v>
      </c>
      <c r="E28" s="37">
        <f t="shared" si="10"/>
        <v>0.22346597649088928</v>
      </c>
      <c r="F28" s="37">
        <f t="shared" si="10"/>
        <v>-0.16470401579522653</v>
      </c>
      <c r="G28" s="37">
        <f t="shared" si="10"/>
        <v>0.12949792119536618</v>
      </c>
      <c r="H28" s="37">
        <f t="shared" si="10"/>
        <v>0.85689194491676246</v>
      </c>
      <c r="I28" s="37">
        <f t="shared" si="10"/>
        <v>8.569214824057414E-2</v>
      </c>
      <c r="J28" s="37">
        <f t="shared" si="10"/>
        <v>0.24799110246072087</v>
      </c>
      <c r="K28" s="37">
        <f t="shared" si="10"/>
        <v>-3.3813088554196957E-2</v>
      </c>
      <c r="L28" s="37">
        <f>IFERROR((L27/K27)-1,"-")</f>
        <v>6.0968954411639187E-2</v>
      </c>
    </row>
    <row r="29" spans="1:12" x14ac:dyDescent="0.25">
      <c r="B29" s="22"/>
      <c r="D29" s="40" t="str">
        <f>IFERROR(IF(AND(C27&lt;0,D27&gt;0),"Profit Swing",IF(AND(C27&gt;0,D27&lt;0),"Loss-Making",IF(C27=0,"-","-"))),0)</f>
        <v>Profit Swing</v>
      </c>
    </row>
    <row r="30" spans="1:12" x14ac:dyDescent="0.25">
      <c r="B30" s="11" t="str">
        <f>'Financial Statements'!B43</f>
        <v>Earnings Per Share</v>
      </c>
      <c r="C30" s="29">
        <f>'Financial Statements'!C43</f>
        <v>-0.461550198352147</v>
      </c>
      <c r="D30" s="29">
        <f>'Financial Statements'!D43</f>
        <v>7.0743057674702348</v>
      </c>
      <c r="E30" s="29">
        <f>'Financial Statements'!E43</f>
        <v>8.6551724137931014</v>
      </c>
      <c r="F30" s="29">
        <f>'Financial Statements'!F43</f>
        <v>7.2296307598413128</v>
      </c>
      <c r="G30" s="29">
        <f>'Financial Statements'!G43</f>
        <v>5.5923719958202724</v>
      </c>
      <c r="H30" s="29">
        <f>'Financial Statements'!H43</f>
        <v>10.384430512016742</v>
      </c>
      <c r="I30" s="29">
        <f>'Financial Statements'!I43</f>
        <v>11.274294670846421</v>
      </c>
      <c r="J30" s="29">
        <f>'Financial Statements'!J43</f>
        <v>13.957914377526672</v>
      </c>
      <c r="K30" s="29">
        <f>'Financial Statements'!K43</f>
        <v>13.147953511874691</v>
      </c>
      <c r="L30" s="29">
        <f>'Financial Statements'!L43</f>
        <v>13.949570490146531</v>
      </c>
    </row>
    <row r="31" spans="1:12" x14ac:dyDescent="0.25">
      <c r="B31" s="21" t="str">
        <f>B30&amp;" Growth"</f>
        <v>Earnings Per Share Growth</v>
      </c>
      <c r="C31" s="39" t="str">
        <f t="shared" ref="C31:K31" si="11">IFERROR((C30/B30)-1,"-")</f>
        <v>-</v>
      </c>
      <c r="D31" s="37">
        <f t="shared" si="11"/>
        <v>-16.327272727272845</v>
      </c>
      <c r="E31" s="37">
        <f t="shared" si="11"/>
        <v>0.22346597649088928</v>
      </c>
      <c r="F31" s="37">
        <f t="shared" si="11"/>
        <v>-0.16470401579522664</v>
      </c>
      <c r="G31" s="37">
        <f t="shared" si="11"/>
        <v>-0.2264650600298399</v>
      </c>
      <c r="H31" s="37">
        <f t="shared" si="11"/>
        <v>0.85689194491676246</v>
      </c>
      <c r="I31" s="37">
        <f t="shared" si="11"/>
        <v>8.569214824057414E-2</v>
      </c>
      <c r="J31" s="37">
        <f t="shared" si="11"/>
        <v>0.23802994200778471</v>
      </c>
      <c r="K31" s="37">
        <f t="shared" si="11"/>
        <v>-5.802878881074669E-2</v>
      </c>
      <c r="L31" s="37">
        <f>IFERROR((L30/K30)-1,"-")</f>
        <v>6.0968954411639187E-2</v>
      </c>
    </row>
    <row r="32" spans="1:12" x14ac:dyDescent="0.25">
      <c r="D32" s="43" t="str">
        <f>'Financial Statements'!D45</f>
        <v>Profit Swing</v>
      </c>
    </row>
    <row r="33" spans="1:12" x14ac:dyDescent="0.25">
      <c r="B33" s="11" t="str">
        <f>'Financial Statements'!B47</f>
        <v>Dividend Per Share</v>
      </c>
      <c r="C33" s="29">
        <f>'Financial Statements'!C47</f>
        <v>2.1666158071406771</v>
      </c>
      <c r="D33" s="29">
        <f>'Financial Statements'!D47</f>
        <v>2.2628928898382665</v>
      </c>
      <c r="E33" s="29">
        <f>'Financial Statements'!E47</f>
        <v>2.2628928898382665</v>
      </c>
      <c r="F33" s="29">
        <f>'Financial Statements'!F47</f>
        <v>2.4073848031736342</v>
      </c>
      <c r="G33" s="29">
        <f>'Financial Statements'!G47</f>
        <v>2.6001044932079416</v>
      </c>
      <c r="H33" s="29">
        <f>'Financial Statements'!H47</f>
        <v>3.9002089864158829</v>
      </c>
      <c r="I33" s="29">
        <f>'Financial Statements'!I47</f>
        <v>5.8262277951933124</v>
      </c>
      <c r="J33" s="29">
        <f>'Financial Statements'!J47</f>
        <v>8.1372447392971914</v>
      </c>
      <c r="K33" s="29">
        <f>'Financial Statements'!K47</f>
        <v>7.4625568468923689</v>
      </c>
      <c r="L33" s="29">
        <f>'Financial Statements'!L47</f>
        <v>8.2500252652854975</v>
      </c>
    </row>
    <row r="34" spans="1:12" x14ac:dyDescent="0.25">
      <c r="B34" s="21" t="str">
        <f>B33&amp;" Growth"</f>
        <v>Dividend Per Share Growth</v>
      </c>
      <c r="C34" s="39" t="str">
        <f t="shared" ref="C34:K34" si="12">IFERROR((C33/B33)-1,"-")</f>
        <v>-</v>
      </c>
      <c r="D34" s="37">
        <f t="shared" si="12"/>
        <v>4.4436619718309922E-2</v>
      </c>
      <c r="E34" s="37">
        <f t="shared" si="12"/>
        <v>0</v>
      </c>
      <c r="F34" s="37">
        <f t="shared" si="12"/>
        <v>6.385274088058801E-2</v>
      </c>
      <c r="G34" s="37">
        <f t="shared" si="12"/>
        <v>8.0053545980786511E-2</v>
      </c>
      <c r="H34" s="37">
        <f t="shared" si="12"/>
        <v>0.50002009404010761</v>
      </c>
      <c r="I34" s="37">
        <f t="shared" si="12"/>
        <v>0.49382451440053576</v>
      </c>
      <c r="J34" s="37">
        <f t="shared" si="12"/>
        <v>0.39665749870104428</v>
      </c>
      <c r="K34" s="37">
        <f t="shared" si="12"/>
        <v>-8.2913555388908544E-2</v>
      </c>
      <c r="L34" s="37">
        <f>IFERROR((L33/K33)-1,"-")</f>
        <v>0.10552260231304689</v>
      </c>
    </row>
    <row r="36" spans="1:12" ht="18.75" x14ac:dyDescent="0.3">
      <c r="A36" s="63" t="s">
        <v>56</v>
      </c>
      <c r="B36" s="44" t="s">
        <v>105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</row>
    <row r="37" spans="1:12" s="17" customFormat="1" ht="15.75" customHeight="1" x14ac:dyDescent="0.3"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12" x14ac:dyDescent="0.25">
      <c r="B38" s="11" t="str">
        <f>'Financial Statements'!B53</f>
        <v>Equity Share Capital</v>
      </c>
      <c r="C38" s="29">
        <f>'Financial Statements'!C53</f>
        <v>63.11</v>
      </c>
      <c r="D38" s="29">
        <f>'Financial Statements'!D53</f>
        <v>63.11</v>
      </c>
      <c r="E38" s="29">
        <f>'Financial Statements'!E53</f>
        <v>63.11</v>
      </c>
      <c r="F38" s="29">
        <f>'Financial Statements'!F53</f>
        <v>63.11</v>
      </c>
      <c r="G38" s="29">
        <f>'Financial Statements'!G53</f>
        <v>92.16</v>
      </c>
      <c r="H38" s="29">
        <f>'Financial Statements'!H53</f>
        <v>92.16</v>
      </c>
      <c r="I38" s="29">
        <f>'Financial Statements'!I53</f>
        <v>92.16</v>
      </c>
      <c r="J38" s="29">
        <f>'Financial Statements'!J53</f>
        <v>92.9</v>
      </c>
      <c r="K38" s="29">
        <f>'Financial Statements'!K53</f>
        <v>95.28</v>
      </c>
      <c r="L38" s="29">
        <f>'Financial Statements'!L53</f>
        <v>98.95</v>
      </c>
    </row>
    <row r="39" spans="1:12" x14ac:dyDescent="0.25">
      <c r="B39" s="21" t="str">
        <f>B38&amp;" Growth"</f>
        <v>Equity Share Capital Growth</v>
      </c>
      <c r="C39" s="39" t="str">
        <f t="shared" ref="C39:K39" si="13">IFERROR((C38/B38)-1,"-")</f>
        <v>-</v>
      </c>
      <c r="D39" s="37">
        <f t="shared" si="13"/>
        <v>0</v>
      </c>
      <c r="E39" s="37">
        <f t="shared" si="13"/>
        <v>0</v>
      </c>
      <c r="F39" s="37">
        <f t="shared" si="13"/>
        <v>0</v>
      </c>
      <c r="G39" s="37">
        <f t="shared" si="13"/>
        <v>0.46030739977816504</v>
      </c>
      <c r="H39" s="37">
        <f t="shared" si="13"/>
        <v>0</v>
      </c>
      <c r="I39" s="37">
        <f t="shared" si="13"/>
        <v>0</v>
      </c>
      <c r="J39" s="37">
        <f t="shared" si="13"/>
        <v>8.0295138888890616E-3</v>
      </c>
      <c r="K39" s="37">
        <f t="shared" si="13"/>
        <v>2.5618945102260371E-2</v>
      </c>
      <c r="L39" s="37">
        <f>IFERROR((L38/K38)-1,"-")</f>
        <v>3.8518052057094909E-2</v>
      </c>
    </row>
    <row r="40" spans="1:12" x14ac:dyDescent="0.25">
      <c r="B40" s="11" t="str">
        <f>'Financial Statements'!B54</f>
        <v>Reserves</v>
      </c>
      <c r="C40" s="29">
        <f>'Financial Statements'!C54</f>
        <v>6184.06</v>
      </c>
      <c r="D40" s="29">
        <f>'Financial Statements'!D54</f>
        <v>6202.39</v>
      </c>
      <c r="E40" s="29">
        <f>'Financial Statements'!E54</f>
        <v>6968.49</v>
      </c>
      <c r="F40" s="29">
        <f>'Financial Statements'!F54</f>
        <v>7268.58</v>
      </c>
      <c r="G40" s="29">
        <f>'Financial Statements'!G54</f>
        <v>13722.7</v>
      </c>
      <c r="H40" s="29">
        <f>'Financial Statements'!H54</f>
        <v>14442.35</v>
      </c>
      <c r="I40" s="29">
        <f>'Financial Statements'!I54</f>
        <v>15049.78</v>
      </c>
      <c r="J40" s="29">
        <f>'Financial Statements'!J54</f>
        <v>16183.81</v>
      </c>
      <c r="K40" s="29">
        <f>'Financial Statements'!K54</f>
        <v>15961.51</v>
      </c>
      <c r="L40" s="29">
        <f>'Financial Statements'!L54</f>
        <v>19902.13</v>
      </c>
    </row>
    <row r="41" spans="1:12" x14ac:dyDescent="0.25">
      <c r="B41" s="21" t="str">
        <f>B40&amp;" Growth"</f>
        <v>Reserves Growth</v>
      </c>
      <c r="C41" s="39" t="str">
        <f t="shared" ref="C41:L41" si="14">IFERROR((C40/B40)-1,"-")</f>
        <v>-</v>
      </c>
      <c r="D41" s="37">
        <f t="shared" si="14"/>
        <v>2.9640721467774078E-3</v>
      </c>
      <c r="E41" s="37">
        <f t="shared" si="14"/>
        <v>0.12351690235538237</v>
      </c>
      <c r="F41" s="37">
        <f t="shared" si="14"/>
        <v>4.3063848839562047E-2</v>
      </c>
      <c r="G41" s="37">
        <f t="shared" si="14"/>
        <v>0.88794785226275286</v>
      </c>
      <c r="H41" s="37">
        <f t="shared" si="14"/>
        <v>5.2442303628294606E-2</v>
      </c>
      <c r="I41" s="37">
        <f t="shared" si="14"/>
        <v>4.2058944700827716E-2</v>
      </c>
      <c r="J41" s="37">
        <f t="shared" si="14"/>
        <v>7.5351932054820603E-2</v>
      </c>
      <c r="K41" s="37">
        <f t="shared" si="14"/>
        <v>-1.3735949692933791E-2</v>
      </c>
      <c r="L41" s="37">
        <f t="shared" si="14"/>
        <v>0.24688265709196688</v>
      </c>
    </row>
    <row r="42" spans="1:12" x14ac:dyDescent="0.25">
      <c r="B42" s="11" t="s">
        <v>106</v>
      </c>
      <c r="C42" s="29">
        <f t="shared" ref="C42:L42" si="15">IFERROR(C38+C40,0)</f>
        <v>6247.17</v>
      </c>
      <c r="D42" s="29">
        <f t="shared" si="15"/>
        <v>6265.5</v>
      </c>
      <c r="E42" s="29">
        <f t="shared" si="15"/>
        <v>7031.5999999999995</v>
      </c>
      <c r="F42" s="29">
        <f t="shared" si="15"/>
        <v>7331.69</v>
      </c>
      <c r="G42" s="29">
        <f t="shared" si="15"/>
        <v>13814.86</v>
      </c>
      <c r="H42" s="29">
        <f t="shared" si="15"/>
        <v>14534.51</v>
      </c>
      <c r="I42" s="29">
        <f t="shared" si="15"/>
        <v>15141.94</v>
      </c>
      <c r="J42" s="29">
        <f t="shared" si="15"/>
        <v>16276.71</v>
      </c>
      <c r="K42" s="29">
        <f t="shared" si="15"/>
        <v>16056.79</v>
      </c>
      <c r="L42" s="29">
        <f t="shared" si="15"/>
        <v>20001.080000000002</v>
      </c>
    </row>
    <row r="43" spans="1:12" x14ac:dyDescent="0.25">
      <c r="B43" s="21" t="str">
        <f>B42&amp;" Growth"</f>
        <v>Total Equity Growth</v>
      </c>
      <c r="C43" s="39" t="str">
        <f t="shared" ref="C43:K43" si="16">IFERROR((C42/B42)-1,"-")</f>
        <v>-</v>
      </c>
      <c r="D43" s="37">
        <f t="shared" si="16"/>
        <v>2.9341285734181266E-3</v>
      </c>
      <c r="E43" s="37">
        <f t="shared" si="16"/>
        <v>0.12227276354640493</v>
      </c>
      <c r="F43" s="37">
        <f t="shared" si="16"/>
        <v>4.2677342283406361E-2</v>
      </c>
      <c r="G43" s="37">
        <f t="shared" si="16"/>
        <v>0.88426679251304963</v>
      </c>
      <c r="H43" s="37">
        <f t="shared" si="16"/>
        <v>5.2092456963009459E-2</v>
      </c>
      <c r="I43" s="37">
        <f t="shared" si="16"/>
        <v>4.1792258562552087E-2</v>
      </c>
      <c r="J43" s="37">
        <f t="shared" si="16"/>
        <v>7.4942180460363605E-2</v>
      </c>
      <c r="K43" s="37">
        <f t="shared" si="16"/>
        <v>-1.3511329992363263E-2</v>
      </c>
      <c r="L43" s="37">
        <f>IFERROR((L42/K42)-1,"-")</f>
        <v>0.24564623439678801</v>
      </c>
    </row>
    <row r="44" spans="1:12" x14ac:dyDescent="0.25">
      <c r="B44" s="11" t="str">
        <f>'Financial Statements'!B55</f>
        <v>Borrowings</v>
      </c>
      <c r="C44" s="29">
        <f>'Financial Statements'!C55</f>
        <v>1354.05</v>
      </c>
      <c r="D44" s="29">
        <f>'Financial Statements'!D55</f>
        <v>786.56</v>
      </c>
      <c r="E44" s="29">
        <f>'Financial Statements'!E55</f>
        <v>1067.58</v>
      </c>
      <c r="F44" s="29">
        <f>'Financial Statements'!F55</f>
        <v>1141.0999999999999</v>
      </c>
      <c r="G44" s="29">
        <f>'Financial Statements'!G55</f>
        <v>1586.32</v>
      </c>
      <c r="H44" s="29">
        <f>'Financial Statements'!H55</f>
        <v>1633.55</v>
      </c>
      <c r="I44" s="29">
        <f>'Financial Statements'!I55</f>
        <v>1412.01</v>
      </c>
      <c r="J44" s="29">
        <f>'Financial Statements'!J55</f>
        <v>1600.04</v>
      </c>
      <c r="K44" s="29">
        <f>'Financial Statements'!K55</f>
        <v>3477.22</v>
      </c>
      <c r="L44" s="29">
        <f>'Financial Statements'!L55</f>
        <v>2392.6799999999998</v>
      </c>
    </row>
    <row r="45" spans="1:12" x14ac:dyDescent="0.25">
      <c r="B45" s="21" t="str">
        <f>B44&amp;" Growth"</f>
        <v>Borrowings Growth</v>
      </c>
      <c r="C45" s="39" t="str">
        <f t="shared" ref="C45:K45" si="17">IFERROR((C44/B44)-1,"-")</f>
        <v>-</v>
      </c>
      <c r="D45" s="37">
        <f t="shared" si="17"/>
        <v>-0.41910564602488831</v>
      </c>
      <c r="E45" s="37">
        <f t="shared" si="17"/>
        <v>0.35727725793327902</v>
      </c>
      <c r="F45" s="37">
        <f t="shared" si="17"/>
        <v>6.8866033458850895E-2</v>
      </c>
      <c r="G45" s="37">
        <f t="shared" si="17"/>
        <v>0.39016738235036375</v>
      </c>
      <c r="H45" s="37">
        <f t="shared" si="17"/>
        <v>2.9773311816027048E-2</v>
      </c>
      <c r="I45" s="37">
        <f t="shared" si="17"/>
        <v>-0.13561874445226652</v>
      </c>
      <c r="J45" s="37">
        <f t="shared" si="17"/>
        <v>0.13316477928626558</v>
      </c>
      <c r="K45" s="37">
        <f t="shared" si="17"/>
        <v>1.173208169795755</v>
      </c>
      <c r="L45" s="37">
        <f>IFERROR((L44/K44)-1,"-")</f>
        <v>-0.31189858565175632</v>
      </c>
    </row>
    <row r="46" spans="1:12" x14ac:dyDescent="0.25">
      <c r="B46" s="11" t="str">
        <f>'Financial Statements'!B56</f>
        <v>Other Liabilities</v>
      </c>
      <c r="C46" s="29">
        <f>'Financial Statements'!C56</f>
        <v>2293.54</v>
      </c>
      <c r="D46" s="29">
        <f>'Financial Statements'!D56</f>
        <v>2499.35</v>
      </c>
      <c r="E46" s="29">
        <f>'Financial Statements'!E56</f>
        <v>2361.58</v>
      </c>
      <c r="F46" s="29">
        <f>'Financial Statements'!F56</f>
        <v>2407.89</v>
      </c>
      <c r="G46" s="29">
        <f>'Financial Statements'!G56</f>
        <v>3071.86</v>
      </c>
      <c r="H46" s="29">
        <f>'Financial Statements'!H56</f>
        <v>4049.76</v>
      </c>
      <c r="I46" s="29">
        <f>'Financial Statements'!I56</f>
        <v>4520.92</v>
      </c>
      <c r="J46" s="29">
        <f>'Financial Statements'!J56</f>
        <v>4885.74</v>
      </c>
      <c r="K46" s="29">
        <f>'Financial Statements'!K56</f>
        <v>8344.7800000000007</v>
      </c>
      <c r="L46" s="29">
        <f>'Financial Statements'!L56</f>
        <v>9436.86</v>
      </c>
    </row>
    <row r="47" spans="1:12" x14ac:dyDescent="0.25">
      <c r="B47" s="21" t="str">
        <f>B46&amp;" Growth"</f>
        <v>Other Liabilities Growth</v>
      </c>
      <c r="C47" s="39" t="str">
        <f t="shared" ref="C47:K47" si="18">IFERROR((C46/B46)-1,"-")</f>
        <v>-</v>
      </c>
      <c r="D47" s="37">
        <f t="shared" si="18"/>
        <v>8.9734646005737773E-2</v>
      </c>
      <c r="E47" s="37">
        <f t="shared" si="18"/>
        <v>-5.5122331806269576E-2</v>
      </c>
      <c r="F47" s="37">
        <f t="shared" si="18"/>
        <v>1.9609752792621782E-2</v>
      </c>
      <c r="G47" s="37">
        <f t="shared" si="18"/>
        <v>0.27574764627952275</v>
      </c>
      <c r="H47" s="37">
        <f t="shared" si="18"/>
        <v>0.31834133065960035</v>
      </c>
      <c r="I47" s="37">
        <f t="shared" si="18"/>
        <v>0.11634269685117138</v>
      </c>
      <c r="J47" s="37">
        <f t="shared" si="18"/>
        <v>8.0695964538191278E-2</v>
      </c>
      <c r="K47" s="37">
        <f t="shared" si="18"/>
        <v>0.70798691702792227</v>
      </c>
      <c r="L47" s="37">
        <f>IFERROR((L46/K46)-1,"-")</f>
        <v>0.13086983719163348</v>
      </c>
    </row>
    <row r="48" spans="1:12" x14ac:dyDescent="0.25">
      <c r="B48" s="11" t="s">
        <v>107</v>
      </c>
      <c r="C48" s="29">
        <f t="shared" ref="C48:L48" si="19">IFERROR(C44+C46,0)</f>
        <v>3647.59</v>
      </c>
      <c r="D48" s="29">
        <f t="shared" si="19"/>
        <v>3285.91</v>
      </c>
      <c r="E48" s="29">
        <f t="shared" si="19"/>
        <v>3429.16</v>
      </c>
      <c r="F48" s="29">
        <f t="shared" si="19"/>
        <v>3548.99</v>
      </c>
      <c r="G48" s="29">
        <f t="shared" si="19"/>
        <v>4658.18</v>
      </c>
      <c r="H48" s="29">
        <f t="shared" si="19"/>
        <v>5683.31</v>
      </c>
      <c r="I48" s="29">
        <f t="shared" si="19"/>
        <v>5932.93</v>
      </c>
      <c r="J48" s="29">
        <f t="shared" si="19"/>
        <v>6485.78</v>
      </c>
      <c r="K48" s="29">
        <f t="shared" si="19"/>
        <v>11822</v>
      </c>
      <c r="L48" s="29">
        <f t="shared" si="19"/>
        <v>11829.54</v>
      </c>
    </row>
    <row r="49" spans="2:13" x14ac:dyDescent="0.25">
      <c r="B49" s="21" t="str">
        <f>B48&amp;" Growth"</f>
        <v>Total Debt Growth</v>
      </c>
      <c r="C49" s="39" t="str">
        <f t="shared" ref="C49:K49" si="20">IFERROR((C48/B48)-1,"-")</f>
        <v>-</v>
      </c>
      <c r="D49" s="37">
        <f t="shared" si="20"/>
        <v>-9.9155881006363189E-2</v>
      </c>
      <c r="E49" s="37">
        <f t="shared" si="20"/>
        <v>4.359522932764448E-2</v>
      </c>
      <c r="F49" s="37">
        <f t="shared" si="20"/>
        <v>3.494441787493141E-2</v>
      </c>
      <c r="G49" s="37">
        <f t="shared" si="20"/>
        <v>0.31253680624628433</v>
      </c>
      <c r="H49" s="37">
        <f t="shared" si="20"/>
        <v>0.22007092898943359</v>
      </c>
      <c r="I49" s="37">
        <f t="shared" si="20"/>
        <v>4.392158794786849E-2</v>
      </c>
      <c r="J49" s="37">
        <f t="shared" si="20"/>
        <v>9.3183300662573076E-2</v>
      </c>
      <c r="K49" s="37">
        <f t="shared" si="20"/>
        <v>0.82275686193487907</v>
      </c>
      <c r="L49" s="37">
        <f>IFERROR((L48/K48)-1,"-")</f>
        <v>6.3779394349516849E-4</v>
      </c>
    </row>
    <row r="50" spans="2:13" x14ac:dyDescent="0.25">
      <c r="B50" s="11" t="str">
        <f>'Financial Statements'!B60</f>
        <v>Net Block</v>
      </c>
      <c r="C50" s="29">
        <f>'Financial Statements'!C60</f>
        <v>4661.8</v>
      </c>
      <c r="D50" s="29">
        <f>'Financial Statements'!D60</f>
        <v>4572.59</v>
      </c>
      <c r="E50" s="29">
        <f>'Financial Statements'!E60</f>
        <v>4798.18</v>
      </c>
      <c r="F50" s="29">
        <f>'Financial Statements'!F60</f>
        <v>4913.3100000000004</v>
      </c>
      <c r="G50" s="29">
        <f>'Financial Statements'!G60</f>
        <v>11656.04</v>
      </c>
      <c r="H50" s="29">
        <f>'Financial Statements'!H60</f>
        <v>12023.13</v>
      </c>
      <c r="I50" s="29">
        <f>'Financial Statements'!I60</f>
        <v>12599.35</v>
      </c>
      <c r="J50" s="29">
        <f>'Financial Statements'!J60</f>
        <v>13070.04</v>
      </c>
      <c r="K50" s="29">
        <f>'Financial Statements'!K60</f>
        <v>19357.900000000001</v>
      </c>
      <c r="L50" s="29">
        <f>'Financial Statements'!L60</f>
        <v>21476.84</v>
      </c>
    </row>
    <row r="51" spans="2:13" x14ac:dyDescent="0.25">
      <c r="B51" s="21" t="str">
        <f>B50&amp;" Growth"</f>
        <v>Net Block Growth</v>
      </c>
      <c r="C51" s="39" t="str">
        <f t="shared" ref="C51:K51" si="21">IFERROR((C50/B50)-1,"-")</f>
        <v>-</v>
      </c>
      <c r="D51" s="37">
        <f t="shared" si="21"/>
        <v>-1.9136385087305308E-2</v>
      </c>
      <c r="E51" s="37">
        <f t="shared" si="21"/>
        <v>4.9335278255868253E-2</v>
      </c>
      <c r="F51" s="37">
        <f t="shared" si="21"/>
        <v>2.3994514586780813E-2</v>
      </c>
      <c r="G51" s="37">
        <f t="shared" si="21"/>
        <v>1.3723396244079855</v>
      </c>
      <c r="H51" s="37">
        <f t="shared" si="21"/>
        <v>3.1493543261690737E-2</v>
      </c>
      <c r="I51" s="37">
        <f t="shared" si="21"/>
        <v>4.7925956053041174E-2</v>
      </c>
      <c r="J51" s="37">
        <f t="shared" si="21"/>
        <v>3.7358276419021674E-2</v>
      </c>
      <c r="K51" s="37">
        <f t="shared" si="21"/>
        <v>0.48108957585439671</v>
      </c>
      <c r="L51" s="37">
        <f>IFERROR((L50/K50)-1,"-")</f>
        <v>0.10946125354506431</v>
      </c>
    </row>
    <row r="52" spans="2:13" x14ac:dyDescent="0.25">
      <c r="B52" s="11" t="str">
        <f>'Financial Statements'!B61</f>
        <v>Capital Work in Progress</v>
      </c>
      <c r="C52" s="29">
        <f>'Financial Statements'!C61</f>
        <v>39.42</v>
      </c>
      <c r="D52" s="29">
        <f>'Financial Statements'!D61</f>
        <v>63.19</v>
      </c>
      <c r="E52" s="29">
        <f>'Financial Statements'!E61</f>
        <v>135.16</v>
      </c>
      <c r="F52" s="29">
        <f>'Financial Statements'!F61</f>
        <v>424.41</v>
      </c>
      <c r="G52" s="29">
        <f>'Financial Statements'!G61</f>
        <v>95.35</v>
      </c>
      <c r="H52" s="29">
        <f>'Financial Statements'!H61</f>
        <v>112.85</v>
      </c>
      <c r="I52" s="29">
        <f>'Financial Statements'!I61</f>
        <v>246.97</v>
      </c>
      <c r="J52" s="29">
        <f>'Financial Statements'!J61</f>
        <v>294.89999999999998</v>
      </c>
      <c r="K52" s="29">
        <f>'Financial Statements'!K61</f>
        <v>189.6</v>
      </c>
      <c r="L52" s="29">
        <f>'Financial Statements'!L61</f>
        <v>218.1</v>
      </c>
    </row>
    <row r="53" spans="2:13" x14ac:dyDescent="0.25">
      <c r="B53" s="21" t="str">
        <f>B52&amp;" Growth"</f>
        <v>Capital Work in Progress Growth</v>
      </c>
      <c r="C53" s="39" t="str">
        <f t="shared" ref="C53:K53" si="22">IFERROR((C52/B52)-1,"-")</f>
        <v>-</v>
      </c>
      <c r="D53" s="37">
        <f t="shared" si="22"/>
        <v>0.6029934043632672</v>
      </c>
      <c r="E53" s="37">
        <f t="shared" si="22"/>
        <v>1.1389460357651529</v>
      </c>
      <c r="F53" s="37">
        <f t="shared" si="22"/>
        <v>2.140056229653744</v>
      </c>
      <c r="G53" s="37">
        <f t="shared" si="22"/>
        <v>-0.77533517117881301</v>
      </c>
      <c r="H53" s="37">
        <f t="shared" si="22"/>
        <v>0.18353434714210803</v>
      </c>
      <c r="I53" s="37">
        <f t="shared" si="22"/>
        <v>1.1884802835622508</v>
      </c>
      <c r="J53" s="37">
        <f t="shared" si="22"/>
        <v>0.19407215451269377</v>
      </c>
      <c r="K53" s="37">
        <f t="shared" si="22"/>
        <v>-0.35707019328585954</v>
      </c>
      <c r="L53" s="37">
        <f>IFERROR((L52/K52)-1,"-")</f>
        <v>0.15031645569620244</v>
      </c>
    </row>
    <row r="54" spans="2:13" x14ac:dyDescent="0.25">
      <c r="B54" s="11" t="str">
        <f>'Financial Statements'!B62</f>
        <v>Investments</v>
      </c>
      <c r="C54" s="29">
        <f>'Financial Statements'!C62</f>
        <v>1365.94</v>
      </c>
      <c r="D54" s="29">
        <f>'Financial Statements'!D62</f>
        <v>1451.04</v>
      </c>
      <c r="E54" s="29">
        <f>'Financial Statements'!E62</f>
        <v>1161.33</v>
      </c>
      <c r="F54" s="29">
        <f>'Financial Statements'!F62</f>
        <v>1187.6600000000001</v>
      </c>
      <c r="G54" s="29">
        <f>'Financial Statements'!G62</f>
        <v>1322.85</v>
      </c>
      <c r="H54" s="29">
        <f>'Financial Statements'!H62</f>
        <v>805.89</v>
      </c>
      <c r="I54" s="29">
        <f>'Financial Statements'!I62</f>
        <v>797.28</v>
      </c>
      <c r="J54" s="29">
        <f>'Financial Statements'!J62</f>
        <v>1432.97</v>
      </c>
      <c r="K54" s="29">
        <f>'Financial Statements'!K62</f>
        <v>870.55</v>
      </c>
      <c r="L54" s="29">
        <f>'Financial Statements'!L62</f>
        <v>968.67</v>
      </c>
    </row>
    <row r="55" spans="2:13" x14ac:dyDescent="0.25">
      <c r="B55" s="21" t="str">
        <f>B54&amp;" Growth"</f>
        <v>Investments Growth</v>
      </c>
      <c r="C55" s="39" t="str">
        <f t="shared" ref="C55:K55" si="23">IFERROR((C54/B54)-1,"-")</f>
        <v>-</v>
      </c>
      <c r="D55" s="37">
        <f t="shared" si="23"/>
        <v>6.2301418803168529E-2</v>
      </c>
      <c r="E55" s="37">
        <f t="shared" si="23"/>
        <v>-0.19965679788289781</v>
      </c>
      <c r="F55" s="37">
        <f t="shared" si="23"/>
        <v>2.2672280919290966E-2</v>
      </c>
      <c r="G55" s="37">
        <f t="shared" si="23"/>
        <v>0.11382887358334859</v>
      </c>
      <c r="H55" s="37">
        <f t="shared" si="23"/>
        <v>-0.39079260687152739</v>
      </c>
      <c r="I55" s="37">
        <f t="shared" si="23"/>
        <v>-1.0683840226333619E-2</v>
      </c>
      <c r="J55" s="37">
        <f t="shared" si="23"/>
        <v>0.79732339955849896</v>
      </c>
      <c r="K55" s="37">
        <f t="shared" si="23"/>
        <v>-0.39248553703148015</v>
      </c>
      <c r="L55" s="37">
        <f>IFERROR((L54/K54)-1,"-")</f>
        <v>0.11271035552237096</v>
      </c>
    </row>
    <row r="56" spans="2:13" x14ac:dyDescent="0.25">
      <c r="B56" s="11" t="str">
        <f>'Financial Statements'!B63</f>
        <v>Other Assets</v>
      </c>
      <c r="C56" s="29">
        <f>'Financial Statements'!C63</f>
        <v>1105.1299999999997</v>
      </c>
      <c r="D56" s="29">
        <f>'Financial Statements'!D63</f>
        <v>844.36000000000013</v>
      </c>
      <c r="E56" s="29">
        <f>'Financial Statements'!E63</f>
        <v>1031.3599999999997</v>
      </c>
      <c r="F56" s="29">
        <f>'Financial Statements'!F63</f>
        <v>1032.6000000000004</v>
      </c>
      <c r="G56" s="29">
        <f>'Financial Statements'!G63</f>
        <v>1142.9000000000005</v>
      </c>
      <c r="H56" s="29">
        <f>'Financial Statements'!H63</f>
        <v>1190.5899999999992</v>
      </c>
      <c r="I56" s="29">
        <f>'Financial Statements'!I63</f>
        <v>1729.7200000000003</v>
      </c>
      <c r="J56" s="29">
        <f>'Financial Statements'!J63</f>
        <v>1667.6399999999994</v>
      </c>
      <c r="K56" s="29">
        <f>'Financial Statements'!K63</f>
        <v>1340.1499999999996</v>
      </c>
      <c r="L56" s="29">
        <f>'Financial Statements'!L63</f>
        <v>1879.4500000000007</v>
      </c>
      <c r="M56" s="11"/>
    </row>
    <row r="57" spans="2:13" x14ac:dyDescent="0.25">
      <c r="B57" s="21" t="str">
        <f>B56&amp;" Growth"</f>
        <v>Other Assets Growth</v>
      </c>
      <c r="C57" s="39" t="str">
        <f t="shared" ref="C57:K57" si="24">IFERROR((C56/B56)-1,"-")</f>
        <v>-</v>
      </c>
      <c r="D57" s="37">
        <f t="shared" si="24"/>
        <v>-0.23596318985096743</v>
      </c>
      <c r="E57" s="37">
        <f t="shared" si="24"/>
        <v>0.22146951537258941</v>
      </c>
      <c r="F57" s="37">
        <f t="shared" si="24"/>
        <v>1.2022959975184211E-3</v>
      </c>
      <c r="G57" s="37">
        <f t="shared" si="24"/>
        <v>0.10681774162308755</v>
      </c>
      <c r="H57" s="37">
        <f t="shared" si="24"/>
        <v>4.1727185230552744E-2</v>
      </c>
      <c r="I57" s="37">
        <f t="shared" si="24"/>
        <v>0.45282590984302007</v>
      </c>
      <c r="J57" s="37">
        <f t="shared" si="24"/>
        <v>-3.5890201882386119E-2</v>
      </c>
      <c r="K57" s="37">
        <f t="shared" si="24"/>
        <v>-0.1963793144803434</v>
      </c>
      <c r="L57" s="37">
        <f>IFERROR((L56/K56)-1,"-")</f>
        <v>0.40241763981643941</v>
      </c>
    </row>
    <row r="58" spans="2:13" x14ac:dyDescent="0.25">
      <c r="B58" s="11" t="str">
        <f>'Financial Statements'!B64</f>
        <v>Total Non Current Assets</v>
      </c>
      <c r="C58" s="29">
        <f>'Financial Statements'!C64</f>
        <v>7172.2899999999991</v>
      </c>
      <c r="D58" s="29">
        <f>'Financial Statements'!D64</f>
        <v>6931.18</v>
      </c>
      <c r="E58" s="29">
        <f>'Financial Statements'!E64</f>
        <v>7126.03</v>
      </c>
      <c r="F58" s="29">
        <f>'Financial Statements'!F64</f>
        <v>7557.9800000000005</v>
      </c>
      <c r="G58" s="29">
        <f>'Financial Statements'!G64</f>
        <v>14217.140000000003</v>
      </c>
      <c r="H58" s="29">
        <f>'Financial Statements'!H64</f>
        <v>14132.46</v>
      </c>
      <c r="I58" s="29">
        <f>'Financial Statements'!I64</f>
        <v>15373.32</v>
      </c>
      <c r="J58" s="29">
        <f>'Financial Statements'!J64</f>
        <v>16465.55</v>
      </c>
      <c r="K58" s="29">
        <f>'Financial Statements'!K64</f>
        <v>21758.199999999997</v>
      </c>
      <c r="L58" s="29">
        <f>'Financial Statements'!L64</f>
        <v>24543.059999999998</v>
      </c>
    </row>
    <row r="59" spans="2:13" x14ac:dyDescent="0.25">
      <c r="B59" s="21" t="str">
        <f>B58&amp;" Growth"</f>
        <v>Total Non Current Assets Growth</v>
      </c>
      <c r="C59" s="39" t="str">
        <f t="shared" ref="C59:K59" si="25">IFERROR((C58/B58)-1,"-")</f>
        <v>-</v>
      </c>
      <c r="D59" s="37">
        <f>IFERROR((D58/C58)-1,"-")</f>
        <v>-3.3616878291312657E-2</v>
      </c>
      <c r="E59" s="37">
        <f t="shared" si="25"/>
        <v>2.8112096353001936E-2</v>
      </c>
      <c r="F59" s="37">
        <f t="shared" si="25"/>
        <v>6.0615798698574253E-2</v>
      </c>
      <c r="G59" s="37">
        <f t="shared" si="25"/>
        <v>0.8810766898033604</v>
      </c>
      <c r="H59" s="37">
        <f t="shared" si="25"/>
        <v>-5.956190907594916E-3</v>
      </c>
      <c r="I59" s="37">
        <f t="shared" si="25"/>
        <v>8.7802123621789852E-2</v>
      </c>
      <c r="J59" s="37">
        <f t="shared" si="25"/>
        <v>7.1047112790210587E-2</v>
      </c>
      <c r="K59" s="37">
        <f t="shared" si="25"/>
        <v>0.32143778980963278</v>
      </c>
      <c r="L59" s="37">
        <f>IFERROR((L58/K58)-1,"-")</f>
        <v>0.12799128604388232</v>
      </c>
    </row>
    <row r="60" spans="2:13" x14ac:dyDescent="0.25">
      <c r="B60" s="11" t="str">
        <f>'Financial Statements'!B67</f>
        <v>Receivables</v>
      </c>
      <c r="C60" s="29">
        <f>'Financial Statements'!C67</f>
        <v>592.42999999999995</v>
      </c>
      <c r="D60" s="29">
        <f>'Financial Statements'!D67</f>
        <v>592.45000000000005</v>
      </c>
      <c r="E60" s="29">
        <f>'Financial Statements'!E67</f>
        <v>648.28</v>
      </c>
      <c r="F60" s="29">
        <f>'Financial Statements'!F67</f>
        <v>680.55</v>
      </c>
      <c r="G60" s="29">
        <f>'Financial Statements'!G67</f>
        <v>922.41</v>
      </c>
      <c r="H60" s="29">
        <f>'Financial Statements'!H67</f>
        <v>761.32</v>
      </c>
      <c r="I60" s="29">
        <f>'Financial Statements'!I67</f>
        <v>835.15</v>
      </c>
      <c r="J60" s="29">
        <f>'Financial Statements'!J67</f>
        <v>798.33</v>
      </c>
      <c r="K60" s="29">
        <f>'Financial Statements'!K67</f>
        <v>896.75</v>
      </c>
      <c r="L60" s="29">
        <f>'Financial Statements'!L67</f>
        <v>869.79</v>
      </c>
    </row>
    <row r="61" spans="2:13" x14ac:dyDescent="0.25">
      <c r="B61" s="21" t="str">
        <f>B60&amp;" Growth"</f>
        <v>Receivables Growth</v>
      </c>
      <c r="C61" s="39" t="str">
        <f t="shared" ref="C61:K61" si="26">IFERROR((C60/B60)-1,"-")</f>
        <v>-</v>
      </c>
      <c r="D61" s="37">
        <f t="shared" si="26"/>
        <v>3.3759262697774517E-5</v>
      </c>
      <c r="E61" s="37">
        <f t="shared" si="26"/>
        <v>9.423580048949276E-2</v>
      </c>
      <c r="F61" s="37">
        <f t="shared" si="26"/>
        <v>4.97778737582526E-2</v>
      </c>
      <c r="G61" s="37">
        <f t="shared" si="26"/>
        <v>0.35538902358386593</v>
      </c>
      <c r="H61" s="37">
        <f t="shared" si="26"/>
        <v>-0.17464034431543451</v>
      </c>
      <c r="I61" s="37">
        <f t="shared" si="26"/>
        <v>9.6976304313560524E-2</v>
      </c>
      <c r="J61" s="37">
        <f t="shared" si="26"/>
        <v>-4.4087888403280817E-2</v>
      </c>
      <c r="K61" s="37">
        <f t="shared" si="26"/>
        <v>0.12328235190961134</v>
      </c>
      <c r="L61" s="37">
        <f>IFERROR((L60/K60)-1,"-")</f>
        <v>-3.0064120434903807E-2</v>
      </c>
    </row>
    <row r="62" spans="2:13" x14ac:dyDescent="0.25">
      <c r="B62" s="11" t="str">
        <f>'Financial Statements'!B68</f>
        <v>Inventory</v>
      </c>
      <c r="C62" s="29">
        <f>'Financial Statements'!C68</f>
        <v>1629.01</v>
      </c>
      <c r="D62" s="29">
        <f>'Financial Statements'!D68</f>
        <v>1452.96</v>
      </c>
      <c r="E62" s="29">
        <f>'Financial Statements'!E68</f>
        <v>1448.31</v>
      </c>
      <c r="F62" s="29">
        <f>'Financial Statements'!F68</f>
        <v>1608.54</v>
      </c>
      <c r="G62" s="29">
        <f>'Financial Statements'!G68</f>
        <v>1712.03</v>
      </c>
      <c r="H62" s="29">
        <f>'Financial Statements'!H68</f>
        <v>2249.16</v>
      </c>
      <c r="I62" s="29">
        <f>'Financial Statements'!I68</f>
        <v>2266.5100000000002</v>
      </c>
      <c r="J62" s="29">
        <f>'Financial Statements'!J68</f>
        <v>2701.67</v>
      </c>
      <c r="K62" s="29">
        <f>'Financial Statements'!K68</f>
        <v>2769.35</v>
      </c>
      <c r="L62" s="29">
        <f>'Financial Statements'!L68</f>
        <v>3599.91</v>
      </c>
    </row>
    <row r="63" spans="2:13" x14ac:dyDescent="0.25">
      <c r="B63" s="21" t="str">
        <f>B62&amp;" Growth"</f>
        <v>Inventory Growth</v>
      </c>
      <c r="C63" s="39" t="str">
        <f t="shared" ref="C63:K63" si="27">IFERROR((C62/B62)-1,"-")</f>
        <v>-</v>
      </c>
      <c r="D63" s="37">
        <f t="shared" si="27"/>
        <v>-0.10807177365393705</v>
      </c>
      <c r="E63" s="37">
        <f t="shared" si="27"/>
        <v>-3.2003633961018574E-3</v>
      </c>
      <c r="F63" s="37">
        <f t="shared" si="27"/>
        <v>0.1106323922364687</v>
      </c>
      <c r="G63" s="37">
        <f t="shared" si="27"/>
        <v>6.4337846743009131E-2</v>
      </c>
      <c r="H63" s="37">
        <f t="shared" si="27"/>
        <v>0.31373866112159243</v>
      </c>
      <c r="I63" s="37">
        <f t="shared" si="27"/>
        <v>7.7139910010850521E-3</v>
      </c>
      <c r="J63" s="37">
        <f t="shared" si="27"/>
        <v>0.19199562322689934</v>
      </c>
      <c r="K63" s="37">
        <f t="shared" si="27"/>
        <v>2.5051172052841242E-2</v>
      </c>
      <c r="L63" s="37">
        <f>IFERROR((L62/K62)-1,"-")</f>
        <v>0.29991153158683437</v>
      </c>
    </row>
    <row r="64" spans="2:13" x14ac:dyDescent="0.25">
      <c r="B64" s="11" t="str">
        <f>'Financial Statements'!B69</f>
        <v>Cash &amp; Bank</v>
      </c>
      <c r="C64" s="29">
        <f>'Financial Statements'!C69</f>
        <v>501.03</v>
      </c>
      <c r="D64" s="29">
        <f>'Financial Statements'!D69</f>
        <v>574.82000000000005</v>
      </c>
      <c r="E64" s="29">
        <f>'Financial Statements'!E69</f>
        <v>1238.1400000000001</v>
      </c>
      <c r="F64" s="29">
        <f>'Financial Statements'!F69</f>
        <v>1033.6099999999999</v>
      </c>
      <c r="G64" s="29">
        <f>'Financial Statements'!G69</f>
        <v>1621.46</v>
      </c>
      <c r="H64" s="29">
        <f>'Financial Statements'!H69</f>
        <v>3074.88</v>
      </c>
      <c r="I64" s="29">
        <f>'Financial Statements'!I69</f>
        <v>2599.89</v>
      </c>
      <c r="J64" s="29">
        <f>'Financial Statements'!J69</f>
        <v>2796.94</v>
      </c>
      <c r="K64" s="29">
        <f>'Financial Statements'!K69</f>
        <v>2454.4899999999998</v>
      </c>
      <c r="L64" s="29">
        <f>'Financial Statements'!L69</f>
        <v>2817.86</v>
      </c>
    </row>
    <row r="65" spans="1:13" x14ac:dyDescent="0.25">
      <c r="B65" s="21" t="str">
        <f>B64&amp;" Growth"</f>
        <v>Cash &amp; Bank Growth</v>
      </c>
      <c r="C65" s="39" t="str">
        <f t="shared" ref="C65:K65" si="28">IFERROR((C64/B64)-1,"-")</f>
        <v>-</v>
      </c>
      <c r="D65" s="37">
        <f t="shared" si="28"/>
        <v>0.14727661018302318</v>
      </c>
      <c r="E65" s="37">
        <f t="shared" si="28"/>
        <v>1.1539612400403603</v>
      </c>
      <c r="F65" s="37">
        <f t="shared" si="28"/>
        <v>-0.16519133539018216</v>
      </c>
      <c r="G65" s="37">
        <f t="shared" si="28"/>
        <v>0.56873482261201058</v>
      </c>
      <c r="H65" s="37">
        <f t="shared" si="28"/>
        <v>0.89636500437876987</v>
      </c>
      <c r="I65" s="37">
        <f t="shared" si="28"/>
        <v>-0.15447432094911029</v>
      </c>
      <c r="J65" s="37">
        <f t="shared" si="28"/>
        <v>7.5791668109035371E-2</v>
      </c>
      <c r="K65" s="37">
        <f t="shared" si="28"/>
        <v>-0.12243737799166243</v>
      </c>
      <c r="L65" s="37">
        <f>IFERROR((L64/K64)-1,"-")</f>
        <v>0.14804297430423441</v>
      </c>
    </row>
    <row r="66" spans="1:13" x14ac:dyDescent="0.25">
      <c r="B66" s="11" t="str">
        <f>'Financial Statements'!B70</f>
        <v>Total Current Assets</v>
      </c>
      <c r="C66" s="29">
        <f>'Financial Statements'!C70</f>
        <v>2722.4700000000003</v>
      </c>
      <c r="D66" s="29">
        <f>'Financial Statements'!D70</f>
        <v>2620.23</v>
      </c>
      <c r="E66" s="29">
        <f>'Financial Statements'!E70</f>
        <v>3334.7300000000005</v>
      </c>
      <c r="F66" s="29">
        <f>'Financial Statements'!F70</f>
        <v>3322.7</v>
      </c>
      <c r="G66" s="29">
        <f>'Financial Statements'!G70</f>
        <v>4255.8999999999996</v>
      </c>
      <c r="H66" s="29">
        <f>'Financial Statements'!H70</f>
        <v>6085.3600000000006</v>
      </c>
      <c r="I66" s="29">
        <f>'Financial Statements'!I70</f>
        <v>5701.55</v>
      </c>
      <c r="J66" s="29">
        <f>'Financial Statements'!J70</f>
        <v>6296.9400000000005</v>
      </c>
      <c r="K66" s="29">
        <f>'Financial Statements'!K70</f>
        <v>6120.59</v>
      </c>
      <c r="L66" s="29">
        <f>'Financial Statements'!L70</f>
        <v>7287.5599999999995</v>
      </c>
    </row>
    <row r="67" spans="1:13" x14ac:dyDescent="0.25">
      <c r="B67" s="21" t="str">
        <f>B66&amp;" Growth"</f>
        <v>Total Current Assets Growth</v>
      </c>
      <c r="C67" s="39" t="str">
        <f t="shared" ref="C67:K67" si="29">IFERROR((C66/B66)-1,"-")</f>
        <v>-</v>
      </c>
      <c r="D67" s="37">
        <f t="shared" si="29"/>
        <v>-3.7554132827909981E-2</v>
      </c>
      <c r="E67" s="37">
        <f t="shared" si="29"/>
        <v>0.27268598558141854</v>
      </c>
      <c r="F67" s="37">
        <f t="shared" si="29"/>
        <v>-3.607488462334496E-3</v>
      </c>
      <c r="G67" s="37">
        <f t="shared" si="29"/>
        <v>0.28085593041803358</v>
      </c>
      <c r="H67" s="37">
        <f t="shared" si="29"/>
        <v>0.4298644235061917</v>
      </c>
      <c r="I67" s="37">
        <f t="shared" si="29"/>
        <v>-6.3071042633467966E-2</v>
      </c>
      <c r="J67" s="37">
        <f t="shared" si="29"/>
        <v>0.10442598942392856</v>
      </c>
      <c r="K67" s="37">
        <f t="shared" si="29"/>
        <v>-2.800566624423928E-2</v>
      </c>
      <c r="L67" s="37">
        <f>IFERROR((L66/K66)-1,"-")</f>
        <v>0.19066299163969469</v>
      </c>
    </row>
    <row r="69" spans="1:13" x14ac:dyDescent="0.25">
      <c r="B69" s="11" t="str">
        <f>'Financial Statements'!B72</f>
        <v>Total Assets</v>
      </c>
      <c r="C69" s="29">
        <f>'Financial Statements'!C72</f>
        <v>9894.7599999999984</v>
      </c>
      <c r="D69" s="29">
        <f>'Financial Statements'!D72</f>
        <v>9551.41</v>
      </c>
      <c r="E69" s="29">
        <f>'Financial Statements'!E72</f>
        <v>10460.76</v>
      </c>
      <c r="F69" s="29">
        <f>'Financial Statements'!F72</f>
        <v>10880.68</v>
      </c>
      <c r="G69" s="29">
        <f>'Financial Statements'!G72</f>
        <v>18473.04</v>
      </c>
      <c r="H69" s="29">
        <f>'Financial Statements'!H72</f>
        <v>20217.82</v>
      </c>
      <c r="I69" s="29">
        <f>'Financial Statements'!I72</f>
        <v>21074.87</v>
      </c>
      <c r="J69" s="29">
        <f>'Financial Statements'!J72</f>
        <v>22762.489999999998</v>
      </c>
      <c r="K69" s="29">
        <f>'Financial Statements'!K72</f>
        <v>27878.789999999997</v>
      </c>
      <c r="L69" s="29">
        <f>'Financial Statements'!L72</f>
        <v>31830.619999999995</v>
      </c>
    </row>
    <row r="70" spans="1:13" x14ac:dyDescent="0.25">
      <c r="B70" s="21" t="str">
        <f>B69&amp;" Growth"</f>
        <v>Total Assets Growth</v>
      </c>
      <c r="C70" s="39" t="str">
        <f t="shared" ref="C70:K70" si="30">IFERROR((C69/B69)-1,"-")</f>
        <v>-</v>
      </c>
      <c r="D70" s="37">
        <f t="shared" si="30"/>
        <v>-3.4700184744248297E-2</v>
      </c>
      <c r="E70" s="37">
        <f t="shared" si="30"/>
        <v>9.5205838719100155E-2</v>
      </c>
      <c r="F70" s="37">
        <f t="shared" si="30"/>
        <v>4.0142398831442438E-2</v>
      </c>
      <c r="G70" s="37">
        <f t="shared" si="30"/>
        <v>0.69778359440770243</v>
      </c>
      <c r="H70" s="37">
        <f t="shared" si="30"/>
        <v>9.44500742703962E-2</v>
      </c>
      <c r="I70" s="37">
        <f t="shared" si="30"/>
        <v>4.2390821562364289E-2</v>
      </c>
      <c r="J70" s="37">
        <f t="shared" si="30"/>
        <v>8.0077362280289277E-2</v>
      </c>
      <c r="K70" s="37">
        <f t="shared" si="30"/>
        <v>0.224768907092326</v>
      </c>
      <c r="L70" s="37">
        <f>IFERROR((L69/K69)-1,"-")</f>
        <v>0.14175041312768588</v>
      </c>
    </row>
    <row r="72" spans="1:13" ht="18.75" x14ac:dyDescent="0.3">
      <c r="A72" s="63" t="s">
        <v>56</v>
      </c>
      <c r="B72" s="44" t="s">
        <v>114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</row>
    <row r="73" spans="1:13" s="17" customFormat="1" ht="15" customHeight="1" x14ac:dyDescent="0.3">
      <c r="B73" s="48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1:13" x14ac:dyDescent="0.25">
      <c r="B74" s="86" t="str">
        <f>'Financial Statements'!B77</f>
        <v>Cash from Operating Activity</v>
      </c>
      <c r="C74" s="29">
        <f>'Financial Statements'!C77</f>
        <v>115.98</v>
      </c>
      <c r="D74" s="29">
        <f>'Financial Statements'!D77</f>
        <v>741.2</v>
      </c>
      <c r="E74" s="29">
        <f>'Financial Statements'!E77</f>
        <v>355.58</v>
      </c>
      <c r="F74" s="29">
        <f>'Financial Statements'!F77</f>
        <v>209.87</v>
      </c>
      <c r="G74" s="29">
        <f>'Financial Statements'!G77</f>
        <v>1082.23</v>
      </c>
      <c r="H74" s="29">
        <f>'Financial Statements'!H77</f>
        <v>1656.37</v>
      </c>
      <c r="I74" s="29">
        <f>'Financial Statements'!I77</f>
        <v>1515.81</v>
      </c>
      <c r="J74" s="29">
        <f>'Financial Statements'!J77</f>
        <v>1461.29</v>
      </c>
      <c r="K74" s="29">
        <f>'Financial Statements'!K77</f>
        <v>1936.68</v>
      </c>
      <c r="L74" s="29">
        <f>'Financial Statements'!L77</f>
        <v>2056.65</v>
      </c>
      <c r="M74" s="52"/>
    </row>
    <row r="75" spans="1:13" x14ac:dyDescent="0.25">
      <c r="B75" s="21" t="str">
        <f>B74&amp;" Growth"</f>
        <v>Cash from Operating Activity Growth</v>
      </c>
      <c r="C75" s="39" t="str">
        <f t="shared" ref="C75:K75" si="31">IFERROR((C74/B74)-1,"-")</f>
        <v>-</v>
      </c>
      <c r="D75" s="37">
        <f t="shared" si="31"/>
        <v>5.3907570270736338</v>
      </c>
      <c r="E75" s="37">
        <f t="shared" si="31"/>
        <v>-0.52026443604964934</v>
      </c>
      <c r="F75" s="37">
        <f t="shared" si="31"/>
        <v>-0.4097812025423252</v>
      </c>
      <c r="G75" s="37">
        <f t="shared" si="31"/>
        <v>4.1566684137799594</v>
      </c>
      <c r="H75" s="37">
        <f t="shared" si="31"/>
        <v>0.53051569444572766</v>
      </c>
      <c r="I75" s="37">
        <f t="shared" si="31"/>
        <v>-8.4860266727844635E-2</v>
      </c>
      <c r="J75" s="37">
        <f t="shared" si="31"/>
        <v>-3.5967568494732149E-2</v>
      </c>
      <c r="K75" s="37">
        <f t="shared" si="31"/>
        <v>0.3253221468702312</v>
      </c>
      <c r="L75" s="37">
        <f>IFERROR((L74/K74)-1,"-")</f>
        <v>6.1946217237747181E-2</v>
      </c>
    </row>
    <row r="76" spans="1:13" x14ac:dyDescent="0.25">
      <c r="B76" s="52" t="str">
        <f>'Financial Statements'!B78</f>
        <v>Cash from Investing Activity</v>
      </c>
      <c r="C76" s="29">
        <f>'Financial Statements'!C78</f>
        <v>144.62</v>
      </c>
      <c r="D76" s="29">
        <f>'Financial Statements'!D78</f>
        <v>145.05000000000001</v>
      </c>
      <c r="E76" s="29">
        <f>'Financial Statements'!E78</f>
        <v>-31.1</v>
      </c>
      <c r="F76" s="29">
        <f>'Financial Statements'!F78</f>
        <v>53.17</v>
      </c>
      <c r="G76" s="29">
        <f>'Financial Statements'!G78</f>
        <v>-622.04</v>
      </c>
      <c r="H76" s="29">
        <f>'Financial Statements'!H78</f>
        <v>-346.5</v>
      </c>
      <c r="I76" s="29">
        <f>'Financial Statements'!I78</f>
        <v>-1317.11</v>
      </c>
      <c r="J76" s="29">
        <f>'Financial Statements'!J78</f>
        <v>-833.61</v>
      </c>
      <c r="K76" s="29">
        <f>'Financial Statements'!K78</f>
        <v>-1910.77</v>
      </c>
      <c r="L76" s="29">
        <f>'Financial Statements'!L78</f>
        <v>-2303.48</v>
      </c>
      <c r="M76" s="52"/>
    </row>
    <row r="77" spans="1:13" x14ac:dyDescent="0.25">
      <c r="B77" s="21" t="str">
        <f>B76&amp;" Growth"</f>
        <v>Cash from Investing Activity Growth</v>
      </c>
      <c r="C77" s="39" t="str">
        <f t="shared" ref="C77:K77" si="32">IFERROR((C76/B76)-1,"-")</f>
        <v>-</v>
      </c>
      <c r="D77" s="37">
        <f t="shared" si="32"/>
        <v>2.9733093624670914E-3</v>
      </c>
      <c r="E77" s="37">
        <f t="shared" si="32"/>
        <v>-1.2144088245432609</v>
      </c>
      <c r="F77" s="37">
        <f t="shared" si="32"/>
        <v>-2.7096463022508042</v>
      </c>
      <c r="G77" s="37">
        <f t="shared" si="32"/>
        <v>-12.699078427684784</v>
      </c>
      <c r="H77" s="37">
        <f t="shared" si="32"/>
        <v>-0.44296186740402543</v>
      </c>
      <c r="I77" s="37">
        <f t="shared" si="32"/>
        <v>2.8011832611832608</v>
      </c>
      <c r="J77" s="37">
        <f t="shared" si="32"/>
        <v>-0.36709158688340371</v>
      </c>
      <c r="K77" s="37">
        <f t="shared" si="32"/>
        <v>1.2921630018833747</v>
      </c>
      <c r="L77" s="37">
        <f>IFERROR((L76/K76)-1,"-")</f>
        <v>0.20552447442654009</v>
      </c>
    </row>
    <row r="78" spans="1:13" x14ac:dyDescent="0.25">
      <c r="B78" s="52" t="str">
        <f>'Financial Statements'!B79</f>
        <v>Cash from Financing Activity</v>
      </c>
      <c r="C78" s="29">
        <f>'Financial Statements'!C79</f>
        <v>-281.8</v>
      </c>
      <c r="D78" s="29">
        <f>'Financial Statements'!D79</f>
        <v>-815.84</v>
      </c>
      <c r="E78" s="29">
        <f>'Financial Statements'!E79</f>
        <v>-30.39</v>
      </c>
      <c r="F78" s="29">
        <f>'Financial Statements'!F79</f>
        <v>-223.73</v>
      </c>
      <c r="G78" s="29">
        <f>'Financial Statements'!G79</f>
        <v>-308.33</v>
      </c>
      <c r="H78" s="29">
        <f>'Financial Statements'!H79</f>
        <v>-426.03</v>
      </c>
      <c r="I78" s="29">
        <f>'Financial Statements'!I79</f>
        <v>-994.77</v>
      </c>
      <c r="J78" s="29">
        <f>'Financial Statements'!J79</f>
        <v>-714.4</v>
      </c>
      <c r="K78" s="29">
        <f>'Financial Statements'!K79</f>
        <v>255.55</v>
      </c>
      <c r="L78" s="29">
        <f>'Financial Statements'!L79</f>
        <v>452.7</v>
      </c>
      <c r="M78" s="52"/>
    </row>
    <row r="79" spans="1:13" x14ac:dyDescent="0.25">
      <c r="B79" s="21" t="str">
        <f>B78&amp;" Growth"</f>
        <v>Cash from Financing Activity Growth</v>
      </c>
      <c r="C79" s="39" t="str">
        <f t="shared" ref="C79:K79" si="33">IFERROR((C78/B78)-1,"-")</f>
        <v>-</v>
      </c>
      <c r="D79" s="37">
        <f t="shared" si="33"/>
        <v>1.8951029098651526</v>
      </c>
      <c r="E79" s="37">
        <f t="shared" si="33"/>
        <v>-0.96275004902922146</v>
      </c>
      <c r="F79" s="37">
        <f t="shared" si="33"/>
        <v>6.3619611714379722</v>
      </c>
      <c r="G79" s="37">
        <f t="shared" si="33"/>
        <v>0.37813435837840248</v>
      </c>
      <c r="H79" s="37">
        <f t="shared" si="33"/>
        <v>0.38173385658223324</v>
      </c>
      <c r="I79" s="37">
        <f t="shared" si="33"/>
        <v>1.3349764101119641</v>
      </c>
      <c r="J79" s="37">
        <f t="shared" si="33"/>
        <v>-0.28184404435196075</v>
      </c>
      <c r="K79" s="37">
        <f t="shared" si="33"/>
        <v>-1.3577127659574468</v>
      </c>
      <c r="L79" s="37">
        <f>IFERROR((L78/K78)-1,"-")</f>
        <v>0.77147329289767153</v>
      </c>
    </row>
    <row r="80" spans="1:13" x14ac:dyDescent="0.25">
      <c r="B80" s="52" t="str">
        <f>'Financial Statements'!B80</f>
        <v>Net Cash Flow</v>
      </c>
      <c r="C80" s="29">
        <f>'Financial Statements'!C80</f>
        <v>-21.199999999999989</v>
      </c>
      <c r="D80" s="29">
        <f>'Financial Statements'!D80</f>
        <v>70.409999999999968</v>
      </c>
      <c r="E80" s="29">
        <f>'Financial Statements'!E80</f>
        <v>294.08999999999997</v>
      </c>
      <c r="F80" s="29">
        <f>'Financial Statements'!F80</f>
        <v>39.310000000000031</v>
      </c>
      <c r="G80" s="29">
        <f>'Financial Statements'!G80</f>
        <v>151.86000000000007</v>
      </c>
      <c r="H80" s="29">
        <f>'Financial Statements'!H80</f>
        <v>883.83999999999992</v>
      </c>
      <c r="I80" s="29">
        <f>'Financial Statements'!I80</f>
        <v>-796.06999999999994</v>
      </c>
      <c r="J80" s="29">
        <f>'Financial Statements'!J80</f>
        <v>-86.720000000000027</v>
      </c>
      <c r="K80" s="29">
        <f>'Financial Statements'!K80</f>
        <v>281.46000000000009</v>
      </c>
      <c r="L80" s="29">
        <f>'Financial Statements'!L80</f>
        <v>205.87000000000006</v>
      </c>
      <c r="M80" s="52"/>
    </row>
    <row r="81" spans="2:12" x14ac:dyDescent="0.25">
      <c r="B81" s="21" t="str">
        <f>B80&amp;" Growth"</f>
        <v>Net Cash Flow Growth</v>
      </c>
      <c r="C81" s="39" t="str">
        <f t="shared" ref="C81:K81" si="34">IFERROR((C80/B80)-1,"-")</f>
        <v>-</v>
      </c>
      <c r="D81" s="37">
        <f t="shared" si="34"/>
        <v>-4.3212264150943405</v>
      </c>
      <c r="E81" s="37">
        <f t="shared" si="34"/>
        <v>3.1768214742224128</v>
      </c>
      <c r="F81" s="37">
        <f t="shared" si="34"/>
        <v>-0.86633343534292218</v>
      </c>
      <c r="G81" s="37">
        <f t="shared" si="34"/>
        <v>2.8631391503434229</v>
      </c>
      <c r="H81" s="37">
        <f t="shared" si="34"/>
        <v>4.8200974581851677</v>
      </c>
      <c r="I81" s="37">
        <f t="shared" si="34"/>
        <v>-1.9006946958725561</v>
      </c>
      <c r="J81" s="37">
        <f t="shared" si="34"/>
        <v>-0.89106485610561881</v>
      </c>
      <c r="K81" s="37">
        <f t="shared" si="34"/>
        <v>-4.2456180811808117</v>
      </c>
      <c r="L81" s="37">
        <f>IFERROR((L80/K80)-1,"-")</f>
        <v>-0.26856391671996027</v>
      </c>
    </row>
    <row r="83" spans="2:12" x14ac:dyDescent="0.25">
      <c r="C83" s="21"/>
    </row>
  </sheetData>
  <mergeCells count="1">
    <mergeCell ref="B2:M2"/>
  </mergeCells>
  <pageMargins left="0.7" right="0.7" top="0.75" bottom="0.75" header="0.3" footer="0.3"/>
  <pageSetup scale="48" orientation="portrait" horizontalDpi="1200" verticalDpi="1200" r:id="rId1"/>
  <ignoredErrors>
    <ignoredError sqref="B9:L9 B11:L11 B13:L13 B15:L15 B17 C17:L17 B19 C19:L19 B21 C21:L21 B23 C23:L23 B25 C25:L25 B27 C27:L27 B52:L52 B54:L54 B56:L56 B58:L58 B64 B62 C62:L62 C64:L64 B76:L76 B78:L78 B80:L80 B40:L40 C42:L42 B44:L44 B46:L46 C48:L48 B50:L50 B60:L60 B66:L66" formula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Analysis'!C8:L8</xm:f>
              <xm:sqref>M8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Analysis'!C14:L14</xm:f>
              <xm:sqref>M14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Analysis'!C12:L12</xm:f>
              <xm:sqref>M12</xm:sqref>
            </x14:sparkline>
            <x14:sparkline>
              <xm:f>'Horizontal Analysis'!C10:L10</xm:f>
              <xm:sqref>M10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Analysis'!C16:L16</xm:f>
              <xm:sqref>M16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Analysis'!C18:L18</xm:f>
              <xm:sqref>M18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Analysis'!C20:L20</xm:f>
              <xm:sqref>M20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Analysis'!C22:L22</xm:f>
              <xm:sqref>M22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Analysis'!C24:L24</xm:f>
              <xm:sqref>M24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Analysis'!C26:L26</xm:f>
              <xm:sqref>M26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Analysis'!C28:L28</xm:f>
              <xm:sqref>M28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Analysis'!C31:L31</xm:f>
              <xm:sqref>M31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Analysis'!C34:L34</xm:f>
              <xm:sqref>M34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Analysis'!C39:L39</xm:f>
              <xm:sqref>M39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Analysis'!C41:L41</xm:f>
              <xm:sqref>M41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Analysis'!C43:L43</xm:f>
              <xm:sqref>M43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Analysis'!C45:L45</xm:f>
              <xm:sqref>M45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Analysis'!C47:L47</xm:f>
              <xm:sqref>M47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Analysis'!C49:L49</xm:f>
              <xm:sqref>M49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Analysis'!C51:L51</xm:f>
              <xm:sqref>M51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Analysis'!C53:L53</xm:f>
              <xm:sqref>M53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Analysis'!C55:L55</xm:f>
              <xm:sqref>M55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Analysis'!C57:L57</xm:f>
              <xm:sqref>M57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Analysis'!C59:L59</xm:f>
              <xm:sqref>M59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Analysis'!C61:L61</xm:f>
              <xm:sqref>M61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Analysis'!C63:L63</xm:f>
              <xm:sqref>M63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Analysis'!C65:L65</xm:f>
              <xm:sqref>M65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Analysis'!C67:L67</xm:f>
              <xm:sqref>M67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Analysis'!C70:L70</xm:f>
              <xm:sqref>M70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Analysis'!C75:L75</xm:f>
              <xm:sqref>M75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Analysis'!C77:L77</xm:f>
              <xm:sqref>M77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Analysis'!C79:L79</xm:f>
              <xm:sqref>M79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Analysis'!C81:L81</xm:f>
              <xm:sqref>M81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showGridLines="0" zoomScaleNormal="100" workbookViewId="0">
      <selection activeCell="N6" sqref="N6"/>
    </sheetView>
  </sheetViews>
  <sheetFormatPr defaultRowHeight="15" x14ac:dyDescent="0.25"/>
  <cols>
    <col min="1" max="1" width="1.85546875" customWidth="1"/>
    <col min="2" max="2" width="42.7109375" customWidth="1"/>
    <col min="3" max="11" width="10.7109375" customWidth="1"/>
  </cols>
  <sheetData>
    <row r="2" spans="1:11" ht="21" x14ac:dyDescent="0.35">
      <c r="A2" s="63" t="s">
        <v>56</v>
      </c>
      <c r="B2" s="83" t="str">
        <f>"DuPont Analysis"&amp;" - "&amp;'Data Sheet'!B1</f>
        <v>DuPont Analysis - TATA CONSUMER PRODUCTS LTD</v>
      </c>
      <c r="C2" s="83"/>
      <c r="D2" s="83"/>
      <c r="E2" s="83"/>
      <c r="F2" s="83"/>
      <c r="G2" s="83"/>
      <c r="H2" s="83"/>
      <c r="I2" s="83"/>
      <c r="J2" s="83"/>
      <c r="K2" s="83"/>
    </row>
    <row r="15" spans="1:11" x14ac:dyDescent="0.25">
      <c r="C15" s="22"/>
    </row>
    <row r="17" spans="1:11" x14ac:dyDescent="0.25">
      <c r="C17" s="22"/>
    </row>
    <row r="26" spans="1:11" x14ac:dyDescent="0.25">
      <c r="A26" s="63" t="s">
        <v>56</v>
      </c>
      <c r="B26" s="82" t="s">
        <v>116</v>
      </c>
      <c r="C26" s="82"/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B27" s="55"/>
      <c r="C27" s="62">
        <f>'Data Sheet'!C16</f>
        <v>42825</v>
      </c>
      <c r="D27" s="62">
        <f>'Data Sheet'!D16</f>
        <v>43190</v>
      </c>
      <c r="E27" s="62">
        <f>'Data Sheet'!E16</f>
        <v>43555</v>
      </c>
      <c r="F27" s="62">
        <f>'Data Sheet'!F16</f>
        <v>43921</v>
      </c>
      <c r="G27" s="62">
        <f>'Data Sheet'!G16</f>
        <v>44286</v>
      </c>
      <c r="H27" s="62">
        <f>'Data Sheet'!H16</f>
        <v>44651</v>
      </c>
      <c r="I27" s="62">
        <f>'Data Sheet'!I16</f>
        <v>45016</v>
      </c>
      <c r="J27" s="62">
        <f>'Data Sheet'!J16</f>
        <v>45382</v>
      </c>
      <c r="K27" s="62">
        <f>'Data Sheet'!K16</f>
        <v>45747</v>
      </c>
    </row>
    <row r="28" spans="1:11" x14ac:dyDescent="0.25">
      <c r="B28" t="str">
        <f>IFERROR('Financial Statements'!B38,0)</f>
        <v>Net Profit</v>
      </c>
      <c r="C28" s="27">
        <f>IFERROR('Financial Statements'!D38,0)</f>
        <v>463.64999999999924</v>
      </c>
      <c r="D28" s="27">
        <f>IFERROR('Financial Statements'!E38,0)</f>
        <v>567.25999999999988</v>
      </c>
      <c r="E28" s="27">
        <f>IFERROR('Financial Statements'!F38,0)</f>
        <v>473.8299999999997</v>
      </c>
      <c r="F28" s="27">
        <f>IFERROR('Financial Statements'!G38,0)</f>
        <v>535.19000000000005</v>
      </c>
      <c r="G28" s="27">
        <f>IFERROR('Financial Statements'!H38,0)</f>
        <v>993.79000000000224</v>
      </c>
      <c r="H28" s="27">
        <f>IFERROR('Financial Statements'!I38,0)</f>
        <v>1078.9500000000025</v>
      </c>
      <c r="I28" s="27">
        <f>IFERROR('Financial Statements'!J38,0)</f>
        <v>1346.5199999999979</v>
      </c>
      <c r="J28" s="27">
        <f>IFERROR('Financial Statements'!K38,0)</f>
        <v>1300.9900000000007</v>
      </c>
      <c r="K28" s="27">
        <f>IFERROR('Financial Statements'!L38,0)</f>
        <v>1380.3099999999993</v>
      </c>
    </row>
    <row r="29" spans="1:11" x14ac:dyDescent="0.25">
      <c r="B29" t="s">
        <v>117</v>
      </c>
      <c r="C29" s="27">
        <f>IFERROR((('Data Sheet'!C57+'Data Sheet'!C58)+('Data Sheet'!B57+'Data Sheet'!B58))/2,"-")</f>
        <v>6256.335</v>
      </c>
      <c r="D29" s="27">
        <f>IFERROR((('Data Sheet'!D57+'Data Sheet'!D58)+('Data Sheet'!C57+'Data Sheet'!C58))/2,"-")</f>
        <v>6648.5499999999993</v>
      </c>
      <c r="E29" s="27">
        <f>IFERROR((('Data Sheet'!E57+'Data Sheet'!E58)+('Data Sheet'!D57+'Data Sheet'!D58))/2,"-")</f>
        <v>7181.6449999999995</v>
      </c>
      <c r="F29" s="27">
        <f>IFERROR((('Data Sheet'!F57+'Data Sheet'!F58)+('Data Sheet'!E57+'Data Sheet'!E58))/2,"-")</f>
        <v>10573.275</v>
      </c>
      <c r="G29" s="27">
        <f>IFERROR((('Data Sheet'!G57+'Data Sheet'!G58)+('Data Sheet'!F57+'Data Sheet'!F58))/2,"-")</f>
        <v>14174.685000000001</v>
      </c>
      <c r="H29" s="27">
        <f>IFERROR((('Data Sheet'!H57+'Data Sheet'!H58)+('Data Sheet'!G57+'Data Sheet'!G58))/2,"-")</f>
        <v>14838.225</v>
      </c>
      <c r="I29" s="27">
        <f>IFERROR((('Data Sheet'!I57+'Data Sheet'!I58)+('Data Sheet'!H57+'Data Sheet'!H58))/2,"-")</f>
        <v>15709.325000000001</v>
      </c>
      <c r="J29" s="27">
        <f>IFERROR((('Data Sheet'!J57+'Data Sheet'!J58)+('Data Sheet'!I57+'Data Sheet'!I58))/2,"-")</f>
        <v>16166.75</v>
      </c>
      <c r="K29" s="27">
        <f>IFERROR((('Data Sheet'!K57+'Data Sheet'!K58)+('Data Sheet'!J57+'Data Sheet'!J58))/2,"-")</f>
        <v>18028.935000000001</v>
      </c>
    </row>
    <row r="30" spans="1:11" x14ac:dyDescent="0.25">
      <c r="B30" s="57" t="s">
        <v>116</v>
      </c>
      <c r="C30" s="58">
        <f>IFERROR(C28/C29,"-")</f>
        <v>7.4108883235951911E-2</v>
      </c>
      <c r="D30" s="58">
        <f t="shared" ref="D30:J30" si="0">IFERROR(D28/D29,"-")</f>
        <v>8.5320859435516011E-2</v>
      </c>
      <c r="E30" s="58">
        <f t="shared" si="0"/>
        <v>6.5977920100478329E-2</v>
      </c>
      <c r="F30" s="58">
        <f t="shared" si="0"/>
        <v>5.0617240164471278E-2</v>
      </c>
      <c r="G30" s="58">
        <f t="shared" si="0"/>
        <v>7.0110199979752791E-2</v>
      </c>
      <c r="H30" s="58">
        <f t="shared" si="0"/>
        <v>7.2714222893910996E-2</v>
      </c>
      <c r="I30" s="58">
        <f t="shared" si="0"/>
        <v>8.5714694934378013E-2</v>
      </c>
      <c r="J30" s="58">
        <f t="shared" si="0"/>
        <v>8.0473193437147275E-2</v>
      </c>
      <c r="K30" s="58">
        <f>IFERROR(K28/K29,"-")</f>
        <v>7.6560817374958595E-2</v>
      </c>
    </row>
    <row r="32" spans="1:11" x14ac:dyDescent="0.25">
      <c r="B32" s="82" t="s">
        <v>119</v>
      </c>
      <c r="C32" s="82"/>
      <c r="D32" s="82"/>
      <c r="E32" s="82"/>
      <c r="F32" s="82"/>
      <c r="G32" s="82"/>
      <c r="H32" s="82"/>
      <c r="I32" s="82"/>
      <c r="J32" s="82"/>
      <c r="K32" s="82"/>
    </row>
    <row r="33" spans="2:11" x14ac:dyDescent="0.25">
      <c r="B33" s="55"/>
      <c r="C33" s="62">
        <f t="shared" ref="C33:J33" si="1">C27</f>
        <v>42825</v>
      </c>
      <c r="D33" s="62">
        <f t="shared" si="1"/>
        <v>43190</v>
      </c>
      <c r="E33" s="62">
        <f t="shared" si="1"/>
        <v>43555</v>
      </c>
      <c r="F33" s="62">
        <f t="shared" si="1"/>
        <v>43921</v>
      </c>
      <c r="G33" s="62">
        <f t="shared" si="1"/>
        <v>44286</v>
      </c>
      <c r="H33" s="62">
        <f t="shared" si="1"/>
        <v>44651</v>
      </c>
      <c r="I33" s="62">
        <f t="shared" si="1"/>
        <v>45016</v>
      </c>
      <c r="J33" s="62">
        <f t="shared" si="1"/>
        <v>45382</v>
      </c>
      <c r="K33" s="62">
        <f>K27</f>
        <v>45747</v>
      </c>
    </row>
    <row r="34" spans="2:11" x14ac:dyDescent="0.25">
      <c r="B34" t="str">
        <f>IFERROR(B28,0)</f>
        <v>Net Profit</v>
      </c>
      <c r="C34" s="27">
        <f>IFERROR(C28,0)</f>
        <v>463.64999999999924</v>
      </c>
      <c r="D34" s="27">
        <f t="shared" ref="D34:K34" si="2">IFERROR(D28,0)</f>
        <v>567.25999999999988</v>
      </c>
      <c r="E34" s="27">
        <f t="shared" si="2"/>
        <v>473.8299999999997</v>
      </c>
      <c r="F34" s="27">
        <f t="shared" si="2"/>
        <v>535.19000000000005</v>
      </c>
      <c r="G34" s="27">
        <f t="shared" si="2"/>
        <v>993.79000000000224</v>
      </c>
      <c r="H34" s="27">
        <f t="shared" si="2"/>
        <v>1078.9500000000025</v>
      </c>
      <c r="I34" s="27">
        <f t="shared" si="2"/>
        <v>1346.5199999999979</v>
      </c>
      <c r="J34" s="27">
        <f t="shared" si="2"/>
        <v>1300.9900000000007</v>
      </c>
      <c r="K34" s="27">
        <f t="shared" si="2"/>
        <v>1380.3099999999993</v>
      </c>
    </row>
    <row r="35" spans="2:11" x14ac:dyDescent="0.25">
      <c r="B35" t="s">
        <v>1</v>
      </c>
      <c r="C35" s="27">
        <f>IFERROR('Financial Statements'!D5,0)</f>
        <v>6779.55</v>
      </c>
      <c r="D35" s="27">
        <f>IFERROR('Financial Statements'!E5,0)</f>
        <v>6815.35</v>
      </c>
      <c r="E35" s="27">
        <f>IFERROR('Financial Statements'!F5,0)</f>
        <v>7251.5</v>
      </c>
      <c r="F35" s="27">
        <f>IFERROR('Financial Statements'!G5,0)</f>
        <v>9637.42</v>
      </c>
      <c r="G35" s="27">
        <f>IFERROR('Financial Statements'!H5,0)</f>
        <v>11602.03</v>
      </c>
      <c r="H35" s="27">
        <f>IFERROR('Financial Statements'!I5,0)</f>
        <v>12425.37</v>
      </c>
      <c r="I35" s="27">
        <f>IFERROR('Financial Statements'!J5,0)</f>
        <v>13783.16</v>
      </c>
      <c r="J35" s="27">
        <f>IFERROR('Financial Statements'!K5,0)</f>
        <v>15205.85</v>
      </c>
      <c r="K35" s="27">
        <f>IFERROR('Financial Statements'!L5,0)</f>
        <v>17618.3</v>
      </c>
    </row>
    <row r="36" spans="2:11" x14ac:dyDescent="0.25">
      <c r="B36" s="57" t="s">
        <v>118</v>
      </c>
      <c r="C36" s="58">
        <f t="shared" ref="C36:J36" si="3">IFERROR(C34/C35,0)</f>
        <v>6.8389494877978518E-2</v>
      </c>
      <c r="D36" s="58">
        <f t="shared" si="3"/>
        <v>8.3232702649166934E-2</v>
      </c>
      <c r="E36" s="58">
        <f t="shared" si="3"/>
        <v>6.5342342963524744E-2</v>
      </c>
      <c r="F36" s="58">
        <f t="shared" si="3"/>
        <v>5.5532497286618208E-2</v>
      </c>
      <c r="G36" s="58">
        <f t="shared" si="3"/>
        <v>8.56565618258186E-2</v>
      </c>
      <c r="H36" s="58">
        <f t="shared" si="3"/>
        <v>8.6834436318596747E-2</v>
      </c>
      <c r="I36" s="58">
        <f t="shared" si="3"/>
        <v>9.76931269752363E-2</v>
      </c>
      <c r="J36" s="58">
        <f t="shared" si="3"/>
        <v>8.5558518596461269E-2</v>
      </c>
      <c r="K36" s="58">
        <f>IFERROR(K34/K35,0)</f>
        <v>7.8345243298161532E-2</v>
      </c>
    </row>
    <row r="38" spans="2:11" x14ac:dyDescent="0.25">
      <c r="B38" t="str">
        <f>IFERROR(B35,0)</f>
        <v>Sales</v>
      </c>
      <c r="C38" s="27">
        <f t="shared" ref="C38:K38" si="4">IFERROR(C35,0)</f>
        <v>6779.55</v>
      </c>
      <c r="D38" s="27">
        <f t="shared" si="4"/>
        <v>6815.35</v>
      </c>
      <c r="E38" s="27">
        <f t="shared" si="4"/>
        <v>7251.5</v>
      </c>
      <c r="F38" s="27">
        <f t="shared" si="4"/>
        <v>9637.42</v>
      </c>
      <c r="G38" s="27">
        <f t="shared" si="4"/>
        <v>11602.03</v>
      </c>
      <c r="H38" s="27">
        <f t="shared" si="4"/>
        <v>12425.37</v>
      </c>
      <c r="I38" s="27">
        <f t="shared" si="4"/>
        <v>13783.16</v>
      </c>
      <c r="J38" s="27">
        <f t="shared" si="4"/>
        <v>15205.85</v>
      </c>
      <c r="K38" s="27">
        <f t="shared" si="4"/>
        <v>17618.3</v>
      </c>
    </row>
    <row r="39" spans="2:11" x14ac:dyDescent="0.25">
      <c r="B39" t="s">
        <v>120</v>
      </c>
      <c r="C39" s="27">
        <f>IFERROR(('Financial Statements'!D72+'Financial Statements'!C72)/2,0)</f>
        <v>9723.0849999999991</v>
      </c>
      <c r="D39" s="27">
        <f>IFERROR(('Financial Statements'!E72+'Financial Statements'!D72)/2,0)</f>
        <v>10006.084999999999</v>
      </c>
      <c r="E39" s="27">
        <f>IFERROR(('Financial Statements'!F72+'Financial Statements'!E72)/2,0)</f>
        <v>10670.720000000001</v>
      </c>
      <c r="F39" s="27">
        <f>IFERROR(('Financial Statements'!G72+'Financial Statements'!F72)/2,0)</f>
        <v>14676.86</v>
      </c>
      <c r="G39" s="27">
        <f>IFERROR(('Financial Statements'!H72+'Financial Statements'!G72)/2,0)</f>
        <v>19345.43</v>
      </c>
      <c r="H39" s="27">
        <f>IFERROR(('Financial Statements'!I72+'Financial Statements'!H72)/2,0)</f>
        <v>20646.345000000001</v>
      </c>
      <c r="I39" s="27">
        <f>IFERROR(('Financial Statements'!J72+'Financial Statements'!I72)/2,0)</f>
        <v>21918.68</v>
      </c>
      <c r="J39" s="27">
        <f>IFERROR(('Financial Statements'!K72+'Financial Statements'!J72)/2,0)</f>
        <v>25320.639999999999</v>
      </c>
      <c r="K39" s="27">
        <f>IFERROR(('Financial Statements'!L72+'Financial Statements'!K72)/2,0)</f>
        <v>29854.704999999994</v>
      </c>
    </row>
    <row r="40" spans="2:11" x14ac:dyDescent="0.25">
      <c r="B40" s="57" t="s">
        <v>121</v>
      </c>
      <c r="C40" s="59">
        <f>IFERROR(C38/C39,0)</f>
        <v>0.69726326572276198</v>
      </c>
      <c r="D40" s="59">
        <f t="shared" ref="D40" si="5">IFERROR(D38/D39,0)</f>
        <v>0.68112053815253426</v>
      </c>
      <c r="E40" s="59">
        <f t="shared" ref="E40" si="6">IFERROR(E38/E39,0)</f>
        <v>0.67956988844239186</v>
      </c>
      <c r="F40" s="59">
        <f t="shared" ref="F40" si="7">IFERROR(F38/F39,0)</f>
        <v>0.65664045306693664</v>
      </c>
      <c r="G40" s="59">
        <f t="shared" ref="G40" si="8">IFERROR(G38/G39,0)</f>
        <v>0.59972975529621209</v>
      </c>
      <c r="H40" s="59">
        <f t="shared" ref="H40" si="9">IFERROR(H38/H39,0)</f>
        <v>0.60181935349816151</v>
      </c>
      <c r="I40" s="59">
        <f t="shared" ref="I40" si="10">IFERROR(I38/I39,0)</f>
        <v>0.62883166322059536</v>
      </c>
      <c r="J40" s="59">
        <f t="shared" ref="J40" si="11">IFERROR(J38/J39,0)</f>
        <v>0.600531819100939</v>
      </c>
      <c r="K40" s="59">
        <f>IFERROR(K38/K39,0)</f>
        <v>0.59013478779977901</v>
      </c>
    </row>
    <row r="42" spans="2:11" x14ac:dyDescent="0.25">
      <c r="B42" t="str">
        <f>IFERROR(B39,0)</f>
        <v>Average Total Assets</v>
      </c>
      <c r="C42" s="27">
        <f t="shared" ref="C42:K42" si="12">IFERROR(C39,0)</f>
        <v>9723.0849999999991</v>
      </c>
      <c r="D42" s="27">
        <f t="shared" si="12"/>
        <v>10006.084999999999</v>
      </c>
      <c r="E42" s="27">
        <f t="shared" si="12"/>
        <v>10670.720000000001</v>
      </c>
      <c r="F42" s="27">
        <f t="shared" si="12"/>
        <v>14676.86</v>
      </c>
      <c r="G42" s="27">
        <f t="shared" si="12"/>
        <v>19345.43</v>
      </c>
      <c r="H42" s="27">
        <f t="shared" si="12"/>
        <v>20646.345000000001</v>
      </c>
      <c r="I42" s="27">
        <f t="shared" si="12"/>
        <v>21918.68</v>
      </c>
      <c r="J42" s="27">
        <f t="shared" si="12"/>
        <v>25320.639999999999</v>
      </c>
      <c r="K42" s="27">
        <f t="shared" si="12"/>
        <v>29854.704999999994</v>
      </c>
    </row>
    <row r="43" spans="2:11" x14ac:dyDescent="0.25">
      <c r="B43" t="str">
        <f>IFERROR(B29,0)</f>
        <v>Average Shareholder's Equity</v>
      </c>
      <c r="C43" s="27">
        <f t="shared" ref="C43:K43" si="13">IFERROR(C29,0)</f>
        <v>6256.335</v>
      </c>
      <c r="D43" s="27">
        <f t="shared" si="13"/>
        <v>6648.5499999999993</v>
      </c>
      <c r="E43" s="27">
        <f t="shared" si="13"/>
        <v>7181.6449999999995</v>
      </c>
      <c r="F43" s="27">
        <f t="shared" si="13"/>
        <v>10573.275</v>
      </c>
      <c r="G43" s="27">
        <f t="shared" si="13"/>
        <v>14174.685000000001</v>
      </c>
      <c r="H43" s="27">
        <f t="shared" si="13"/>
        <v>14838.225</v>
      </c>
      <c r="I43" s="27">
        <f t="shared" si="13"/>
        <v>15709.325000000001</v>
      </c>
      <c r="J43" s="27">
        <f t="shared" si="13"/>
        <v>16166.75</v>
      </c>
      <c r="K43" s="27">
        <f t="shared" si="13"/>
        <v>18028.935000000001</v>
      </c>
    </row>
    <row r="44" spans="2:11" x14ac:dyDescent="0.25">
      <c r="B44" s="57" t="s">
        <v>122</v>
      </c>
      <c r="C44" s="59">
        <f>IFERROR(C42/C43,0)</f>
        <v>1.5541183456448542</v>
      </c>
      <c r="D44" s="59">
        <f t="shared" ref="D44" si="14">IFERROR(D42/D43,0)</f>
        <v>1.5050025945506915</v>
      </c>
      <c r="E44" s="59">
        <f t="shared" ref="E44" si="15">IFERROR(E42/E43,0)</f>
        <v>1.4858322849430738</v>
      </c>
      <c r="F44" s="59">
        <f t="shared" ref="F44" si="16">IFERROR(F42/F43,0)</f>
        <v>1.3881091714724152</v>
      </c>
      <c r="G44" s="59">
        <f t="shared" ref="G44" si="17">IFERROR(G42/G43,0)</f>
        <v>1.3647872950968574</v>
      </c>
      <c r="H44" s="59">
        <f t="shared" ref="H44" si="18">IFERROR(H42/H43,0)</f>
        <v>1.3914295678896904</v>
      </c>
      <c r="I44" s="59">
        <f t="shared" ref="I44" si="19">IFERROR(I42/I43,0)</f>
        <v>1.3952655508750376</v>
      </c>
      <c r="J44" s="59">
        <f t="shared" ref="J44" si="20">IFERROR(J42/J43,0)</f>
        <v>1.5662170813552507</v>
      </c>
      <c r="K44" s="59">
        <f>IFERROR(K42/K43,0)</f>
        <v>1.6559328102297775</v>
      </c>
    </row>
    <row r="46" spans="2:11" x14ac:dyDescent="0.25">
      <c r="B46" s="60" t="s">
        <v>123</v>
      </c>
      <c r="C46" s="61">
        <f>IFERROR(C36*C40*C44,0)</f>
        <v>7.4108883235951925E-2</v>
      </c>
      <c r="D46" s="61">
        <f t="shared" ref="D46:K46" si="21">IFERROR(D36*D40*D44,0)</f>
        <v>8.5320859435515997E-2</v>
      </c>
      <c r="E46" s="61">
        <f t="shared" si="21"/>
        <v>6.5977920100478329E-2</v>
      </c>
      <c r="F46" s="61">
        <f t="shared" si="21"/>
        <v>5.0617240164471278E-2</v>
      </c>
      <c r="G46" s="61">
        <f t="shared" si="21"/>
        <v>7.0110199979752791E-2</v>
      </c>
      <c r="H46" s="61">
        <f t="shared" si="21"/>
        <v>7.2714222893910996E-2</v>
      </c>
      <c r="I46" s="61">
        <f t="shared" si="21"/>
        <v>8.5714694934378013E-2</v>
      </c>
      <c r="J46" s="61">
        <f t="shared" si="21"/>
        <v>8.0473193437147261E-2</v>
      </c>
      <c r="K46" s="61">
        <f t="shared" si="21"/>
        <v>7.6560817374958595E-2</v>
      </c>
    </row>
    <row r="48" spans="2:11" x14ac:dyDescent="0.25">
      <c r="B48" s="38" t="s">
        <v>76</v>
      </c>
      <c r="C48" s="38" t="b">
        <f>C46=C30</f>
        <v>1</v>
      </c>
      <c r="D48" s="38" t="b">
        <f t="shared" ref="D48:K48" si="22">D46=D30</f>
        <v>1</v>
      </c>
      <c r="E48" s="38" t="b">
        <f t="shared" si="22"/>
        <v>1</v>
      </c>
      <c r="F48" s="38" t="b">
        <f t="shared" si="22"/>
        <v>1</v>
      </c>
      <c r="G48" s="38" t="b">
        <f t="shared" si="22"/>
        <v>1</v>
      </c>
      <c r="H48" s="38" t="b">
        <f t="shared" si="22"/>
        <v>1</v>
      </c>
      <c r="I48" s="38" t="b">
        <f t="shared" si="22"/>
        <v>1</v>
      </c>
      <c r="J48" s="38" t="b">
        <f t="shared" si="22"/>
        <v>1</v>
      </c>
      <c r="K48" s="38" t="b">
        <f t="shared" si="22"/>
        <v>1</v>
      </c>
    </row>
    <row r="50" spans="1:11" x14ac:dyDescent="0.25">
      <c r="A50" s="63" t="s">
        <v>56</v>
      </c>
      <c r="B50" s="82" t="s">
        <v>124</v>
      </c>
      <c r="C50" s="82"/>
      <c r="D50" s="82"/>
      <c r="E50" s="82"/>
      <c r="F50" s="82"/>
      <c r="G50" s="82"/>
      <c r="H50" s="82"/>
      <c r="I50" s="82"/>
      <c r="J50" s="82"/>
      <c r="K50" s="82"/>
    </row>
    <row r="51" spans="1:11" x14ac:dyDescent="0.25">
      <c r="B51" s="55"/>
      <c r="C51" s="62">
        <f t="shared" ref="C51:J51" si="23">C27</f>
        <v>42825</v>
      </c>
      <c r="D51" s="62">
        <f t="shared" si="23"/>
        <v>43190</v>
      </c>
      <c r="E51" s="62">
        <f t="shared" si="23"/>
        <v>43555</v>
      </c>
      <c r="F51" s="62">
        <f t="shared" si="23"/>
        <v>43921</v>
      </c>
      <c r="G51" s="62">
        <f t="shared" si="23"/>
        <v>44286</v>
      </c>
      <c r="H51" s="62">
        <f t="shared" si="23"/>
        <v>44651</v>
      </c>
      <c r="I51" s="62">
        <f t="shared" si="23"/>
        <v>45016</v>
      </c>
      <c r="J51" s="62">
        <f t="shared" si="23"/>
        <v>45382</v>
      </c>
      <c r="K51" s="62">
        <f>K27</f>
        <v>45747</v>
      </c>
    </row>
    <row r="52" spans="1:11" x14ac:dyDescent="0.25">
      <c r="B52" t="str">
        <f>IFERROR(B34,0)</f>
        <v>Net Profit</v>
      </c>
      <c r="C52" s="27">
        <f t="shared" ref="C52:K52" si="24">IFERROR(C34,0)</f>
        <v>463.64999999999924</v>
      </c>
      <c r="D52" s="27">
        <f t="shared" si="24"/>
        <v>567.25999999999988</v>
      </c>
      <c r="E52" s="27">
        <f t="shared" si="24"/>
        <v>473.8299999999997</v>
      </c>
      <c r="F52" s="27">
        <f t="shared" si="24"/>
        <v>535.19000000000005</v>
      </c>
      <c r="G52" s="27">
        <f t="shared" si="24"/>
        <v>993.79000000000224</v>
      </c>
      <c r="H52" s="27">
        <f t="shared" si="24"/>
        <v>1078.9500000000025</v>
      </c>
      <c r="I52" s="27">
        <f t="shared" si="24"/>
        <v>1346.5199999999979</v>
      </c>
      <c r="J52" s="27">
        <f t="shared" si="24"/>
        <v>1300.9900000000007</v>
      </c>
      <c r="K52" s="27">
        <f t="shared" si="24"/>
        <v>1380.3099999999993</v>
      </c>
    </row>
    <row r="53" spans="1:11" x14ac:dyDescent="0.25">
      <c r="B53" t="str">
        <f>IFERROR(B39,0)</f>
        <v>Average Total Assets</v>
      </c>
      <c r="C53" s="27">
        <f t="shared" ref="C53:K53" si="25">IFERROR(C39,0)</f>
        <v>9723.0849999999991</v>
      </c>
      <c r="D53" s="27">
        <f t="shared" si="25"/>
        <v>10006.084999999999</v>
      </c>
      <c r="E53" s="27">
        <f t="shared" si="25"/>
        <v>10670.720000000001</v>
      </c>
      <c r="F53" s="27">
        <f t="shared" si="25"/>
        <v>14676.86</v>
      </c>
      <c r="G53" s="27">
        <f t="shared" si="25"/>
        <v>19345.43</v>
      </c>
      <c r="H53" s="27">
        <f t="shared" si="25"/>
        <v>20646.345000000001</v>
      </c>
      <c r="I53" s="27">
        <f t="shared" si="25"/>
        <v>21918.68</v>
      </c>
      <c r="J53" s="27">
        <f t="shared" si="25"/>
        <v>25320.639999999999</v>
      </c>
      <c r="K53" s="27">
        <f t="shared" si="25"/>
        <v>29854.704999999994</v>
      </c>
    </row>
    <row r="54" spans="1:11" x14ac:dyDescent="0.25">
      <c r="B54" s="57" t="s">
        <v>124</v>
      </c>
      <c r="C54" s="58">
        <f>IFERROR(C52/C53,"-")</f>
        <v>4.7685482539749399E-2</v>
      </c>
      <c r="D54" s="58">
        <f t="shared" ref="D54" si="26">IFERROR(D52/D53,"-")</f>
        <v>5.6691503220290443E-2</v>
      </c>
      <c r="E54" s="58">
        <f t="shared" ref="E54" si="27">IFERROR(E52/E53,"-")</f>
        <v>4.4404688718287018E-2</v>
      </c>
      <c r="F54" s="58">
        <f t="shared" ref="F54" si="28">IFERROR(F52/F53,"-")</f>
        <v>3.6464884178223411E-2</v>
      </c>
      <c r="G54" s="58">
        <f t="shared" ref="G54" si="29">IFERROR(G52/G53,"-")</f>
        <v>5.1370788863313054E-2</v>
      </c>
      <c r="H54" s="58">
        <f t="shared" ref="H54" si="30">IFERROR(H52/H53,"-")</f>
        <v>5.2258644326635177E-2</v>
      </c>
      <c r="I54" s="58">
        <f t="shared" ref="I54" si="31">IFERROR(I52/I53,"-")</f>
        <v>6.1432531521058653E-2</v>
      </c>
      <c r="J54" s="58">
        <f t="shared" ref="J54" si="32">IFERROR(J52/J53,"-")</f>
        <v>5.1380612812314409E-2</v>
      </c>
      <c r="K54" s="58">
        <f>IFERROR(K52/K53,"-")</f>
        <v>4.6234253528882614E-2</v>
      </c>
    </row>
    <row r="56" spans="1:11" x14ac:dyDescent="0.25">
      <c r="B56" s="82" t="s">
        <v>125</v>
      </c>
      <c r="C56" s="82"/>
      <c r="D56" s="82"/>
      <c r="E56" s="82"/>
      <c r="F56" s="82"/>
      <c r="G56" s="82"/>
      <c r="H56" s="82"/>
      <c r="I56" s="82"/>
      <c r="J56" s="82"/>
      <c r="K56" s="82"/>
    </row>
    <row r="57" spans="1:11" x14ac:dyDescent="0.25">
      <c r="B57" s="55"/>
      <c r="C57" s="62">
        <f t="shared" ref="C57:J57" si="33">C33</f>
        <v>42825</v>
      </c>
      <c r="D57" s="62">
        <f t="shared" si="33"/>
        <v>43190</v>
      </c>
      <c r="E57" s="62">
        <f t="shared" si="33"/>
        <v>43555</v>
      </c>
      <c r="F57" s="62">
        <f t="shared" si="33"/>
        <v>43921</v>
      </c>
      <c r="G57" s="62">
        <f t="shared" si="33"/>
        <v>44286</v>
      </c>
      <c r="H57" s="62">
        <f t="shared" si="33"/>
        <v>44651</v>
      </c>
      <c r="I57" s="62">
        <f t="shared" si="33"/>
        <v>45016</v>
      </c>
      <c r="J57" s="62">
        <f t="shared" si="33"/>
        <v>45382</v>
      </c>
      <c r="K57" s="62">
        <f>K33</f>
        <v>45747</v>
      </c>
    </row>
    <row r="58" spans="1:11" x14ac:dyDescent="0.25">
      <c r="B58" t="str">
        <f>IFERROR(B34,0)</f>
        <v>Net Profit</v>
      </c>
      <c r="C58" s="27">
        <f t="shared" ref="C58:K58" si="34">IFERROR(C34,0)</f>
        <v>463.64999999999924</v>
      </c>
      <c r="D58" s="27">
        <f t="shared" si="34"/>
        <v>567.25999999999988</v>
      </c>
      <c r="E58" s="27">
        <f t="shared" si="34"/>
        <v>473.8299999999997</v>
      </c>
      <c r="F58" s="27">
        <f t="shared" si="34"/>
        <v>535.19000000000005</v>
      </c>
      <c r="G58" s="27">
        <f t="shared" si="34"/>
        <v>993.79000000000224</v>
      </c>
      <c r="H58" s="27">
        <f t="shared" si="34"/>
        <v>1078.9500000000025</v>
      </c>
      <c r="I58" s="27">
        <f t="shared" si="34"/>
        <v>1346.5199999999979</v>
      </c>
      <c r="J58" s="27">
        <f t="shared" si="34"/>
        <v>1300.9900000000007</v>
      </c>
      <c r="K58" s="27">
        <f t="shared" si="34"/>
        <v>1380.3099999999993</v>
      </c>
    </row>
    <row r="59" spans="1:11" x14ac:dyDescent="0.25">
      <c r="B59" t="str">
        <f>IFERROR(B35,0)</f>
        <v>Sales</v>
      </c>
      <c r="C59" s="27">
        <f t="shared" ref="C59:K59" si="35">IFERROR(C35,0)</f>
        <v>6779.55</v>
      </c>
      <c r="D59" s="27">
        <f t="shared" si="35"/>
        <v>6815.35</v>
      </c>
      <c r="E59" s="27">
        <f t="shared" si="35"/>
        <v>7251.5</v>
      </c>
      <c r="F59" s="27">
        <f t="shared" si="35"/>
        <v>9637.42</v>
      </c>
      <c r="G59" s="27">
        <f t="shared" si="35"/>
        <v>11602.03</v>
      </c>
      <c r="H59" s="27">
        <f t="shared" si="35"/>
        <v>12425.37</v>
      </c>
      <c r="I59" s="27">
        <f t="shared" si="35"/>
        <v>13783.16</v>
      </c>
      <c r="J59" s="27">
        <f t="shared" si="35"/>
        <v>15205.85</v>
      </c>
      <c r="K59" s="27">
        <f t="shared" si="35"/>
        <v>17618.3</v>
      </c>
    </row>
    <row r="60" spans="1:11" x14ac:dyDescent="0.25">
      <c r="B60" s="57" t="s">
        <v>118</v>
      </c>
      <c r="C60" s="58">
        <f>IFERROR(C58/C59,"-")</f>
        <v>6.8389494877978518E-2</v>
      </c>
      <c r="D60" s="58">
        <f t="shared" ref="D60" si="36">IFERROR(D58/D59,"-")</f>
        <v>8.3232702649166934E-2</v>
      </c>
      <c r="E60" s="58">
        <f t="shared" ref="E60" si="37">IFERROR(E58/E59,"-")</f>
        <v>6.5342342963524744E-2</v>
      </c>
      <c r="F60" s="58">
        <f t="shared" ref="F60" si="38">IFERROR(F58/F59,"-")</f>
        <v>5.5532497286618208E-2</v>
      </c>
      <c r="G60" s="58">
        <f t="shared" ref="G60" si="39">IFERROR(G58/G59,"-")</f>
        <v>8.56565618258186E-2</v>
      </c>
      <c r="H60" s="58">
        <f t="shared" ref="H60" si="40">IFERROR(H58/H59,"-")</f>
        <v>8.6834436318596747E-2</v>
      </c>
      <c r="I60" s="58">
        <f t="shared" ref="I60" si="41">IFERROR(I58/I59,"-")</f>
        <v>9.76931269752363E-2</v>
      </c>
      <c r="J60" s="58">
        <f t="shared" ref="J60" si="42">IFERROR(J58/J59,"-")</f>
        <v>8.5558518596461269E-2</v>
      </c>
      <c r="K60" s="58">
        <f>IFERROR(K58/K59,"-")</f>
        <v>7.8345243298161532E-2</v>
      </c>
    </row>
    <row r="62" spans="1:11" x14ac:dyDescent="0.25">
      <c r="B62" t="str">
        <f>IFERROR(B38,0)</f>
        <v>Sales</v>
      </c>
      <c r="C62" s="27">
        <f t="shared" ref="C62:K62" si="43">IFERROR(C38,0)</f>
        <v>6779.55</v>
      </c>
      <c r="D62" s="27">
        <f t="shared" si="43"/>
        <v>6815.35</v>
      </c>
      <c r="E62" s="27">
        <f t="shared" si="43"/>
        <v>7251.5</v>
      </c>
      <c r="F62" s="27">
        <f t="shared" si="43"/>
        <v>9637.42</v>
      </c>
      <c r="G62" s="27">
        <f t="shared" si="43"/>
        <v>11602.03</v>
      </c>
      <c r="H62" s="27">
        <f t="shared" si="43"/>
        <v>12425.37</v>
      </c>
      <c r="I62" s="27">
        <f t="shared" si="43"/>
        <v>13783.16</v>
      </c>
      <c r="J62" s="27">
        <f t="shared" si="43"/>
        <v>15205.85</v>
      </c>
      <c r="K62" s="27">
        <f t="shared" si="43"/>
        <v>17618.3</v>
      </c>
    </row>
    <row r="63" spans="1:11" x14ac:dyDescent="0.25">
      <c r="B63" t="str">
        <f>IFERROR(B39,0)</f>
        <v>Average Total Assets</v>
      </c>
      <c r="C63" s="27">
        <f t="shared" ref="C63:K63" si="44">IFERROR(C39,0)</f>
        <v>9723.0849999999991</v>
      </c>
      <c r="D63" s="27">
        <f t="shared" si="44"/>
        <v>10006.084999999999</v>
      </c>
      <c r="E63" s="27">
        <f t="shared" si="44"/>
        <v>10670.720000000001</v>
      </c>
      <c r="F63" s="27">
        <f t="shared" si="44"/>
        <v>14676.86</v>
      </c>
      <c r="G63" s="27">
        <f t="shared" si="44"/>
        <v>19345.43</v>
      </c>
      <c r="H63" s="27">
        <f t="shared" si="44"/>
        <v>20646.345000000001</v>
      </c>
      <c r="I63" s="27">
        <f t="shared" si="44"/>
        <v>21918.68</v>
      </c>
      <c r="J63" s="27">
        <f t="shared" si="44"/>
        <v>25320.639999999999</v>
      </c>
      <c r="K63" s="27">
        <f t="shared" si="44"/>
        <v>29854.704999999994</v>
      </c>
    </row>
    <row r="64" spans="1:11" x14ac:dyDescent="0.25">
      <c r="B64" s="57" t="s">
        <v>121</v>
      </c>
      <c r="C64" s="58">
        <f>IFERROR(C62/C63,"-")</f>
        <v>0.69726326572276198</v>
      </c>
      <c r="D64" s="58">
        <f t="shared" ref="D64" si="45">IFERROR(D62/D63,"-")</f>
        <v>0.68112053815253426</v>
      </c>
      <c r="E64" s="58">
        <f t="shared" ref="E64" si="46">IFERROR(E62/E63,"-")</f>
        <v>0.67956988844239186</v>
      </c>
      <c r="F64" s="58">
        <f t="shared" ref="F64" si="47">IFERROR(F62/F63,"-")</f>
        <v>0.65664045306693664</v>
      </c>
      <c r="G64" s="58">
        <f t="shared" ref="G64" si="48">IFERROR(G62/G63,"-")</f>
        <v>0.59972975529621209</v>
      </c>
      <c r="H64" s="58">
        <f t="shared" ref="H64" si="49">IFERROR(H62/H63,"-")</f>
        <v>0.60181935349816151</v>
      </c>
      <c r="I64" s="58">
        <f t="shared" ref="I64" si="50">IFERROR(I62/I63,"-")</f>
        <v>0.62883166322059536</v>
      </c>
      <c r="J64" s="58">
        <f t="shared" ref="J64" si="51">IFERROR(J62/J63,"-")</f>
        <v>0.600531819100939</v>
      </c>
      <c r="K64" s="58">
        <f>IFERROR(K62/K63,"-")</f>
        <v>0.59013478779977901</v>
      </c>
    </row>
    <row r="66" spans="1:11" x14ac:dyDescent="0.25">
      <c r="A66" s="63" t="s">
        <v>56</v>
      </c>
      <c r="B66" s="60" t="s">
        <v>126</v>
      </c>
      <c r="C66" s="61">
        <f t="shared" ref="C66:J66" si="52">IFERROR(C60*C64,0)</f>
        <v>4.7685482539749406E-2</v>
      </c>
      <c r="D66" s="61">
        <f t="shared" si="52"/>
        <v>5.6691503220290443E-2</v>
      </c>
      <c r="E66" s="61">
        <f t="shared" si="52"/>
        <v>4.4404688718287018E-2</v>
      </c>
      <c r="F66" s="61">
        <f t="shared" si="52"/>
        <v>3.6464884178223411E-2</v>
      </c>
      <c r="G66" s="61">
        <f t="shared" si="52"/>
        <v>5.1370788863313054E-2</v>
      </c>
      <c r="H66" s="61">
        <f t="shared" si="52"/>
        <v>5.225864432663517E-2</v>
      </c>
      <c r="I66" s="61">
        <f t="shared" si="52"/>
        <v>6.1432531521058653E-2</v>
      </c>
      <c r="J66" s="61">
        <f t="shared" si="52"/>
        <v>5.1380612812314402E-2</v>
      </c>
      <c r="K66" s="61">
        <f>IFERROR(K60*K64,0)</f>
        <v>4.6234253528882614E-2</v>
      </c>
    </row>
    <row r="68" spans="1:11" x14ac:dyDescent="0.25">
      <c r="B68" s="38" t="s">
        <v>76</v>
      </c>
      <c r="C68" s="38" t="b">
        <f>C66=C54</f>
        <v>1</v>
      </c>
      <c r="D68" s="38" t="b">
        <f t="shared" ref="D68:K68" si="53">D66=D54</f>
        <v>1</v>
      </c>
      <c r="E68" s="38" t="b">
        <f t="shared" si="53"/>
        <v>1</v>
      </c>
      <c r="F68" s="38" t="b">
        <f t="shared" si="53"/>
        <v>1</v>
      </c>
      <c r="G68" s="38" t="b">
        <f t="shared" si="53"/>
        <v>1</v>
      </c>
      <c r="H68" s="38" t="b">
        <f t="shared" si="53"/>
        <v>1</v>
      </c>
      <c r="I68" s="38" t="b">
        <f t="shared" si="53"/>
        <v>1</v>
      </c>
      <c r="J68" s="38" t="b">
        <f t="shared" si="53"/>
        <v>1</v>
      </c>
      <c r="K68" s="38" t="b">
        <f t="shared" si="53"/>
        <v>1</v>
      </c>
    </row>
  </sheetData>
  <mergeCells count="5">
    <mergeCell ref="B26:K26"/>
    <mergeCell ref="B32:K32"/>
    <mergeCell ref="B50:K50"/>
    <mergeCell ref="B56:K56"/>
    <mergeCell ref="B2:K2"/>
  </mergeCells>
  <pageMargins left="0.7" right="0.7" top="0.75" bottom="0.75" header="0.3" footer="0.3"/>
  <pageSetup scale="65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zoomScalePageLayoutView="120" workbookViewId="0">
      <pane xSplit="1" ySplit="1" topLeftCell="B14" activePane="bottomRight" state="frozen"/>
      <selection activeCell="C4" sqref="C4"/>
      <selection pane="topRight" activeCell="C4" sqref="C4"/>
      <selection pane="bottomLeft" activeCell="C4" sqref="C4"/>
      <selection pane="bottomRight" activeCell="B17" sqref="B17"/>
    </sheetView>
  </sheetViews>
  <sheetFormatPr defaultColWidth="8.85546875" defaultRowHeight="15" x14ac:dyDescent="0.25"/>
  <cols>
    <col min="1" max="1" width="27.7109375" style="2" bestFit="1" customWidth="1"/>
    <col min="2" max="11" width="13.42578125" style="2" bestFit="1" customWidth="1"/>
    <col min="12" max="16384" width="8.85546875" style="2"/>
  </cols>
  <sheetData>
    <row r="1" spans="1:11" s="1" customFormat="1" x14ac:dyDescent="0.25">
      <c r="A1" s="1" t="s">
        <v>0</v>
      </c>
      <c r="B1" s="1" t="s">
        <v>32</v>
      </c>
      <c r="E1" s="84" t="str">
        <f>IF(B2&lt;&gt;B3, "A NEW VERSION OF THE WORKSHEET IS AVAILABLE", "")</f>
        <v/>
      </c>
      <c r="F1" s="84"/>
      <c r="G1" s="84"/>
      <c r="H1" s="84"/>
      <c r="I1" s="84"/>
      <c r="J1" s="84"/>
      <c r="K1" s="84"/>
    </row>
    <row r="2" spans="1:11" x14ac:dyDescent="0.25">
      <c r="A2" s="1" t="s">
        <v>30</v>
      </c>
      <c r="B2" s="2">
        <v>2.1</v>
      </c>
      <c r="E2" s="85" t="s">
        <v>21</v>
      </c>
      <c r="F2" s="85"/>
      <c r="G2" s="85"/>
      <c r="H2" s="85"/>
      <c r="I2" s="85"/>
      <c r="J2" s="85"/>
      <c r="K2" s="85"/>
    </row>
    <row r="3" spans="1:11" x14ac:dyDescent="0.25">
      <c r="A3" s="1" t="s">
        <v>31</v>
      </c>
      <c r="B3" s="2">
        <v>2.1</v>
      </c>
    </row>
    <row r="4" spans="1:11" x14ac:dyDescent="0.25">
      <c r="A4" s="1"/>
    </row>
    <row r="5" spans="1:11" x14ac:dyDescent="0.25">
      <c r="A5" s="1" t="s">
        <v>33</v>
      </c>
    </row>
    <row r="6" spans="1:11" x14ac:dyDescent="0.25">
      <c r="A6" s="2" t="s">
        <v>27</v>
      </c>
      <c r="B6" s="2">
        <f>IF(B9&gt;0, B9/B8, 0)</f>
        <v>99.048887440648002</v>
      </c>
    </row>
    <row r="7" spans="1:11" x14ac:dyDescent="0.25">
      <c r="A7" s="2" t="s">
        <v>16</v>
      </c>
      <c r="B7">
        <v>1</v>
      </c>
    </row>
    <row r="8" spans="1:11" x14ac:dyDescent="0.25">
      <c r="A8" s="2" t="s">
        <v>28</v>
      </c>
      <c r="B8">
        <v>1074.0999999999999</v>
      </c>
    </row>
    <row r="9" spans="1:11" x14ac:dyDescent="0.25">
      <c r="A9" s="2" t="s">
        <v>43</v>
      </c>
      <c r="B9">
        <v>106388.41</v>
      </c>
    </row>
    <row r="15" spans="1:11" x14ac:dyDescent="0.25">
      <c r="A15" s="1" t="s">
        <v>22</v>
      </c>
    </row>
    <row r="16" spans="1:11" s="6" customFormat="1" x14ac:dyDescent="0.25">
      <c r="A16" s="5" t="s">
        <v>23</v>
      </c>
      <c r="B16" s="4">
        <v>42460</v>
      </c>
      <c r="C16" s="4">
        <v>42825</v>
      </c>
      <c r="D16" s="4">
        <v>43190</v>
      </c>
      <c r="E16" s="4">
        <v>43555</v>
      </c>
      <c r="F16" s="4">
        <v>43921</v>
      </c>
      <c r="G16" s="4">
        <v>44286</v>
      </c>
      <c r="H16" s="4">
        <v>44651</v>
      </c>
      <c r="I16" s="4">
        <v>45016</v>
      </c>
      <c r="J16" s="4">
        <v>45382</v>
      </c>
      <c r="K16" s="4">
        <v>45747</v>
      </c>
    </row>
    <row r="17" spans="1:11" s="3" customFormat="1" x14ac:dyDescent="0.25">
      <c r="A17" s="3" t="s">
        <v>1</v>
      </c>
      <c r="B17">
        <v>6636.54</v>
      </c>
      <c r="C17">
        <v>6779.55</v>
      </c>
      <c r="D17">
        <v>6815.35</v>
      </c>
      <c r="E17">
        <v>7251.5</v>
      </c>
      <c r="F17">
        <v>9637.42</v>
      </c>
      <c r="G17">
        <v>11602.03</v>
      </c>
      <c r="H17">
        <v>12425.37</v>
      </c>
      <c r="I17">
        <v>13783.16</v>
      </c>
      <c r="J17">
        <v>15205.85</v>
      </c>
      <c r="K17">
        <v>17618.3</v>
      </c>
    </row>
    <row r="18" spans="1:11" s="3" customFormat="1" x14ac:dyDescent="0.25">
      <c r="A18" s="2" t="s">
        <v>44</v>
      </c>
      <c r="B18">
        <v>3601.49</v>
      </c>
      <c r="C18">
        <v>3165.65</v>
      </c>
      <c r="D18">
        <v>3746.11</v>
      </c>
      <c r="E18">
        <v>4022.05</v>
      </c>
      <c r="F18">
        <v>5402.9</v>
      </c>
      <c r="G18">
        <v>6367.79</v>
      </c>
      <c r="H18">
        <v>6323.22</v>
      </c>
      <c r="I18">
        <v>7107.06</v>
      </c>
      <c r="J18">
        <v>7364.06</v>
      </c>
      <c r="K18">
        <v>8986.68</v>
      </c>
    </row>
    <row r="19" spans="1:11" s="3" customFormat="1" x14ac:dyDescent="0.25">
      <c r="A19" s="2" t="s">
        <v>45</v>
      </c>
      <c r="B19">
        <v>-20.11</v>
      </c>
      <c r="C19">
        <v>0.69</v>
      </c>
      <c r="D19">
        <v>46.8</v>
      </c>
      <c r="E19">
        <v>14.41</v>
      </c>
      <c r="F19">
        <v>-7.78</v>
      </c>
      <c r="G19">
        <v>149.54</v>
      </c>
      <c r="H19">
        <v>39.78</v>
      </c>
      <c r="I19">
        <v>273.88</v>
      </c>
      <c r="J19">
        <v>121.6</v>
      </c>
      <c r="K19">
        <v>362.49</v>
      </c>
    </row>
    <row r="20" spans="1:11" s="3" customFormat="1" x14ac:dyDescent="0.25">
      <c r="A20" s="2" t="s">
        <v>46</v>
      </c>
      <c r="B20">
        <v>81.260000000000005</v>
      </c>
      <c r="C20">
        <v>83.19</v>
      </c>
      <c r="D20">
        <v>87.07</v>
      </c>
      <c r="E20">
        <v>89.28</v>
      </c>
      <c r="F20">
        <v>103.84</v>
      </c>
      <c r="G20">
        <v>97.36</v>
      </c>
      <c r="H20">
        <v>123.9</v>
      </c>
      <c r="I20">
        <v>149.43</v>
      </c>
      <c r="J20">
        <v>156.9</v>
      </c>
      <c r="K20">
        <v>156.21</v>
      </c>
    </row>
    <row r="21" spans="1:11" s="3" customFormat="1" x14ac:dyDescent="0.25">
      <c r="A21" s="2" t="s">
        <v>47</v>
      </c>
      <c r="B21">
        <v>190.32</v>
      </c>
      <c r="C21">
        <v>597.61</v>
      </c>
      <c r="D21">
        <v>194.69</v>
      </c>
      <c r="E21">
        <v>209.59</v>
      </c>
      <c r="F21">
        <v>238.47</v>
      </c>
      <c r="G21">
        <v>941.75</v>
      </c>
      <c r="H21">
        <v>1139.5899999999999</v>
      </c>
      <c r="I21">
        <v>1578.2</v>
      </c>
      <c r="J21">
        <v>1696.28</v>
      </c>
      <c r="K21">
        <v>1882.25</v>
      </c>
    </row>
    <row r="22" spans="1:11" s="3" customFormat="1" x14ac:dyDescent="0.25">
      <c r="A22" s="2" t="s">
        <v>48</v>
      </c>
      <c r="B22">
        <v>805.06</v>
      </c>
      <c r="C22">
        <v>834.95</v>
      </c>
      <c r="D22">
        <v>821.37</v>
      </c>
      <c r="E22">
        <v>806.3</v>
      </c>
      <c r="F22">
        <v>884.8</v>
      </c>
      <c r="G22">
        <v>970.23</v>
      </c>
      <c r="H22">
        <v>1048</v>
      </c>
      <c r="I22">
        <v>1120.3599999999999</v>
      </c>
      <c r="J22">
        <v>1258.5899999999999</v>
      </c>
      <c r="K22">
        <v>1430.1</v>
      </c>
    </row>
    <row r="23" spans="1:11" s="3" customFormat="1" x14ac:dyDescent="0.25">
      <c r="A23" s="2" t="s">
        <v>49</v>
      </c>
      <c r="B23">
        <v>922.88</v>
      </c>
      <c r="C23">
        <v>926.92</v>
      </c>
      <c r="D23">
        <v>857.64</v>
      </c>
      <c r="E23">
        <v>968.23</v>
      </c>
      <c r="F23">
        <v>1278.1600000000001</v>
      </c>
      <c r="G23">
        <v>1421.46</v>
      </c>
      <c r="H23">
        <v>1691.83</v>
      </c>
      <c r="I23">
        <v>1785.26</v>
      </c>
      <c r="J23">
        <v>1927.15</v>
      </c>
      <c r="K23">
        <v>2253.37</v>
      </c>
    </row>
    <row r="24" spans="1:11" s="3" customFormat="1" x14ac:dyDescent="0.25">
      <c r="A24" s="2" t="s">
        <v>50</v>
      </c>
      <c r="B24">
        <v>649.51</v>
      </c>
      <c r="C24">
        <v>380.79</v>
      </c>
      <c r="D24">
        <v>316.36</v>
      </c>
      <c r="E24">
        <v>384.55</v>
      </c>
      <c r="F24">
        <v>429.32</v>
      </c>
      <c r="G24">
        <v>409.22</v>
      </c>
      <c r="H24">
        <v>419.83</v>
      </c>
      <c r="I24">
        <v>460.26</v>
      </c>
      <c r="J24">
        <v>640.37</v>
      </c>
      <c r="K24">
        <v>792.83</v>
      </c>
    </row>
    <row r="25" spans="1:11" s="3" customFormat="1" x14ac:dyDescent="0.25">
      <c r="A25" s="3" t="s">
        <v>4</v>
      </c>
      <c r="B25">
        <v>37.54</v>
      </c>
      <c r="C25">
        <v>88.4</v>
      </c>
      <c r="D25">
        <v>73.02</v>
      </c>
      <c r="E25">
        <v>123.84</v>
      </c>
      <c r="F25">
        <v>-163.19999999999999</v>
      </c>
      <c r="G25">
        <v>90.73</v>
      </c>
      <c r="H25">
        <v>88</v>
      </c>
      <c r="I25">
        <v>328.33</v>
      </c>
      <c r="J25">
        <v>-81.42</v>
      </c>
      <c r="K25">
        <v>188.14</v>
      </c>
    </row>
    <row r="26" spans="1:11" s="3" customFormat="1" x14ac:dyDescent="0.25">
      <c r="A26" s="3" t="s">
        <v>5</v>
      </c>
      <c r="B26">
        <v>116.79</v>
      </c>
      <c r="C26">
        <v>126.04</v>
      </c>
      <c r="D26">
        <v>116.04</v>
      </c>
      <c r="E26">
        <v>122.57</v>
      </c>
      <c r="F26">
        <v>241.71</v>
      </c>
      <c r="G26">
        <v>254.74</v>
      </c>
      <c r="H26">
        <v>278.01</v>
      </c>
      <c r="I26">
        <v>304.08</v>
      </c>
      <c r="J26">
        <v>377.15</v>
      </c>
      <c r="K26">
        <v>600.74</v>
      </c>
    </row>
    <row r="27" spans="1:11" s="3" customFormat="1" x14ac:dyDescent="0.25">
      <c r="A27" s="3" t="s">
        <v>6</v>
      </c>
      <c r="B27">
        <v>116.9</v>
      </c>
      <c r="C27">
        <v>91.53</v>
      </c>
      <c r="D27">
        <v>42.76</v>
      </c>
      <c r="E27">
        <v>52.47</v>
      </c>
      <c r="F27">
        <v>77.86</v>
      </c>
      <c r="G27">
        <v>68.69</v>
      </c>
      <c r="H27">
        <v>72.78</v>
      </c>
      <c r="I27">
        <v>87.16</v>
      </c>
      <c r="J27">
        <v>129.81</v>
      </c>
      <c r="K27">
        <v>290.2</v>
      </c>
    </row>
    <row r="28" spans="1:11" s="3" customFormat="1" x14ac:dyDescent="0.25">
      <c r="A28" s="3" t="s">
        <v>7</v>
      </c>
      <c r="B28">
        <v>169.76</v>
      </c>
      <c r="C28">
        <v>661.96</v>
      </c>
      <c r="D28">
        <v>753.13</v>
      </c>
      <c r="E28">
        <v>734.71</v>
      </c>
      <c r="F28">
        <v>809.38</v>
      </c>
      <c r="G28">
        <v>1311.06</v>
      </c>
      <c r="H28">
        <v>1455.99</v>
      </c>
      <c r="I28">
        <v>1793.56</v>
      </c>
      <c r="J28">
        <v>1695.72</v>
      </c>
      <c r="K28">
        <v>1776.55</v>
      </c>
    </row>
    <row r="29" spans="1:11" s="3" customFormat="1" x14ac:dyDescent="0.25">
      <c r="A29" s="3" t="s">
        <v>8</v>
      </c>
      <c r="B29">
        <v>200.01</v>
      </c>
      <c r="C29">
        <v>198.31</v>
      </c>
      <c r="D29">
        <v>185.87</v>
      </c>
      <c r="E29">
        <v>260.88</v>
      </c>
      <c r="F29">
        <v>274.19</v>
      </c>
      <c r="G29">
        <v>317.27</v>
      </c>
      <c r="H29">
        <v>377.04</v>
      </c>
      <c r="I29">
        <v>447.04</v>
      </c>
      <c r="J29">
        <v>394.73</v>
      </c>
      <c r="K29">
        <v>396.24</v>
      </c>
    </row>
    <row r="30" spans="1:11" s="3" customFormat="1" x14ac:dyDescent="0.25">
      <c r="A30" s="3" t="s">
        <v>9</v>
      </c>
      <c r="B30">
        <v>-5.52</v>
      </c>
      <c r="C30">
        <v>389.44</v>
      </c>
      <c r="D30">
        <v>495.56</v>
      </c>
      <c r="E30">
        <v>408.19</v>
      </c>
      <c r="F30">
        <v>459.76</v>
      </c>
      <c r="G30">
        <v>856.69</v>
      </c>
      <c r="H30">
        <v>935.78</v>
      </c>
      <c r="I30">
        <v>1203.77</v>
      </c>
      <c r="J30">
        <v>1150.33</v>
      </c>
      <c r="K30">
        <v>1278.47</v>
      </c>
    </row>
    <row r="31" spans="1:11" s="3" customFormat="1" x14ac:dyDescent="0.25">
      <c r="A31" s="3" t="s">
        <v>34</v>
      </c>
      <c r="B31">
        <v>142</v>
      </c>
      <c r="C31">
        <v>148.31</v>
      </c>
      <c r="D31">
        <v>148.31</v>
      </c>
      <c r="E31">
        <v>157.78</v>
      </c>
      <c r="F31">
        <v>248.83</v>
      </c>
      <c r="G31">
        <v>373.25</v>
      </c>
      <c r="H31">
        <v>557.57000000000005</v>
      </c>
      <c r="I31">
        <v>785</v>
      </c>
      <c r="J31">
        <v>738.42</v>
      </c>
      <c r="K31">
        <v>816.34</v>
      </c>
    </row>
    <row r="32" spans="1:11" s="3" customFormat="1" x14ac:dyDescent="0.25"/>
    <row r="33" spans="1:11" x14ac:dyDescent="0.25">
      <c r="A33" s="3"/>
    </row>
    <row r="34" spans="1:11" x14ac:dyDescent="0.25">
      <c r="A34" s="3"/>
    </row>
    <row r="35" spans="1:11" x14ac:dyDescent="0.25">
      <c r="A35" s="3"/>
    </row>
    <row r="36" spans="1:11" x14ac:dyDescent="0.25">
      <c r="A36" s="3"/>
    </row>
    <row r="37" spans="1:11" x14ac:dyDescent="0.25">
      <c r="A37" s="3"/>
    </row>
    <row r="38" spans="1:11" x14ac:dyDescent="0.25">
      <c r="A38" s="3"/>
    </row>
    <row r="39" spans="1:11" x14ac:dyDescent="0.25">
      <c r="A39" s="3"/>
    </row>
    <row r="40" spans="1:11" x14ac:dyDescent="0.25">
      <c r="A40" s="1" t="s">
        <v>24</v>
      </c>
    </row>
    <row r="41" spans="1:11" s="6" customFormat="1" x14ac:dyDescent="0.25">
      <c r="A41" s="5" t="s">
        <v>23</v>
      </c>
      <c r="B41" s="4">
        <v>44926</v>
      </c>
      <c r="C41" s="4">
        <v>45016</v>
      </c>
      <c r="D41" s="4">
        <v>45107</v>
      </c>
      <c r="E41" s="4">
        <v>45199</v>
      </c>
      <c r="F41" s="4">
        <v>45291</v>
      </c>
      <c r="G41" s="4">
        <v>45382</v>
      </c>
      <c r="H41" s="4">
        <v>45473</v>
      </c>
      <c r="I41" s="4">
        <v>45565</v>
      </c>
      <c r="J41" s="4">
        <v>45657</v>
      </c>
      <c r="K41" s="4">
        <v>45747</v>
      </c>
    </row>
    <row r="42" spans="1:11" s="3" customFormat="1" x14ac:dyDescent="0.25">
      <c r="A42" s="3" t="s">
        <v>1</v>
      </c>
      <c r="B42">
        <v>3474.55</v>
      </c>
      <c r="C42">
        <v>3618.73</v>
      </c>
      <c r="D42">
        <v>3741.21</v>
      </c>
      <c r="E42">
        <v>3733.78</v>
      </c>
      <c r="F42">
        <v>3803.92</v>
      </c>
      <c r="G42">
        <v>3926.94</v>
      </c>
      <c r="H42">
        <v>4352.07</v>
      </c>
      <c r="I42">
        <v>4214.45</v>
      </c>
      <c r="J42">
        <v>4443.5600000000004</v>
      </c>
      <c r="K42">
        <v>4608.22</v>
      </c>
    </row>
    <row r="43" spans="1:11" s="3" customFormat="1" x14ac:dyDescent="0.25">
      <c r="A43" s="3" t="s">
        <v>2</v>
      </c>
      <c r="B43">
        <v>3020.89</v>
      </c>
      <c r="C43">
        <v>3107.06</v>
      </c>
      <c r="D43">
        <v>3196.18</v>
      </c>
      <c r="E43">
        <v>3196.69</v>
      </c>
      <c r="F43">
        <v>3231.54</v>
      </c>
      <c r="G43">
        <v>3297.34</v>
      </c>
      <c r="H43">
        <v>3684.69</v>
      </c>
      <c r="I43">
        <v>3588.16</v>
      </c>
      <c r="J43">
        <v>3878.83</v>
      </c>
      <c r="K43">
        <v>3987.27</v>
      </c>
    </row>
    <row r="44" spans="1:11" s="3" customFormat="1" x14ac:dyDescent="0.25">
      <c r="A44" s="3" t="s">
        <v>4</v>
      </c>
      <c r="B44">
        <v>127.5</v>
      </c>
      <c r="C44">
        <v>48.93</v>
      </c>
      <c r="D44">
        <v>52.59</v>
      </c>
      <c r="E44">
        <v>75.28</v>
      </c>
      <c r="F44">
        <v>-31.94</v>
      </c>
      <c r="G44">
        <v>-177.35</v>
      </c>
      <c r="H44">
        <v>22.07</v>
      </c>
      <c r="I44">
        <v>18.8</v>
      </c>
      <c r="J44">
        <v>45.44</v>
      </c>
      <c r="K44">
        <v>101.83</v>
      </c>
    </row>
    <row r="45" spans="1:11" s="3" customFormat="1" x14ac:dyDescent="0.25">
      <c r="A45" s="3" t="s">
        <v>5</v>
      </c>
      <c r="B45">
        <v>75.16</v>
      </c>
      <c r="C45">
        <v>82.86</v>
      </c>
      <c r="D45">
        <v>81.95</v>
      </c>
      <c r="E45">
        <v>93.93</v>
      </c>
      <c r="F45">
        <v>85.51</v>
      </c>
      <c r="G45">
        <v>115.76</v>
      </c>
      <c r="H45">
        <v>148</v>
      </c>
      <c r="I45">
        <v>149.33000000000001</v>
      </c>
      <c r="J45">
        <v>150.32</v>
      </c>
      <c r="K45">
        <v>153.09</v>
      </c>
    </row>
    <row r="46" spans="1:11" s="3" customFormat="1" x14ac:dyDescent="0.25">
      <c r="A46" s="3" t="s">
        <v>6</v>
      </c>
      <c r="B46">
        <v>23.68</v>
      </c>
      <c r="C46">
        <v>27.66</v>
      </c>
      <c r="D46">
        <v>26.23</v>
      </c>
      <c r="E46">
        <v>27.56</v>
      </c>
      <c r="F46">
        <v>33.19</v>
      </c>
      <c r="G46">
        <v>42.83</v>
      </c>
      <c r="H46">
        <v>93.6</v>
      </c>
      <c r="I46">
        <v>98.69</v>
      </c>
      <c r="J46">
        <v>57.92</v>
      </c>
      <c r="K46">
        <v>39.99</v>
      </c>
    </row>
    <row r="47" spans="1:11" s="3" customFormat="1" x14ac:dyDescent="0.25">
      <c r="A47" s="3" t="s">
        <v>7</v>
      </c>
      <c r="B47">
        <v>482.32</v>
      </c>
      <c r="C47">
        <v>450.08</v>
      </c>
      <c r="D47">
        <v>489.44</v>
      </c>
      <c r="E47">
        <v>490.88</v>
      </c>
      <c r="F47">
        <v>421.74</v>
      </c>
      <c r="G47">
        <v>293.66000000000003</v>
      </c>
      <c r="H47">
        <v>447.85</v>
      </c>
      <c r="I47">
        <v>397.07</v>
      </c>
      <c r="J47">
        <v>401.93</v>
      </c>
      <c r="K47">
        <v>529.70000000000005</v>
      </c>
    </row>
    <row r="48" spans="1:11" s="3" customFormat="1" x14ac:dyDescent="0.25">
      <c r="A48" s="3" t="s">
        <v>8</v>
      </c>
      <c r="B48">
        <v>112.87</v>
      </c>
      <c r="C48">
        <v>104.5</v>
      </c>
      <c r="D48">
        <v>130.87</v>
      </c>
      <c r="E48">
        <v>131.69999999999999</v>
      </c>
      <c r="F48">
        <v>106.21</v>
      </c>
      <c r="G48">
        <v>25.95</v>
      </c>
      <c r="H48">
        <v>133.69999999999999</v>
      </c>
      <c r="I48">
        <v>37.729999999999997</v>
      </c>
      <c r="J48">
        <v>102.18</v>
      </c>
      <c r="K48">
        <v>122.63</v>
      </c>
    </row>
    <row r="49" spans="1:11" s="3" customFormat="1" x14ac:dyDescent="0.25">
      <c r="A49" s="3" t="s">
        <v>9</v>
      </c>
      <c r="B49">
        <v>351.76</v>
      </c>
      <c r="C49">
        <v>268.58999999999997</v>
      </c>
      <c r="D49">
        <v>316.58999999999997</v>
      </c>
      <c r="E49">
        <v>338.24</v>
      </c>
      <c r="F49">
        <v>278.87</v>
      </c>
      <c r="G49">
        <v>216.63</v>
      </c>
      <c r="H49">
        <v>290.32</v>
      </c>
      <c r="I49">
        <v>364.42</v>
      </c>
      <c r="J49">
        <v>278.88</v>
      </c>
      <c r="K49">
        <v>344.85</v>
      </c>
    </row>
    <row r="50" spans="1:11" x14ac:dyDescent="0.25">
      <c r="A50" s="3" t="s">
        <v>3</v>
      </c>
      <c r="B50">
        <v>453.66</v>
      </c>
      <c r="C50">
        <v>511.67</v>
      </c>
      <c r="D50">
        <v>545.03</v>
      </c>
      <c r="E50">
        <v>537.09</v>
      </c>
      <c r="F50">
        <v>572.38</v>
      </c>
      <c r="G50">
        <v>629.6</v>
      </c>
      <c r="H50">
        <v>667.38</v>
      </c>
      <c r="I50">
        <v>626.29</v>
      </c>
      <c r="J50">
        <v>564.73</v>
      </c>
      <c r="K50">
        <v>620.95000000000005</v>
      </c>
    </row>
    <row r="51" spans="1:11" x14ac:dyDescent="0.25">
      <c r="A51" s="3"/>
    </row>
    <row r="52" spans="1:11" x14ac:dyDescent="0.25">
      <c r="A52" s="3"/>
    </row>
    <row r="53" spans="1:11" x14ac:dyDescent="0.25">
      <c r="A53" s="3"/>
    </row>
    <row r="54" spans="1:11" x14ac:dyDescent="0.25">
      <c r="A54" s="3"/>
    </row>
    <row r="55" spans="1:11" x14ac:dyDescent="0.25">
      <c r="A55" s="1" t="s">
        <v>25</v>
      </c>
    </row>
    <row r="56" spans="1:11" s="6" customFormat="1" x14ac:dyDescent="0.25">
      <c r="A56" s="5" t="s">
        <v>23</v>
      </c>
      <c r="B56" s="4">
        <v>42460</v>
      </c>
      <c r="C56" s="4">
        <v>42825</v>
      </c>
      <c r="D56" s="4">
        <v>43190</v>
      </c>
      <c r="E56" s="4">
        <v>43555</v>
      </c>
      <c r="F56" s="4">
        <v>43921</v>
      </c>
      <c r="G56" s="4">
        <v>44286</v>
      </c>
      <c r="H56" s="4">
        <v>44651</v>
      </c>
      <c r="I56" s="4">
        <v>45016</v>
      </c>
      <c r="J56" s="4">
        <v>45382</v>
      </c>
      <c r="K56" s="4">
        <v>45747</v>
      </c>
    </row>
    <row r="57" spans="1:11" x14ac:dyDescent="0.25">
      <c r="A57" s="3" t="s">
        <v>10</v>
      </c>
      <c r="B57">
        <v>63.11</v>
      </c>
      <c r="C57">
        <v>63.11</v>
      </c>
      <c r="D57">
        <v>63.11</v>
      </c>
      <c r="E57">
        <v>63.11</v>
      </c>
      <c r="F57">
        <v>92.16</v>
      </c>
      <c r="G57">
        <v>92.16</v>
      </c>
      <c r="H57">
        <v>92.16</v>
      </c>
      <c r="I57">
        <v>92.9</v>
      </c>
      <c r="J57">
        <v>95.28</v>
      </c>
      <c r="K57">
        <v>98.95</v>
      </c>
    </row>
    <row r="58" spans="1:11" x14ac:dyDescent="0.25">
      <c r="A58" s="3" t="s">
        <v>11</v>
      </c>
      <c r="B58">
        <v>6184.06</v>
      </c>
      <c r="C58">
        <v>6202.39</v>
      </c>
      <c r="D58">
        <v>6968.49</v>
      </c>
      <c r="E58">
        <v>7268.58</v>
      </c>
      <c r="F58">
        <v>13722.7</v>
      </c>
      <c r="G58">
        <v>14442.35</v>
      </c>
      <c r="H58">
        <v>15049.78</v>
      </c>
      <c r="I58">
        <v>16183.81</v>
      </c>
      <c r="J58">
        <v>15961.51</v>
      </c>
      <c r="K58">
        <v>19902.13</v>
      </c>
    </row>
    <row r="59" spans="1:11" x14ac:dyDescent="0.25">
      <c r="A59" s="3" t="s">
        <v>35</v>
      </c>
      <c r="B59">
        <v>1354.05</v>
      </c>
      <c r="C59">
        <v>786.56</v>
      </c>
      <c r="D59">
        <v>1067.58</v>
      </c>
      <c r="E59">
        <v>1141.0999999999999</v>
      </c>
      <c r="F59">
        <v>1586.32</v>
      </c>
      <c r="G59">
        <v>1633.55</v>
      </c>
      <c r="H59">
        <v>1412.01</v>
      </c>
      <c r="I59">
        <v>1600.04</v>
      </c>
      <c r="J59">
        <v>3477.22</v>
      </c>
      <c r="K59">
        <v>2392.6799999999998</v>
      </c>
    </row>
    <row r="60" spans="1:11" x14ac:dyDescent="0.25">
      <c r="A60" s="3" t="s">
        <v>36</v>
      </c>
      <c r="B60">
        <v>2293.54</v>
      </c>
      <c r="C60">
        <v>2499.35</v>
      </c>
      <c r="D60">
        <v>2361.58</v>
      </c>
      <c r="E60">
        <v>2407.89</v>
      </c>
      <c r="F60">
        <v>3071.86</v>
      </c>
      <c r="G60">
        <v>4049.76</v>
      </c>
      <c r="H60">
        <v>4520.92</v>
      </c>
      <c r="I60">
        <v>4885.74</v>
      </c>
      <c r="J60">
        <v>8344.7800000000007</v>
      </c>
      <c r="K60">
        <v>9436.86</v>
      </c>
    </row>
    <row r="61" spans="1:11" s="1" customFormat="1" x14ac:dyDescent="0.25">
      <c r="A61" s="1" t="s">
        <v>12</v>
      </c>
      <c r="B61">
        <v>9894.76</v>
      </c>
      <c r="C61">
        <v>9551.41</v>
      </c>
      <c r="D61">
        <v>10460.76</v>
      </c>
      <c r="E61">
        <v>10880.68</v>
      </c>
      <c r="F61">
        <v>18473.04</v>
      </c>
      <c r="G61">
        <v>20217.82</v>
      </c>
      <c r="H61">
        <v>21074.87</v>
      </c>
      <c r="I61">
        <v>22762.49</v>
      </c>
      <c r="J61">
        <v>27878.79</v>
      </c>
      <c r="K61">
        <v>31830.62</v>
      </c>
    </row>
    <row r="62" spans="1:11" x14ac:dyDescent="0.25">
      <c r="A62" s="3" t="s">
        <v>13</v>
      </c>
      <c r="B62">
        <v>4661.8</v>
      </c>
      <c r="C62">
        <v>4572.59</v>
      </c>
      <c r="D62">
        <v>4798.18</v>
      </c>
      <c r="E62">
        <v>4913.3100000000004</v>
      </c>
      <c r="F62">
        <v>11656.04</v>
      </c>
      <c r="G62">
        <v>12023.13</v>
      </c>
      <c r="H62">
        <v>12599.35</v>
      </c>
      <c r="I62">
        <v>13070.04</v>
      </c>
      <c r="J62">
        <v>19357.900000000001</v>
      </c>
      <c r="K62">
        <v>21476.84</v>
      </c>
    </row>
    <row r="63" spans="1:11" x14ac:dyDescent="0.25">
      <c r="A63" s="3" t="s">
        <v>14</v>
      </c>
      <c r="B63">
        <v>39.42</v>
      </c>
      <c r="C63">
        <v>63.19</v>
      </c>
      <c r="D63">
        <v>135.16</v>
      </c>
      <c r="E63">
        <v>424.41</v>
      </c>
      <c r="F63">
        <v>95.35</v>
      </c>
      <c r="G63">
        <v>112.85</v>
      </c>
      <c r="H63">
        <v>246.97</v>
      </c>
      <c r="I63">
        <v>294.89999999999998</v>
      </c>
      <c r="J63">
        <v>189.6</v>
      </c>
      <c r="K63">
        <v>218.1</v>
      </c>
    </row>
    <row r="64" spans="1:11" x14ac:dyDescent="0.25">
      <c r="A64" s="3" t="s">
        <v>15</v>
      </c>
      <c r="B64">
        <v>1365.94</v>
      </c>
      <c r="C64">
        <v>1451.04</v>
      </c>
      <c r="D64">
        <v>1161.33</v>
      </c>
      <c r="E64">
        <v>1187.6600000000001</v>
      </c>
      <c r="F64">
        <v>1322.85</v>
      </c>
      <c r="G64">
        <v>805.89</v>
      </c>
      <c r="H64">
        <v>797.28</v>
      </c>
      <c r="I64">
        <v>1432.97</v>
      </c>
      <c r="J64">
        <v>870.55</v>
      </c>
      <c r="K64">
        <v>968.67</v>
      </c>
    </row>
    <row r="65" spans="1:11" x14ac:dyDescent="0.25">
      <c r="A65" s="3" t="s">
        <v>37</v>
      </c>
      <c r="B65">
        <v>3827.6</v>
      </c>
      <c r="C65">
        <v>3464.59</v>
      </c>
      <c r="D65">
        <v>4366.09</v>
      </c>
      <c r="E65">
        <v>4355.3</v>
      </c>
      <c r="F65">
        <v>5398.8</v>
      </c>
      <c r="G65">
        <v>7275.95</v>
      </c>
      <c r="H65">
        <v>7431.27</v>
      </c>
      <c r="I65">
        <v>7964.58</v>
      </c>
      <c r="J65">
        <v>7460.74</v>
      </c>
      <c r="K65">
        <v>9167.01</v>
      </c>
    </row>
    <row r="66" spans="1:11" s="1" customFormat="1" x14ac:dyDescent="0.25">
      <c r="A66" s="1" t="s">
        <v>12</v>
      </c>
      <c r="B66">
        <v>9894.76</v>
      </c>
      <c r="C66">
        <v>9551.41</v>
      </c>
      <c r="D66">
        <v>10460.76</v>
      </c>
      <c r="E66">
        <v>10880.68</v>
      </c>
      <c r="F66">
        <v>18473.04</v>
      </c>
      <c r="G66">
        <v>20217.82</v>
      </c>
      <c r="H66">
        <v>21074.87</v>
      </c>
      <c r="I66">
        <v>22762.49</v>
      </c>
      <c r="J66">
        <v>27878.79</v>
      </c>
      <c r="K66">
        <v>31830.62</v>
      </c>
    </row>
    <row r="67" spans="1:11" s="3" customFormat="1" x14ac:dyDescent="0.25">
      <c r="A67" s="3" t="s">
        <v>42</v>
      </c>
      <c r="B67">
        <v>592.42999999999995</v>
      </c>
      <c r="C67">
        <v>592.45000000000005</v>
      </c>
      <c r="D67">
        <v>648.28</v>
      </c>
      <c r="E67">
        <v>680.55</v>
      </c>
      <c r="F67">
        <v>922.41</v>
      </c>
      <c r="G67">
        <v>761.32</v>
      </c>
      <c r="H67">
        <v>835.15</v>
      </c>
      <c r="I67">
        <v>798.33</v>
      </c>
      <c r="J67">
        <v>896.75</v>
      </c>
      <c r="K67">
        <v>869.79</v>
      </c>
    </row>
    <row r="68" spans="1:11" x14ac:dyDescent="0.25">
      <c r="A68" s="3" t="s">
        <v>29</v>
      </c>
      <c r="B68">
        <v>1629.01</v>
      </c>
      <c r="C68">
        <v>1452.96</v>
      </c>
      <c r="D68">
        <v>1448.31</v>
      </c>
      <c r="E68">
        <v>1608.54</v>
      </c>
      <c r="F68">
        <v>1712.03</v>
      </c>
      <c r="G68">
        <v>2249.16</v>
      </c>
      <c r="H68">
        <v>2266.5100000000002</v>
      </c>
      <c r="I68">
        <v>2701.67</v>
      </c>
      <c r="J68">
        <v>2769.35</v>
      </c>
      <c r="K68">
        <v>3599.91</v>
      </c>
    </row>
    <row r="69" spans="1:11" x14ac:dyDescent="0.25">
      <c r="A69" s="2" t="s">
        <v>51</v>
      </c>
      <c r="B69">
        <v>501.03</v>
      </c>
      <c r="C69">
        <v>574.82000000000005</v>
      </c>
      <c r="D69">
        <v>1238.1400000000001</v>
      </c>
      <c r="E69">
        <v>1033.6099999999999</v>
      </c>
      <c r="F69">
        <v>1621.46</v>
      </c>
      <c r="G69">
        <v>3074.88</v>
      </c>
      <c r="H69">
        <v>2599.89</v>
      </c>
      <c r="I69">
        <v>2796.94</v>
      </c>
      <c r="J69">
        <v>2454.4899999999998</v>
      </c>
      <c r="K69">
        <v>2817.86</v>
      </c>
    </row>
    <row r="70" spans="1:11" x14ac:dyDescent="0.25">
      <c r="A70" s="2" t="s">
        <v>38</v>
      </c>
      <c r="B70">
        <v>631129729</v>
      </c>
      <c r="C70">
        <v>631129729</v>
      </c>
      <c r="D70">
        <v>631129729</v>
      </c>
      <c r="E70">
        <v>631129729</v>
      </c>
      <c r="F70">
        <v>921551715</v>
      </c>
      <c r="G70">
        <v>921551715</v>
      </c>
      <c r="H70">
        <v>921551715</v>
      </c>
      <c r="I70">
        <v>929011650</v>
      </c>
      <c r="J70">
        <v>952834816</v>
      </c>
      <c r="K70">
        <v>989498558</v>
      </c>
    </row>
    <row r="71" spans="1:11" x14ac:dyDescent="0.25">
      <c r="A71" s="2" t="s">
        <v>39</v>
      </c>
    </row>
    <row r="72" spans="1:11" x14ac:dyDescent="0.25">
      <c r="A72" s="2" t="s">
        <v>52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25">
      <c r="A74" s="3"/>
    </row>
    <row r="75" spans="1:11" x14ac:dyDescent="0.25">
      <c r="A75" s="3"/>
    </row>
    <row r="76" spans="1:11" x14ac:dyDescent="0.25">
      <c r="A76" s="3"/>
    </row>
    <row r="77" spans="1:11" x14ac:dyDescent="0.25">
      <c r="A77" s="3"/>
    </row>
    <row r="78" spans="1:11" x14ac:dyDescent="0.25">
      <c r="A78" s="3"/>
    </row>
    <row r="79" spans="1:11" x14ac:dyDescent="0.25">
      <c r="A79" s="3"/>
    </row>
    <row r="80" spans="1:11" x14ac:dyDescent="0.25">
      <c r="A80" s="1" t="s">
        <v>26</v>
      </c>
    </row>
    <row r="81" spans="1:11" s="6" customFormat="1" x14ac:dyDescent="0.25">
      <c r="A81" s="5" t="s">
        <v>23</v>
      </c>
      <c r="B81" s="4">
        <v>42460</v>
      </c>
      <c r="C81" s="4">
        <v>42825</v>
      </c>
      <c r="D81" s="4">
        <v>43190</v>
      </c>
      <c r="E81" s="4">
        <v>43555</v>
      </c>
      <c r="F81" s="4">
        <v>43921</v>
      </c>
      <c r="G81" s="4">
        <v>44286</v>
      </c>
      <c r="H81" s="4">
        <v>44651</v>
      </c>
      <c r="I81" s="4">
        <v>45016</v>
      </c>
      <c r="J81" s="4">
        <v>45382</v>
      </c>
      <c r="K81" s="4">
        <v>45747</v>
      </c>
    </row>
    <row r="82" spans="1:11" s="1" customFormat="1" x14ac:dyDescent="0.25">
      <c r="A82" s="3" t="s">
        <v>17</v>
      </c>
      <c r="B82">
        <v>115.98</v>
      </c>
      <c r="C82">
        <v>741.2</v>
      </c>
      <c r="D82">
        <v>355.58</v>
      </c>
      <c r="E82">
        <v>209.87</v>
      </c>
      <c r="F82">
        <v>1082.23</v>
      </c>
      <c r="G82">
        <v>1656.37</v>
      </c>
      <c r="H82">
        <v>1515.81</v>
      </c>
      <c r="I82">
        <v>1461.29</v>
      </c>
      <c r="J82">
        <v>1936.68</v>
      </c>
      <c r="K82">
        <v>2056.65</v>
      </c>
    </row>
    <row r="83" spans="1:11" s="3" customFormat="1" x14ac:dyDescent="0.25">
      <c r="A83" s="3" t="s">
        <v>18</v>
      </c>
      <c r="B83">
        <v>144.62</v>
      </c>
      <c r="C83">
        <v>145.05000000000001</v>
      </c>
      <c r="D83">
        <v>-31.1</v>
      </c>
      <c r="E83">
        <v>53.17</v>
      </c>
      <c r="F83">
        <v>-622.04</v>
      </c>
      <c r="G83">
        <v>-346.5</v>
      </c>
      <c r="H83">
        <v>-1317.11</v>
      </c>
      <c r="I83">
        <v>-833.61</v>
      </c>
      <c r="J83">
        <v>-1910.77</v>
      </c>
      <c r="K83">
        <v>-2303.48</v>
      </c>
    </row>
    <row r="84" spans="1:11" s="3" customFormat="1" x14ac:dyDescent="0.25">
      <c r="A84" s="3" t="s">
        <v>19</v>
      </c>
      <c r="B84">
        <v>-281.8</v>
      </c>
      <c r="C84">
        <v>-815.84</v>
      </c>
      <c r="D84">
        <v>-30.39</v>
      </c>
      <c r="E84">
        <v>-223.73</v>
      </c>
      <c r="F84">
        <v>-308.33</v>
      </c>
      <c r="G84">
        <v>-426.03</v>
      </c>
      <c r="H84">
        <v>-994.77</v>
      </c>
      <c r="I84">
        <v>-714.4</v>
      </c>
      <c r="J84">
        <v>255.55</v>
      </c>
      <c r="K84">
        <v>452.7</v>
      </c>
    </row>
    <row r="85" spans="1:11" s="1" customFormat="1" x14ac:dyDescent="0.25">
      <c r="A85" s="3" t="s">
        <v>20</v>
      </c>
      <c r="B85">
        <v>-21.2</v>
      </c>
      <c r="C85">
        <v>70.41</v>
      </c>
      <c r="D85">
        <v>294.08999999999997</v>
      </c>
      <c r="E85">
        <v>39.31</v>
      </c>
      <c r="F85">
        <v>151.86000000000001</v>
      </c>
      <c r="G85">
        <v>883.84</v>
      </c>
      <c r="H85">
        <v>-796.07</v>
      </c>
      <c r="I85">
        <v>-86.72</v>
      </c>
      <c r="J85">
        <v>281.45999999999998</v>
      </c>
      <c r="K85">
        <v>205.87</v>
      </c>
    </row>
    <row r="86" spans="1:11" x14ac:dyDescent="0.25">
      <c r="A86" s="3"/>
    </row>
    <row r="87" spans="1:11" x14ac:dyDescent="0.25">
      <c r="A87" s="3"/>
    </row>
    <row r="88" spans="1:11" x14ac:dyDescent="0.25">
      <c r="A88" s="3"/>
    </row>
    <row r="89" spans="1:11" x14ac:dyDescent="0.25">
      <c r="A89" s="3"/>
    </row>
    <row r="90" spans="1:11" s="1" customFormat="1" x14ac:dyDescent="0.25">
      <c r="A90" s="1" t="s">
        <v>41</v>
      </c>
      <c r="B90">
        <v>119.76</v>
      </c>
      <c r="C90">
        <v>148.69999999999999</v>
      </c>
      <c r="D90">
        <v>255.57</v>
      </c>
      <c r="E90">
        <v>201.45</v>
      </c>
      <c r="F90">
        <v>291.23</v>
      </c>
      <c r="G90">
        <v>631.05999999999995</v>
      </c>
      <c r="H90">
        <v>767.86</v>
      </c>
      <c r="I90">
        <v>700.15</v>
      </c>
      <c r="J90">
        <v>1082.74</v>
      </c>
      <c r="K90">
        <v>1001.9</v>
      </c>
    </row>
    <row r="92" spans="1:11" s="1" customFormat="1" x14ac:dyDescent="0.25">
      <c r="A92" s="1" t="s">
        <v>40</v>
      </c>
    </row>
    <row r="93" spans="1:11" x14ac:dyDescent="0.25">
      <c r="A93" s="2" t="s">
        <v>53</v>
      </c>
      <c r="B93" s="7">
        <v>65.540000000000006</v>
      </c>
      <c r="C93" s="7">
        <v>65.540000000000006</v>
      </c>
      <c r="D93" s="7">
        <v>65.540000000000006</v>
      </c>
      <c r="E93" s="7">
        <v>65.540000000000006</v>
      </c>
      <c r="F93" s="7">
        <v>95.7</v>
      </c>
      <c r="G93" s="7">
        <v>95.7</v>
      </c>
      <c r="H93" s="7">
        <v>95.7</v>
      </c>
      <c r="I93" s="7">
        <v>96.47</v>
      </c>
      <c r="J93" s="7">
        <v>98.95</v>
      </c>
      <c r="K93" s="7">
        <v>98.95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Financial Statements</vt:lpstr>
      <vt:lpstr>Ratio Analysis</vt:lpstr>
      <vt:lpstr>Vertical Analysis</vt:lpstr>
      <vt:lpstr>Horizontal Analysis</vt:lpstr>
      <vt:lpstr>DuPont Analysis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DELL</cp:lastModifiedBy>
  <cp:lastPrinted>2025-07-20T10:23:25Z</cp:lastPrinted>
  <dcterms:created xsi:type="dcterms:W3CDTF">2012-08-17T09:55:37Z</dcterms:created>
  <dcterms:modified xsi:type="dcterms:W3CDTF">2025-07-28T14:49:19Z</dcterms:modified>
</cp:coreProperties>
</file>