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hidePivotFieldList="1" defaultThemeVersion="164011"/>
  <mc:AlternateContent xmlns:mc="http://schemas.openxmlformats.org/markup-compatibility/2006">
    <mc:Choice Requires="x15">
      <x15ac:absPath xmlns:x15ac="http://schemas.microsoft.com/office/spreadsheetml/2010/11/ac" url="C:\Users\DELL\Documents\Anish\Projects - Anish\Sales Forecasting &amp; Variance Analysis\"/>
    </mc:Choice>
  </mc:AlternateContent>
  <bookViews>
    <workbookView xWindow="0" yWindow="0" windowWidth="20370" windowHeight="7620"/>
  </bookViews>
  <sheets>
    <sheet name="Assumptions" sheetId="1" r:id="rId1"/>
    <sheet name="Forecasting_2026" sheetId="2" r:id="rId2"/>
    <sheet name="Actual_Over_2026" sheetId="6" r:id="rId3"/>
    <sheet name="Actual_Under_2026" sheetId="7" r:id="rId4"/>
    <sheet name="Income_Statement_Model" sheetId="11" r:id="rId5"/>
    <sheet name="Data_Consolidated" sheetId="10" r:id="rId6"/>
    <sheet name="Dashboard" sheetId="8" state="hidden" r:id="rId7"/>
    <sheet name="Dynamic_Dashboard" sheetId="16" r:id="rId8"/>
    <sheet name="Seasonality" sheetId="3" r:id="rId9"/>
    <sheet name="%age_Change_Logic" sheetId="9" r:id="rId10"/>
    <sheet name="Forecasting_Best" sheetId="13" state="hidden" r:id="rId11"/>
    <sheet name="Forecasting_Base" sheetId="12" state="hidden" r:id="rId12"/>
    <sheet name="Forecasting_Worst" sheetId="14" state="hidden" r:id="rId13"/>
  </sheets>
  <definedNames>
    <definedName name="Slicer_Month">#N/A</definedName>
    <definedName name="Slicer_Product">#N/A</definedName>
    <definedName name="Slicer_Scenario">#N/A</definedName>
  </definedNames>
  <calcPr calcId="162913"/>
  <pivotCaches>
    <pivotCache cacheId="0" r:id="rId14"/>
  </pivotCaches>
  <extLst>
    <ext xmlns:x14="http://schemas.microsoft.com/office/spreadsheetml/2009/9/main" uri="{BBE1A952-AA13-448e-AADC-164F8A28A991}">
      <x14:slicerCaches>
        <x14:slicerCache r:id="rId15"/>
        <x14:slicerCache r:id="rId16"/>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4" i="11" l="1"/>
  <c r="K4" i="10" l="1" a="1"/>
  <c r="K4" i="10" s="1"/>
  <c r="K7" i="10" a="1"/>
  <c r="K7" i="10" s="1"/>
  <c r="K10" i="10" a="1"/>
  <c r="K10" i="10" s="1"/>
  <c r="K13" i="10" a="1"/>
  <c r="K13" i="10" s="1"/>
  <c r="K16" i="10" a="1"/>
  <c r="K16" i="10" s="1"/>
  <c r="K19" i="10" a="1"/>
  <c r="K19" i="10" s="1"/>
  <c r="K22" i="10" a="1"/>
  <c r="K22" i="10" s="1"/>
  <c r="K25" i="10" a="1"/>
  <c r="K25" i="10" s="1"/>
  <c r="K28" i="10" a="1"/>
  <c r="K28" i="10" s="1"/>
  <c r="K31" i="10" a="1"/>
  <c r="K31" i="10" s="1"/>
  <c r="K34" i="10" a="1"/>
  <c r="K34" i="10" s="1"/>
  <c r="K37" i="10" a="1"/>
  <c r="K37" i="10" s="1"/>
  <c r="K40" i="10" a="1"/>
  <c r="K40" i="10" s="1"/>
  <c r="K43" i="10" a="1"/>
  <c r="K43" i="10" s="1"/>
  <c r="K46" i="10" a="1"/>
  <c r="K46" i="10" s="1"/>
  <c r="K49" i="10" a="1"/>
  <c r="K49" i="10" s="1"/>
  <c r="K52" i="10" a="1"/>
  <c r="K52" i="10" s="1"/>
  <c r="K55" i="10" a="1"/>
  <c r="K55" i="10" s="1"/>
  <c r="K58" i="10" a="1"/>
  <c r="K58" i="10" s="1"/>
  <c r="K61" i="10" a="1"/>
  <c r="K61" i="10" s="1"/>
  <c r="K64" i="10" a="1"/>
  <c r="K64" i="10" s="1"/>
  <c r="K67" i="10" a="1"/>
  <c r="K67" i="10" s="1"/>
  <c r="K70" i="10" a="1"/>
  <c r="K70" i="10" s="1"/>
  <c r="K73" i="10" a="1"/>
  <c r="K73" i="10" s="1"/>
  <c r="K76" i="10" a="1"/>
  <c r="K76" i="10" s="1"/>
  <c r="K79" i="10" a="1"/>
  <c r="K79" i="10" s="1"/>
  <c r="K82" i="10" a="1"/>
  <c r="K82" i="10" s="1"/>
  <c r="K85" i="10" a="1"/>
  <c r="K85" i="10" s="1"/>
  <c r="K88" i="10" a="1"/>
  <c r="K88" i="10" s="1"/>
  <c r="K91" i="10" a="1"/>
  <c r="K91" i="10" s="1"/>
  <c r="K94" i="10" a="1"/>
  <c r="K94" i="10" s="1"/>
  <c r="K97" i="10" a="1"/>
  <c r="K97" i="10" s="1"/>
  <c r="K100" i="10" a="1"/>
  <c r="K100" i="10" s="1"/>
  <c r="K103" i="10" a="1"/>
  <c r="K103" i="10" s="1"/>
  <c r="K106" i="10" a="1"/>
  <c r="K106" i="10" s="1"/>
  <c r="K109" i="10" a="1"/>
  <c r="K109" i="10" s="1"/>
  <c r="K112" i="10" a="1"/>
  <c r="K112" i="10" s="1"/>
  <c r="K115" i="10" a="1"/>
  <c r="K115" i="10" s="1"/>
  <c r="K118" i="10" a="1"/>
  <c r="K118" i="10" s="1"/>
  <c r="K121" i="10" a="1"/>
  <c r="K121" i="10" s="1"/>
  <c r="K124" i="10" a="1"/>
  <c r="K124" i="10" s="1"/>
  <c r="K127" i="10" a="1"/>
  <c r="K127" i="10" s="1"/>
  <c r="K130" i="10" a="1"/>
  <c r="K130" i="10" s="1"/>
  <c r="K133" i="10" a="1"/>
  <c r="K133" i="10" s="1"/>
  <c r="K136" i="10" a="1"/>
  <c r="K136" i="10" s="1"/>
  <c r="K139" i="10" a="1"/>
  <c r="K139" i="10" s="1"/>
  <c r="K142" i="10" a="1"/>
  <c r="K142" i="10" s="1"/>
  <c r="K145" i="10" a="1"/>
  <c r="K145" i="10" s="1"/>
  <c r="K148" i="10" a="1"/>
  <c r="K148" i="10" s="1"/>
  <c r="K151" i="10" a="1"/>
  <c r="K151" i="10" s="1"/>
  <c r="K154" i="10" a="1"/>
  <c r="K154" i="10" s="1"/>
  <c r="K157" i="10" a="1"/>
  <c r="K157" i="10" s="1"/>
  <c r="K160" i="10" a="1"/>
  <c r="K160" i="10" s="1"/>
  <c r="K163" i="10" a="1"/>
  <c r="K163" i="10" s="1"/>
  <c r="K166" i="10" a="1"/>
  <c r="K166" i="10" s="1"/>
  <c r="K169" i="10" a="1"/>
  <c r="K169" i="10" s="1"/>
  <c r="K172" i="10" a="1"/>
  <c r="K172" i="10" s="1"/>
  <c r="K175" i="10" a="1"/>
  <c r="K175" i="10" s="1"/>
  <c r="K178" i="10" a="1"/>
  <c r="K178" i="10" s="1"/>
  <c r="K181" i="10" a="1"/>
  <c r="K181" i="10" s="1"/>
  <c r="B52" i="11" l="1"/>
  <c r="B50" i="11"/>
  <c r="B49" i="11"/>
  <c r="B48" i="11"/>
  <c r="B47" i="11"/>
  <c r="B46" i="11"/>
  <c r="B40" i="11"/>
  <c r="B38" i="11"/>
  <c r="B37" i="11"/>
  <c r="B36" i="11"/>
  <c r="B35" i="11"/>
  <c r="B28" i="11"/>
  <c r="B26" i="11"/>
  <c r="B25" i="11"/>
  <c r="B24" i="11"/>
  <c r="B23" i="11"/>
  <c r="B22" i="11"/>
  <c r="J74" i="14" l="1"/>
  <c r="E74" i="14" a="1"/>
  <c r="E74" i="14" s="1"/>
  <c r="D74" i="14" a="1"/>
  <c r="D74" i="14" s="1"/>
  <c r="C74" i="14" a="1"/>
  <c r="C74" i="14" s="1"/>
  <c r="J73" i="14"/>
  <c r="E73" i="14" a="1"/>
  <c r="E73" i="14" s="1"/>
  <c r="D73" i="14" a="1"/>
  <c r="D73" i="14" s="1"/>
  <c r="C73" i="14" a="1"/>
  <c r="C73" i="14" s="1"/>
  <c r="J72" i="14"/>
  <c r="C72" i="14" s="1" a="1"/>
  <c r="C72" i="14" s="1"/>
  <c r="E72" i="14" a="1"/>
  <c r="E72" i="14" s="1"/>
  <c r="D72" i="14" a="1"/>
  <c r="D72" i="14" s="1"/>
  <c r="J71" i="14"/>
  <c r="C71" i="14" s="1" a="1"/>
  <c r="C71" i="14" s="1"/>
  <c r="E71" i="14" a="1"/>
  <c r="E71" i="14" s="1"/>
  <c r="D71" i="14" a="1"/>
  <c r="D71" i="14" s="1"/>
  <c r="J70" i="14"/>
  <c r="C70" i="14" s="1" a="1"/>
  <c r="C70" i="14" s="1"/>
  <c r="E70" i="14" a="1"/>
  <c r="E70" i="14" s="1"/>
  <c r="D70" i="14" a="1"/>
  <c r="D70" i="14" s="1"/>
  <c r="J68" i="14"/>
  <c r="C68" i="14" s="1" a="1"/>
  <c r="C68" i="14" s="1"/>
  <c r="E68" i="14" a="1"/>
  <c r="E68" i="14" s="1"/>
  <c r="D68" i="14" a="1"/>
  <c r="D68" i="14" s="1"/>
  <c r="J67" i="14"/>
  <c r="E67" i="14" a="1"/>
  <c r="E67" i="14" s="1"/>
  <c r="D67" i="14" a="1"/>
  <c r="D67" i="14" s="1"/>
  <c r="C67" i="14" a="1"/>
  <c r="C67" i="14" s="1"/>
  <c r="J66" i="14"/>
  <c r="C66" i="14" s="1" a="1"/>
  <c r="C66" i="14" s="1"/>
  <c r="E66" i="14" a="1"/>
  <c r="E66" i="14" s="1"/>
  <c r="D66" i="14" a="1"/>
  <c r="D66" i="14" s="1"/>
  <c r="J65" i="14"/>
  <c r="C65" i="14" s="1" a="1"/>
  <c r="C65" i="14" s="1"/>
  <c r="E65" i="14" a="1"/>
  <c r="E65" i="14" s="1"/>
  <c r="D65" i="14" a="1"/>
  <c r="D65" i="14" s="1"/>
  <c r="J64" i="14"/>
  <c r="C64" i="14" s="1" a="1"/>
  <c r="C64" i="14" s="1"/>
  <c r="E64" i="14" a="1"/>
  <c r="E64" i="14" s="1"/>
  <c r="D64" i="14" a="1"/>
  <c r="D64" i="14" s="1"/>
  <c r="J62" i="14"/>
  <c r="C62" i="14" s="1" a="1"/>
  <c r="C62" i="14" s="1"/>
  <c r="E62" i="14" a="1"/>
  <c r="E62" i="14" s="1"/>
  <c r="D62" i="14" a="1"/>
  <c r="D62" i="14" s="1"/>
  <c r="J61" i="14"/>
  <c r="C61" i="14" s="1" a="1"/>
  <c r="C61" i="14" s="1"/>
  <c r="E61" i="14" a="1"/>
  <c r="E61" i="14" s="1"/>
  <c r="D61" i="14" a="1"/>
  <c r="D61" i="14" s="1"/>
  <c r="J60" i="14"/>
  <c r="C60" i="14" s="1" a="1"/>
  <c r="C60" i="14" s="1"/>
  <c r="E60" i="14" a="1"/>
  <c r="E60" i="14" s="1"/>
  <c r="D60" i="14" a="1"/>
  <c r="D60" i="14" s="1"/>
  <c r="J59" i="14"/>
  <c r="C59" i="14" s="1" a="1"/>
  <c r="C59" i="14" s="1"/>
  <c r="E59" i="14" a="1"/>
  <c r="E59" i="14" s="1"/>
  <c r="D59" i="14" a="1"/>
  <c r="D59" i="14" s="1"/>
  <c r="J58" i="14"/>
  <c r="C58" i="14" s="1" a="1"/>
  <c r="C58" i="14" s="1"/>
  <c r="E58" i="14" a="1"/>
  <c r="E58" i="14" s="1"/>
  <c r="D58" i="14" a="1"/>
  <c r="D58" i="14" s="1"/>
  <c r="J56" i="14"/>
  <c r="C56" i="14" s="1" a="1"/>
  <c r="C56" i="14" s="1"/>
  <c r="E56" i="14" a="1"/>
  <c r="E56" i="14" s="1"/>
  <c r="D56" i="14" a="1"/>
  <c r="D56" i="14" s="1"/>
  <c r="J55" i="14"/>
  <c r="C55" i="14" s="1" a="1"/>
  <c r="C55" i="14" s="1"/>
  <c r="E55" i="14" a="1"/>
  <c r="E55" i="14" s="1"/>
  <c r="D55" i="14" a="1"/>
  <c r="D55" i="14" s="1"/>
  <c r="J54" i="14"/>
  <c r="C54" i="14" s="1" a="1"/>
  <c r="C54" i="14" s="1"/>
  <c r="E54" i="14" a="1"/>
  <c r="E54" i="14" s="1"/>
  <c r="D54" i="14" a="1"/>
  <c r="D54" i="14" s="1"/>
  <c r="J53" i="14"/>
  <c r="C53" i="14" s="1" a="1"/>
  <c r="C53" i="14" s="1"/>
  <c r="E53" i="14" a="1"/>
  <c r="E53" i="14" s="1"/>
  <c r="D53" i="14" a="1"/>
  <c r="D53" i="14" s="1"/>
  <c r="J52" i="14"/>
  <c r="C52" i="14" s="1" a="1"/>
  <c r="C52" i="14" s="1"/>
  <c r="E52" i="14" a="1"/>
  <c r="E52" i="14" s="1"/>
  <c r="D52" i="14" a="1"/>
  <c r="D52" i="14" s="1"/>
  <c r="J50" i="14"/>
  <c r="C50" i="14" s="1" a="1"/>
  <c r="C50" i="14" s="1"/>
  <c r="E50" i="14" a="1"/>
  <c r="E50" i="14" s="1"/>
  <c r="D50" i="14" a="1"/>
  <c r="D50" i="14" s="1"/>
  <c r="J49" i="14"/>
  <c r="C49" i="14" s="1" a="1"/>
  <c r="C49" i="14" s="1"/>
  <c r="E49" i="14" a="1"/>
  <c r="E49" i="14" s="1"/>
  <c r="D49" i="14" a="1"/>
  <c r="D49" i="14" s="1"/>
  <c r="J48" i="14"/>
  <c r="C48" i="14" s="1" a="1"/>
  <c r="C48" i="14" s="1"/>
  <c r="E48" i="14" a="1"/>
  <c r="E48" i="14" s="1"/>
  <c r="D48" i="14" a="1"/>
  <c r="D48" i="14" s="1"/>
  <c r="J47" i="14"/>
  <c r="C47" i="14" s="1" a="1"/>
  <c r="C47" i="14" s="1"/>
  <c r="E47" i="14" a="1"/>
  <c r="E47" i="14" s="1"/>
  <c r="D47" i="14" a="1"/>
  <c r="D47" i="14" s="1"/>
  <c r="J46" i="14"/>
  <c r="C46" i="14" s="1" a="1"/>
  <c r="C46" i="14" s="1"/>
  <c r="E46" i="14" a="1"/>
  <c r="E46" i="14" s="1"/>
  <c r="D46" i="14" a="1"/>
  <c r="D46" i="14" s="1"/>
  <c r="J44" i="14"/>
  <c r="C44" i="14" s="1" a="1"/>
  <c r="C44" i="14" s="1"/>
  <c r="E44" i="14" a="1"/>
  <c r="E44" i="14" s="1"/>
  <c r="D44" i="14" a="1"/>
  <c r="D44" i="14" s="1"/>
  <c r="J43" i="14"/>
  <c r="C43" i="14" s="1" a="1"/>
  <c r="C43" i="14" s="1"/>
  <c r="E43" i="14" a="1"/>
  <c r="E43" i="14" s="1"/>
  <c r="D43" i="14" a="1"/>
  <c r="D43" i="14" s="1"/>
  <c r="J42" i="14"/>
  <c r="C42" i="14" s="1" a="1"/>
  <c r="C42" i="14" s="1"/>
  <c r="E42" i="14" a="1"/>
  <c r="E42" i="14" s="1"/>
  <c r="D42" i="14" a="1"/>
  <c r="D42" i="14" s="1"/>
  <c r="J41" i="14"/>
  <c r="C41" i="14" s="1" a="1"/>
  <c r="C41" i="14" s="1"/>
  <c r="E41" i="14" a="1"/>
  <c r="E41" i="14" s="1"/>
  <c r="D41" i="14" a="1"/>
  <c r="D41" i="14" s="1"/>
  <c r="J40" i="14"/>
  <c r="C40" i="14" s="1" a="1"/>
  <c r="C40" i="14" s="1"/>
  <c r="E40" i="14" a="1"/>
  <c r="E40" i="14" s="1"/>
  <c r="D40" i="14" a="1"/>
  <c r="D40" i="14" s="1"/>
  <c r="J38" i="14"/>
  <c r="C38" i="14" s="1" a="1"/>
  <c r="C38" i="14" s="1"/>
  <c r="E38" i="14" a="1"/>
  <c r="E38" i="14" s="1"/>
  <c r="D38" i="14" a="1"/>
  <c r="D38" i="14" s="1"/>
  <c r="J37" i="14"/>
  <c r="C37" i="14" s="1" a="1"/>
  <c r="C37" i="14" s="1"/>
  <c r="E37" i="14" a="1"/>
  <c r="E37" i="14" s="1"/>
  <c r="D37" i="14" a="1"/>
  <c r="D37" i="14" s="1"/>
  <c r="J36" i="14"/>
  <c r="C36" i="14" s="1" a="1"/>
  <c r="C36" i="14" s="1"/>
  <c r="E36" i="14" a="1"/>
  <c r="E36" i="14" s="1"/>
  <c r="D36" i="14" a="1"/>
  <c r="D36" i="14" s="1"/>
  <c r="J35" i="14"/>
  <c r="C35" i="14" s="1" a="1"/>
  <c r="C35" i="14" s="1"/>
  <c r="E35" i="14" a="1"/>
  <c r="E35" i="14" s="1"/>
  <c r="D35" i="14" a="1"/>
  <c r="D35" i="14" s="1"/>
  <c r="J34" i="14"/>
  <c r="C34" i="14" s="1" a="1"/>
  <c r="C34" i="14" s="1"/>
  <c r="E34" i="14" a="1"/>
  <c r="E34" i="14" s="1"/>
  <c r="D34" i="14" a="1"/>
  <c r="D34" i="14" s="1"/>
  <c r="J32" i="14"/>
  <c r="C32" i="14" s="1" a="1"/>
  <c r="C32" i="14" s="1"/>
  <c r="E32" i="14" a="1"/>
  <c r="E32" i="14" s="1"/>
  <c r="D32" i="14" a="1"/>
  <c r="D32" i="14" s="1"/>
  <c r="J31" i="14"/>
  <c r="C31" i="14" s="1" a="1"/>
  <c r="C31" i="14" s="1"/>
  <c r="E31" i="14" a="1"/>
  <c r="E31" i="14" s="1"/>
  <c r="D31" i="14" a="1"/>
  <c r="D31" i="14" s="1"/>
  <c r="J30" i="14"/>
  <c r="C30" i="14" s="1" a="1"/>
  <c r="C30" i="14" s="1"/>
  <c r="E30" i="14" a="1"/>
  <c r="E30" i="14" s="1"/>
  <c r="D30" i="14" a="1"/>
  <c r="D30" i="14" s="1"/>
  <c r="J29" i="14"/>
  <c r="C29" i="14" s="1" a="1"/>
  <c r="C29" i="14" s="1"/>
  <c r="E29" i="14" a="1"/>
  <c r="E29" i="14" s="1"/>
  <c r="D29" i="14" a="1"/>
  <c r="D29" i="14" s="1"/>
  <c r="J28" i="14"/>
  <c r="C28" i="14" s="1" a="1"/>
  <c r="C28" i="14" s="1"/>
  <c r="E28" i="14" a="1"/>
  <c r="E28" i="14" s="1"/>
  <c r="D28" i="14" a="1"/>
  <c r="D28" i="14" s="1"/>
  <c r="J26" i="14"/>
  <c r="C26" i="14" s="1" a="1"/>
  <c r="C26" i="14" s="1"/>
  <c r="E26" i="14" a="1"/>
  <c r="E26" i="14" s="1"/>
  <c r="D26" i="14" a="1"/>
  <c r="D26" i="14" s="1"/>
  <c r="J25" i="14"/>
  <c r="C25" i="14" s="1" a="1"/>
  <c r="C25" i="14" s="1"/>
  <c r="E25" i="14" a="1"/>
  <c r="E25" i="14" s="1"/>
  <c r="D25" i="14" a="1"/>
  <c r="D25" i="14" s="1"/>
  <c r="J24" i="14"/>
  <c r="C24" i="14" s="1" a="1"/>
  <c r="C24" i="14" s="1"/>
  <c r="E24" i="14" a="1"/>
  <c r="E24" i="14" s="1"/>
  <c r="D24" i="14" a="1"/>
  <c r="D24" i="14" s="1"/>
  <c r="J23" i="14"/>
  <c r="C23" i="14" s="1" a="1"/>
  <c r="C23" i="14" s="1"/>
  <c r="E23" i="14" a="1"/>
  <c r="E23" i="14" s="1"/>
  <c r="D23" i="14" a="1"/>
  <c r="D23" i="14" s="1"/>
  <c r="J22" i="14"/>
  <c r="C22" i="14" s="1" a="1"/>
  <c r="C22" i="14" s="1"/>
  <c r="E22" i="14" a="1"/>
  <c r="E22" i="14" s="1"/>
  <c r="D22" i="14" a="1"/>
  <c r="D22" i="14" s="1"/>
  <c r="J20" i="14"/>
  <c r="C20" i="14" s="1" a="1"/>
  <c r="C20" i="14" s="1"/>
  <c r="E20" i="14" a="1"/>
  <c r="E20" i="14" s="1"/>
  <c r="D20" i="14" a="1"/>
  <c r="D20" i="14" s="1"/>
  <c r="J19" i="14"/>
  <c r="C19" i="14" s="1" a="1"/>
  <c r="C19" i="14" s="1"/>
  <c r="E19" i="14" a="1"/>
  <c r="E19" i="14" s="1"/>
  <c r="D19" i="14" a="1"/>
  <c r="D19" i="14" s="1"/>
  <c r="J18" i="14"/>
  <c r="C18" i="14" s="1" a="1"/>
  <c r="C18" i="14" s="1"/>
  <c r="E18" i="14" a="1"/>
  <c r="E18" i="14" s="1"/>
  <c r="D18" i="14" a="1"/>
  <c r="D18" i="14" s="1"/>
  <c r="J17" i="14"/>
  <c r="C17" i="14" s="1" a="1"/>
  <c r="C17" i="14" s="1"/>
  <c r="E17" i="14" a="1"/>
  <c r="E17" i="14" s="1"/>
  <c r="D17" i="14" a="1"/>
  <c r="D17" i="14" s="1"/>
  <c r="J16" i="14"/>
  <c r="C16" i="14" s="1" a="1"/>
  <c r="C16" i="14" s="1"/>
  <c r="E16" i="14" a="1"/>
  <c r="E16" i="14" s="1"/>
  <c r="D16" i="14" a="1"/>
  <c r="D16" i="14" s="1"/>
  <c r="J14" i="14"/>
  <c r="C14" i="14" s="1" a="1"/>
  <c r="C14" i="14" s="1"/>
  <c r="E14" i="14" a="1"/>
  <c r="E14" i="14" s="1"/>
  <c r="D14" i="14" a="1"/>
  <c r="D14" i="14" s="1"/>
  <c r="J13" i="14"/>
  <c r="C13" i="14" s="1" a="1"/>
  <c r="C13" i="14" s="1"/>
  <c r="E13" i="14" a="1"/>
  <c r="E13" i="14" s="1"/>
  <c r="D13" i="14" a="1"/>
  <c r="D13" i="14" s="1"/>
  <c r="J12" i="14"/>
  <c r="C12" i="14" s="1" a="1"/>
  <c r="C12" i="14" s="1"/>
  <c r="E12" i="14" a="1"/>
  <c r="E12" i="14" s="1"/>
  <c r="D12" i="14" a="1"/>
  <c r="D12" i="14" s="1"/>
  <c r="J11" i="14"/>
  <c r="C11" i="14" s="1" a="1"/>
  <c r="C11" i="14" s="1"/>
  <c r="E11" i="14" a="1"/>
  <c r="E11" i="14" s="1"/>
  <c r="D11" i="14" a="1"/>
  <c r="D11" i="14" s="1"/>
  <c r="J10" i="14"/>
  <c r="C10" i="14" s="1" a="1"/>
  <c r="C10" i="14" s="1"/>
  <c r="E10" i="14" a="1"/>
  <c r="E10" i="14" s="1"/>
  <c r="D10" i="14" a="1"/>
  <c r="D10" i="14" s="1"/>
  <c r="J8" i="14"/>
  <c r="C8" i="14" s="1" a="1"/>
  <c r="C8" i="14" s="1"/>
  <c r="C8" i="7" s="1"/>
  <c r="E8" i="14" a="1"/>
  <c r="E8" i="14" s="1"/>
  <c r="D8" i="14" a="1"/>
  <c r="D8" i="14" s="1"/>
  <c r="J7" i="14"/>
  <c r="C7" i="14" s="1" a="1"/>
  <c r="C7" i="14" s="1"/>
  <c r="C7" i="7" s="1"/>
  <c r="E7" i="14" a="1"/>
  <c r="E7" i="14" s="1"/>
  <c r="D7" i="14" a="1"/>
  <c r="D7" i="14" s="1"/>
  <c r="J6" i="14"/>
  <c r="C6" i="14" s="1" a="1"/>
  <c r="C6" i="14" s="1"/>
  <c r="C6" i="7" s="1"/>
  <c r="E6" i="14" a="1"/>
  <c r="E6" i="14" s="1"/>
  <c r="D6" i="14" a="1"/>
  <c r="D6" i="14" s="1"/>
  <c r="J5" i="14"/>
  <c r="C5" i="14" s="1" a="1"/>
  <c r="C5" i="14" s="1"/>
  <c r="C5" i="7" s="1"/>
  <c r="E5" i="14" a="1"/>
  <c r="E5" i="14" s="1"/>
  <c r="D5" i="14" a="1"/>
  <c r="D5" i="14" s="1"/>
  <c r="J4" i="14"/>
  <c r="C4" i="14" s="1" a="1"/>
  <c r="C4" i="14" s="1"/>
  <c r="C4" i="7" s="1"/>
  <c r="E4" i="14" a="1"/>
  <c r="E4" i="14" s="1"/>
  <c r="D4" i="14" a="1"/>
  <c r="D4" i="14" s="1"/>
  <c r="J74" i="13"/>
  <c r="C74" i="13" s="1" a="1"/>
  <c r="C74" i="13" s="1"/>
  <c r="E74" i="13" a="1"/>
  <c r="E74" i="13" s="1"/>
  <c r="D74" i="13" a="1"/>
  <c r="D74" i="13" s="1"/>
  <c r="J73" i="13"/>
  <c r="C73" i="13" s="1" a="1"/>
  <c r="C73" i="13" s="1"/>
  <c r="E73" i="13" a="1"/>
  <c r="E73" i="13" s="1"/>
  <c r="D73" i="13" a="1"/>
  <c r="D73" i="13" s="1"/>
  <c r="J72" i="13"/>
  <c r="C72" i="13" s="1" a="1"/>
  <c r="C72" i="13" s="1"/>
  <c r="E72" i="13" a="1"/>
  <c r="E72" i="13" s="1"/>
  <c r="D72" i="13" a="1"/>
  <c r="D72" i="13" s="1"/>
  <c r="J71" i="13"/>
  <c r="C71" i="13" s="1" a="1"/>
  <c r="C71" i="13" s="1"/>
  <c r="E71" i="13" a="1"/>
  <c r="E71" i="13" s="1"/>
  <c r="D71" i="13" a="1"/>
  <c r="D71" i="13" s="1"/>
  <c r="J70" i="13"/>
  <c r="C70" i="13" s="1" a="1"/>
  <c r="C70" i="13" s="1"/>
  <c r="E70" i="13" a="1"/>
  <c r="E70" i="13" s="1"/>
  <c r="D70" i="13" a="1"/>
  <c r="D70" i="13" s="1"/>
  <c r="J68" i="13"/>
  <c r="C68" i="13" s="1" a="1"/>
  <c r="C68" i="13" s="1"/>
  <c r="E68" i="13" a="1"/>
  <c r="E68" i="13" s="1"/>
  <c r="D68" i="13" a="1"/>
  <c r="D68" i="13" s="1"/>
  <c r="J67" i="13"/>
  <c r="C67" i="13" s="1" a="1"/>
  <c r="C67" i="13" s="1"/>
  <c r="E67" i="13" a="1"/>
  <c r="E67" i="13" s="1"/>
  <c r="D67" i="13" a="1"/>
  <c r="D67" i="13" s="1"/>
  <c r="J66" i="13"/>
  <c r="C66" i="13" s="1" a="1"/>
  <c r="C66" i="13" s="1"/>
  <c r="E66" i="13" a="1"/>
  <c r="E66" i="13" s="1"/>
  <c r="D66" i="13" a="1"/>
  <c r="D66" i="13" s="1"/>
  <c r="J65" i="13"/>
  <c r="C65" i="13" s="1" a="1"/>
  <c r="C65" i="13" s="1"/>
  <c r="E65" i="13" a="1"/>
  <c r="E65" i="13" s="1"/>
  <c r="D65" i="13" a="1"/>
  <c r="D65" i="13" s="1"/>
  <c r="J64" i="13"/>
  <c r="C64" i="13" s="1" a="1"/>
  <c r="C64" i="13" s="1"/>
  <c r="E64" i="13" a="1"/>
  <c r="E64" i="13" s="1"/>
  <c r="D64" i="13" a="1"/>
  <c r="D64" i="13" s="1"/>
  <c r="J62" i="13"/>
  <c r="C62" i="13" s="1" a="1"/>
  <c r="C62" i="13" s="1"/>
  <c r="E62" i="13" a="1"/>
  <c r="E62" i="13" s="1"/>
  <c r="D62" i="13" a="1"/>
  <c r="D62" i="13" s="1"/>
  <c r="J61" i="13"/>
  <c r="C61" i="13" s="1" a="1"/>
  <c r="C61" i="13" s="1"/>
  <c r="E61" i="13" a="1"/>
  <c r="E61" i="13" s="1"/>
  <c r="D61" i="13" a="1"/>
  <c r="D61" i="13" s="1"/>
  <c r="J60" i="13"/>
  <c r="C60" i="13" s="1" a="1"/>
  <c r="C60" i="13" s="1"/>
  <c r="E60" i="13" a="1"/>
  <c r="E60" i="13" s="1"/>
  <c r="D60" i="13" a="1"/>
  <c r="D60" i="13" s="1"/>
  <c r="J59" i="13"/>
  <c r="C59" i="13" s="1" a="1"/>
  <c r="C59" i="13" s="1"/>
  <c r="E59" i="13" a="1"/>
  <c r="E59" i="13" s="1"/>
  <c r="D59" i="13" a="1"/>
  <c r="D59" i="13" s="1"/>
  <c r="J58" i="13"/>
  <c r="C58" i="13" s="1" a="1"/>
  <c r="C58" i="13" s="1"/>
  <c r="E58" i="13" a="1"/>
  <c r="E58" i="13" s="1"/>
  <c r="D58" i="13" a="1"/>
  <c r="D58" i="13" s="1"/>
  <c r="J56" i="13"/>
  <c r="C56" i="13" s="1" a="1"/>
  <c r="C56" i="13" s="1"/>
  <c r="E56" i="13" a="1"/>
  <c r="E56" i="13" s="1"/>
  <c r="D56" i="13" a="1"/>
  <c r="D56" i="13" s="1"/>
  <c r="J55" i="13"/>
  <c r="C55" i="13" s="1" a="1"/>
  <c r="C55" i="13" s="1"/>
  <c r="E55" i="13" a="1"/>
  <c r="E55" i="13" s="1"/>
  <c r="D55" i="13" a="1"/>
  <c r="D55" i="13" s="1"/>
  <c r="J54" i="13"/>
  <c r="C54" i="13" s="1" a="1"/>
  <c r="C54" i="13" s="1"/>
  <c r="E54" i="13" a="1"/>
  <c r="E54" i="13" s="1"/>
  <c r="D54" i="13" a="1"/>
  <c r="D54" i="13" s="1"/>
  <c r="J53" i="13"/>
  <c r="C53" i="13" s="1" a="1"/>
  <c r="C53" i="13" s="1"/>
  <c r="E53" i="13" a="1"/>
  <c r="E53" i="13" s="1"/>
  <c r="D53" i="13" a="1"/>
  <c r="D53" i="13" s="1"/>
  <c r="J52" i="13"/>
  <c r="C52" i="13" s="1" a="1"/>
  <c r="C52" i="13" s="1"/>
  <c r="E52" i="13" a="1"/>
  <c r="E52" i="13" s="1"/>
  <c r="D52" i="13" a="1"/>
  <c r="D52" i="13" s="1"/>
  <c r="J50" i="13"/>
  <c r="C50" i="13" s="1" a="1"/>
  <c r="C50" i="13" s="1"/>
  <c r="E50" i="13" a="1"/>
  <c r="E50" i="13" s="1"/>
  <c r="D50" i="13" a="1"/>
  <c r="D50" i="13" s="1"/>
  <c r="J49" i="13"/>
  <c r="C49" i="13" s="1" a="1"/>
  <c r="C49" i="13" s="1"/>
  <c r="E49" i="13" a="1"/>
  <c r="E49" i="13" s="1"/>
  <c r="D49" i="13" a="1"/>
  <c r="D49" i="13" s="1"/>
  <c r="J48" i="13"/>
  <c r="C48" i="13" s="1" a="1"/>
  <c r="C48" i="13" s="1"/>
  <c r="E48" i="13" a="1"/>
  <c r="E48" i="13" s="1"/>
  <c r="D48" i="13" a="1"/>
  <c r="D48" i="13" s="1"/>
  <c r="J47" i="13"/>
  <c r="C47" i="13" s="1" a="1"/>
  <c r="C47" i="13" s="1"/>
  <c r="E47" i="13" a="1"/>
  <c r="E47" i="13" s="1"/>
  <c r="D47" i="13" a="1"/>
  <c r="D47" i="13" s="1"/>
  <c r="J46" i="13"/>
  <c r="C46" i="13" s="1" a="1"/>
  <c r="C46" i="13" s="1"/>
  <c r="E46" i="13" a="1"/>
  <c r="E46" i="13" s="1"/>
  <c r="D46" i="13" a="1"/>
  <c r="D46" i="13" s="1"/>
  <c r="J44" i="13"/>
  <c r="C44" i="13" s="1" a="1"/>
  <c r="C44" i="13" s="1"/>
  <c r="E44" i="13" a="1"/>
  <c r="E44" i="13" s="1"/>
  <c r="D44" i="13" a="1"/>
  <c r="D44" i="13" s="1"/>
  <c r="J43" i="13"/>
  <c r="C43" i="13" s="1" a="1"/>
  <c r="C43" i="13" s="1"/>
  <c r="E43" i="13" a="1"/>
  <c r="E43" i="13" s="1"/>
  <c r="D43" i="13" a="1"/>
  <c r="D43" i="13" s="1"/>
  <c r="J42" i="13"/>
  <c r="C42" i="13" s="1" a="1"/>
  <c r="C42" i="13" s="1"/>
  <c r="E42" i="13" a="1"/>
  <c r="E42" i="13" s="1"/>
  <c r="D42" i="13" a="1"/>
  <c r="D42" i="13" s="1"/>
  <c r="J41" i="13"/>
  <c r="C41" i="13" s="1" a="1"/>
  <c r="C41" i="13" s="1"/>
  <c r="E41" i="13" a="1"/>
  <c r="E41" i="13" s="1"/>
  <c r="D41" i="13" a="1"/>
  <c r="D41" i="13" s="1"/>
  <c r="J40" i="13"/>
  <c r="C40" i="13" s="1" a="1"/>
  <c r="C40" i="13" s="1"/>
  <c r="E40" i="13" a="1"/>
  <c r="E40" i="13" s="1"/>
  <c r="D40" i="13" a="1"/>
  <c r="D40" i="13" s="1"/>
  <c r="J38" i="13"/>
  <c r="C38" i="13" s="1" a="1"/>
  <c r="C38" i="13" s="1"/>
  <c r="E38" i="13" a="1"/>
  <c r="E38" i="13" s="1"/>
  <c r="D38" i="13" a="1"/>
  <c r="D38" i="13" s="1"/>
  <c r="J37" i="13"/>
  <c r="C37" i="13" s="1" a="1"/>
  <c r="C37" i="13" s="1"/>
  <c r="E37" i="13" a="1"/>
  <c r="E37" i="13" s="1"/>
  <c r="D37" i="13" a="1"/>
  <c r="D37" i="13" s="1"/>
  <c r="J36" i="13"/>
  <c r="C36" i="13" s="1" a="1"/>
  <c r="C36" i="13" s="1"/>
  <c r="E36" i="13" a="1"/>
  <c r="E36" i="13" s="1"/>
  <c r="D36" i="13" a="1"/>
  <c r="D36" i="13" s="1"/>
  <c r="J35" i="13"/>
  <c r="C35" i="13" s="1" a="1"/>
  <c r="C35" i="13" s="1"/>
  <c r="E35" i="13" a="1"/>
  <c r="E35" i="13" s="1"/>
  <c r="D35" i="13" a="1"/>
  <c r="D35" i="13" s="1"/>
  <c r="J34" i="13"/>
  <c r="C34" i="13" s="1" a="1"/>
  <c r="C34" i="13" s="1"/>
  <c r="E34" i="13" a="1"/>
  <c r="E34" i="13" s="1"/>
  <c r="D34" i="13" a="1"/>
  <c r="D34" i="13" s="1"/>
  <c r="J32" i="13"/>
  <c r="C32" i="13" s="1" a="1"/>
  <c r="C32" i="13" s="1"/>
  <c r="E32" i="13" a="1"/>
  <c r="E32" i="13" s="1"/>
  <c r="D32" i="13" a="1"/>
  <c r="D32" i="13" s="1"/>
  <c r="J31" i="13"/>
  <c r="C31" i="13" s="1" a="1"/>
  <c r="C31" i="13" s="1"/>
  <c r="E31" i="13" a="1"/>
  <c r="E31" i="13" s="1"/>
  <c r="D31" i="13" a="1"/>
  <c r="D31" i="13" s="1"/>
  <c r="J30" i="13"/>
  <c r="C30" i="13" s="1" a="1"/>
  <c r="C30" i="13" s="1"/>
  <c r="E30" i="13" a="1"/>
  <c r="E30" i="13" s="1"/>
  <c r="D30" i="13" a="1"/>
  <c r="D30" i="13" s="1"/>
  <c r="J29" i="13"/>
  <c r="C29" i="13" s="1" a="1"/>
  <c r="C29" i="13" s="1"/>
  <c r="E29" i="13" a="1"/>
  <c r="E29" i="13" s="1"/>
  <c r="D29" i="13" a="1"/>
  <c r="D29" i="13" s="1"/>
  <c r="J28" i="13"/>
  <c r="C28" i="13" s="1" a="1"/>
  <c r="C28" i="13" s="1"/>
  <c r="E28" i="13" a="1"/>
  <c r="E28" i="13" s="1"/>
  <c r="D28" i="13" a="1"/>
  <c r="D28" i="13" s="1"/>
  <c r="J26" i="13"/>
  <c r="C26" i="13" s="1" a="1"/>
  <c r="C26" i="13" s="1"/>
  <c r="E26" i="13" a="1"/>
  <c r="E26" i="13" s="1"/>
  <c r="D26" i="13" a="1"/>
  <c r="D26" i="13" s="1"/>
  <c r="J25" i="13"/>
  <c r="C25" i="13" s="1" a="1"/>
  <c r="C25" i="13" s="1"/>
  <c r="E25" i="13" a="1"/>
  <c r="E25" i="13" s="1"/>
  <c r="D25" i="13" a="1"/>
  <c r="D25" i="13" s="1"/>
  <c r="J24" i="13"/>
  <c r="C24" i="13" s="1" a="1"/>
  <c r="C24" i="13" s="1"/>
  <c r="E24" i="13" a="1"/>
  <c r="E24" i="13" s="1"/>
  <c r="D24" i="13" a="1"/>
  <c r="D24" i="13" s="1"/>
  <c r="J23" i="13"/>
  <c r="C23" i="13" s="1" a="1"/>
  <c r="C23" i="13" s="1"/>
  <c r="E23" i="13" a="1"/>
  <c r="E23" i="13" s="1"/>
  <c r="D23" i="13" a="1"/>
  <c r="D23" i="13" s="1"/>
  <c r="J22" i="13"/>
  <c r="C22" i="13" s="1" a="1"/>
  <c r="C22" i="13" s="1"/>
  <c r="E22" i="13" a="1"/>
  <c r="E22" i="13" s="1"/>
  <c r="D22" i="13" a="1"/>
  <c r="D22" i="13" s="1"/>
  <c r="J20" i="13"/>
  <c r="C20" i="13" s="1" a="1"/>
  <c r="C20" i="13" s="1"/>
  <c r="E20" i="13" a="1"/>
  <c r="E20" i="13" s="1"/>
  <c r="D20" i="13" a="1"/>
  <c r="D20" i="13" s="1"/>
  <c r="J19" i="13"/>
  <c r="C19" i="13" s="1" a="1"/>
  <c r="C19" i="13" s="1"/>
  <c r="E19" i="13" a="1"/>
  <c r="E19" i="13" s="1"/>
  <c r="D19" i="13" a="1"/>
  <c r="D19" i="13" s="1"/>
  <c r="J18" i="13"/>
  <c r="C18" i="13" s="1" a="1"/>
  <c r="C18" i="13" s="1"/>
  <c r="E18" i="13" a="1"/>
  <c r="E18" i="13" s="1"/>
  <c r="D18" i="13" a="1"/>
  <c r="D18" i="13" s="1"/>
  <c r="J17" i="13"/>
  <c r="C17" i="13" s="1" a="1"/>
  <c r="C17" i="13" s="1"/>
  <c r="E17" i="13" a="1"/>
  <c r="E17" i="13" s="1"/>
  <c r="D17" i="13" a="1"/>
  <c r="D17" i="13" s="1"/>
  <c r="J16" i="13"/>
  <c r="C16" i="13" s="1" a="1"/>
  <c r="C16" i="13" s="1"/>
  <c r="E16" i="13" a="1"/>
  <c r="E16" i="13" s="1"/>
  <c r="D16" i="13" a="1"/>
  <c r="D16" i="13" s="1"/>
  <c r="J14" i="13"/>
  <c r="C14" i="13" s="1" a="1"/>
  <c r="C14" i="13" s="1"/>
  <c r="E14" i="13" a="1"/>
  <c r="E14" i="13" s="1"/>
  <c r="D14" i="13" a="1"/>
  <c r="D14" i="13" s="1"/>
  <c r="J13" i="13"/>
  <c r="C13" i="13" s="1" a="1"/>
  <c r="C13" i="13" s="1"/>
  <c r="E13" i="13" a="1"/>
  <c r="E13" i="13" s="1"/>
  <c r="D13" i="13" a="1"/>
  <c r="D13" i="13" s="1"/>
  <c r="J12" i="13"/>
  <c r="C12" i="13" s="1" a="1"/>
  <c r="C12" i="13" s="1"/>
  <c r="E12" i="13" a="1"/>
  <c r="E12" i="13" s="1"/>
  <c r="D12" i="13" a="1"/>
  <c r="D12" i="13" s="1"/>
  <c r="J11" i="13"/>
  <c r="C11" i="13" s="1" a="1"/>
  <c r="C11" i="13" s="1"/>
  <c r="E11" i="13" a="1"/>
  <c r="E11" i="13" s="1"/>
  <c r="D11" i="13" a="1"/>
  <c r="D11" i="13" s="1"/>
  <c r="J10" i="13"/>
  <c r="C10" i="13" s="1" a="1"/>
  <c r="C10" i="13" s="1"/>
  <c r="E10" i="13" a="1"/>
  <c r="E10" i="13" s="1"/>
  <c r="D10" i="13" a="1"/>
  <c r="D10" i="13" s="1"/>
  <c r="J8" i="13"/>
  <c r="C8" i="13" s="1" a="1"/>
  <c r="C8" i="13" s="1"/>
  <c r="C8" i="6" s="1"/>
  <c r="E8" i="13" a="1"/>
  <c r="E8" i="13" s="1"/>
  <c r="D8" i="13" a="1"/>
  <c r="D8" i="13" s="1"/>
  <c r="J7" i="13"/>
  <c r="C7" i="13" s="1" a="1"/>
  <c r="C7" i="13" s="1"/>
  <c r="C7" i="6" s="1"/>
  <c r="E7" i="13" a="1"/>
  <c r="E7" i="13" s="1"/>
  <c r="D7" i="13" a="1"/>
  <c r="D7" i="13" s="1"/>
  <c r="J6" i="13"/>
  <c r="C6" i="13" s="1" a="1"/>
  <c r="C6" i="13" s="1"/>
  <c r="C6" i="6" s="1"/>
  <c r="E6" i="13" a="1"/>
  <c r="E6" i="13" s="1"/>
  <c r="D6" i="13" a="1"/>
  <c r="D6" i="13" s="1"/>
  <c r="J5" i="13"/>
  <c r="C5" i="13" s="1" a="1"/>
  <c r="C5" i="13" s="1"/>
  <c r="C5" i="6" s="1"/>
  <c r="E5" i="13" a="1"/>
  <c r="E5" i="13" s="1"/>
  <c r="D5" i="13" a="1"/>
  <c r="D5" i="13" s="1"/>
  <c r="J4" i="13"/>
  <c r="C4" i="13" s="1" a="1"/>
  <c r="C4" i="13" s="1"/>
  <c r="E4" i="13" a="1"/>
  <c r="E4" i="13" s="1"/>
  <c r="D4" i="13" a="1"/>
  <c r="D4" i="13" s="1"/>
  <c r="C21" i="13" l="1"/>
  <c r="C45" i="13"/>
  <c r="C69" i="13"/>
  <c r="C57" i="13"/>
  <c r="C27" i="13"/>
  <c r="C51" i="13"/>
  <c r="C75" i="13"/>
  <c r="C15" i="13"/>
  <c r="C39" i="13"/>
  <c r="C63" i="13"/>
  <c r="C4" i="6"/>
  <c r="D5" i="10" s="1"/>
  <c r="C9" i="13"/>
  <c r="C33" i="13"/>
  <c r="C11" i="7"/>
  <c r="C10" i="7"/>
  <c r="C13" i="7"/>
  <c r="C12" i="7"/>
  <c r="C10" i="6"/>
  <c r="C13" i="6"/>
  <c r="C12" i="6"/>
  <c r="C11" i="6"/>
  <c r="C17" i="7"/>
  <c r="C22" i="7"/>
  <c r="C31" i="7"/>
  <c r="C66" i="7"/>
  <c r="C9" i="7"/>
  <c r="C16" i="7"/>
  <c r="C29" i="7"/>
  <c r="C46" i="7"/>
  <c r="F48" i="14"/>
  <c r="C23" i="7"/>
  <c r="C28" i="7"/>
  <c r="C18" i="7"/>
  <c r="G37" i="14"/>
  <c r="C17" i="6"/>
  <c r="C41" i="6"/>
  <c r="C22" i="6"/>
  <c r="C40" i="6"/>
  <c r="C16" i="6"/>
  <c r="C43" i="6"/>
  <c r="C18" i="6"/>
  <c r="C23" i="6"/>
  <c r="C28" i="6"/>
  <c r="C48" i="6"/>
  <c r="C73" i="6"/>
  <c r="C38" i="6"/>
  <c r="F37" i="13"/>
  <c r="C52" i="6"/>
  <c r="G67" i="13"/>
  <c r="F44" i="13"/>
  <c r="G37" i="13"/>
  <c r="G48" i="14"/>
  <c r="G32" i="14"/>
  <c r="G55" i="13"/>
  <c r="G30" i="14"/>
  <c r="G43" i="14"/>
  <c r="G60" i="14"/>
  <c r="F68" i="13"/>
  <c r="F61" i="14"/>
  <c r="F64" i="13"/>
  <c r="G22" i="14"/>
  <c r="G4" i="14"/>
  <c r="G16" i="14"/>
  <c r="G61" i="13"/>
  <c r="G61" i="14"/>
  <c r="G10" i="14"/>
  <c r="G20" i="14"/>
  <c r="G35" i="14"/>
  <c r="G8" i="14"/>
  <c r="G14" i="14"/>
  <c r="G73" i="13"/>
  <c r="G42" i="14"/>
  <c r="G49" i="14"/>
  <c r="G55" i="14"/>
  <c r="G67" i="14"/>
  <c r="G73" i="14"/>
  <c r="G49" i="13"/>
  <c r="G66" i="14"/>
  <c r="G43" i="13"/>
  <c r="F30" i="14"/>
  <c r="F55" i="14"/>
  <c r="F60" i="14"/>
  <c r="F72" i="14"/>
  <c r="F56" i="13"/>
  <c r="F4" i="14"/>
  <c r="F8" i="14"/>
  <c r="F10" i="14"/>
  <c r="F14" i="14"/>
  <c r="F16" i="14"/>
  <c r="F20" i="14"/>
  <c r="F22" i="14"/>
  <c r="F35" i="14"/>
  <c r="F58" i="13"/>
  <c r="F62" i="13"/>
  <c r="F31" i="14"/>
  <c r="F49" i="14"/>
  <c r="F54" i="14"/>
  <c r="G5" i="14"/>
  <c r="F5" i="14"/>
  <c r="G18" i="14"/>
  <c r="F18" i="14"/>
  <c r="G23" i="14"/>
  <c r="F23" i="14"/>
  <c r="C26" i="7"/>
  <c r="G40" i="14"/>
  <c r="F40" i="14"/>
  <c r="F25" i="14"/>
  <c r="G25" i="14"/>
  <c r="F26" i="14"/>
  <c r="G26" i="14"/>
  <c r="G38" i="14"/>
  <c r="F38" i="14"/>
  <c r="G6" i="14"/>
  <c r="F6" i="14"/>
  <c r="G11" i="14"/>
  <c r="F11" i="14"/>
  <c r="C14" i="7"/>
  <c r="G24" i="14"/>
  <c r="F24" i="14"/>
  <c r="G29" i="14"/>
  <c r="F29" i="14"/>
  <c r="C32" i="7"/>
  <c r="F28" i="14"/>
  <c r="G28" i="14"/>
  <c r="G36" i="14"/>
  <c r="F36" i="14"/>
  <c r="G12" i="14"/>
  <c r="F12" i="14"/>
  <c r="G17" i="14"/>
  <c r="F17" i="14"/>
  <c r="C20" i="7"/>
  <c r="G7" i="14"/>
  <c r="F7" i="14"/>
  <c r="F13" i="14"/>
  <c r="G13" i="14"/>
  <c r="G19" i="14"/>
  <c r="F19" i="14"/>
  <c r="C36" i="7"/>
  <c r="G34" i="14"/>
  <c r="G50" i="14"/>
  <c r="F50" i="14"/>
  <c r="G53" i="14"/>
  <c r="F53" i="14"/>
  <c r="C59" i="7"/>
  <c r="G64" i="14"/>
  <c r="F64" i="14"/>
  <c r="G31" i="14"/>
  <c r="F41" i="14"/>
  <c r="G44" i="14"/>
  <c r="F44" i="14"/>
  <c r="G47" i="14"/>
  <c r="F47" i="14"/>
  <c r="C62" i="7"/>
  <c r="G58" i="14"/>
  <c r="F58" i="14"/>
  <c r="G68" i="14"/>
  <c r="F68" i="14"/>
  <c r="G71" i="14"/>
  <c r="F71" i="14"/>
  <c r="F37" i="14"/>
  <c r="G41" i="14"/>
  <c r="F43" i="14"/>
  <c r="C49" i="7"/>
  <c r="G52" i="14"/>
  <c r="F52" i="14"/>
  <c r="G54" i="14"/>
  <c r="G62" i="14"/>
  <c r="F62" i="14"/>
  <c r="G65" i="14"/>
  <c r="F65" i="14"/>
  <c r="F67" i="14"/>
  <c r="G72" i="14"/>
  <c r="G74" i="14"/>
  <c r="F74" i="14"/>
  <c r="F32" i="14"/>
  <c r="F34" i="14"/>
  <c r="F42" i="14"/>
  <c r="C50" i="7"/>
  <c r="G46" i="14"/>
  <c r="F46" i="14"/>
  <c r="G56" i="14"/>
  <c r="F56" i="14"/>
  <c r="G59" i="14"/>
  <c r="F59" i="14"/>
  <c r="F66" i="14"/>
  <c r="C74" i="7"/>
  <c r="G70" i="14"/>
  <c r="F70" i="14"/>
  <c r="F73" i="14"/>
  <c r="G12" i="13"/>
  <c r="F12" i="13"/>
  <c r="F6" i="13"/>
  <c r="G6" i="13"/>
  <c r="F31" i="13"/>
  <c r="G31" i="13"/>
  <c r="F8" i="13"/>
  <c r="G8" i="13"/>
  <c r="C20" i="6"/>
  <c r="F16" i="13"/>
  <c r="G16" i="13"/>
  <c r="G23" i="13"/>
  <c r="F23" i="13"/>
  <c r="G24" i="13"/>
  <c r="F24" i="13"/>
  <c r="F25" i="13"/>
  <c r="G25" i="13"/>
  <c r="G32" i="13"/>
  <c r="F32" i="13"/>
  <c r="G54" i="13"/>
  <c r="F54" i="13"/>
  <c r="G5" i="13"/>
  <c r="F5" i="13"/>
  <c r="G7" i="13"/>
  <c r="F7" i="13"/>
  <c r="G14" i="13"/>
  <c r="F14" i="13"/>
  <c r="C26" i="6"/>
  <c r="G22" i="13"/>
  <c r="G27" i="13" s="1"/>
  <c r="F22" i="13"/>
  <c r="G29" i="13"/>
  <c r="F29" i="13"/>
  <c r="F10" i="13"/>
  <c r="C14" i="6"/>
  <c r="G10" i="13"/>
  <c r="G17" i="13"/>
  <c r="F17" i="13"/>
  <c r="G18" i="13"/>
  <c r="F18" i="13"/>
  <c r="F19" i="13"/>
  <c r="G19" i="13"/>
  <c r="G26" i="13"/>
  <c r="F26" i="13"/>
  <c r="F35" i="13"/>
  <c r="G35" i="13"/>
  <c r="F38" i="13"/>
  <c r="F41" i="13"/>
  <c r="G41" i="13"/>
  <c r="G42" i="13"/>
  <c r="F42" i="13"/>
  <c r="G48" i="13"/>
  <c r="F48" i="13"/>
  <c r="F4" i="13"/>
  <c r="G4" i="13"/>
  <c r="G11" i="13"/>
  <c r="F11" i="13"/>
  <c r="F13" i="13"/>
  <c r="G13" i="13"/>
  <c r="G20" i="13"/>
  <c r="F20" i="13"/>
  <c r="C32" i="6"/>
  <c r="G28" i="13"/>
  <c r="F28" i="13"/>
  <c r="G30" i="13"/>
  <c r="F30" i="13"/>
  <c r="G34" i="13"/>
  <c r="G38" i="13"/>
  <c r="G40" i="13"/>
  <c r="G44" i="13"/>
  <c r="G47" i="13"/>
  <c r="F47" i="13"/>
  <c r="G56" i="13"/>
  <c r="G58" i="13"/>
  <c r="G62" i="13"/>
  <c r="G64" i="13"/>
  <c r="G68" i="13"/>
  <c r="C74" i="6"/>
  <c r="F70" i="13"/>
  <c r="G70" i="13"/>
  <c r="G74" i="13"/>
  <c r="F74" i="13"/>
  <c r="F43" i="13"/>
  <c r="F50" i="13"/>
  <c r="G50" i="13"/>
  <c r="F52" i="13"/>
  <c r="G52" i="13"/>
  <c r="G60" i="13"/>
  <c r="F60" i="13"/>
  <c r="G66" i="13"/>
  <c r="F66" i="13"/>
  <c r="G72" i="13"/>
  <c r="F72" i="13"/>
  <c r="G36" i="13"/>
  <c r="F36" i="13"/>
  <c r="F46" i="13"/>
  <c r="G46" i="13"/>
  <c r="F55" i="13"/>
  <c r="G59" i="13"/>
  <c r="F59" i="13"/>
  <c r="F61" i="13"/>
  <c r="C62" i="6"/>
  <c r="G65" i="13"/>
  <c r="F65" i="13"/>
  <c r="F67" i="13"/>
  <c r="C68" i="6"/>
  <c r="G71" i="13"/>
  <c r="F71" i="13"/>
  <c r="F73" i="13"/>
  <c r="F34" i="13"/>
  <c r="F39" i="13" s="1"/>
  <c r="F40" i="13"/>
  <c r="F49" i="13"/>
  <c r="G53" i="13"/>
  <c r="F53" i="13"/>
  <c r="J63" i="12"/>
  <c r="C63" i="12" s="1" a="1"/>
  <c r="C63" i="12" s="1"/>
  <c r="D181" i="10" s="1"/>
  <c r="E63" i="12" a="1"/>
  <c r="E63" i="12" s="1"/>
  <c r="F181" i="10" s="1"/>
  <c r="D63" i="12" a="1"/>
  <c r="D63" i="12" s="1"/>
  <c r="E181" i="10" s="1"/>
  <c r="J62" i="12"/>
  <c r="C62" i="12" s="1" a="1"/>
  <c r="C62" i="12" s="1"/>
  <c r="D145" i="10" s="1"/>
  <c r="E62" i="12" a="1"/>
  <c r="E62" i="12" s="1"/>
  <c r="F145" i="10" s="1"/>
  <c r="D62" i="12" a="1"/>
  <c r="D62" i="12" s="1"/>
  <c r="E145" i="10" s="1"/>
  <c r="J61" i="12"/>
  <c r="C61" i="12" s="1" a="1"/>
  <c r="C61" i="12" s="1"/>
  <c r="D109" i="10" s="1"/>
  <c r="E61" i="12" a="1"/>
  <c r="E61" i="12" s="1"/>
  <c r="F109" i="10" s="1"/>
  <c r="D61" i="12" a="1"/>
  <c r="D61" i="12" s="1"/>
  <c r="E109" i="10" s="1"/>
  <c r="J60" i="12"/>
  <c r="C60" i="12" s="1" a="1"/>
  <c r="C60" i="12" s="1"/>
  <c r="D73" i="10" s="1"/>
  <c r="E60" i="12" a="1"/>
  <c r="E60" i="12" s="1"/>
  <c r="F73" i="10" s="1"/>
  <c r="D60" i="12" a="1"/>
  <c r="D60" i="12" s="1"/>
  <c r="E73" i="10" s="1"/>
  <c r="J59" i="12"/>
  <c r="C59" i="12" s="1" a="1"/>
  <c r="C59" i="12" s="1"/>
  <c r="D37" i="10" s="1"/>
  <c r="E59" i="12" a="1"/>
  <c r="E59" i="12" s="1"/>
  <c r="F37" i="10" s="1"/>
  <c r="D59" i="12" a="1"/>
  <c r="D59" i="12" s="1"/>
  <c r="E37" i="10" s="1"/>
  <c r="J58" i="12"/>
  <c r="C58" i="12" s="1" a="1"/>
  <c r="C58" i="12" s="1"/>
  <c r="D178" i="10" s="1"/>
  <c r="E58" i="12" a="1"/>
  <c r="E58" i="12" s="1"/>
  <c r="F178" i="10" s="1"/>
  <c r="D58" i="12" a="1"/>
  <c r="D58" i="12" s="1"/>
  <c r="E178" i="10" s="1"/>
  <c r="J57" i="12"/>
  <c r="C57" i="12" s="1" a="1"/>
  <c r="C57" i="12" s="1"/>
  <c r="D142" i="10" s="1"/>
  <c r="E57" i="12" a="1"/>
  <c r="E57" i="12" s="1"/>
  <c r="F142" i="10" s="1"/>
  <c r="D57" i="12" a="1"/>
  <c r="D57" i="12" s="1"/>
  <c r="E142" i="10" s="1"/>
  <c r="J56" i="12"/>
  <c r="C56" i="12" s="1" a="1"/>
  <c r="C56" i="12" s="1"/>
  <c r="D106" i="10" s="1"/>
  <c r="E56" i="12" a="1"/>
  <c r="E56" i="12" s="1"/>
  <c r="F106" i="10" s="1"/>
  <c r="D56" i="12" a="1"/>
  <c r="D56" i="12" s="1"/>
  <c r="E106" i="10" s="1"/>
  <c r="J55" i="12"/>
  <c r="C55" i="12" s="1" a="1"/>
  <c r="C55" i="12" s="1"/>
  <c r="D70" i="10" s="1"/>
  <c r="E55" i="12" a="1"/>
  <c r="E55" i="12" s="1"/>
  <c r="F70" i="10" s="1"/>
  <c r="D55" i="12" a="1"/>
  <c r="D55" i="12" s="1"/>
  <c r="E70" i="10" s="1"/>
  <c r="J54" i="12"/>
  <c r="C54" i="12" s="1" a="1"/>
  <c r="C54" i="12" s="1"/>
  <c r="D34" i="10" s="1"/>
  <c r="E54" i="12" a="1"/>
  <c r="E54" i="12" s="1"/>
  <c r="F34" i="10" s="1"/>
  <c r="D54" i="12" a="1"/>
  <c r="D54" i="12" s="1"/>
  <c r="E34" i="10" s="1"/>
  <c r="J53" i="12"/>
  <c r="C53" i="12" s="1" a="1"/>
  <c r="C53" i="12" s="1"/>
  <c r="D175" i="10" s="1"/>
  <c r="E53" i="12" a="1"/>
  <c r="E53" i="12" s="1"/>
  <c r="F175" i="10" s="1"/>
  <c r="D53" i="12" a="1"/>
  <c r="D53" i="12" s="1"/>
  <c r="E175" i="10" s="1"/>
  <c r="J52" i="12"/>
  <c r="C52" i="12" s="1" a="1"/>
  <c r="C52" i="12" s="1"/>
  <c r="D139" i="10" s="1"/>
  <c r="E52" i="12" a="1"/>
  <c r="E52" i="12" s="1"/>
  <c r="F139" i="10" s="1"/>
  <c r="D52" i="12" a="1"/>
  <c r="D52" i="12" s="1"/>
  <c r="E139" i="10" s="1"/>
  <c r="J51" i="12"/>
  <c r="C51" i="12" s="1" a="1"/>
  <c r="C51" i="12" s="1"/>
  <c r="D103" i="10" s="1"/>
  <c r="E51" i="12" a="1"/>
  <c r="E51" i="12" s="1"/>
  <c r="F103" i="10" s="1"/>
  <c r="D51" i="12" a="1"/>
  <c r="D51" i="12" s="1"/>
  <c r="E103" i="10" s="1"/>
  <c r="J50" i="12"/>
  <c r="C50" i="12" s="1" a="1"/>
  <c r="C50" i="12" s="1"/>
  <c r="D67" i="10" s="1"/>
  <c r="E50" i="12" a="1"/>
  <c r="E50" i="12" s="1"/>
  <c r="F67" i="10" s="1"/>
  <c r="D50" i="12" a="1"/>
  <c r="D50" i="12" s="1"/>
  <c r="E67" i="10" s="1"/>
  <c r="J49" i="12"/>
  <c r="C49" i="12" s="1" a="1"/>
  <c r="C49" i="12" s="1"/>
  <c r="D31" i="10" s="1"/>
  <c r="E49" i="12" a="1"/>
  <c r="E49" i="12" s="1"/>
  <c r="F31" i="10" s="1"/>
  <c r="D49" i="12" a="1"/>
  <c r="D49" i="12" s="1"/>
  <c r="E31" i="10" s="1"/>
  <c r="J48" i="12"/>
  <c r="C48" i="12" s="1" a="1"/>
  <c r="C48" i="12" s="1"/>
  <c r="D172" i="10" s="1"/>
  <c r="E48" i="12" a="1"/>
  <c r="E48" i="12" s="1"/>
  <c r="F172" i="10" s="1"/>
  <c r="D48" i="12" a="1"/>
  <c r="D48" i="12" s="1"/>
  <c r="E172" i="10" s="1"/>
  <c r="J47" i="12"/>
  <c r="C47" i="12" s="1" a="1"/>
  <c r="C47" i="12" s="1"/>
  <c r="D136" i="10" s="1"/>
  <c r="E47" i="12" a="1"/>
  <c r="E47" i="12" s="1"/>
  <c r="F136" i="10" s="1"/>
  <c r="D47" i="12" a="1"/>
  <c r="D47" i="12" s="1"/>
  <c r="E136" i="10" s="1"/>
  <c r="J46" i="12"/>
  <c r="C46" i="12" s="1" a="1"/>
  <c r="C46" i="12" s="1"/>
  <c r="D100" i="10" s="1"/>
  <c r="E46" i="12" a="1"/>
  <c r="E46" i="12" s="1"/>
  <c r="F100" i="10" s="1"/>
  <c r="D46" i="12" a="1"/>
  <c r="D46" i="12" s="1"/>
  <c r="E100" i="10" s="1"/>
  <c r="J45" i="12"/>
  <c r="C45" i="12" s="1" a="1"/>
  <c r="C45" i="12" s="1"/>
  <c r="D64" i="10" s="1"/>
  <c r="E45" i="12" a="1"/>
  <c r="E45" i="12" s="1"/>
  <c r="F64" i="10" s="1"/>
  <c r="D45" i="12" a="1"/>
  <c r="D45" i="12" s="1"/>
  <c r="E64" i="10" s="1"/>
  <c r="J44" i="12"/>
  <c r="C44" i="12" s="1" a="1"/>
  <c r="C44" i="12" s="1"/>
  <c r="D28" i="10" s="1"/>
  <c r="E44" i="12" a="1"/>
  <c r="E44" i="12" s="1"/>
  <c r="F28" i="10" s="1"/>
  <c r="D44" i="12" a="1"/>
  <c r="D44" i="12" s="1"/>
  <c r="E28" i="10" s="1"/>
  <c r="J43" i="12"/>
  <c r="C43" i="12" s="1" a="1"/>
  <c r="C43" i="12" s="1"/>
  <c r="D169" i="10" s="1"/>
  <c r="E43" i="12" a="1"/>
  <c r="E43" i="12" s="1"/>
  <c r="F169" i="10" s="1"/>
  <c r="D43" i="12" a="1"/>
  <c r="D43" i="12" s="1"/>
  <c r="E169" i="10" s="1"/>
  <c r="J42" i="12"/>
  <c r="C42" i="12" s="1" a="1"/>
  <c r="C42" i="12" s="1"/>
  <c r="D133" i="10" s="1"/>
  <c r="E42" i="12" a="1"/>
  <c r="E42" i="12" s="1"/>
  <c r="F133" i="10" s="1"/>
  <c r="D42" i="12" a="1"/>
  <c r="D42" i="12" s="1"/>
  <c r="E133" i="10" s="1"/>
  <c r="J41" i="12"/>
  <c r="C41" i="12" s="1" a="1"/>
  <c r="C41" i="12" s="1"/>
  <c r="D97" i="10" s="1"/>
  <c r="E41" i="12" a="1"/>
  <c r="E41" i="12" s="1"/>
  <c r="F97" i="10" s="1"/>
  <c r="D41" i="12" a="1"/>
  <c r="D41" i="12" s="1"/>
  <c r="E97" i="10" s="1"/>
  <c r="J40" i="12"/>
  <c r="C40" i="12" s="1" a="1"/>
  <c r="C40" i="12" s="1"/>
  <c r="D61" i="10" s="1"/>
  <c r="E40" i="12" a="1"/>
  <c r="E40" i="12" s="1"/>
  <c r="F61" i="10" s="1"/>
  <c r="D40" i="12" a="1"/>
  <c r="D40" i="12" s="1"/>
  <c r="E61" i="10" s="1"/>
  <c r="J39" i="12"/>
  <c r="C39" i="12" s="1" a="1"/>
  <c r="C39" i="12" s="1"/>
  <c r="D25" i="10" s="1"/>
  <c r="E39" i="12" a="1"/>
  <c r="E39" i="12" s="1"/>
  <c r="F25" i="10" s="1"/>
  <c r="D39" i="12" a="1"/>
  <c r="D39" i="12" s="1"/>
  <c r="E25" i="10" s="1"/>
  <c r="J38" i="12"/>
  <c r="C38" i="12" s="1" a="1"/>
  <c r="C38" i="12" s="1"/>
  <c r="D166" i="10" s="1"/>
  <c r="E38" i="12" a="1"/>
  <c r="E38" i="12" s="1"/>
  <c r="F166" i="10" s="1"/>
  <c r="D38" i="12" a="1"/>
  <c r="D38" i="12" s="1"/>
  <c r="E166" i="10" s="1"/>
  <c r="J37" i="12"/>
  <c r="C37" i="12" s="1" a="1"/>
  <c r="C37" i="12" s="1"/>
  <c r="D130" i="10" s="1"/>
  <c r="E37" i="12" a="1"/>
  <c r="E37" i="12" s="1"/>
  <c r="F130" i="10" s="1"/>
  <c r="D37" i="12" a="1"/>
  <c r="D37" i="12" s="1"/>
  <c r="E130" i="10" s="1"/>
  <c r="J36" i="12"/>
  <c r="C36" i="12" s="1" a="1"/>
  <c r="C36" i="12" s="1"/>
  <c r="D94" i="10" s="1"/>
  <c r="E36" i="12" a="1"/>
  <c r="E36" i="12" s="1"/>
  <c r="F94" i="10" s="1"/>
  <c r="D36" i="12" a="1"/>
  <c r="D36" i="12" s="1"/>
  <c r="E94" i="10" s="1"/>
  <c r="J35" i="12"/>
  <c r="C35" i="12" s="1" a="1"/>
  <c r="C35" i="12" s="1"/>
  <c r="D58" i="10" s="1"/>
  <c r="E35" i="12" a="1"/>
  <c r="E35" i="12" s="1"/>
  <c r="F58" i="10" s="1"/>
  <c r="D35" i="12" a="1"/>
  <c r="D35" i="12" s="1"/>
  <c r="E58" i="10" s="1"/>
  <c r="J34" i="12"/>
  <c r="C34" i="12" s="1" a="1"/>
  <c r="C34" i="12" s="1"/>
  <c r="D22" i="10" s="1"/>
  <c r="E34" i="12" a="1"/>
  <c r="E34" i="12" s="1"/>
  <c r="F22" i="10" s="1"/>
  <c r="D34" i="12" a="1"/>
  <c r="D34" i="12" s="1"/>
  <c r="E22" i="10" s="1"/>
  <c r="J33" i="12"/>
  <c r="C33" i="12" s="1" a="1"/>
  <c r="C33" i="12" s="1"/>
  <c r="D163" i="10" s="1"/>
  <c r="E33" i="12" a="1"/>
  <c r="E33" i="12" s="1"/>
  <c r="F163" i="10" s="1"/>
  <c r="D33" i="12" a="1"/>
  <c r="D33" i="12" s="1"/>
  <c r="E163" i="10" s="1"/>
  <c r="J32" i="12"/>
  <c r="C32" i="12" s="1" a="1"/>
  <c r="C32" i="12" s="1"/>
  <c r="D127" i="10" s="1"/>
  <c r="E32" i="12" a="1"/>
  <c r="E32" i="12" s="1"/>
  <c r="F127" i="10" s="1"/>
  <c r="D32" i="12" a="1"/>
  <c r="D32" i="12" s="1"/>
  <c r="E127" i="10" s="1"/>
  <c r="J31" i="12"/>
  <c r="C31" i="12" s="1" a="1"/>
  <c r="C31" i="12" s="1"/>
  <c r="D91" i="10" s="1"/>
  <c r="E31" i="12" a="1"/>
  <c r="E31" i="12" s="1"/>
  <c r="F91" i="10" s="1"/>
  <c r="D31" i="12" a="1"/>
  <c r="D31" i="12" s="1"/>
  <c r="E91" i="10" s="1"/>
  <c r="J30" i="12"/>
  <c r="C30" i="12" s="1" a="1"/>
  <c r="C30" i="12" s="1"/>
  <c r="D55" i="10" s="1"/>
  <c r="E30" i="12" a="1"/>
  <c r="E30" i="12" s="1"/>
  <c r="F55" i="10" s="1"/>
  <c r="D30" i="12" a="1"/>
  <c r="D30" i="12" s="1"/>
  <c r="E55" i="10" s="1"/>
  <c r="J29" i="12"/>
  <c r="C29" i="12" s="1" a="1"/>
  <c r="C29" i="12" s="1"/>
  <c r="D19" i="10" s="1"/>
  <c r="E29" i="12" a="1"/>
  <c r="E29" i="12" s="1"/>
  <c r="F19" i="10" s="1"/>
  <c r="D29" i="12" a="1"/>
  <c r="D29" i="12" s="1"/>
  <c r="E19" i="10" s="1"/>
  <c r="J28" i="12"/>
  <c r="C28" i="12" s="1" a="1"/>
  <c r="C28" i="12" s="1"/>
  <c r="D160" i="10" s="1"/>
  <c r="E28" i="12" a="1"/>
  <c r="E28" i="12" s="1"/>
  <c r="F160" i="10" s="1"/>
  <c r="D28" i="12" a="1"/>
  <c r="D28" i="12" s="1"/>
  <c r="E160" i="10" s="1"/>
  <c r="J27" i="12"/>
  <c r="C27" i="12" s="1" a="1"/>
  <c r="C27" i="12" s="1"/>
  <c r="D124" i="10" s="1"/>
  <c r="E27" i="12" a="1"/>
  <c r="E27" i="12" s="1"/>
  <c r="F124" i="10" s="1"/>
  <c r="D27" i="12" a="1"/>
  <c r="D27" i="12" s="1"/>
  <c r="E124" i="10" s="1"/>
  <c r="J26" i="12"/>
  <c r="C26" i="12" s="1" a="1"/>
  <c r="C26" i="12" s="1"/>
  <c r="D88" i="10" s="1"/>
  <c r="E26" i="12" a="1"/>
  <c r="E26" i="12" s="1"/>
  <c r="F88" i="10" s="1"/>
  <c r="D26" i="12" a="1"/>
  <c r="D26" i="12" s="1"/>
  <c r="E88" i="10" s="1"/>
  <c r="J25" i="12"/>
  <c r="C25" i="12" s="1" a="1"/>
  <c r="C25" i="12" s="1"/>
  <c r="D52" i="10" s="1"/>
  <c r="E25" i="12" a="1"/>
  <c r="E25" i="12" s="1"/>
  <c r="F52" i="10" s="1"/>
  <c r="D25" i="12" a="1"/>
  <c r="D25" i="12" s="1"/>
  <c r="E52" i="10" s="1"/>
  <c r="J24" i="12"/>
  <c r="C24" i="12" s="1" a="1"/>
  <c r="C24" i="12" s="1"/>
  <c r="D16" i="10" s="1"/>
  <c r="E24" i="12" a="1"/>
  <c r="E24" i="12" s="1"/>
  <c r="F16" i="10" s="1"/>
  <c r="D24" i="12" a="1"/>
  <c r="D24" i="12" s="1"/>
  <c r="E16" i="10" s="1"/>
  <c r="J23" i="12"/>
  <c r="C23" i="12" s="1" a="1"/>
  <c r="C23" i="12" s="1"/>
  <c r="D157" i="10" s="1"/>
  <c r="E23" i="12" a="1"/>
  <c r="E23" i="12" s="1"/>
  <c r="F157" i="10" s="1"/>
  <c r="D23" i="12" a="1"/>
  <c r="D23" i="12" s="1"/>
  <c r="E157" i="10" s="1"/>
  <c r="J22" i="12"/>
  <c r="C22" i="12" s="1" a="1"/>
  <c r="C22" i="12" s="1"/>
  <c r="D121" i="10" s="1"/>
  <c r="E22" i="12" a="1"/>
  <c r="E22" i="12" s="1"/>
  <c r="F121" i="10" s="1"/>
  <c r="D22" i="12" a="1"/>
  <c r="D22" i="12" s="1"/>
  <c r="E121" i="10" s="1"/>
  <c r="J21" i="12"/>
  <c r="C21" i="12" s="1" a="1"/>
  <c r="C21" i="12" s="1"/>
  <c r="D85" i="10" s="1"/>
  <c r="E21" i="12" a="1"/>
  <c r="E21" i="12" s="1"/>
  <c r="F85" i="10" s="1"/>
  <c r="D21" i="12" a="1"/>
  <c r="D21" i="12" s="1"/>
  <c r="E85" i="10" s="1"/>
  <c r="J20" i="12"/>
  <c r="C20" i="12" s="1" a="1"/>
  <c r="C20" i="12" s="1"/>
  <c r="D49" i="10" s="1"/>
  <c r="E20" i="12" a="1"/>
  <c r="E20" i="12" s="1"/>
  <c r="F49" i="10" s="1"/>
  <c r="D20" i="12" a="1"/>
  <c r="D20" i="12" s="1"/>
  <c r="E49" i="10" s="1"/>
  <c r="J19" i="12"/>
  <c r="C19" i="12" s="1" a="1"/>
  <c r="C19" i="12" s="1"/>
  <c r="D13" i="10" s="1"/>
  <c r="E19" i="12" a="1"/>
  <c r="E19" i="12" s="1"/>
  <c r="F13" i="10" s="1"/>
  <c r="D19" i="12" a="1"/>
  <c r="D19" i="12" s="1"/>
  <c r="E13" i="10" s="1"/>
  <c r="J18" i="12"/>
  <c r="C18" i="12" s="1" a="1"/>
  <c r="C18" i="12" s="1"/>
  <c r="D154" i="10" s="1"/>
  <c r="E18" i="12" a="1"/>
  <c r="E18" i="12" s="1"/>
  <c r="F154" i="10" s="1"/>
  <c r="D18" i="12" a="1"/>
  <c r="D18" i="12" s="1"/>
  <c r="E154" i="10" s="1"/>
  <c r="J17" i="12"/>
  <c r="C17" i="12" s="1" a="1"/>
  <c r="C17" i="12" s="1"/>
  <c r="D118" i="10" s="1"/>
  <c r="E17" i="12" a="1"/>
  <c r="E17" i="12" s="1"/>
  <c r="F118" i="10" s="1"/>
  <c r="D17" i="12" a="1"/>
  <c r="D17" i="12" s="1"/>
  <c r="E118" i="10" s="1"/>
  <c r="J16" i="12"/>
  <c r="C16" i="12" s="1" a="1"/>
  <c r="C16" i="12" s="1"/>
  <c r="D82" i="10" s="1"/>
  <c r="E16" i="12" a="1"/>
  <c r="E16" i="12" s="1"/>
  <c r="F82" i="10" s="1"/>
  <c r="D16" i="12" a="1"/>
  <c r="D16" i="12" s="1"/>
  <c r="E82" i="10" s="1"/>
  <c r="J15" i="12"/>
  <c r="C15" i="12" s="1" a="1"/>
  <c r="C15" i="12" s="1"/>
  <c r="D46" i="10" s="1"/>
  <c r="E15" i="12" a="1"/>
  <c r="E15" i="12" s="1"/>
  <c r="F46" i="10" s="1"/>
  <c r="D15" i="12" a="1"/>
  <c r="D15" i="12" s="1"/>
  <c r="E46" i="10" s="1"/>
  <c r="J14" i="12"/>
  <c r="C14" i="12" s="1" a="1"/>
  <c r="C14" i="12" s="1"/>
  <c r="D10" i="10" s="1"/>
  <c r="E14" i="12" a="1"/>
  <c r="E14" i="12" s="1"/>
  <c r="F10" i="10" s="1"/>
  <c r="D14" i="12" a="1"/>
  <c r="D14" i="12" s="1"/>
  <c r="E10" i="10" s="1"/>
  <c r="J13" i="12"/>
  <c r="C13" i="12" s="1" a="1"/>
  <c r="C13" i="12" s="1"/>
  <c r="D151" i="10" s="1"/>
  <c r="E13" i="12" a="1"/>
  <c r="E13" i="12" s="1"/>
  <c r="F151" i="10" s="1"/>
  <c r="D13" i="12" a="1"/>
  <c r="D13" i="12" s="1"/>
  <c r="E151" i="10" s="1"/>
  <c r="J12" i="12"/>
  <c r="C12" i="12" s="1" a="1"/>
  <c r="C12" i="12" s="1"/>
  <c r="D115" i="10" s="1"/>
  <c r="E12" i="12" a="1"/>
  <c r="E12" i="12" s="1"/>
  <c r="F115" i="10" s="1"/>
  <c r="D12" i="12" a="1"/>
  <c r="D12" i="12" s="1"/>
  <c r="E115" i="10" s="1"/>
  <c r="J11" i="12"/>
  <c r="C11" i="12" s="1" a="1"/>
  <c r="C11" i="12" s="1"/>
  <c r="D79" i="10" s="1"/>
  <c r="E11" i="12" a="1"/>
  <c r="E11" i="12" s="1"/>
  <c r="F79" i="10" s="1"/>
  <c r="D11" i="12" a="1"/>
  <c r="D11" i="12" s="1"/>
  <c r="E79" i="10" s="1"/>
  <c r="J10" i="12"/>
  <c r="C10" i="12" s="1" a="1"/>
  <c r="C10" i="12" s="1"/>
  <c r="D43" i="10" s="1"/>
  <c r="E10" i="12" a="1"/>
  <c r="E10" i="12" s="1"/>
  <c r="F43" i="10" s="1"/>
  <c r="D10" i="12" a="1"/>
  <c r="D10" i="12" s="1"/>
  <c r="E43" i="10" s="1"/>
  <c r="J9" i="12"/>
  <c r="C9" i="12" s="1" a="1"/>
  <c r="C9" i="12" s="1"/>
  <c r="D7" i="10" s="1"/>
  <c r="E9" i="12" a="1"/>
  <c r="E9" i="12" s="1"/>
  <c r="F7" i="10" s="1"/>
  <c r="D9" i="12" a="1"/>
  <c r="D9" i="12" s="1"/>
  <c r="E7" i="10" s="1"/>
  <c r="J8" i="12"/>
  <c r="C8" i="12" s="1" a="1"/>
  <c r="C8" i="12" s="1"/>
  <c r="D148" i="10" s="1"/>
  <c r="E8" i="12" a="1"/>
  <c r="E8" i="12" s="1"/>
  <c r="F148" i="10" s="1"/>
  <c r="D8" i="12" a="1"/>
  <c r="D8" i="12" s="1"/>
  <c r="E148" i="10" s="1"/>
  <c r="J7" i="12"/>
  <c r="C7" i="12" s="1" a="1"/>
  <c r="C7" i="12" s="1"/>
  <c r="D112" i="10" s="1"/>
  <c r="E7" i="12" a="1"/>
  <c r="E7" i="12" s="1"/>
  <c r="F112" i="10" s="1"/>
  <c r="D7" i="12" a="1"/>
  <c r="D7" i="12" s="1"/>
  <c r="E112" i="10" s="1"/>
  <c r="J6" i="12"/>
  <c r="C6" i="12" s="1" a="1"/>
  <c r="C6" i="12" s="1"/>
  <c r="D76" i="10" s="1"/>
  <c r="E6" i="12" a="1"/>
  <c r="E6" i="12" s="1"/>
  <c r="F76" i="10" s="1"/>
  <c r="D6" i="12" a="1"/>
  <c r="D6" i="12" s="1"/>
  <c r="E76" i="10" s="1"/>
  <c r="J5" i="12"/>
  <c r="C5" i="12" s="1" a="1"/>
  <c r="C5" i="12" s="1"/>
  <c r="D40" i="10" s="1"/>
  <c r="E5" i="12" a="1"/>
  <c r="E5" i="12" s="1"/>
  <c r="F40" i="10" s="1"/>
  <c r="D5" i="12" a="1"/>
  <c r="D5" i="12" s="1"/>
  <c r="E40" i="10" s="1"/>
  <c r="J4" i="12"/>
  <c r="C4" i="12" s="1" a="1"/>
  <c r="C4" i="12" s="1"/>
  <c r="E4" i="12" a="1"/>
  <c r="E4" i="12" s="1"/>
  <c r="F4" i="10" s="1"/>
  <c r="D4" i="12" a="1"/>
  <c r="D4" i="12" s="1"/>
  <c r="E4" i="10" s="1"/>
  <c r="G63" i="13" l="1"/>
  <c r="F9" i="13"/>
  <c r="G51" i="13"/>
  <c r="F57" i="13"/>
  <c r="F15" i="13"/>
  <c r="G45" i="13"/>
  <c r="F63" i="13"/>
  <c r="F77" i="14"/>
  <c r="C45" i="11" s="1"/>
  <c r="F51" i="13"/>
  <c r="G75" i="13"/>
  <c r="G69" i="13"/>
  <c r="F33" i="13"/>
  <c r="G15" i="13"/>
  <c r="G21" i="13"/>
  <c r="F69" i="13"/>
  <c r="C9" i="6"/>
  <c r="G77" i="14"/>
  <c r="F45" i="13"/>
  <c r="G57" i="13"/>
  <c r="F75" i="13"/>
  <c r="G39" i="13"/>
  <c r="G33" i="13"/>
  <c r="G9" i="13"/>
  <c r="F27" i="13"/>
  <c r="F21" i="13"/>
  <c r="D4" i="10"/>
  <c r="C15" i="7"/>
  <c r="C15" i="6"/>
  <c r="C68" i="7"/>
  <c r="C44" i="7"/>
  <c r="C56" i="7"/>
  <c r="C64" i="7"/>
  <c r="C40" i="7"/>
  <c r="C58" i="7"/>
  <c r="C52" i="7"/>
  <c r="C34" i="7"/>
  <c r="C70" i="7"/>
  <c r="C71" i="7"/>
  <c r="C65" i="7"/>
  <c r="C47" i="7"/>
  <c r="C35" i="7"/>
  <c r="C53" i="7"/>
  <c r="C41" i="7"/>
  <c r="C72" i="7"/>
  <c r="C30" i="7"/>
  <c r="C42" i="7"/>
  <c r="C54" i="7"/>
  <c r="H72" i="14"/>
  <c r="I72" i="14" s="1"/>
  <c r="H61" i="14"/>
  <c r="I61" i="14" s="1"/>
  <c r="C24" i="7"/>
  <c r="H30" i="14"/>
  <c r="I30" i="14" s="1"/>
  <c r="C48" i="7"/>
  <c r="C60" i="7"/>
  <c r="H55" i="14"/>
  <c r="I55" i="14" s="1"/>
  <c r="C19" i="7"/>
  <c r="C21" i="7" s="1"/>
  <c r="H48" i="14"/>
  <c r="I48" i="14" s="1"/>
  <c r="C73" i="7"/>
  <c r="C67" i="7"/>
  <c r="C43" i="7"/>
  <c r="C25" i="7"/>
  <c r="C38" i="7"/>
  <c r="C37" i="7"/>
  <c r="C33" i="7"/>
  <c r="C61" i="7"/>
  <c r="C55" i="7"/>
  <c r="H49" i="14"/>
  <c r="I49" i="14" s="1"/>
  <c r="H22" i="14"/>
  <c r="I22" i="14" s="1"/>
  <c r="H8" i="14"/>
  <c r="I8" i="14" s="1"/>
  <c r="H60" i="14"/>
  <c r="I60" i="14" s="1"/>
  <c r="C59" i="6"/>
  <c r="C60" i="6"/>
  <c r="C55" i="6"/>
  <c r="C50" i="6"/>
  <c r="C56" i="6"/>
  <c r="C44" i="6"/>
  <c r="H37" i="13"/>
  <c r="I37" i="13" s="1"/>
  <c r="C46" i="6"/>
  <c r="C34" i="6"/>
  <c r="C58" i="6"/>
  <c r="C70" i="6"/>
  <c r="C29" i="6"/>
  <c r="H44" i="13"/>
  <c r="I44" i="13" s="1"/>
  <c r="C71" i="6"/>
  <c r="C65" i="6"/>
  <c r="H68" i="13"/>
  <c r="I68" i="13" s="1"/>
  <c r="C53" i="6"/>
  <c r="C47" i="6"/>
  <c r="C35" i="6"/>
  <c r="C36" i="6"/>
  <c r="C42" i="6"/>
  <c r="C72" i="6"/>
  <c r="C24" i="6"/>
  <c r="C66" i="6"/>
  <c r="C30" i="6"/>
  <c r="C54" i="6"/>
  <c r="C25" i="6"/>
  <c r="C27" i="6" s="1"/>
  <c r="C31" i="6"/>
  <c r="C19" i="6"/>
  <c r="C21" i="6" s="1"/>
  <c r="C49" i="6"/>
  <c r="C61" i="6"/>
  <c r="C37" i="6"/>
  <c r="C67" i="6"/>
  <c r="H64" i="13"/>
  <c r="H35" i="14"/>
  <c r="I35" i="14" s="1"/>
  <c r="H10" i="14"/>
  <c r="I10" i="14" s="1"/>
  <c r="H20" i="14"/>
  <c r="I20" i="14" s="1"/>
  <c r="H16" i="14"/>
  <c r="I16" i="14" s="1"/>
  <c r="H4" i="14"/>
  <c r="H54" i="14"/>
  <c r="I54" i="14" s="1"/>
  <c r="H14" i="14"/>
  <c r="I14" i="14" s="1"/>
  <c r="H58" i="13"/>
  <c r="H56" i="13"/>
  <c r="I56" i="13" s="1"/>
  <c r="G62" i="12"/>
  <c r="H31" i="14"/>
  <c r="I31" i="14" s="1"/>
  <c r="H62" i="13"/>
  <c r="I62" i="13" s="1"/>
  <c r="H66" i="14"/>
  <c r="I66" i="14" s="1"/>
  <c r="H34" i="14"/>
  <c r="H70" i="14"/>
  <c r="I70" i="14" s="1"/>
  <c r="H56" i="14"/>
  <c r="I56" i="14" s="1"/>
  <c r="H32" i="14"/>
  <c r="I32" i="14" s="1"/>
  <c r="H67" i="14"/>
  <c r="I67" i="14" s="1"/>
  <c r="H44" i="14"/>
  <c r="I44" i="14" s="1"/>
  <c r="H64" i="14"/>
  <c r="I64" i="14" s="1"/>
  <c r="H28" i="14"/>
  <c r="H29" i="14"/>
  <c r="I29" i="14" s="1"/>
  <c r="H40" i="14"/>
  <c r="H23" i="14"/>
  <c r="I23" i="14" s="1"/>
  <c r="H62" i="14"/>
  <c r="I62" i="14" s="1"/>
  <c r="H68" i="14"/>
  <c r="I68" i="14" s="1"/>
  <c r="H53" i="14"/>
  <c r="I53" i="14" s="1"/>
  <c r="H12" i="14"/>
  <c r="I12" i="14" s="1"/>
  <c r="H6" i="14"/>
  <c r="I6" i="14" s="1"/>
  <c r="H25" i="14"/>
  <c r="I25" i="14" s="1"/>
  <c r="H42" i="14"/>
  <c r="I42" i="14" s="1"/>
  <c r="H74" i="14"/>
  <c r="I74" i="14" s="1"/>
  <c r="H65" i="14"/>
  <c r="I65" i="14" s="1"/>
  <c r="H43" i="14"/>
  <c r="I43" i="14" s="1"/>
  <c r="H71" i="14"/>
  <c r="I71" i="14" s="1"/>
  <c r="H58" i="14"/>
  <c r="H50" i="14"/>
  <c r="I50" i="14" s="1"/>
  <c r="H13" i="14"/>
  <c r="I13" i="14" s="1"/>
  <c r="H17" i="14"/>
  <c r="I17" i="14" s="1"/>
  <c r="H36" i="14"/>
  <c r="I36" i="14" s="1"/>
  <c r="H11" i="14"/>
  <c r="I11" i="14" s="1"/>
  <c r="H38" i="14"/>
  <c r="I38" i="14" s="1"/>
  <c r="H26" i="14"/>
  <c r="I26" i="14" s="1"/>
  <c r="H5" i="14"/>
  <c r="H73" i="14"/>
  <c r="I73" i="14" s="1"/>
  <c r="H37" i="14"/>
  <c r="I37" i="14" s="1"/>
  <c r="H59" i="14"/>
  <c r="I59" i="14" s="1"/>
  <c r="H46" i="14"/>
  <c r="I46" i="14" s="1"/>
  <c r="H52" i="14"/>
  <c r="H47" i="14"/>
  <c r="I47" i="14" s="1"/>
  <c r="H41" i="14"/>
  <c r="I41" i="14" s="1"/>
  <c r="H19" i="14"/>
  <c r="I19" i="14" s="1"/>
  <c r="H7" i="14"/>
  <c r="I7" i="14" s="1"/>
  <c r="H24" i="14"/>
  <c r="I24" i="14" s="1"/>
  <c r="H18" i="14"/>
  <c r="I18" i="14" s="1"/>
  <c r="H49" i="13"/>
  <c r="I49" i="13" s="1"/>
  <c r="H71" i="13"/>
  <c r="I71" i="13" s="1"/>
  <c r="H65" i="13"/>
  <c r="H59" i="13"/>
  <c r="I59" i="13" s="1"/>
  <c r="H46" i="13"/>
  <c r="H50" i="13"/>
  <c r="I50" i="13" s="1"/>
  <c r="H30" i="13"/>
  <c r="I30" i="13" s="1"/>
  <c r="H13" i="13"/>
  <c r="I13" i="13" s="1"/>
  <c r="H42" i="13"/>
  <c r="I42" i="13" s="1"/>
  <c r="H38" i="13"/>
  <c r="I38" i="13" s="1"/>
  <c r="H22" i="13"/>
  <c r="H25" i="13"/>
  <c r="I25" i="13" s="1"/>
  <c r="H53" i="13"/>
  <c r="I53" i="13" s="1"/>
  <c r="H40" i="13"/>
  <c r="H36" i="13"/>
  <c r="I36" i="13" s="1"/>
  <c r="H66" i="13"/>
  <c r="I66" i="13" s="1"/>
  <c r="H47" i="13"/>
  <c r="I47" i="13" s="1"/>
  <c r="H20" i="13"/>
  <c r="I20" i="13" s="1"/>
  <c r="H11" i="13"/>
  <c r="I11" i="13" s="1"/>
  <c r="H4" i="13"/>
  <c r="H17" i="13"/>
  <c r="I17" i="13" s="1"/>
  <c r="H10" i="13"/>
  <c r="H7" i="13"/>
  <c r="I7" i="13" s="1"/>
  <c r="H54" i="13"/>
  <c r="I54" i="13" s="1"/>
  <c r="H32" i="13"/>
  <c r="I32" i="13" s="1"/>
  <c r="H24" i="13"/>
  <c r="I24" i="13" s="1"/>
  <c r="H8" i="13"/>
  <c r="I8" i="13" s="1"/>
  <c r="H6" i="13"/>
  <c r="I6" i="13" s="1"/>
  <c r="H34" i="13"/>
  <c r="H55" i="13"/>
  <c r="I55" i="13" s="1"/>
  <c r="H52" i="13"/>
  <c r="H43" i="13"/>
  <c r="I43" i="13" s="1"/>
  <c r="H70" i="13"/>
  <c r="H28" i="13"/>
  <c r="H48" i="13"/>
  <c r="I48" i="13" s="1"/>
  <c r="H35" i="13"/>
  <c r="I35" i="13" s="1"/>
  <c r="H19" i="13"/>
  <c r="I19" i="13" s="1"/>
  <c r="H29" i="13"/>
  <c r="I29" i="13" s="1"/>
  <c r="H16" i="13"/>
  <c r="H12" i="13"/>
  <c r="I12" i="13" s="1"/>
  <c r="H73" i="13"/>
  <c r="I73" i="13" s="1"/>
  <c r="H67" i="13"/>
  <c r="I67" i="13" s="1"/>
  <c r="H61" i="13"/>
  <c r="I61" i="13" s="1"/>
  <c r="H72" i="13"/>
  <c r="I72" i="13" s="1"/>
  <c r="H60" i="13"/>
  <c r="I60" i="13" s="1"/>
  <c r="H74" i="13"/>
  <c r="I74" i="13" s="1"/>
  <c r="H41" i="13"/>
  <c r="I41" i="13" s="1"/>
  <c r="H26" i="13"/>
  <c r="I26" i="13" s="1"/>
  <c r="H18" i="13"/>
  <c r="I18" i="13" s="1"/>
  <c r="H14" i="13"/>
  <c r="I14" i="13" s="1"/>
  <c r="H5" i="13"/>
  <c r="I5" i="13" s="1"/>
  <c r="H23" i="13"/>
  <c r="I23" i="13" s="1"/>
  <c r="H31" i="13"/>
  <c r="I31" i="13" s="1"/>
  <c r="G27" i="12"/>
  <c r="F31" i="12"/>
  <c r="G37" i="12"/>
  <c r="G57" i="12"/>
  <c r="F36" i="12"/>
  <c r="G51" i="12"/>
  <c r="F46" i="12"/>
  <c r="F56" i="12"/>
  <c r="G32" i="12"/>
  <c r="G20" i="12"/>
  <c r="G26" i="12"/>
  <c r="F35" i="12"/>
  <c r="F61" i="12"/>
  <c r="G25" i="12"/>
  <c r="G7" i="12"/>
  <c r="F42" i="12"/>
  <c r="G42" i="12"/>
  <c r="G52" i="12"/>
  <c r="F47" i="12"/>
  <c r="G6" i="12"/>
  <c r="G11" i="12"/>
  <c r="G36" i="12"/>
  <c r="G47" i="12"/>
  <c r="G12" i="12"/>
  <c r="F27" i="12"/>
  <c r="H27" i="12" s="1"/>
  <c r="I27" i="12" s="1"/>
  <c r="G56" i="12"/>
  <c r="F41" i="12"/>
  <c r="G33" i="12"/>
  <c r="F33" i="12"/>
  <c r="G5" i="12"/>
  <c r="F5" i="12"/>
  <c r="F7" i="12"/>
  <c r="G14" i="12"/>
  <c r="F14" i="12"/>
  <c r="F17" i="12"/>
  <c r="G17" i="12"/>
  <c r="G23" i="12"/>
  <c r="F23" i="12"/>
  <c r="G24" i="12"/>
  <c r="F24" i="12"/>
  <c r="G9" i="12"/>
  <c r="F9" i="12"/>
  <c r="F22" i="12"/>
  <c r="G22" i="12"/>
  <c r="F6" i="12"/>
  <c r="G8" i="12"/>
  <c r="F8" i="12"/>
  <c r="G10" i="12"/>
  <c r="F10" i="12"/>
  <c r="F12" i="12"/>
  <c r="G18" i="12"/>
  <c r="F18" i="12"/>
  <c r="G19" i="12"/>
  <c r="F19" i="12"/>
  <c r="G29" i="12"/>
  <c r="F29" i="12"/>
  <c r="G16" i="12"/>
  <c r="F16" i="12"/>
  <c r="G4" i="12"/>
  <c r="F4" i="12"/>
  <c r="F11" i="12"/>
  <c r="G13" i="12"/>
  <c r="F13" i="12"/>
  <c r="G15" i="12"/>
  <c r="F15" i="12"/>
  <c r="F21" i="12"/>
  <c r="G21" i="12"/>
  <c r="G28" i="12"/>
  <c r="F28" i="12"/>
  <c r="G34" i="12"/>
  <c r="F34" i="12"/>
  <c r="G58" i="12"/>
  <c r="F58" i="12"/>
  <c r="G60" i="12"/>
  <c r="F60" i="12"/>
  <c r="F20" i="12"/>
  <c r="F25" i="12"/>
  <c r="F32" i="12"/>
  <c r="G35" i="12"/>
  <c r="F37" i="12"/>
  <c r="G44" i="12"/>
  <c r="F44" i="12"/>
  <c r="G46" i="12"/>
  <c r="G53" i="12"/>
  <c r="F53" i="12"/>
  <c r="G55" i="12"/>
  <c r="F55" i="12"/>
  <c r="F57" i="12"/>
  <c r="F26" i="12"/>
  <c r="F30" i="12"/>
  <c r="G31" i="12"/>
  <c r="G39" i="12"/>
  <c r="F39" i="12"/>
  <c r="G41" i="12"/>
  <c r="G48" i="12"/>
  <c r="F48" i="12"/>
  <c r="G50" i="12"/>
  <c r="F50" i="12"/>
  <c r="F52" i="12"/>
  <c r="G59" i="12"/>
  <c r="F59" i="12"/>
  <c r="G61" i="12"/>
  <c r="G63" i="12"/>
  <c r="F63" i="12"/>
  <c r="G38" i="12"/>
  <c r="F38" i="12"/>
  <c r="G40" i="12"/>
  <c r="F40" i="12"/>
  <c r="G49" i="12"/>
  <c r="F49" i="12"/>
  <c r="G30" i="12"/>
  <c r="G43" i="12"/>
  <c r="F43" i="12"/>
  <c r="G45" i="12"/>
  <c r="F45" i="12"/>
  <c r="F51" i="12"/>
  <c r="G54" i="12"/>
  <c r="F54" i="12"/>
  <c r="F62" i="12"/>
  <c r="H4" i="10"/>
  <c r="M4" i="10" a="1"/>
  <c r="M4" i="10" s="1"/>
  <c r="M7" i="10" a="1"/>
  <c r="M7" i="10" s="1"/>
  <c r="M10" i="10" a="1"/>
  <c r="M10" i="10" s="1"/>
  <c r="M13" i="10" a="1"/>
  <c r="M13" i="10" s="1"/>
  <c r="M16" i="10" a="1"/>
  <c r="M16" i="10" s="1"/>
  <c r="M19" i="10" a="1"/>
  <c r="M19" i="10" s="1"/>
  <c r="M22" i="10" a="1"/>
  <c r="M22" i="10" s="1"/>
  <c r="M25" i="10" a="1"/>
  <c r="M25" i="10" s="1"/>
  <c r="M28" i="10" a="1"/>
  <c r="M28" i="10" s="1"/>
  <c r="M31" i="10" a="1"/>
  <c r="M31" i="10" s="1"/>
  <c r="M34" i="10" a="1"/>
  <c r="M34" i="10" s="1"/>
  <c r="M37" i="10" a="1"/>
  <c r="M37" i="10" s="1"/>
  <c r="M40" i="10" a="1"/>
  <c r="M40" i="10" s="1"/>
  <c r="M43" i="10" a="1"/>
  <c r="M43" i="10" s="1"/>
  <c r="M46" i="10" a="1"/>
  <c r="M46" i="10" s="1"/>
  <c r="M49" i="10" a="1"/>
  <c r="M49" i="10" s="1"/>
  <c r="M52" i="10" a="1"/>
  <c r="M52" i="10" s="1"/>
  <c r="M55" i="10" a="1"/>
  <c r="M55" i="10" s="1"/>
  <c r="M58" i="10" a="1"/>
  <c r="M58" i="10" s="1"/>
  <c r="M61" i="10" a="1"/>
  <c r="M61" i="10" s="1"/>
  <c r="M64" i="10" a="1"/>
  <c r="M64" i="10" s="1"/>
  <c r="M67" i="10" a="1"/>
  <c r="M67" i="10" s="1"/>
  <c r="M70" i="10" a="1"/>
  <c r="M70" i="10" s="1"/>
  <c r="M73" i="10" a="1"/>
  <c r="M73" i="10" s="1"/>
  <c r="M76" i="10" a="1"/>
  <c r="M76" i="10" s="1"/>
  <c r="M79" i="10" a="1"/>
  <c r="M79" i="10" s="1"/>
  <c r="M82" i="10" a="1"/>
  <c r="M82" i="10" s="1"/>
  <c r="M85" i="10" a="1"/>
  <c r="M85" i="10" s="1"/>
  <c r="M88" i="10" a="1"/>
  <c r="M88" i="10" s="1"/>
  <c r="M91" i="10" a="1"/>
  <c r="M91" i="10" s="1"/>
  <c r="M94" i="10" a="1"/>
  <c r="M94" i="10" s="1"/>
  <c r="M97" i="10" a="1"/>
  <c r="M97" i="10" s="1"/>
  <c r="M100" i="10" a="1"/>
  <c r="M100" i="10" s="1"/>
  <c r="M103" i="10" a="1"/>
  <c r="M103" i="10" s="1"/>
  <c r="M106" i="10" a="1"/>
  <c r="M106" i="10" s="1"/>
  <c r="M109" i="10" a="1"/>
  <c r="M109" i="10" s="1"/>
  <c r="M112" i="10" a="1"/>
  <c r="M112" i="10" s="1"/>
  <c r="M115" i="10" a="1"/>
  <c r="M115" i="10" s="1"/>
  <c r="M118" i="10" a="1"/>
  <c r="M118" i="10" s="1"/>
  <c r="M121" i="10" a="1"/>
  <c r="M121" i="10" s="1"/>
  <c r="M124" i="10" a="1"/>
  <c r="M124" i="10" s="1"/>
  <c r="M127" i="10" a="1"/>
  <c r="M127" i="10" s="1"/>
  <c r="M130" i="10" a="1"/>
  <c r="M130" i="10" s="1"/>
  <c r="M133" i="10" a="1"/>
  <c r="M133" i="10" s="1"/>
  <c r="M136" i="10" a="1"/>
  <c r="M136" i="10" s="1"/>
  <c r="M139" i="10" a="1"/>
  <c r="M139" i="10" s="1"/>
  <c r="M142" i="10" a="1"/>
  <c r="M142" i="10" s="1"/>
  <c r="M145" i="10" a="1"/>
  <c r="M145" i="10" s="1"/>
  <c r="M148" i="10" a="1"/>
  <c r="M148" i="10" s="1"/>
  <c r="M151" i="10" a="1"/>
  <c r="M151" i="10" s="1"/>
  <c r="M154" i="10" a="1"/>
  <c r="M154" i="10" s="1"/>
  <c r="M157" i="10" a="1"/>
  <c r="M157" i="10" s="1"/>
  <c r="M160" i="10" a="1"/>
  <c r="M160" i="10" s="1"/>
  <c r="M163" i="10" a="1"/>
  <c r="M163" i="10" s="1"/>
  <c r="M166" i="10" a="1"/>
  <c r="M166" i="10" s="1"/>
  <c r="M169" i="10" a="1"/>
  <c r="M169" i="10" s="1"/>
  <c r="M172" i="10" a="1"/>
  <c r="M172" i="10" s="1"/>
  <c r="M175" i="10" a="1"/>
  <c r="M175" i="10" s="1"/>
  <c r="M178" i="10" a="1"/>
  <c r="M178" i="10" s="1"/>
  <c r="M181" i="10" a="1"/>
  <c r="M181" i="10" s="1"/>
  <c r="L4" i="10" a="1"/>
  <c r="L4" i="10" s="1"/>
  <c r="L7" i="10" a="1"/>
  <c r="L7" i="10" s="1"/>
  <c r="L10" i="10" a="1"/>
  <c r="L10" i="10" s="1"/>
  <c r="L13" i="10" a="1"/>
  <c r="L13" i="10" s="1"/>
  <c r="L16" i="10" a="1"/>
  <c r="L16" i="10" s="1"/>
  <c r="L19" i="10" a="1"/>
  <c r="L19" i="10" s="1"/>
  <c r="L22" i="10" a="1"/>
  <c r="L22" i="10" s="1"/>
  <c r="L25" i="10" a="1"/>
  <c r="L25" i="10" s="1"/>
  <c r="L28" i="10" a="1"/>
  <c r="L28" i="10" s="1"/>
  <c r="L31" i="10" a="1"/>
  <c r="L31" i="10" s="1"/>
  <c r="L34" i="10" a="1"/>
  <c r="L34" i="10" s="1"/>
  <c r="L37" i="10" a="1"/>
  <c r="L37" i="10" s="1"/>
  <c r="L40" i="10" a="1"/>
  <c r="L40" i="10" s="1"/>
  <c r="L43" i="10" a="1"/>
  <c r="L43" i="10" s="1"/>
  <c r="L46" i="10" a="1"/>
  <c r="L46" i="10" s="1"/>
  <c r="L49" i="10" a="1"/>
  <c r="L49" i="10" s="1"/>
  <c r="L52" i="10" a="1"/>
  <c r="L52" i="10" s="1"/>
  <c r="L55" i="10" a="1"/>
  <c r="L55" i="10" s="1"/>
  <c r="L58" i="10" a="1"/>
  <c r="L58" i="10" s="1"/>
  <c r="L61" i="10" a="1"/>
  <c r="L61" i="10" s="1"/>
  <c r="L64" i="10" a="1"/>
  <c r="L64" i="10" s="1"/>
  <c r="L67" i="10" a="1"/>
  <c r="L67" i="10" s="1"/>
  <c r="L70" i="10" a="1"/>
  <c r="L70" i="10" s="1"/>
  <c r="L73" i="10" a="1"/>
  <c r="L73" i="10" s="1"/>
  <c r="L76" i="10" a="1"/>
  <c r="L76" i="10" s="1"/>
  <c r="L79" i="10" a="1"/>
  <c r="L79" i="10" s="1"/>
  <c r="L82" i="10" a="1"/>
  <c r="L82" i="10" s="1"/>
  <c r="L85" i="10" a="1"/>
  <c r="L85" i="10" s="1"/>
  <c r="L88" i="10" a="1"/>
  <c r="L88" i="10" s="1"/>
  <c r="L91" i="10" a="1"/>
  <c r="L91" i="10" s="1"/>
  <c r="L94" i="10" a="1"/>
  <c r="L94" i="10" s="1"/>
  <c r="L97" i="10" a="1"/>
  <c r="L97" i="10" s="1"/>
  <c r="L100" i="10" a="1"/>
  <c r="L100" i="10" s="1"/>
  <c r="L103" i="10" a="1"/>
  <c r="L103" i="10" s="1"/>
  <c r="L106" i="10" a="1"/>
  <c r="L106" i="10" s="1"/>
  <c r="L109" i="10" a="1"/>
  <c r="L109" i="10" s="1"/>
  <c r="L112" i="10" a="1"/>
  <c r="L112" i="10" s="1"/>
  <c r="L115" i="10" a="1"/>
  <c r="L115" i="10" s="1"/>
  <c r="L118" i="10" a="1"/>
  <c r="L118" i="10" s="1"/>
  <c r="L121" i="10" a="1"/>
  <c r="L121" i="10" s="1"/>
  <c r="L124" i="10" a="1"/>
  <c r="L124" i="10" s="1"/>
  <c r="L127" i="10" a="1"/>
  <c r="L127" i="10" s="1"/>
  <c r="L130" i="10" a="1"/>
  <c r="L130" i="10" s="1"/>
  <c r="L133" i="10" a="1"/>
  <c r="L133" i="10" s="1"/>
  <c r="L136" i="10" a="1"/>
  <c r="L136" i="10" s="1"/>
  <c r="L139" i="10" a="1"/>
  <c r="L139" i="10" s="1"/>
  <c r="L142" i="10" a="1"/>
  <c r="L142" i="10" s="1"/>
  <c r="L145" i="10" a="1"/>
  <c r="L145" i="10" s="1"/>
  <c r="L148" i="10" a="1"/>
  <c r="L148" i="10" s="1"/>
  <c r="L151" i="10" a="1"/>
  <c r="L151" i="10" s="1"/>
  <c r="L154" i="10" a="1"/>
  <c r="L154" i="10" s="1"/>
  <c r="L157" i="10" a="1"/>
  <c r="L157" i="10" s="1"/>
  <c r="L160" i="10" a="1"/>
  <c r="L160" i="10" s="1"/>
  <c r="L163" i="10" a="1"/>
  <c r="L163" i="10" s="1"/>
  <c r="L166" i="10" a="1"/>
  <c r="L166" i="10" s="1"/>
  <c r="L169" i="10" a="1"/>
  <c r="L169" i="10" s="1"/>
  <c r="L172" i="10" a="1"/>
  <c r="L172" i="10" s="1"/>
  <c r="L175" i="10" a="1"/>
  <c r="L175" i="10" s="1"/>
  <c r="L178" i="10" a="1"/>
  <c r="L178" i="10" s="1"/>
  <c r="L181" i="10" a="1"/>
  <c r="L181" i="10" s="1"/>
  <c r="H39" i="13" l="1"/>
  <c r="I64" i="13"/>
  <c r="H69" i="13"/>
  <c r="I4" i="13"/>
  <c r="H9" i="13"/>
  <c r="G77" i="13"/>
  <c r="I16" i="13"/>
  <c r="H21" i="13"/>
  <c r="H57" i="13"/>
  <c r="H27" i="13"/>
  <c r="C47" i="11"/>
  <c r="I70" i="13"/>
  <c r="H75" i="13"/>
  <c r="I46" i="13"/>
  <c r="H51" i="13"/>
  <c r="I58" i="13"/>
  <c r="H63" i="13"/>
  <c r="I28" i="13"/>
  <c r="H33" i="13"/>
  <c r="I10" i="13"/>
  <c r="H15" i="13"/>
  <c r="I40" i="13"/>
  <c r="H45" i="13"/>
  <c r="I4" i="14"/>
  <c r="H77" i="14"/>
  <c r="F77" i="13"/>
  <c r="C21" i="11" s="1"/>
  <c r="F66" i="12"/>
  <c r="C33" i="11" s="1"/>
  <c r="G66" i="12"/>
  <c r="C45" i="7"/>
  <c r="C75" i="7"/>
  <c r="C27" i="7"/>
  <c r="C45" i="6"/>
  <c r="C57" i="7"/>
  <c r="C51" i="7"/>
  <c r="C69" i="7"/>
  <c r="C63" i="7"/>
  <c r="C39" i="7"/>
  <c r="C51" i="6"/>
  <c r="C75" i="6"/>
  <c r="C33" i="6"/>
  <c r="C63" i="6"/>
  <c r="C57" i="6"/>
  <c r="C39" i="6"/>
  <c r="H31" i="12"/>
  <c r="I31" i="12" s="1"/>
  <c r="I5" i="14"/>
  <c r="I52" i="14"/>
  <c r="I28" i="14"/>
  <c r="I34" i="14"/>
  <c r="I58" i="14"/>
  <c r="I40" i="14"/>
  <c r="I65" i="13"/>
  <c r="I52" i="13"/>
  <c r="I34" i="13"/>
  <c r="I22" i="13"/>
  <c r="H35" i="12"/>
  <c r="I35" i="12" s="1"/>
  <c r="H56" i="12"/>
  <c r="I56" i="12" s="1"/>
  <c r="H47" i="12"/>
  <c r="I47" i="12" s="1"/>
  <c r="H46" i="12"/>
  <c r="I46" i="12" s="1"/>
  <c r="H41" i="12"/>
  <c r="I41" i="12" s="1"/>
  <c r="H36" i="12"/>
  <c r="I36" i="12" s="1"/>
  <c r="H61" i="12"/>
  <c r="I61" i="12" s="1"/>
  <c r="H42" i="12"/>
  <c r="I42" i="12" s="1"/>
  <c r="H54" i="12"/>
  <c r="I54" i="12" s="1"/>
  <c r="H43" i="12"/>
  <c r="I43" i="12" s="1"/>
  <c r="H49" i="12"/>
  <c r="I49" i="12" s="1"/>
  <c r="H59" i="12"/>
  <c r="H50" i="12"/>
  <c r="I50" i="12" s="1"/>
  <c r="H57" i="12"/>
  <c r="I57" i="12" s="1"/>
  <c r="H25" i="12"/>
  <c r="I25" i="12" s="1"/>
  <c r="H58" i="12"/>
  <c r="I58" i="12" s="1"/>
  <c r="H28" i="12"/>
  <c r="I28" i="12" s="1"/>
  <c r="H15" i="12"/>
  <c r="I15" i="12" s="1"/>
  <c r="H11" i="12"/>
  <c r="I11" i="12" s="1"/>
  <c r="H16" i="12"/>
  <c r="I16" i="12" s="1"/>
  <c r="H29" i="12"/>
  <c r="H19" i="12"/>
  <c r="I19" i="12" s="1"/>
  <c r="H8" i="12"/>
  <c r="I8" i="12" s="1"/>
  <c r="H22" i="12"/>
  <c r="I22" i="12" s="1"/>
  <c r="H24" i="12"/>
  <c r="I24" i="12" s="1"/>
  <c r="H51" i="12"/>
  <c r="I51" i="12" s="1"/>
  <c r="H52" i="12"/>
  <c r="I52" i="12" s="1"/>
  <c r="H26" i="12"/>
  <c r="I26" i="12" s="1"/>
  <c r="H32" i="12"/>
  <c r="I32" i="12" s="1"/>
  <c r="H21" i="12"/>
  <c r="I21" i="12" s="1"/>
  <c r="H18" i="12"/>
  <c r="I18" i="12" s="1"/>
  <c r="H23" i="12"/>
  <c r="I23" i="12" s="1"/>
  <c r="H5" i="12"/>
  <c r="I5" i="12" s="1"/>
  <c r="H40" i="12"/>
  <c r="I40" i="12" s="1"/>
  <c r="H63" i="12"/>
  <c r="I63" i="12" s="1"/>
  <c r="H39" i="12"/>
  <c r="I39" i="12" s="1"/>
  <c r="H55" i="12"/>
  <c r="I55" i="12" s="1"/>
  <c r="H37" i="12"/>
  <c r="I37" i="12" s="1"/>
  <c r="H20" i="12"/>
  <c r="I20" i="12" s="1"/>
  <c r="H34" i="12"/>
  <c r="H4" i="12"/>
  <c r="H12" i="12"/>
  <c r="I12" i="12" s="1"/>
  <c r="H9" i="12"/>
  <c r="I9" i="12" s="1"/>
  <c r="H33" i="12"/>
  <c r="I33" i="12" s="1"/>
  <c r="H62" i="12"/>
  <c r="I62" i="12" s="1"/>
  <c r="H38" i="12"/>
  <c r="I38" i="12" s="1"/>
  <c r="H53" i="12"/>
  <c r="I53" i="12" s="1"/>
  <c r="H14" i="12"/>
  <c r="I14" i="12" s="1"/>
  <c r="H45" i="12"/>
  <c r="I45" i="12" s="1"/>
  <c r="H48" i="12"/>
  <c r="I48" i="12" s="1"/>
  <c r="H30" i="12"/>
  <c r="I30" i="12" s="1"/>
  <c r="H44" i="12"/>
  <c r="H60" i="12"/>
  <c r="I60" i="12" s="1"/>
  <c r="H13" i="12"/>
  <c r="I13" i="12" s="1"/>
  <c r="H10" i="12"/>
  <c r="I10" i="12" s="1"/>
  <c r="H6" i="12"/>
  <c r="I6" i="12" s="1"/>
  <c r="H17" i="12"/>
  <c r="I17" i="12" s="1"/>
  <c r="H7" i="12"/>
  <c r="I7" i="12" s="1"/>
  <c r="D183" i="10"/>
  <c r="D182" i="10"/>
  <c r="H181" i="10"/>
  <c r="G181" i="10"/>
  <c r="D180" i="10"/>
  <c r="D179" i="10"/>
  <c r="H178" i="10"/>
  <c r="G178" i="10"/>
  <c r="D177" i="10"/>
  <c r="D176" i="10"/>
  <c r="H175" i="10"/>
  <c r="G175" i="10"/>
  <c r="D174" i="10"/>
  <c r="D173" i="10"/>
  <c r="H172" i="10"/>
  <c r="G172" i="10"/>
  <c r="D171" i="10"/>
  <c r="D170" i="10"/>
  <c r="H169" i="10"/>
  <c r="G169" i="10"/>
  <c r="D168" i="10"/>
  <c r="D167" i="10"/>
  <c r="H166" i="10"/>
  <c r="G166" i="10"/>
  <c r="D165" i="10"/>
  <c r="D164" i="10"/>
  <c r="H163" i="10"/>
  <c r="G163" i="10"/>
  <c r="D162" i="10"/>
  <c r="D161" i="10"/>
  <c r="H160" i="10"/>
  <c r="G160" i="10"/>
  <c r="D159" i="10"/>
  <c r="D158" i="10"/>
  <c r="H157" i="10"/>
  <c r="G157" i="10"/>
  <c r="D156" i="10"/>
  <c r="D155" i="10"/>
  <c r="H154" i="10"/>
  <c r="G154" i="10"/>
  <c r="D153" i="10"/>
  <c r="D152" i="10"/>
  <c r="H151" i="10"/>
  <c r="G151" i="10"/>
  <c r="D150" i="10"/>
  <c r="D149" i="10"/>
  <c r="H148" i="10"/>
  <c r="G148" i="10"/>
  <c r="D147" i="10"/>
  <c r="D146" i="10"/>
  <c r="H145" i="10"/>
  <c r="G145" i="10"/>
  <c r="D144" i="10"/>
  <c r="D143" i="10"/>
  <c r="H142" i="10"/>
  <c r="G142" i="10"/>
  <c r="D141" i="10"/>
  <c r="D140" i="10"/>
  <c r="H139" i="10"/>
  <c r="G139" i="10"/>
  <c r="D138" i="10"/>
  <c r="D137" i="10"/>
  <c r="H136" i="10"/>
  <c r="G136" i="10"/>
  <c r="D135" i="10"/>
  <c r="D134" i="10"/>
  <c r="H133" i="10"/>
  <c r="G133" i="10"/>
  <c r="D132" i="10"/>
  <c r="D131" i="10"/>
  <c r="H130" i="10"/>
  <c r="G130" i="10"/>
  <c r="D129" i="10"/>
  <c r="D128" i="10"/>
  <c r="H127" i="10"/>
  <c r="G127" i="10"/>
  <c r="D126" i="10"/>
  <c r="D125" i="10"/>
  <c r="H124" i="10"/>
  <c r="G124" i="10"/>
  <c r="D123" i="10"/>
  <c r="D122" i="10"/>
  <c r="H121" i="10"/>
  <c r="G121" i="10"/>
  <c r="D120" i="10"/>
  <c r="D119" i="10"/>
  <c r="H118" i="10"/>
  <c r="G118" i="10"/>
  <c r="D117" i="10"/>
  <c r="D116" i="10"/>
  <c r="H115" i="10"/>
  <c r="G115" i="10"/>
  <c r="D114" i="10"/>
  <c r="D113" i="10"/>
  <c r="H112" i="10"/>
  <c r="G112" i="10"/>
  <c r="D111" i="10"/>
  <c r="D110" i="10"/>
  <c r="H109" i="10"/>
  <c r="G109" i="10"/>
  <c r="D108" i="10"/>
  <c r="D107" i="10"/>
  <c r="H106" i="10"/>
  <c r="G106" i="10"/>
  <c r="D105" i="10"/>
  <c r="D104" i="10"/>
  <c r="H103" i="10"/>
  <c r="G103" i="10"/>
  <c r="D102" i="10"/>
  <c r="D101" i="10"/>
  <c r="H100" i="10"/>
  <c r="G100" i="10"/>
  <c r="D99" i="10"/>
  <c r="D98" i="10"/>
  <c r="H97" i="10"/>
  <c r="G97" i="10"/>
  <c r="D96" i="10"/>
  <c r="D95" i="10"/>
  <c r="H94" i="10"/>
  <c r="G94" i="10"/>
  <c r="D93" i="10"/>
  <c r="D92" i="10"/>
  <c r="H91" i="10"/>
  <c r="G91" i="10"/>
  <c r="D90" i="10"/>
  <c r="D89" i="10"/>
  <c r="H88" i="10"/>
  <c r="G88" i="10"/>
  <c r="D87" i="10"/>
  <c r="D86" i="10"/>
  <c r="H85" i="10"/>
  <c r="G85" i="10"/>
  <c r="D84" i="10"/>
  <c r="D83" i="10"/>
  <c r="H82" i="10"/>
  <c r="G82" i="10"/>
  <c r="D81" i="10"/>
  <c r="D80" i="10"/>
  <c r="H79" i="10"/>
  <c r="G79" i="10"/>
  <c r="D78" i="10"/>
  <c r="D77" i="10"/>
  <c r="H76" i="10"/>
  <c r="G76" i="10"/>
  <c r="D75" i="10"/>
  <c r="D74" i="10"/>
  <c r="H73" i="10"/>
  <c r="G73" i="10"/>
  <c r="D72" i="10"/>
  <c r="D71" i="10"/>
  <c r="H70" i="10"/>
  <c r="G70" i="10"/>
  <c r="D69" i="10"/>
  <c r="D68" i="10"/>
  <c r="H67" i="10"/>
  <c r="G67" i="10"/>
  <c r="D66" i="10"/>
  <c r="D65" i="10"/>
  <c r="H64" i="10"/>
  <c r="G64" i="10"/>
  <c r="D63" i="10"/>
  <c r="D62" i="10"/>
  <c r="H61" i="10"/>
  <c r="G61" i="10"/>
  <c r="D60" i="10"/>
  <c r="D59" i="10"/>
  <c r="H58" i="10"/>
  <c r="G58" i="10"/>
  <c r="D57" i="10"/>
  <c r="D56" i="10"/>
  <c r="H55" i="10"/>
  <c r="G55" i="10"/>
  <c r="D54" i="10"/>
  <c r="D53" i="10"/>
  <c r="H52" i="10"/>
  <c r="G52" i="10"/>
  <c r="D51" i="10"/>
  <c r="D50" i="10"/>
  <c r="H49" i="10"/>
  <c r="G49" i="10"/>
  <c r="D48" i="10"/>
  <c r="D47" i="10"/>
  <c r="H46" i="10"/>
  <c r="G46" i="10"/>
  <c r="D45" i="10"/>
  <c r="D44" i="10"/>
  <c r="H43" i="10"/>
  <c r="G43" i="10"/>
  <c r="D42" i="10"/>
  <c r="D41" i="10"/>
  <c r="H40" i="10"/>
  <c r="G40" i="10"/>
  <c r="D39" i="10"/>
  <c r="D38" i="10"/>
  <c r="H37" i="10"/>
  <c r="G37" i="10"/>
  <c r="D36" i="10"/>
  <c r="H34" i="10"/>
  <c r="G34" i="10"/>
  <c r="D33" i="10"/>
  <c r="D32" i="10"/>
  <c r="H31" i="10"/>
  <c r="G31" i="10"/>
  <c r="D30" i="10"/>
  <c r="D29" i="10"/>
  <c r="H28" i="10"/>
  <c r="G28" i="10"/>
  <c r="D27" i="10"/>
  <c r="D26" i="10"/>
  <c r="H25" i="10"/>
  <c r="G25" i="10"/>
  <c r="D24" i="10"/>
  <c r="D23" i="10"/>
  <c r="H22" i="10"/>
  <c r="G22" i="10"/>
  <c r="D21" i="10"/>
  <c r="D20" i="10"/>
  <c r="H19" i="10"/>
  <c r="G19" i="10"/>
  <c r="D18" i="10"/>
  <c r="D17" i="10"/>
  <c r="H16" i="10"/>
  <c r="G16" i="10"/>
  <c r="D15" i="10"/>
  <c r="D14" i="10"/>
  <c r="H13" i="10"/>
  <c r="G13" i="10"/>
  <c r="D12" i="10"/>
  <c r="D11" i="10"/>
  <c r="H10" i="10"/>
  <c r="G10" i="10"/>
  <c r="D9" i="10"/>
  <c r="D8" i="10"/>
  <c r="H7" i="10"/>
  <c r="G7" i="10"/>
  <c r="D6" i="10"/>
  <c r="G4" i="10"/>
  <c r="K74" i="7" a="1"/>
  <c r="K74" i="7" s="1"/>
  <c r="E74" i="7" s="1"/>
  <c r="F183" i="10" s="1"/>
  <c r="J74" i="7" a="1"/>
  <c r="J74" i="7" s="1"/>
  <c r="D74" i="7" s="1"/>
  <c r="K73" i="7" a="1"/>
  <c r="K73" i="7" s="1"/>
  <c r="E73" i="7" s="1"/>
  <c r="F147" i="10" s="1"/>
  <c r="J73" i="7" a="1"/>
  <c r="J73" i="7" s="1"/>
  <c r="D73" i="7" s="1"/>
  <c r="K72" i="7" a="1"/>
  <c r="K72" i="7" s="1"/>
  <c r="E72" i="7" s="1"/>
  <c r="F111" i="10" s="1"/>
  <c r="J72" i="7" a="1"/>
  <c r="J72" i="7" s="1"/>
  <c r="D72" i="7" s="1"/>
  <c r="K71" i="7" a="1"/>
  <c r="K71" i="7" s="1"/>
  <c r="E71" i="7" s="1"/>
  <c r="F75" i="10" s="1"/>
  <c r="J71" i="7" a="1"/>
  <c r="J71" i="7" s="1"/>
  <c r="D71" i="7" s="1"/>
  <c r="K70" i="7" a="1"/>
  <c r="K70" i="7" s="1"/>
  <c r="E70" i="7" s="1"/>
  <c r="F39" i="10" s="1"/>
  <c r="J70" i="7" a="1"/>
  <c r="J70" i="7" s="1"/>
  <c r="D70" i="7" s="1"/>
  <c r="K68" i="7" a="1"/>
  <c r="K68" i="7" s="1"/>
  <c r="E68" i="7" s="1"/>
  <c r="F180" i="10" s="1"/>
  <c r="J68" i="7" a="1"/>
  <c r="J68" i="7" s="1"/>
  <c r="D68" i="7" s="1"/>
  <c r="K67" i="7" a="1"/>
  <c r="K67" i="7" s="1"/>
  <c r="E67" i="7" s="1"/>
  <c r="F144" i="10" s="1"/>
  <c r="J67" i="7" a="1"/>
  <c r="J67" i="7" s="1"/>
  <c r="D67" i="7" s="1"/>
  <c r="K66" i="7" a="1"/>
  <c r="K66" i="7" s="1"/>
  <c r="E66" i="7" s="1"/>
  <c r="F108" i="10" s="1"/>
  <c r="J66" i="7" a="1"/>
  <c r="J66" i="7" s="1"/>
  <c r="D66" i="7" s="1"/>
  <c r="K65" i="7" a="1"/>
  <c r="K65" i="7" s="1"/>
  <c r="E65" i="7" s="1"/>
  <c r="F72" i="10" s="1"/>
  <c r="J65" i="7" a="1"/>
  <c r="J65" i="7" s="1"/>
  <c r="D65" i="7" s="1"/>
  <c r="K64" i="7" a="1"/>
  <c r="K64" i="7" s="1"/>
  <c r="E64" i="7" s="1"/>
  <c r="F36" i="10" s="1"/>
  <c r="J64" i="7" a="1"/>
  <c r="J64" i="7" s="1"/>
  <c r="D64" i="7" s="1"/>
  <c r="K62" i="7" a="1"/>
  <c r="K62" i="7" s="1"/>
  <c r="E62" i="7" s="1"/>
  <c r="F177" i="10" s="1"/>
  <c r="J62" i="7" a="1"/>
  <c r="J62" i="7" s="1"/>
  <c r="D62" i="7" s="1"/>
  <c r="K61" i="7" a="1"/>
  <c r="K61" i="7" s="1"/>
  <c r="E61" i="7" s="1"/>
  <c r="F141" i="10" s="1"/>
  <c r="J61" i="7" a="1"/>
  <c r="J61" i="7" s="1"/>
  <c r="D61" i="7" s="1"/>
  <c r="K60" i="7" a="1"/>
  <c r="K60" i="7" s="1"/>
  <c r="E60" i="7" s="1"/>
  <c r="F105" i="10" s="1"/>
  <c r="J60" i="7" a="1"/>
  <c r="J60" i="7" s="1"/>
  <c r="D60" i="7" s="1"/>
  <c r="K59" i="7" a="1"/>
  <c r="K59" i="7" s="1"/>
  <c r="E59" i="7" s="1"/>
  <c r="F69" i="10" s="1"/>
  <c r="J59" i="7" a="1"/>
  <c r="J59" i="7" s="1"/>
  <c r="D59" i="7" s="1"/>
  <c r="K58" i="7" a="1"/>
  <c r="K58" i="7" s="1"/>
  <c r="E58" i="7" s="1"/>
  <c r="F33" i="10" s="1"/>
  <c r="J58" i="7" a="1"/>
  <c r="J58" i="7" s="1"/>
  <c r="D58" i="7" s="1"/>
  <c r="K56" i="7" a="1"/>
  <c r="K56" i="7" s="1"/>
  <c r="E56" i="7" s="1"/>
  <c r="F174" i="10" s="1"/>
  <c r="J56" i="7" a="1"/>
  <c r="J56" i="7" s="1"/>
  <c r="D56" i="7" s="1"/>
  <c r="K55" i="7" a="1"/>
  <c r="K55" i="7" s="1"/>
  <c r="E55" i="7" s="1"/>
  <c r="F138" i="10" s="1"/>
  <c r="J55" i="7" a="1"/>
  <c r="J55" i="7" s="1"/>
  <c r="D55" i="7" s="1"/>
  <c r="K54" i="7" a="1"/>
  <c r="K54" i="7" s="1"/>
  <c r="E54" i="7" s="1"/>
  <c r="F102" i="10" s="1"/>
  <c r="J54" i="7" a="1"/>
  <c r="J54" i="7" s="1"/>
  <c r="D54" i="7" s="1"/>
  <c r="K53" i="7" a="1"/>
  <c r="K53" i="7" s="1"/>
  <c r="E53" i="7" s="1"/>
  <c r="F66" i="10" s="1"/>
  <c r="J53" i="7" a="1"/>
  <c r="J53" i="7" s="1"/>
  <c r="D53" i="7" s="1"/>
  <c r="K52" i="7" a="1"/>
  <c r="K52" i="7" s="1"/>
  <c r="E52" i="7" s="1"/>
  <c r="F30" i="10" s="1"/>
  <c r="J52" i="7" a="1"/>
  <c r="J52" i="7" s="1"/>
  <c r="D52" i="7" s="1"/>
  <c r="K50" i="7" a="1"/>
  <c r="K50" i="7" s="1"/>
  <c r="E50" i="7" s="1"/>
  <c r="F171" i="10" s="1"/>
  <c r="J50" i="7" a="1"/>
  <c r="J50" i="7" s="1"/>
  <c r="D50" i="7" s="1"/>
  <c r="K49" i="7" a="1"/>
  <c r="K49" i="7" s="1"/>
  <c r="E49" i="7" s="1"/>
  <c r="F135" i="10" s="1"/>
  <c r="J49" i="7" a="1"/>
  <c r="J49" i="7" s="1"/>
  <c r="D49" i="7" s="1"/>
  <c r="K48" i="7" a="1"/>
  <c r="K48" i="7" s="1"/>
  <c r="E48" i="7" s="1"/>
  <c r="F99" i="10" s="1"/>
  <c r="J48" i="7" a="1"/>
  <c r="J48" i="7" s="1"/>
  <c r="D48" i="7" s="1"/>
  <c r="K47" i="7" a="1"/>
  <c r="K47" i="7" s="1"/>
  <c r="E47" i="7" s="1"/>
  <c r="G47" i="7" s="1"/>
  <c r="J47" i="7" a="1"/>
  <c r="J47" i="7" s="1"/>
  <c r="D47" i="7" s="1"/>
  <c r="K46" i="7" a="1"/>
  <c r="K46" i="7" s="1"/>
  <c r="E46" i="7" s="1"/>
  <c r="F27" i="10" s="1"/>
  <c r="J46" i="7" a="1"/>
  <c r="J46" i="7" s="1"/>
  <c r="D46" i="7" s="1"/>
  <c r="K44" i="7" a="1"/>
  <c r="K44" i="7" s="1"/>
  <c r="E44" i="7" s="1"/>
  <c r="F168" i="10" s="1"/>
  <c r="J44" i="7" a="1"/>
  <c r="J44" i="7" s="1"/>
  <c r="D44" i="7" s="1"/>
  <c r="K43" i="7" a="1"/>
  <c r="K43" i="7" s="1"/>
  <c r="E43" i="7" s="1"/>
  <c r="F132" i="10" s="1"/>
  <c r="J43" i="7" a="1"/>
  <c r="J43" i="7" s="1"/>
  <c r="D43" i="7" s="1"/>
  <c r="K42" i="7" a="1"/>
  <c r="K42" i="7" s="1"/>
  <c r="E42" i="7" s="1"/>
  <c r="F96" i="10" s="1"/>
  <c r="J42" i="7" a="1"/>
  <c r="J42" i="7" s="1"/>
  <c r="D42" i="7" s="1"/>
  <c r="K41" i="7" a="1"/>
  <c r="K41" i="7" s="1"/>
  <c r="E41" i="7" s="1"/>
  <c r="F60" i="10" s="1"/>
  <c r="J41" i="7" a="1"/>
  <c r="J41" i="7" s="1"/>
  <c r="D41" i="7" s="1"/>
  <c r="K40" i="7" a="1"/>
  <c r="K40" i="7" s="1"/>
  <c r="E40" i="7" s="1"/>
  <c r="J40" i="7"/>
  <c r="D40" i="7" s="1"/>
  <c r="E24" i="10" s="1"/>
  <c r="J40" i="7" a="1"/>
  <c r="K38" i="7" a="1"/>
  <c r="K38" i="7" s="1"/>
  <c r="E38" i="7" s="1"/>
  <c r="G38" i="7" s="1"/>
  <c r="J38" i="7" a="1"/>
  <c r="J38" i="7" s="1"/>
  <c r="D38" i="7" s="1"/>
  <c r="E165" i="10" s="1"/>
  <c r="K37" i="7" a="1"/>
  <c r="K37" i="7" s="1"/>
  <c r="E37" i="7" s="1"/>
  <c r="G37" i="7" s="1"/>
  <c r="J37" i="7" a="1"/>
  <c r="J37" i="7" s="1"/>
  <c r="D37" i="7" s="1"/>
  <c r="E129" i="10" s="1"/>
  <c r="K36" i="7" a="1"/>
  <c r="K36" i="7" s="1"/>
  <c r="E36" i="7" s="1"/>
  <c r="G36" i="7" s="1"/>
  <c r="J36" i="7" a="1"/>
  <c r="J36" i="7" s="1"/>
  <c r="D36" i="7" s="1"/>
  <c r="E93" i="10" s="1"/>
  <c r="K35" i="7" a="1"/>
  <c r="K35" i="7" s="1"/>
  <c r="E35" i="7" s="1"/>
  <c r="G35" i="7" s="1"/>
  <c r="J35" i="7" a="1"/>
  <c r="J35" i="7" s="1"/>
  <c r="D35" i="7" s="1"/>
  <c r="E57" i="10" s="1"/>
  <c r="K34" i="7" a="1"/>
  <c r="K34" i="7" s="1"/>
  <c r="E34" i="7" s="1"/>
  <c r="G34" i="7" s="1"/>
  <c r="J34" i="7" a="1"/>
  <c r="J34" i="7" s="1"/>
  <c r="D34" i="7" s="1"/>
  <c r="E21" i="10" s="1"/>
  <c r="K32" i="7" a="1"/>
  <c r="K32" i="7" s="1"/>
  <c r="E32" i="7" s="1"/>
  <c r="J32" i="7" a="1"/>
  <c r="J32" i="7" s="1"/>
  <c r="D32" i="7" s="1"/>
  <c r="E162" i="10" s="1"/>
  <c r="K31" i="7" a="1"/>
  <c r="K31" i="7" s="1"/>
  <c r="E31" i="7" s="1"/>
  <c r="J31" i="7" a="1"/>
  <c r="J31" i="7" s="1"/>
  <c r="D31" i="7" s="1"/>
  <c r="E126" i="10" s="1"/>
  <c r="K30" i="7" a="1"/>
  <c r="K30" i="7" s="1"/>
  <c r="E30" i="7" s="1"/>
  <c r="J30" i="7" a="1"/>
  <c r="J30" i="7" s="1"/>
  <c r="D30" i="7" s="1"/>
  <c r="E90" i="10" s="1"/>
  <c r="K29" i="7" a="1"/>
  <c r="K29" i="7" s="1"/>
  <c r="E29" i="7" s="1"/>
  <c r="J29" i="7" a="1"/>
  <c r="J29" i="7" s="1"/>
  <c r="D29" i="7" s="1"/>
  <c r="E54" i="10" s="1"/>
  <c r="K28" i="7" a="1"/>
  <c r="K28" i="7" s="1"/>
  <c r="E28" i="7" s="1"/>
  <c r="J28" i="7" a="1"/>
  <c r="J28" i="7" s="1"/>
  <c r="D28" i="7" s="1"/>
  <c r="E18" i="10" s="1"/>
  <c r="K26" i="7" a="1"/>
  <c r="K26" i="7" s="1"/>
  <c r="E26" i="7" s="1"/>
  <c r="G26" i="7" s="1"/>
  <c r="J26" i="7" a="1"/>
  <c r="J26" i="7" s="1"/>
  <c r="D26" i="7" s="1"/>
  <c r="E159" i="10" s="1"/>
  <c r="K25" i="7" a="1"/>
  <c r="K25" i="7" s="1"/>
  <c r="E25" i="7" s="1"/>
  <c r="G25" i="7" s="1"/>
  <c r="J25" i="7" a="1"/>
  <c r="J25" i="7" s="1"/>
  <c r="D25" i="7" s="1"/>
  <c r="E123" i="10" s="1"/>
  <c r="K24" i="7" a="1"/>
  <c r="K24" i="7" s="1"/>
  <c r="E24" i="7" s="1"/>
  <c r="G24" i="7" s="1"/>
  <c r="J24" i="7" a="1"/>
  <c r="J24" i="7" s="1"/>
  <c r="D24" i="7" s="1"/>
  <c r="E87" i="10" s="1"/>
  <c r="K23" i="7" a="1"/>
  <c r="K23" i="7" s="1"/>
  <c r="E23" i="7" s="1"/>
  <c r="G23" i="7" s="1"/>
  <c r="J23" i="7" a="1"/>
  <c r="J23" i="7" s="1"/>
  <c r="D23" i="7" s="1"/>
  <c r="E51" i="10" s="1"/>
  <c r="K22" i="7" a="1"/>
  <c r="K22" i="7" s="1"/>
  <c r="E22" i="7" s="1"/>
  <c r="G22" i="7" s="1"/>
  <c r="J22" i="7" a="1"/>
  <c r="J22" i="7" s="1"/>
  <c r="D22" i="7" s="1"/>
  <c r="E15" i="10" s="1"/>
  <c r="K20" i="7" a="1"/>
  <c r="K20" i="7" s="1"/>
  <c r="E20" i="7" s="1"/>
  <c r="J20" i="7" a="1"/>
  <c r="J20" i="7" s="1"/>
  <c r="D20" i="7" s="1"/>
  <c r="E156" i="10" s="1"/>
  <c r="K19" i="7" a="1"/>
  <c r="K19" i="7" s="1"/>
  <c r="E19" i="7" s="1"/>
  <c r="J19" i="7" a="1"/>
  <c r="J19" i="7" s="1"/>
  <c r="D19" i="7" s="1"/>
  <c r="E120" i="10" s="1"/>
  <c r="K18" i="7" a="1"/>
  <c r="K18" i="7" s="1"/>
  <c r="E18" i="7" s="1"/>
  <c r="J18" i="7" a="1"/>
  <c r="J18" i="7" s="1"/>
  <c r="D18" i="7" s="1"/>
  <c r="E84" i="10" s="1"/>
  <c r="K17" i="7" a="1"/>
  <c r="K17" i="7" s="1"/>
  <c r="E17" i="7" s="1"/>
  <c r="J17" i="7" a="1"/>
  <c r="J17" i="7" s="1"/>
  <c r="D17" i="7" s="1"/>
  <c r="E48" i="10" s="1"/>
  <c r="K16" i="7" a="1"/>
  <c r="K16" i="7" s="1"/>
  <c r="E16" i="7" s="1"/>
  <c r="J16" i="7" a="1"/>
  <c r="J16" i="7" s="1"/>
  <c r="D16" i="7" s="1"/>
  <c r="E12" i="10" s="1"/>
  <c r="K14" i="7" a="1"/>
  <c r="K14" i="7" s="1"/>
  <c r="E14" i="7" s="1"/>
  <c r="G14" i="7" s="1"/>
  <c r="J14" i="7" a="1"/>
  <c r="J14" i="7" s="1"/>
  <c r="D14" i="7" s="1"/>
  <c r="E153" i="10" s="1"/>
  <c r="K13" i="7" a="1"/>
  <c r="K13" i="7" s="1"/>
  <c r="E13" i="7" s="1"/>
  <c r="G13" i="7" s="1"/>
  <c r="J13" i="7" a="1"/>
  <c r="J13" i="7" s="1"/>
  <c r="D13" i="7" s="1"/>
  <c r="E117" i="10" s="1"/>
  <c r="K12" i="7" a="1"/>
  <c r="K12" i="7" s="1"/>
  <c r="E12" i="7" s="1"/>
  <c r="G12" i="7" s="1"/>
  <c r="J12" i="7" a="1"/>
  <c r="J12" i="7" s="1"/>
  <c r="D12" i="7" s="1"/>
  <c r="E81" i="10" s="1"/>
  <c r="K11" i="7" a="1"/>
  <c r="K11" i="7" s="1"/>
  <c r="E11" i="7" s="1"/>
  <c r="G11" i="7" s="1"/>
  <c r="J11" i="7" a="1"/>
  <c r="J11" i="7" s="1"/>
  <c r="D11" i="7" s="1"/>
  <c r="E45" i="10" s="1"/>
  <c r="K10" i="7" a="1"/>
  <c r="K10" i="7" s="1"/>
  <c r="E10" i="7" s="1"/>
  <c r="G10" i="7" s="1"/>
  <c r="J10" i="7" a="1"/>
  <c r="J10" i="7" s="1"/>
  <c r="D10" i="7" s="1"/>
  <c r="E9" i="10" s="1"/>
  <c r="K8" i="7" a="1"/>
  <c r="K8" i="7" s="1"/>
  <c r="E8" i="7" s="1"/>
  <c r="F150" i="10" s="1"/>
  <c r="J8" i="7" a="1"/>
  <c r="J8" i="7" s="1"/>
  <c r="D8" i="7" s="1"/>
  <c r="E150" i="10" s="1"/>
  <c r="K7" i="7" a="1"/>
  <c r="K7" i="7" s="1"/>
  <c r="E7" i="7" s="1"/>
  <c r="F114" i="10" s="1"/>
  <c r="J7" i="7" a="1"/>
  <c r="J7" i="7" s="1"/>
  <c r="D7" i="7" s="1"/>
  <c r="E114" i="10" s="1"/>
  <c r="K6" i="7" a="1"/>
  <c r="K6" i="7" s="1"/>
  <c r="E6" i="7" s="1"/>
  <c r="F78" i="10" s="1"/>
  <c r="J6" i="7" a="1"/>
  <c r="J6" i="7" s="1"/>
  <c r="D6" i="7" s="1"/>
  <c r="E78" i="10" s="1"/>
  <c r="K5" i="7" a="1"/>
  <c r="K5" i="7" s="1"/>
  <c r="E5" i="7" s="1"/>
  <c r="F42" i="10" s="1"/>
  <c r="J5" i="7" a="1"/>
  <c r="J5" i="7" s="1"/>
  <c r="D5" i="7" s="1"/>
  <c r="E42" i="10" s="1"/>
  <c r="K4" i="7" a="1"/>
  <c r="K4" i="7" s="1"/>
  <c r="E4" i="7" s="1"/>
  <c r="F6" i="10" s="1"/>
  <c r="J4" i="7" a="1"/>
  <c r="J4" i="7" s="1"/>
  <c r="D4" i="7" s="1"/>
  <c r="E6" i="10" s="1"/>
  <c r="K74" i="6" a="1"/>
  <c r="K74" i="6" s="1"/>
  <c r="E74" i="6" s="1"/>
  <c r="G74" i="6" s="1"/>
  <c r="J74" i="6" a="1"/>
  <c r="J74" i="6" s="1"/>
  <c r="D74" i="6" s="1"/>
  <c r="F74" i="6" s="1"/>
  <c r="K73" i="6" a="1"/>
  <c r="K73" i="6" s="1"/>
  <c r="E73" i="6" s="1"/>
  <c r="G73" i="6" s="1"/>
  <c r="J73" i="6" a="1"/>
  <c r="J73" i="6" s="1"/>
  <c r="D73" i="6" s="1"/>
  <c r="F73" i="6" s="1"/>
  <c r="K72" i="6" a="1"/>
  <c r="K72" i="6" s="1"/>
  <c r="E72" i="6" s="1"/>
  <c r="G72" i="6" s="1"/>
  <c r="J72" i="6" a="1"/>
  <c r="J72" i="6" s="1"/>
  <c r="D72" i="6" s="1"/>
  <c r="F72" i="6" s="1"/>
  <c r="K71" i="6" a="1"/>
  <c r="K71" i="6" s="1"/>
  <c r="E71" i="6" s="1"/>
  <c r="F74" i="10" s="1"/>
  <c r="J71" i="6" a="1"/>
  <c r="J71" i="6" s="1"/>
  <c r="D71" i="6" s="1"/>
  <c r="E74" i="10" s="1"/>
  <c r="K70" i="6" a="1"/>
  <c r="K70" i="6" s="1"/>
  <c r="E70" i="6" s="1"/>
  <c r="F38" i="10" s="1"/>
  <c r="J70" i="6" a="1"/>
  <c r="J70" i="6" s="1"/>
  <c r="D70" i="6" s="1"/>
  <c r="E38" i="10" s="1"/>
  <c r="K68" i="6" a="1"/>
  <c r="K68" i="6" s="1"/>
  <c r="E68" i="6" s="1"/>
  <c r="G68" i="6" s="1"/>
  <c r="J68" i="6" a="1"/>
  <c r="J68" i="6" s="1"/>
  <c r="D68" i="6" s="1"/>
  <c r="F68" i="6" s="1"/>
  <c r="K67" i="6" a="1"/>
  <c r="K67" i="6" s="1"/>
  <c r="E67" i="6" s="1"/>
  <c r="G67" i="6" s="1"/>
  <c r="J67" i="6" a="1"/>
  <c r="J67" i="6" s="1"/>
  <c r="D67" i="6" s="1"/>
  <c r="F67" i="6" s="1"/>
  <c r="K66" i="6" a="1"/>
  <c r="K66" i="6" s="1"/>
  <c r="E66" i="6" s="1"/>
  <c r="G66" i="6" s="1"/>
  <c r="J66" i="6" a="1"/>
  <c r="J66" i="6" s="1"/>
  <c r="D66" i="6" s="1"/>
  <c r="F66" i="6" s="1"/>
  <c r="K65" i="6" a="1"/>
  <c r="K65" i="6" s="1"/>
  <c r="E65" i="6" s="1"/>
  <c r="F71" i="10" s="1"/>
  <c r="J65" i="6" a="1"/>
  <c r="J65" i="6" s="1"/>
  <c r="D65" i="6" s="1"/>
  <c r="E71" i="10" s="1"/>
  <c r="K64" i="6" a="1"/>
  <c r="K64" i="6" s="1"/>
  <c r="E64" i="6" s="1"/>
  <c r="F35" i="10" s="1"/>
  <c r="J64" i="6" a="1"/>
  <c r="J64" i="6" s="1"/>
  <c r="D64" i="6" s="1"/>
  <c r="E35" i="10" s="1"/>
  <c r="K62" i="6" a="1"/>
  <c r="K62" i="6" s="1"/>
  <c r="E62" i="6" s="1"/>
  <c r="G62" i="6" s="1"/>
  <c r="J62" i="6" a="1"/>
  <c r="J62" i="6" s="1"/>
  <c r="D62" i="6" s="1"/>
  <c r="F62" i="6" s="1"/>
  <c r="K61" i="6" a="1"/>
  <c r="K61" i="6" s="1"/>
  <c r="E61" i="6" s="1"/>
  <c r="G61" i="6" s="1"/>
  <c r="J61" i="6" a="1"/>
  <c r="J61" i="6" s="1"/>
  <c r="D61" i="6" s="1"/>
  <c r="F61" i="6" s="1"/>
  <c r="K60" i="6" a="1"/>
  <c r="K60" i="6" s="1"/>
  <c r="E60" i="6" s="1"/>
  <c r="G60" i="6" s="1"/>
  <c r="J60" i="6" a="1"/>
  <c r="J60" i="6" s="1"/>
  <c r="D60" i="6" s="1"/>
  <c r="F60" i="6" s="1"/>
  <c r="K59" i="6" a="1"/>
  <c r="K59" i="6" s="1"/>
  <c r="E59" i="6" s="1"/>
  <c r="F68" i="10" s="1"/>
  <c r="J59" i="6" a="1"/>
  <c r="J59" i="6" s="1"/>
  <c r="D59" i="6" s="1"/>
  <c r="E68" i="10" s="1"/>
  <c r="K58" i="6" a="1"/>
  <c r="K58" i="6" s="1"/>
  <c r="E58" i="6" s="1"/>
  <c r="F32" i="10" s="1"/>
  <c r="J58" i="6" a="1"/>
  <c r="J58" i="6" s="1"/>
  <c r="D58" i="6" s="1"/>
  <c r="E32" i="10" s="1"/>
  <c r="K56" i="6" a="1"/>
  <c r="K56" i="6" s="1"/>
  <c r="E56" i="6" s="1"/>
  <c r="G56" i="6" s="1"/>
  <c r="J56" i="6" a="1"/>
  <c r="J56" i="6" s="1"/>
  <c r="D56" i="6" s="1"/>
  <c r="F56" i="6" s="1"/>
  <c r="K55" i="6" a="1"/>
  <c r="K55" i="6" s="1"/>
  <c r="E55" i="6" s="1"/>
  <c r="G55" i="6" s="1"/>
  <c r="J55" i="6" a="1"/>
  <c r="J55" i="6" s="1"/>
  <c r="D55" i="6" s="1"/>
  <c r="F55" i="6" s="1"/>
  <c r="K54" i="6" a="1"/>
  <c r="K54" i="6" s="1"/>
  <c r="E54" i="6" s="1"/>
  <c r="G54" i="6" s="1"/>
  <c r="J54" i="6" a="1"/>
  <c r="J54" i="6" s="1"/>
  <c r="D54" i="6" s="1"/>
  <c r="F54" i="6" s="1"/>
  <c r="K53" i="6" a="1"/>
  <c r="K53" i="6" s="1"/>
  <c r="E53" i="6" s="1"/>
  <c r="F65" i="10" s="1"/>
  <c r="J53" i="6" a="1"/>
  <c r="J53" i="6" s="1"/>
  <c r="D53" i="6" s="1"/>
  <c r="E65" i="10" s="1"/>
  <c r="K52" i="6" a="1"/>
  <c r="K52" i="6" s="1"/>
  <c r="E52" i="6" s="1"/>
  <c r="F29" i="10" s="1"/>
  <c r="J52" i="6" a="1"/>
  <c r="J52" i="6" s="1"/>
  <c r="D52" i="6" s="1"/>
  <c r="E29" i="10" s="1"/>
  <c r="K50" i="6" a="1"/>
  <c r="K50" i="6" s="1"/>
  <c r="E50" i="6" s="1"/>
  <c r="F170" i="10" s="1"/>
  <c r="J50" i="6" a="1"/>
  <c r="J50" i="6" s="1"/>
  <c r="D50" i="6" s="1"/>
  <c r="F50" i="6" s="1"/>
  <c r="K49" i="6" a="1"/>
  <c r="K49" i="6" s="1"/>
  <c r="E49" i="6" s="1"/>
  <c r="F134" i="10" s="1"/>
  <c r="J49" i="6" a="1"/>
  <c r="J49" i="6" s="1"/>
  <c r="D49" i="6" s="1"/>
  <c r="F49" i="6" s="1"/>
  <c r="K48" i="6" a="1"/>
  <c r="K48" i="6" s="1"/>
  <c r="E48" i="6" s="1"/>
  <c r="F98" i="10" s="1"/>
  <c r="J48" i="6" a="1"/>
  <c r="J48" i="6" s="1"/>
  <c r="D48" i="6" s="1"/>
  <c r="F48" i="6" s="1"/>
  <c r="K47" i="6" a="1"/>
  <c r="K47" i="6" s="1"/>
  <c r="E47" i="6" s="1"/>
  <c r="F62" i="10" s="1"/>
  <c r="J47" i="6" a="1"/>
  <c r="J47" i="6" s="1"/>
  <c r="D47" i="6" s="1"/>
  <c r="E62" i="10" s="1"/>
  <c r="K46" i="6" a="1"/>
  <c r="K46" i="6" s="1"/>
  <c r="E46" i="6" s="1"/>
  <c r="F26" i="10" s="1"/>
  <c r="J46" i="6" a="1"/>
  <c r="J46" i="6" s="1"/>
  <c r="D46" i="6" s="1"/>
  <c r="E26" i="10" s="1"/>
  <c r="K44" i="6" a="1"/>
  <c r="K44" i="6" s="1"/>
  <c r="E44" i="6" s="1"/>
  <c r="F167" i="10" s="1"/>
  <c r="J44" i="6" a="1"/>
  <c r="J44" i="6" s="1"/>
  <c r="D44" i="6" s="1"/>
  <c r="E167" i="10" s="1"/>
  <c r="K43" i="6" a="1"/>
  <c r="K43" i="6" s="1"/>
  <c r="E43" i="6" s="1"/>
  <c r="F131" i="10" s="1"/>
  <c r="J43" i="6" a="1"/>
  <c r="J43" i="6" s="1"/>
  <c r="D43" i="6" s="1"/>
  <c r="F43" i="6" s="1"/>
  <c r="K42" i="6" a="1"/>
  <c r="K42" i="6" s="1"/>
  <c r="E42" i="6" s="1"/>
  <c r="F95" i="10" s="1"/>
  <c r="J42" i="6" a="1"/>
  <c r="J42" i="6" s="1"/>
  <c r="D42" i="6" s="1"/>
  <c r="E95" i="10" s="1"/>
  <c r="K41" i="6" a="1"/>
  <c r="K41" i="6" s="1"/>
  <c r="E41" i="6" s="1"/>
  <c r="F59" i="10" s="1"/>
  <c r="J41" i="6" a="1"/>
  <c r="J41" i="6" s="1"/>
  <c r="D41" i="6" s="1"/>
  <c r="E56" i="10" s="1"/>
  <c r="K40" i="6" a="1"/>
  <c r="K40" i="6" s="1"/>
  <c r="E40" i="6" s="1"/>
  <c r="F23" i="10" s="1"/>
  <c r="J40" i="6" a="1"/>
  <c r="J40" i="6" s="1"/>
  <c r="D40" i="6" s="1"/>
  <c r="E23" i="10" s="1"/>
  <c r="K38" i="6" a="1"/>
  <c r="K38" i="6" s="1"/>
  <c r="E38" i="6" s="1"/>
  <c r="F164" i="10" s="1"/>
  <c r="J38" i="6" a="1"/>
  <c r="J38" i="6" s="1"/>
  <c r="D38" i="6" s="1"/>
  <c r="E164" i="10" s="1"/>
  <c r="K37" i="6" a="1"/>
  <c r="K37" i="6" s="1"/>
  <c r="E37" i="6" s="1"/>
  <c r="F128" i="10" s="1"/>
  <c r="J37" i="6" a="1"/>
  <c r="J37" i="6" s="1"/>
  <c r="D37" i="6" s="1"/>
  <c r="E128" i="10" s="1"/>
  <c r="K36" i="6" a="1"/>
  <c r="K36" i="6" s="1"/>
  <c r="E36" i="6" s="1"/>
  <c r="F92" i="10" s="1"/>
  <c r="J36" i="6" a="1"/>
  <c r="J36" i="6" s="1"/>
  <c r="D36" i="6" s="1"/>
  <c r="E92" i="10" s="1"/>
  <c r="K35" i="6" a="1"/>
  <c r="K35" i="6" s="1"/>
  <c r="E35" i="6" s="1"/>
  <c r="G35" i="6" s="1"/>
  <c r="J35" i="6" a="1"/>
  <c r="J35" i="6" s="1"/>
  <c r="D35" i="6" s="1"/>
  <c r="F35" i="6" s="1"/>
  <c r="K34" i="6" a="1"/>
  <c r="K34" i="6" s="1"/>
  <c r="E34" i="6" s="1"/>
  <c r="F20" i="10" s="1"/>
  <c r="J34" i="6" a="1"/>
  <c r="J34" i="6" s="1"/>
  <c r="D34" i="6" s="1"/>
  <c r="F34" i="6" s="1"/>
  <c r="K32" i="6" a="1"/>
  <c r="K32" i="6" s="1"/>
  <c r="E32" i="6" s="1"/>
  <c r="F161" i="10" s="1"/>
  <c r="J32" i="6" a="1"/>
  <c r="J32" i="6" s="1"/>
  <c r="D32" i="6" s="1"/>
  <c r="E161" i="10" s="1"/>
  <c r="K31" i="6" a="1"/>
  <c r="K31" i="6" s="1"/>
  <c r="E31" i="6" s="1"/>
  <c r="F125" i="10" s="1"/>
  <c r="J31" i="6" a="1"/>
  <c r="J31" i="6" s="1"/>
  <c r="D31" i="6" s="1"/>
  <c r="E125" i="10" s="1"/>
  <c r="K30" i="6" a="1"/>
  <c r="K30" i="6" s="1"/>
  <c r="E30" i="6" s="1"/>
  <c r="F89" i="10" s="1"/>
  <c r="J30" i="6" a="1"/>
  <c r="J30" i="6" s="1"/>
  <c r="D30" i="6" s="1"/>
  <c r="F30" i="6" s="1"/>
  <c r="K29" i="6" a="1"/>
  <c r="K29" i="6" s="1"/>
  <c r="E29" i="6" s="1"/>
  <c r="F53" i="10" s="1"/>
  <c r="J29" i="6" a="1"/>
  <c r="J29" i="6" s="1"/>
  <c r="D29" i="6" s="1"/>
  <c r="F29" i="6" s="1"/>
  <c r="K28" i="6" a="1"/>
  <c r="K28" i="6" s="1"/>
  <c r="E28" i="6" s="1"/>
  <c r="F17" i="10" s="1"/>
  <c r="J28" i="6" a="1"/>
  <c r="J28" i="6" s="1"/>
  <c r="D28" i="6" s="1"/>
  <c r="E17" i="10" s="1"/>
  <c r="K26" i="6" a="1"/>
  <c r="K26" i="6" s="1"/>
  <c r="E26" i="6" s="1"/>
  <c r="F158" i="10" s="1"/>
  <c r="J26" i="6" a="1"/>
  <c r="J26" i="6" s="1"/>
  <c r="D26" i="6" s="1"/>
  <c r="E158" i="10" s="1"/>
  <c r="K25" i="6" a="1"/>
  <c r="K25" i="6" s="1"/>
  <c r="E25" i="6" s="1"/>
  <c r="F122" i="10" s="1"/>
  <c r="J25" i="6" a="1"/>
  <c r="J25" i="6" s="1"/>
  <c r="D25" i="6" s="1"/>
  <c r="F25" i="6" s="1"/>
  <c r="K24" i="6" a="1"/>
  <c r="K24" i="6" s="1"/>
  <c r="E24" i="6" s="1"/>
  <c r="F86" i="10" s="1"/>
  <c r="J24" i="6" a="1"/>
  <c r="J24" i="6" s="1"/>
  <c r="D24" i="6" s="1"/>
  <c r="F24" i="6" s="1"/>
  <c r="K23" i="6" a="1"/>
  <c r="K23" i="6" s="1"/>
  <c r="E23" i="6" s="1"/>
  <c r="F50" i="10" s="1"/>
  <c r="J23" i="6" a="1"/>
  <c r="J23" i="6" s="1"/>
  <c r="D23" i="6" s="1"/>
  <c r="E50" i="10" s="1"/>
  <c r="K22" i="6" a="1"/>
  <c r="K22" i="6" s="1"/>
  <c r="E22" i="6" s="1"/>
  <c r="F14" i="10" s="1"/>
  <c r="J22" i="6" a="1"/>
  <c r="J22" i="6" s="1"/>
  <c r="D22" i="6" s="1"/>
  <c r="E14" i="10" s="1"/>
  <c r="K20" i="6" a="1"/>
  <c r="K20" i="6" s="1"/>
  <c r="E20" i="6" s="1"/>
  <c r="F155" i="10" s="1"/>
  <c r="J20" i="6" a="1"/>
  <c r="J20" i="6" s="1"/>
  <c r="D20" i="6" s="1"/>
  <c r="E155" i="10" s="1"/>
  <c r="K19" i="6" a="1"/>
  <c r="K19" i="6" s="1"/>
  <c r="E19" i="6" s="1"/>
  <c r="F119" i="10" s="1"/>
  <c r="J19" i="6" a="1"/>
  <c r="J19" i="6" s="1"/>
  <c r="D19" i="6" s="1"/>
  <c r="F19" i="6" s="1"/>
  <c r="K18" i="6" a="1"/>
  <c r="K18" i="6" s="1"/>
  <c r="E18" i="6" s="1"/>
  <c r="F83" i="10" s="1"/>
  <c r="J18" i="6" a="1"/>
  <c r="J18" i="6" s="1"/>
  <c r="D18" i="6" s="1"/>
  <c r="E83" i="10" s="1"/>
  <c r="K17" i="6" a="1"/>
  <c r="K17" i="6" s="1"/>
  <c r="E17" i="6" s="1"/>
  <c r="F47" i="10" s="1"/>
  <c r="J17" i="6" a="1"/>
  <c r="J17" i="6" s="1"/>
  <c r="D17" i="6" s="1"/>
  <c r="E47" i="10" s="1"/>
  <c r="K16" i="6" a="1"/>
  <c r="K16" i="6" s="1"/>
  <c r="E16" i="6" s="1"/>
  <c r="F11" i="10" s="1"/>
  <c r="J16" i="6" a="1"/>
  <c r="J16" i="6" s="1"/>
  <c r="D16" i="6" s="1"/>
  <c r="E11" i="10" s="1"/>
  <c r="K14" i="6" a="1"/>
  <c r="K14" i="6" s="1"/>
  <c r="E14" i="6" s="1"/>
  <c r="F152" i="10" s="1"/>
  <c r="J14" i="6" a="1"/>
  <c r="J14" i="6" s="1"/>
  <c r="D14" i="6" s="1"/>
  <c r="E152" i="10" s="1"/>
  <c r="K13" i="6" a="1"/>
  <c r="K13" i="6" s="1"/>
  <c r="E13" i="6" s="1"/>
  <c r="F116" i="10" s="1"/>
  <c r="J13" i="6" a="1"/>
  <c r="J13" i="6" s="1"/>
  <c r="D13" i="6" s="1"/>
  <c r="E116" i="10" s="1"/>
  <c r="K12" i="6" a="1"/>
  <c r="K12" i="6" s="1"/>
  <c r="E12" i="6" s="1"/>
  <c r="F80" i="10" s="1"/>
  <c r="J12" i="6" a="1"/>
  <c r="J12" i="6" s="1"/>
  <c r="D12" i="6" s="1"/>
  <c r="E80" i="10" s="1"/>
  <c r="K11" i="6" a="1"/>
  <c r="K11" i="6" s="1"/>
  <c r="E11" i="6" s="1"/>
  <c r="F44" i="10" s="1"/>
  <c r="J11" i="6" a="1"/>
  <c r="J11" i="6" s="1"/>
  <c r="D11" i="6" s="1"/>
  <c r="E44" i="10" s="1"/>
  <c r="K10" i="6" a="1"/>
  <c r="K10" i="6" s="1"/>
  <c r="E10" i="6" s="1"/>
  <c r="F8" i="10" s="1"/>
  <c r="J10" i="6" a="1"/>
  <c r="J10" i="6" s="1"/>
  <c r="D10" i="6" s="1"/>
  <c r="F10" i="6" s="1"/>
  <c r="K8" i="6" a="1"/>
  <c r="K8" i="6" s="1"/>
  <c r="E8" i="6" s="1"/>
  <c r="F149" i="10" s="1"/>
  <c r="J8" i="6" a="1"/>
  <c r="J8" i="6" s="1"/>
  <c r="D8" i="6" s="1"/>
  <c r="E149" i="10" s="1"/>
  <c r="K7" i="6" a="1"/>
  <c r="K7" i="6" s="1"/>
  <c r="E7" i="6" s="1"/>
  <c r="F113" i="10" s="1"/>
  <c r="J7" i="6" a="1"/>
  <c r="J7" i="6" s="1"/>
  <c r="D7" i="6" s="1"/>
  <c r="E113" i="10" s="1"/>
  <c r="K6" i="6" a="1"/>
  <c r="K6" i="6" s="1"/>
  <c r="E6" i="6" s="1"/>
  <c r="F77" i="10" s="1"/>
  <c r="J6" i="6" a="1"/>
  <c r="J6" i="6" s="1"/>
  <c r="D6" i="6" s="1"/>
  <c r="F6" i="6" s="1"/>
  <c r="K5" i="6" a="1"/>
  <c r="K5" i="6" s="1"/>
  <c r="E5" i="6" s="1"/>
  <c r="F41" i="10" s="1"/>
  <c r="J5" i="6" a="1"/>
  <c r="J5" i="6" s="1"/>
  <c r="D5" i="6" s="1"/>
  <c r="F5" i="6" s="1"/>
  <c r="K4" i="6" a="1"/>
  <c r="K4" i="6" s="1"/>
  <c r="E4" i="6" s="1"/>
  <c r="F5" i="10" s="1"/>
  <c r="J4" i="6"/>
  <c r="D4" i="6" s="1"/>
  <c r="E5" i="10" s="1"/>
  <c r="J74" i="2"/>
  <c r="C74" i="2" s="1" a="1"/>
  <c r="C74" i="2" s="1"/>
  <c r="E74" i="2" a="1"/>
  <c r="E74" i="2" s="1"/>
  <c r="D74" i="2" a="1"/>
  <c r="D74" i="2" s="1"/>
  <c r="J73" i="2"/>
  <c r="C73" i="2" s="1" a="1"/>
  <c r="C73" i="2" s="1"/>
  <c r="E73" i="2" a="1"/>
  <c r="E73" i="2" s="1"/>
  <c r="D73" i="2" a="1"/>
  <c r="D73" i="2" s="1"/>
  <c r="J72" i="2"/>
  <c r="C72" i="2" s="1" a="1"/>
  <c r="C72" i="2" s="1"/>
  <c r="E72" i="2" a="1"/>
  <c r="E72" i="2" s="1"/>
  <c r="D72" i="2" a="1"/>
  <c r="D72" i="2" s="1"/>
  <c r="J71" i="2"/>
  <c r="C71" i="2" s="1" a="1"/>
  <c r="C71" i="2" s="1"/>
  <c r="E71" i="2" a="1"/>
  <c r="E71" i="2" s="1"/>
  <c r="D71" i="2" a="1"/>
  <c r="D71" i="2" s="1"/>
  <c r="J70" i="2"/>
  <c r="C70" i="2" s="1" a="1"/>
  <c r="C70" i="2" s="1"/>
  <c r="E70" i="2" a="1"/>
  <c r="E70" i="2" s="1"/>
  <c r="D70" i="2" a="1"/>
  <c r="D70" i="2" s="1"/>
  <c r="J68" i="2"/>
  <c r="C68" i="2" s="1" a="1"/>
  <c r="C68" i="2" s="1"/>
  <c r="E68" i="2" a="1"/>
  <c r="E68" i="2" s="1"/>
  <c r="D68" i="2" a="1"/>
  <c r="D68" i="2" s="1"/>
  <c r="J67" i="2"/>
  <c r="C67" i="2" s="1" a="1"/>
  <c r="C67" i="2" s="1"/>
  <c r="E67" i="2" a="1"/>
  <c r="E67" i="2" s="1"/>
  <c r="D67" i="2" a="1"/>
  <c r="D67" i="2" s="1"/>
  <c r="J66" i="2"/>
  <c r="C66" i="2" s="1" a="1"/>
  <c r="C66" i="2" s="1"/>
  <c r="E66" i="2" a="1"/>
  <c r="E66" i="2" s="1"/>
  <c r="D66" i="2" a="1"/>
  <c r="D66" i="2" s="1"/>
  <c r="J65" i="2"/>
  <c r="C65" i="2" s="1" a="1"/>
  <c r="C65" i="2" s="1"/>
  <c r="E65" i="2" a="1"/>
  <c r="E65" i="2" s="1"/>
  <c r="D65" i="2" a="1"/>
  <c r="D65" i="2" s="1"/>
  <c r="J64" i="2"/>
  <c r="C64" i="2" s="1" a="1"/>
  <c r="C64" i="2" s="1"/>
  <c r="E64" i="2" a="1"/>
  <c r="E64" i="2" s="1"/>
  <c r="D64" i="2" a="1"/>
  <c r="D64" i="2" s="1"/>
  <c r="J62" i="2"/>
  <c r="C62" i="2" s="1" a="1"/>
  <c r="C62" i="2" s="1"/>
  <c r="E62" i="2" a="1"/>
  <c r="E62" i="2" s="1"/>
  <c r="D62" i="2" a="1"/>
  <c r="D62" i="2" s="1"/>
  <c r="J61" i="2"/>
  <c r="C61" i="2" s="1" a="1"/>
  <c r="C61" i="2" s="1"/>
  <c r="E61" i="2" a="1"/>
  <c r="E61" i="2" s="1"/>
  <c r="D61" i="2" a="1"/>
  <c r="D61" i="2" s="1"/>
  <c r="J60" i="2"/>
  <c r="C60" i="2" s="1" a="1"/>
  <c r="C60" i="2" s="1"/>
  <c r="E60" i="2" a="1"/>
  <c r="E60" i="2" s="1"/>
  <c r="D60" i="2" a="1"/>
  <c r="D60" i="2" s="1"/>
  <c r="J59" i="2"/>
  <c r="C59" i="2" s="1" a="1"/>
  <c r="C59" i="2" s="1"/>
  <c r="E59" i="2" a="1"/>
  <c r="E59" i="2" s="1"/>
  <c r="D59" i="2" a="1"/>
  <c r="D59" i="2" s="1"/>
  <c r="J58" i="2"/>
  <c r="C58" i="2" s="1" a="1"/>
  <c r="C58" i="2" s="1"/>
  <c r="E58" i="2" a="1"/>
  <c r="E58" i="2" s="1"/>
  <c r="D58" i="2" a="1"/>
  <c r="D58" i="2" s="1"/>
  <c r="J56" i="2"/>
  <c r="C56" i="2" s="1" a="1"/>
  <c r="C56" i="2" s="1"/>
  <c r="E56" i="2" a="1"/>
  <c r="E56" i="2" s="1"/>
  <c r="D56" i="2" a="1"/>
  <c r="D56" i="2" s="1"/>
  <c r="J55" i="2"/>
  <c r="C55" i="2" s="1" a="1"/>
  <c r="C55" i="2" s="1"/>
  <c r="E55" i="2" a="1"/>
  <c r="E55" i="2" s="1"/>
  <c r="D55" i="2" a="1"/>
  <c r="D55" i="2" s="1"/>
  <c r="J54" i="2"/>
  <c r="C54" i="2" s="1" a="1"/>
  <c r="C54" i="2" s="1"/>
  <c r="E54" i="2" a="1"/>
  <c r="E54" i="2" s="1"/>
  <c r="D54" i="2" a="1"/>
  <c r="D54" i="2" s="1"/>
  <c r="J53" i="2"/>
  <c r="C53" i="2" s="1" a="1"/>
  <c r="C53" i="2" s="1"/>
  <c r="E53" i="2" a="1"/>
  <c r="E53" i="2" s="1"/>
  <c r="D53" i="2" a="1"/>
  <c r="D53" i="2" s="1"/>
  <c r="J52" i="2"/>
  <c r="C52" i="2" s="1" a="1"/>
  <c r="C52" i="2" s="1"/>
  <c r="E52" i="2" a="1"/>
  <c r="E52" i="2" s="1"/>
  <c r="D52" i="2" a="1"/>
  <c r="D52" i="2" s="1"/>
  <c r="J50" i="2"/>
  <c r="C50" i="2" s="1" a="1"/>
  <c r="C50" i="2" s="1"/>
  <c r="E50" i="2" a="1"/>
  <c r="E50" i="2" s="1"/>
  <c r="D50" i="2" a="1"/>
  <c r="D50" i="2" s="1"/>
  <c r="J49" i="2"/>
  <c r="C49" i="2" s="1" a="1"/>
  <c r="C49" i="2" s="1"/>
  <c r="E49" i="2" a="1"/>
  <c r="E49" i="2" s="1"/>
  <c r="D49" i="2" a="1"/>
  <c r="D49" i="2" s="1"/>
  <c r="J48" i="2"/>
  <c r="C48" i="2" s="1" a="1"/>
  <c r="C48" i="2" s="1"/>
  <c r="E48" i="2" a="1"/>
  <c r="E48" i="2" s="1"/>
  <c r="D48" i="2" a="1"/>
  <c r="D48" i="2" s="1"/>
  <c r="J47" i="2"/>
  <c r="C47" i="2" s="1" a="1"/>
  <c r="C47" i="2" s="1"/>
  <c r="E47" i="2" a="1"/>
  <c r="E47" i="2" s="1"/>
  <c r="D47" i="2" a="1"/>
  <c r="D47" i="2" s="1"/>
  <c r="J46" i="2"/>
  <c r="C46" i="2" s="1" a="1"/>
  <c r="C46" i="2" s="1"/>
  <c r="E46" i="2" a="1"/>
  <c r="E46" i="2" s="1"/>
  <c r="D46" i="2" a="1"/>
  <c r="D46" i="2" s="1"/>
  <c r="J44" i="2"/>
  <c r="C44" i="2" s="1" a="1"/>
  <c r="C44" i="2" s="1"/>
  <c r="E44" i="2" a="1"/>
  <c r="E44" i="2" s="1"/>
  <c r="D44" i="2" a="1"/>
  <c r="D44" i="2" s="1"/>
  <c r="J43" i="2"/>
  <c r="C43" i="2" s="1" a="1"/>
  <c r="C43" i="2" s="1"/>
  <c r="E43" i="2" a="1"/>
  <c r="E43" i="2" s="1"/>
  <c r="D43" i="2" a="1"/>
  <c r="D43" i="2" s="1"/>
  <c r="J42" i="2"/>
  <c r="C42" i="2" s="1" a="1"/>
  <c r="C42" i="2" s="1"/>
  <c r="E42" i="2" a="1"/>
  <c r="E42" i="2" s="1"/>
  <c r="D42" i="2" a="1"/>
  <c r="D42" i="2" s="1"/>
  <c r="J41" i="2"/>
  <c r="C41" i="2" s="1" a="1"/>
  <c r="C41" i="2" s="1"/>
  <c r="E41" i="2" a="1"/>
  <c r="E41" i="2" s="1"/>
  <c r="D41" i="2" a="1"/>
  <c r="D41" i="2" s="1"/>
  <c r="J40" i="2"/>
  <c r="C40" i="2" s="1" a="1"/>
  <c r="C40" i="2" s="1"/>
  <c r="E40" i="2" a="1"/>
  <c r="E40" i="2" s="1"/>
  <c r="D40" i="2" a="1"/>
  <c r="D40" i="2" s="1"/>
  <c r="J38" i="2"/>
  <c r="C38" i="2" s="1" a="1"/>
  <c r="C38" i="2" s="1"/>
  <c r="E38" i="2" a="1"/>
  <c r="E38" i="2" s="1"/>
  <c r="D38" i="2" a="1"/>
  <c r="D38" i="2" s="1"/>
  <c r="J37" i="2"/>
  <c r="C37" i="2" s="1" a="1"/>
  <c r="C37" i="2" s="1"/>
  <c r="E37" i="2" a="1"/>
  <c r="E37" i="2" s="1"/>
  <c r="D37" i="2" a="1"/>
  <c r="D37" i="2" s="1"/>
  <c r="J36" i="2"/>
  <c r="C36" i="2" s="1" a="1"/>
  <c r="C36" i="2" s="1"/>
  <c r="E36" i="2" a="1"/>
  <c r="E36" i="2" s="1"/>
  <c r="D36" i="2" a="1"/>
  <c r="D36" i="2" s="1"/>
  <c r="J35" i="2"/>
  <c r="C35" i="2" s="1" a="1"/>
  <c r="C35" i="2" s="1"/>
  <c r="E35" i="2" a="1"/>
  <c r="E35" i="2" s="1"/>
  <c r="D35" i="2" a="1"/>
  <c r="D35" i="2" s="1"/>
  <c r="J34" i="2"/>
  <c r="C34" i="2" s="1" a="1"/>
  <c r="C34" i="2" s="1"/>
  <c r="E34" i="2" a="1"/>
  <c r="E34" i="2" s="1"/>
  <c r="D34" i="2" a="1"/>
  <c r="D34" i="2" s="1"/>
  <c r="J32" i="2"/>
  <c r="C32" i="2" s="1" a="1"/>
  <c r="C32" i="2" s="1"/>
  <c r="E32" i="2" a="1"/>
  <c r="E32" i="2" s="1"/>
  <c r="D32" i="2" a="1"/>
  <c r="D32" i="2" s="1"/>
  <c r="J31" i="2"/>
  <c r="C31" i="2" s="1" a="1"/>
  <c r="C31" i="2" s="1"/>
  <c r="E31" i="2" a="1"/>
  <c r="E31" i="2" s="1"/>
  <c r="D31" i="2" a="1"/>
  <c r="D31" i="2" s="1"/>
  <c r="J30" i="2"/>
  <c r="C30" i="2" s="1" a="1"/>
  <c r="C30" i="2" s="1"/>
  <c r="E30" i="2" a="1"/>
  <c r="E30" i="2" s="1"/>
  <c r="D30" i="2" a="1"/>
  <c r="D30" i="2" s="1"/>
  <c r="J29" i="2"/>
  <c r="C29" i="2" s="1" a="1"/>
  <c r="C29" i="2" s="1"/>
  <c r="E29" i="2" a="1"/>
  <c r="E29" i="2" s="1"/>
  <c r="D29" i="2" a="1"/>
  <c r="D29" i="2" s="1"/>
  <c r="J28" i="2"/>
  <c r="C28" i="2" s="1" a="1"/>
  <c r="C28" i="2" s="1"/>
  <c r="E28" i="2" a="1"/>
  <c r="E28" i="2" s="1"/>
  <c r="D28" i="2" a="1"/>
  <c r="D28" i="2" s="1"/>
  <c r="J26" i="2"/>
  <c r="C26" i="2" s="1" a="1"/>
  <c r="C26" i="2" s="1"/>
  <c r="E26" i="2" a="1"/>
  <c r="E26" i="2" s="1"/>
  <c r="D26" i="2" a="1"/>
  <c r="D26" i="2" s="1"/>
  <c r="J25" i="2"/>
  <c r="C25" i="2" s="1" a="1"/>
  <c r="C25" i="2" s="1"/>
  <c r="E25" i="2" a="1"/>
  <c r="E25" i="2" s="1"/>
  <c r="D25" i="2" a="1"/>
  <c r="D25" i="2" s="1"/>
  <c r="J24" i="2"/>
  <c r="C24" i="2" s="1" a="1"/>
  <c r="C24" i="2" s="1"/>
  <c r="E24" i="2" a="1"/>
  <c r="E24" i="2" s="1"/>
  <c r="D24" i="2" a="1"/>
  <c r="D24" i="2" s="1"/>
  <c r="J23" i="2"/>
  <c r="C23" i="2" s="1" a="1"/>
  <c r="C23" i="2" s="1"/>
  <c r="E23" i="2" a="1"/>
  <c r="E23" i="2" s="1"/>
  <c r="D23" i="2" a="1"/>
  <c r="D23" i="2" s="1"/>
  <c r="J22" i="2"/>
  <c r="C22" i="2" s="1" a="1"/>
  <c r="C22" i="2" s="1"/>
  <c r="E22" i="2" a="1"/>
  <c r="E22" i="2" s="1"/>
  <c r="D22" i="2" a="1"/>
  <c r="D22" i="2" s="1"/>
  <c r="J20" i="2"/>
  <c r="C20" i="2" s="1" a="1"/>
  <c r="C20" i="2" s="1"/>
  <c r="E20" i="2" a="1"/>
  <c r="E20" i="2" s="1"/>
  <c r="D20" i="2" a="1"/>
  <c r="D20" i="2" s="1"/>
  <c r="J19" i="2"/>
  <c r="C19" i="2" s="1" a="1"/>
  <c r="C19" i="2" s="1"/>
  <c r="E19" i="2" a="1"/>
  <c r="E19" i="2" s="1"/>
  <c r="D19" i="2" a="1"/>
  <c r="D19" i="2" s="1"/>
  <c r="J18" i="2"/>
  <c r="C18" i="2" s="1" a="1"/>
  <c r="C18" i="2" s="1"/>
  <c r="E18" i="2" a="1"/>
  <c r="E18" i="2" s="1"/>
  <c r="D18" i="2" a="1"/>
  <c r="D18" i="2" s="1"/>
  <c r="J17" i="2"/>
  <c r="C17" i="2" s="1" a="1"/>
  <c r="C17" i="2" s="1"/>
  <c r="E17" i="2" a="1"/>
  <c r="E17" i="2" s="1"/>
  <c r="D17" i="2" a="1"/>
  <c r="D17" i="2" s="1"/>
  <c r="J16" i="2"/>
  <c r="C16" i="2" s="1" a="1"/>
  <c r="C16" i="2" s="1"/>
  <c r="E16" i="2" a="1"/>
  <c r="E16" i="2" s="1"/>
  <c r="D16" i="2" a="1"/>
  <c r="D16" i="2" s="1"/>
  <c r="J14" i="2"/>
  <c r="C14" i="2" s="1" a="1"/>
  <c r="C14" i="2" s="1"/>
  <c r="E14" i="2" a="1"/>
  <c r="E14" i="2" s="1"/>
  <c r="D14" i="2" a="1"/>
  <c r="D14" i="2" s="1"/>
  <c r="J13" i="2"/>
  <c r="C13" i="2" s="1" a="1"/>
  <c r="C13" i="2" s="1"/>
  <c r="E13" i="2" a="1"/>
  <c r="E13" i="2" s="1"/>
  <c r="D13" i="2" a="1"/>
  <c r="D13" i="2" s="1"/>
  <c r="J12" i="2"/>
  <c r="C12" i="2" s="1" a="1"/>
  <c r="C12" i="2" s="1"/>
  <c r="E12" i="2" a="1"/>
  <c r="E12" i="2" s="1"/>
  <c r="D12" i="2" a="1"/>
  <c r="D12" i="2" s="1"/>
  <c r="J11" i="2"/>
  <c r="C11" i="2" s="1" a="1"/>
  <c r="C11" i="2" s="1"/>
  <c r="E11" i="2" a="1"/>
  <c r="E11" i="2" s="1"/>
  <c r="D11" i="2" a="1"/>
  <c r="D11" i="2" s="1"/>
  <c r="J10" i="2"/>
  <c r="C10" i="2" s="1" a="1"/>
  <c r="C10" i="2" s="1"/>
  <c r="E10" i="2" a="1"/>
  <c r="E10" i="2" s="1"/>
  <c r="D10" i="2" a="1"/>
  <c r="D10" i="2" s="1"/>
  <c r="J8" i="2"/>
  <c r="C8" i="2" s="1" a="1"/>
  <c r="C8" i="2" s="1"/>
  <c r="E8" i="2" a="1"/>
  <c r="E8" i="2" s="1"/>
  <c r="D8" i="2" a="1"/>
  <c r="D8" i="2" s="1"/>
  <c r="J7" i="2"/>
  <c r="C7" i="2" s="1" a="1"/>
  <c r="C7" i="2" s="1"/>
  <c r="E7" i="2" a="1"/>
  <c r="E7" i="2" s="1"/>
  <c r="D7" i="2" a="1"/>
  <c r="D7" i="2" s="1"/>
  <c r="J6" i="2"/>
  <c r="C6" i="2" s="1" a="1"/>
  <c r="C6" i="2" s="1"/>
  <c r="E6" i="2" a="1"/>
  <c r="E6" i="2" s="1"/>
  <c r="D6" i="2" a="1"/>
  <c r="D6" i="2" s="1"/>
  <c r="J5" i="2"/>
  <c r="C5" i="2" s="1" a="1"/>
  <c r="C5" i="2" s="1"/>
  <c r="E5" i="2" a="1"/>
  <c r="E5" i="2" s="1"/>
  <c r="D5" i="2" a="1"/>
  <c r="D5" i="2" s="1"/>
  <c r="J4" i="2"/>
  <c r="C4" i="2" s="1" a="1"/>
  <c r="C4" i="2" s="1"/>
  <c r="E4" i="2" a="1"/>
  <c r="E4" i="2" s="1"/>
  <c r="D4" i="2" a="1"/>
  <c r="D4" i="2" s="1"/>
  <c r="H77" i="13" l="1"/>
  <c r="C23" i="11"/>
  <c r="I4" i="12"/>
  <c r="H66" i="12"/>
  <c r="C35" i="11"/>
  <c r="G54" i="7"/>
  <c r="G73" i="7"/>
  <c r="G58" i="7"/>
  <c r="G4" i="7"/>
  <c r="F23" i="7"/>
  <c r="G43" i="7"/>
  <c r="G8" i="7"/>
  <c r="F28" i="7"/>
  <c r="G53" i="7"/>
  <c r="G67" i="7"/>
  <c r="G5" i="7"/>
  <c r="F13" i="7"/>
  <c r="H13" i="7" s="1"/>
  <c r="I13" i="7" s="1"/>
  <c r="F32" i="7"/>
  <c r="G44" i="7"/>
  <c r="G64" i="7"/>
  <c r="F63" i="10"/>
  <c r="H63" i="10" s="1"/>
  <c r="F18" i="7"/>
  <c r="F37" i="7"/>
  <c r="H37" i="7" s="1"/>
  <c r="I37" i="7" s="1"/>
  <c r="F159" i="10"/>
  <c r="H159" i="10" s="1"/>
  <c r="I16" i="10"/>
  <c r="J16" i="10" s="1"/>
  <c r="G7" i="7"/>
  <c r="F17" i="7"/>
  <c r="F26" i="7"/>
  <c r="H26" i="7" s="1"/>
  <c r="I26" i="7" s="1"/>
  <c r="F36" i="7"/>
  <c r="H36" i="7" s="1"/>
  <c r="I36" i="7" s="1"/>
  <c r="G62" i="7"/>
  <c r="G72" i="7"/>
  <c r="F87" i="10"/>
  <c r="H87" i="10" s="1"/>
  <c r="G6" i="7"/>
  <c r="G42" i="7"/>
  <c r="G49" i="7"/>
  <c r="G59" i="7"/>
  <c r="G68" i="7"/>
  <c r="F12" i="7"/>
  <c r="F22" i="7"/>
  <c r="H22" i="7" s="1"/>
  <c r="I22" i="7" s="1"/>
  <c r="F31" i="7"/>
  <c r="G48" i="7"/>
  <c r="F15" i="10"/>
  <c r="G40" i="7"/>
  <c r="F24" i="10"/>
  <c r="H24" i="10" s="1"/>
  <c r="F43" i="7"/>
  <c r="E132" i="10"/>
  <c r="E99" i="10"/>
  <c r="G99" i="10" s="1"/>
  <c r="K99" i="10" s="1" a="1"/>
  <c r="K99" i="10" s="1"/>
  <c r="F48" i="7"/>
  <c r="G52" i="7"/>
  <c r="F53" i="7"/>
  <c r="E66" i="10"/>
  <c r="G66" i="10" s="1"/>
  <c r="K66" i="10" s="1" a="1"/>
  <c r="K66" i="10" s="1"/>
  <c r="G56" i="7"/>
  <c r="E33" i="10"/>
  <c r="G33" i="10" s="1"/>
  <c r="K33" i="10" s="1" a="1"/>
  <c r="K33" i="10" s="1"/>
  <c r="F58" i="7"/>
  <c r="G61" i="7"/>
  <c r="E177" i="10"/>
  <c r="G177" i="10" s="1"/>
  <c r="K177" i="10" s="1" a="1"/>
  <c r="K177" i="10" s="1"/>
  <c r="F62" i="7"/>
  <c r="H62" i="7" s="1"/>
  <c r="I62" i="7" s="1"/>
  <c r="G66" i="7"/>
  <c r="F67" i="7"/>
  <c r="H67" i="7" s="1"/>
  <c r="I67" i="7" s="1"/>
  <c r="E144" i="10"/>
  <c r="G144" i="10" s="1"/>
  <c r="K144" i="10" s="1" a="1"/>
  <c r="K144" i="10" s="1"/>
  <c r="G71" i="7"/>
  <c r="H71" i="7" s="1"/>
  <c r="I71" i="7" s="1"/>
  <c r="E111" i="10"/>
  <c r="F72" i="7"/>
  <c r="F21" i="10"/>
  <c r="H21" i="10" s="1"/>
  <c r="F45" i="10"/>
  <c r="H45" i="10" s="1"/>
  <c r="F93" i="10"/>
  <c r="F117" i="10"/>
  <c r="H117" i="10" s="1"/>
  <c r="F165" i="10"/>
  <c r="H165" i="10" s="1"/>
  <c r="G16" i="7"/>
  <c r="H16" i="7" s="1"/>
  <c r="I16" i="7" s="1"/>
  <c r="F12" i="10"/>
  <c r="G20" i="7"/>
  <c r="F156" i="10"/>
  <c r="H156" i="10" s="1"/>
  <c r="F44" i="7"/>
  <c r="E168" i="10"/>
  <c r="E135" i="10"/>
  <c r="G135" i="10" s="1"/>
  <c r="K135" i="10" s="1" a="1"/>
  <c r="K135" i="10" s="1"/>
  <c r="F49" i="7"/>
  <c r="F54" i="7"/>
  <c r="H54" i="7" s="1"/>
  <c r="I54" i="7" s="1"/>
  <c r="E102" i="10"/>
  <c r="E69" i="10"/>
  <c r="G69" i="10" s="1"/>
  <c r="K69" i="10" s="1" a="1"/>
  <c r="K69" i="10" s="1"/>
  <c r="F59" i="7"/>
  <c r="H59" i="7" s="1"/>
  <c r="I59" i="7" s="1"/>
  <c r="G19" i="7"/>
  <c r="F120" i="10"/>
  <c r="G29" i="7"/>
  <c r="H29" i="7" s="1"/>
  <c r="I29" i="7" s="1"/>
  <c r="F54" i="10"/>
  <c r="H54" i="10" s="1"/>
  <c r="F11" i="7"/>
  <c r="H11" i="7" s="1"/>
  <c r="I11" i="7" s="1"/>
  <c r="F16" i="7"/>
  <c r="G18" i="7"/>
  <c r="F84" i="10"/>
  <c r="H84" i="10" s="1"/>
  <c r="F20" i="7"/>
  <c r="F25" i="7"/>
  <c r="G28" i="7"/>
  <c r="F18" i="10"/>
  <c r="H18" i="10" s="1"/>
  <c r="F30" i="7"/>
  <c r="H30" i="7" s="1"/>
  <c r="I30" i="7" s="1"/>
  <c r="G32" i="7"/>
  <c r="F162" i="10"/>
  <c r="H162" i="10" s="1"/>
  <c r="F35" i="7"/>
  <c r="H35" i="7" s="1"/>
  <c r="I35" i="7" s="1"/>
  <c r="F40" i="7"/>
  <c r="G41" i="7"/>
  <c r="F42" i="7"/>
  <c r="H42" i="7" s="1"/>
  <c r="I42" i="7" s="1"/>
  <c r="E96" i="10"/>
  <c r="G96" i="10" s="1"/>
  <c r="K96" i="10" s="1" a="1"/>
  <c r="K96" i="10" s="1"/>
  <c r="G46" i="7"/>
  <c r="H46" i="7" s="1"/>
  <c r="I46" i="7" s="1"/>
  <c r="E63" i="10"/>
  <c r="F47" i="7"/>
  <c r="H47" i="7" s="1"/>
  <c r="I47" i="7" s="1"/>
  <c r="G50" i="7"/>
  <c r="F52" i="7"/>
  <c r="H52" i="7" s="1"/>
  <c r="E30" i="10"/>
  <c r="G55" i="7"/>
  <c r="F56" i="7"/>
  <c r="H56" i="7" s="1"/>
  <c r="I56" i="7" s="1"/>
  <c r="E174" i="10"/>
  <c r="G174" i="10" s="1"/>
  <c r="K174" i="10" s="1" a="1"/>
  <c r="K174" i="10" s="1"/>
  <c r="G60" i="7"/>
  <c r="E141" i="10"/>
  <c r="F61" i="7"/>
  <c r="G65" i="7"/>
  <c r="F66" i="7"/>
  <c r="E108" i="10"/>
  <c r="G108" i="10" s="1"/>
  <c r="K108" i="10" s="1" a="1"/>
  <c r="K108" i="10" s="1"/>
  <c r="G70" i="7"/>
  <c r="E75" i="10"/>
  <c r="G75" i="10" s="1"/>
  <c r="K75" i="10" s="1" a="1"/>
  <c r="K75" i="10" s="1"/>
  <c r="F71" i="7"/>
  <c r="G74" i="7"/>
  <c r="F51" i="10"/>
  <c r="H51" i="10" s="1"/>
  <c r="F123" i="10"/>
  <c r="H123" i="10" s="1"/>
  <c r="G30" i="7"/>
  <c r="F90" i="10"/>
  <c r="H90" i="10" s="1"/>
  <c r="F64" i="7"/>
  <c r="H64" i="7" s="1"/>
  <c r="I64" i="7" s="1"/>
  <c r="E36" i="10"/>
  <c r="G36" i="10" s="1"/>
  <c r="K36" i="10" s="1" a="1"/>
  <c r="K36" i="10" s="1"/>
  <c r="F68" i="7"/>
  <c r="E180" i="10"/>
  <c r="G180" i="10" s="1"/>
  <c r="K180" i="10" s="1" a="1"/>
  <c r="K180" i="10" s="1"/>
  <c r="E147" i="10"/>
  <c r="G147" i="10" s="1"/>
  <c r="K147" i="10" s="1" a="1"/>
  <c r="K147" i="10" s="1"/>
  <c r="F73" i="7"/>
  <c r="H73" i="7" s="1"/>
  <c r="I73" i="7" s="1"/>
  <c r="F4" i="7"/>
  <c r="F5" i="7"/>
  <c r="F6" i="7"/>
  <c r="F7" i="7"/>
  <c r="H7" i="7" s="1"/>
  <c r="I7" i="7" s="1"/>
  <c r="F8" i="7"/>
  <c r="F10" i="7"/>
  <c r="H10" i="7" s="1"/>
  <c r="I10" i="7" s="1"/>
  <c r="F14" i="7"/>
  <c r="H14" i="7" s="1"/>
  <c r="I14" i="7" s="1"/>
  <c r="G17" i="7"/>
  <c r="F48" i="10"/>
  <c r="F19" i="7"/>
  <c r="G27" i="7"/>
  <c r="F24" i="7"/>
  <c r="H24" i="7" s="1"/>
  <c r="I24" i="7" s="1"/>
  <c r="F29" i="7"/>
  <c r="G31" i="7"/>
  <c r="F126" i="10"/>
  <c r="H126" i="10" s="1"/>
  <c r="F34" i="7"/>
  <c r="H34" i="7" s="1"/>
  <c r="I34" i="7" s="1"/>
  <c r="F38" i="7"/>
  <c r="F41" i="7"/>
  <c r="H41" i="7" s="1"/>
  <c r="I41" i="7" s="1"/>
  <c r="E60" i="10"/>
  <c r="G60" i="10" s="1"/>
  <c r="K60" i="10" s="1" a="1"/>
  <c r="K60" i="10" s="1"/>
  <c r="E27" i="10"/>
  <c r="G27" i="10" s="1"/>
  <c r="K27" i="10" s="1" a="1"/>
  <c r="K27" i="10" s="1"/>
  <c r="F46" i="7"/>
  <c r="E171" i="10"/>
  <c r="F50" i="7"/>
  <c r="H50" i="7" s="1"/>
  <c r="I50" i="7" s="1"/>
  <c r="F55" i="7"/>
  <c r="E138" i="10"/>
  <c r="E105" i="10"/>
  <c r="F60" i="7"/>
  <c r="H60" i="7" s="1"/>
  <c r="I60" i="7" s="1"/>
  <c r="F65" i="7"/>
  <c r="E72" i="10"/>
  <c r="G72" i="10" s="1"/>
  <c r="K72" i="10" s="1" a="1"/>
  <c r="K72" i="10" s="1"/>
  <c r="E39" i="10"/>
  <c r="G39" i="10" s="1"/>
  <c r="K39" i="10" s="1" a="1"/>
  <c r="K39" i="10" s="1"/>
  <c r="F70" i="7"/>
  <c r="H70" i="7" s="1"/>
  <c r="I70" i="7" s="1"/>
  <c r="E183" i="10"/>
  <c r="G183" i="10" s="1"/>
  <c r="K183" i="10" s="1" a="1"/>
  <c r="K183" i="10" s="1"/>
  <c r="F74" i="7"/>
  <c r="F9" i="10"/>
  <c r="H9" i="10" s="1"/>
  <c r="F57" i="10"/>
  <c r="H57" i="10" s="1"/>
  <c r="F81" i="10"/>
  <c r="H81" i="10" s="1"/>
  <c r="F129" i="10"/>
  <c r="H129" i="10" s="1"/>
  <c r="F153" i="10"/>
  <c r="H153" i="10" s="1"/>
  <c r="I100" i="10"/>
  <c r="I124" i="10"/>
  <c r="F7" i="6"/>
  <c r="F26" i="6"/>
  <c r="F42" i="6"/>
  <c r="F8" i="6"/>
  <c r="F36" i="6"/>
  <c r="F17" i="6"/>
  <c r="F46" i="6"/>
  <c r="I7" i="10"/>
  <c r="I79" i="10"/>
  <c r="J79" i="10" s="1"/>
  <c r="I85" i="10"/>
  <c r="J85" i="10" s="1"/>
  <c r="I97" i="10"/>
  <c r="J97" i="10" s="1"/>
  <c r="E101" i="10"/>
  <c r="G101" i="10" s="1"/>
  <c r="K101" i="10" s="1" a="1"/>
  <c r="K101" i="10" s="1"/>
  <c r="E104" i="10"/>
  <c r="G104" i="10" s="1"/>
  <c r="K104" i="10" s="1" a="1"/>
  <c r="K104" i="10" s="1"/>
  <c r="E107" i="10"/>
  <c r="G107" i="10" s="1"/>
  <c r="K107" i="10" s="1" a="1"/>
  <c r="K107" i="10" s="1"/>
  <c r="E110" i="10"/>
  <c r="G110" i="10" s="1"/>
  <c r="K110" i="10" s="1" a="1"/>
  <c r="K110" i="10" s="1"/>
  <c r="E137" i="10"/>
  <c r="G137" i="10" s="1"/>
  <c r="K137" i="10" s="1" a="1"/>
  <c r="K137" i="10" s="1"/>
  <c r="E140" i="10"/>
  <c r="E143" i="10"/>
  <c r="G143" i="10" s="1"/>
  <c r="K143" i="10" s="1" a="1"/>
  <c r="K143" i="10" s="1"/>
  <c r="E146" i="10"/>
  <c r="G146" i="10" s="1"/>
  <c r="K146" i="10" s="1" a="1"/>
  <c r="K146" i="10" s="1"/>
  <c r="E173" i="10"/>
  <c r="G173" i="10" s="1"/>
  <c r="K173" i="10" s="1" a="1"/>
  <c r="K173" i="10" s="1"/>
  <c r="E176" i="10"/>
  <c r="G176" i="10" s="1"/>
  <c r="K176" i="10" s="1" a="1"/>
  <c r="K176" i="10" s="1"/>
  <c r="E179" i="10"/>
  <c r="G179" i="10" s="1"/>
  <c r="K179" i="10" s="1" a="1"/>
  <c r="K179" i="10" s="1"/>
  <c r="E182" i="10"/>
  <c r="G182" i="10" s="1"/>
  <c r="K182" i="10" s="1" a="1"/>
  <c r="K182" i="10" s="1"/>
  <c r="F4" i="6"/>
  <c r="F13" i="6"/>
  <c r="F23" i="6"/>
  <c r="F32" i="6"/>
  <c r="F52" i="6"/>
  <c r="F53" i="6"/>
  <c r="F58" i="6"/>
  <c r="F59" i="6"/>
  <c r="F65" i="6"/>
  <c r="F70" i="6"/>
  <c r="F71" i="6"/>
  <c r="F101" i="10"/>
  <c r="H101" i="10" s="1"/>
  <c r="F104" i="10"/>
  <c r="H104" i="10" s="1"/>
  <c r="F107" i="10"/>
  <c r="H107" i="10" s="1"/>
  <c r="F110" i="10"/>
  <c r="H110" i="10" s="1"/>
  <c r="E134" i="10"/>
  <c r="F137" i="10"/>
  <c r="H137" i="10" s="1"/>
  <c r="F140" i="10"/>
  <c r="H140" i="10" s="1"/>
  <c r="F143" i="10"/>
  <c r="H143" i="10" s="1"/>
  <c r="F146" i="10"/>
  <c r="H146" i="10" s="1"/>
  <c r="E170" i="10"/>
  <c r="G170" i="10" s="1"/>
  <c r="K170" i="10" s="1" a="1"/>
  <c r="K170" i="10" s="1"/>
  <c r="F173" i="10"/>
  <c r="F176" i="10"/>
  <c r="H176" i="10" s="1"/>
  <c r="F179" i="10"/>
  <c r="H179" i="10" s="1"/>
  <c r="F182" i="10"/>
  <c r="H182" i="10" s="1"/>
  <c r="F12" i="6"/>
  <c r="F22" i="6"/>
  <c r="F27" i="6" s="1"/>
  <c r="F31" i="6"/>
  <c r="F41" i="6"/>
  <c r="G52" i="6"/>
  <c r="G53" i="6"/>
  <c r="G58" i="6"/>
  <c r="G59" i="6"/>
  <c r="G65" i="6"/>
  <c r="G70" i="6"/>
  <c r="G71" i="6"/>
  <c r="E77" i="10"/>
  <c r="G77" i="10" s="1"/>
  <c r="K77" i="10" s="1" a="1"/>
  <c r="K77" i="10" s="1"/>
  <c r="F18" i="6"/>
  <c r="F28" i="6"/>
  <c r="F37" i="6"/>
  <c r="F47" i="6"/>
  <c r="E89" i="10"/>
  <c r="G89" i="10" s="1"/>
  <c r="K89" i="10" s="1" a="1"/>
  <c r="K89" i="10" s="1"/>
  <c r="E122" i="10"/>
  <c r="G122" i="10" s="1"/>
  <c r="K122" i="10" s="1" a="1"/>
  <c r="K122" i="10" s="1"/>
  <c r="E8" i="10"/>
  <c r="G8" i="10" s="1"/>
  <c r="K8" i="10" s="1" a="1"/>
  <c r="K8" i="10" s="1"/>
  <c r="E41" i="10"/>
  <c r="G41" i="10" s="1"/>
  <c r="K41" i="10" s="1" a="1"/>
  <c r="K41" i="10" s="1"/>
  <c r="E98" i="10"/>
  <c r="G98" i="10" s="1"/>
  <c r="K98" i="10" s="1" a="1"/>
  <c r="K98" i="10" s="1"/>
  <c r="F11" i="6"/>
  <c r="F16" i="6"/>
  <c r="F20" i="6"/>
  <c r="F40" i="6"/>
  <c r="F44" i="6"/>
  <c r="E59" i="10"/>
  <c r="G59" i="10" s="1"/>
  <c r="K59" i="10" s="1" a="1"/>
  <c r="K59" i="10" s="1"/>
  <c r="E119" i="10"/>
  <c r="G119" i="10" s="1"/>
  <c r="K119" i="10" s="1" a="1"/>
  <c r="K119" i="10" s="1"/>
  <c r="E131" i="10"/>
  <c r="G131" i="10" s="1"/>
  <c r="K131" i="10" s="1" a="1"/>
  <c r="K131" i="10" s="1"/>
  <c r="E20" i="10"/>
  <c r="G20" i="10" s="1"/>
  <c r="K20" i="10" s="1" a="1"/>
  <c r="K20" i="10" s="1"/>
  <c r="E53" i="10"/>
  <c r="G53" i="10" s="1"/>
  <c r="K53" i="10" s="1" a="1"/>
  <c r="K53" i="10" s="1"/>
  <c r="E86" i="10"/>
  <c r="G86" i="10" s="1"/>
  <c r="K86" i="10" s="1" a="1"/>
  <c r="K86" i="10" s="1"/>
  <c r="F14" i="6"/>
  <c r="F38" i="6"/>
  <c r="I13" i="10"/>
  <c r="J13" i="10" s="1"/>
  <c r="G4" i="6"/>
  <c r="G5" i="6"/>
  <c r="H5" i="6" s="1"/>
  <c r="I5" i="6" s="1"/>
  <c r="G6" i="6"/>
  <c r="H6" i="6" s="1"/>
  <c r="I6" i="6" s="1"/>
  <c r="G7" i="6"/>
  <c r="H7" i="6" s="1"/>
  <c r="I7" i="6" s="1"/>
  <c r="G8" i="6"/>
  <c r="G10" i="6"/>
  <c r="H10" i="6" s="1"/>
  <c r="I10" i="6" s="1"/>
  <c r="G11" i="6"/>
  <c r="G12" i="6"/>
  <c r="G13" i="6"/>
  <c r="G14" i="6"/>
  <c r="G16" i="6"/>
  <c r="G17" i="6"/>
  <c r="H17" i="6" s="1"/>
  <c r="G18" i="6"/>
  <c r="G19" i="6"/>
  <c r="H19" i="6" s="1"/>
  <c r="I19" i="6" s="1"/>
  <c r="G20" i="6"/>
  <c r="G22" i="6"/>
  <c r="G23" i="6"/>
  <c r="G24" i="6"/>
  <c r="H24" i="6" s="1"/>
  <c r="I24" i="6" s="1"/>
  <c r="G25" i="6"/>
  <c r="H25" i="6" s="1"/>
  <c r="I25" i="6" s="1"/>
  <c r="G26" i="6"/>
  <c r="H26" i="6" s="1"/>
  <c r="I26" i="6" s="1"/>
  <c r="G28" i="6"/>
  <c r="H28" i="6" s="1"/>
  <c r="G29" i="6"/>
  <c r="H29" i="6" s="1"/>
  <c r="I29" i="6" s="1"/>
  <c r="G30" i="6"/>
  <c r="H30" i="6" s="1"/>
  <c r="I30" i="6" s="1"/>
  <c r="G31" i="6"/>
  <c r="H31" i="6" s="1"/>
  <c r="I31" i="6" s="1"/>
  <c r="G32" i="6"/>
  <c r="G34" i="6"/>
  <c r="H34" i="6" s="1"/>
  <c r="G36" i="6"/>
  <c r="H36" i="6" s="1"/>
  <c r="I36" i="6" s="1"/>
  <c r="G37" i="6"/>
  <c r="H37" i="6" s="1"/>
  <c r="I37" i="6" s="1"/>
  <c r="G38" i="6"/>
  <c r="H38" i="6" s="1"/>
  <c r="I38" i="6" s="1"/>
  <c r="G40" i="6"/>
  <c r="G41" i="6"/>
  <c r="G42" i="6"/>
  <c r="G43" i="6"/>
  <c r="H43" i="6" s="1"/>
  <c r="I43" i="6" s="1"/>
  <c r="G44" i="6"/>
  <c r="G46" i="6"/>
  <c r="G47" i="6"/>
  <c r="G48" i="6"/>
  <c r="H48" i="6" s="1"/>
  <c r="I48" i="6" s="1"/>
  <c r="G49" i="6"/>
  <c r="H49" i="6" s="1"/>
  <c r="I49" i="6" s="1"/>
  <c r="G50" i="6"/>
  <c r="H50" i="6" s="1"/>
  <c r="I50" i="6" s="1"/>
  <c r="F56" i="10"/>
  <c r="H56" i="10" s="1"/>
  <c r="I133" i="10"/>
  <c r="J133" i="10" s="1"/>
  <c r="I169" i="10"/>
  <c r="J169" i="10" s="1"/>
  <c r="H183" i="10"/>
  <c r="H58" i="7"/>
  <c r="I58" i="7" s="1"/>
  <c r="H66" i="7"/>
  <c r="I66" i="7" s="1"/>
  <c r="G15" i="7"/>
  <c r="H38" i="7"/>
  <c r="I38" i="7" s="1"/>
  <c r="H12" i="7"/>
  <c r="I12" i="7" s="1"/>
  <c r="G125" i="10"/>
  <c r="K125" i="10" s="1" a="1"/>
  <c r="K125" i="10" s="1"/>
  <c r="G149" i="10"/>
  <c r="K149" i="10" s="1" a="1"/>
  <c r="K149" i="10" s="1"/>
  <c r="H73" i="6"/>
  <c r="I73" i="6" s="1"/>
  <c r="I112" i="10"/>
  <c r="J112" i="10" s="1"/>
  <c r="I67" i="10"/>
  <c r="J67" i="10" s="1"/>
  <c r="I28" i="10"/>
  <c r="J28" i="10" s="1"/>
  <c r="I59" i="12"/>
  <c r="I44" i="12"/>
  <c r="I34" i="12"/>
  <c r="I29" i="12"/>
  <c r="H23" i="7"/>
  <c r="I23" i="7" s="1"/>
  <c r="H25" i="7"/>
  <c r="I25" i="7" s="1"/>
  <c r="H32" i="7"/>
  <c r="I32" i="7" s="1"/>
  <c r="G39" i="7"/>
  <c r="H53" i="7"/>
  <c r="I53" i="7" s="1"/>
  <c r="H55" i="6"/>
  <c r="I55" i="6" s="1"/>
  <c r="H60" i="6"/>
  <c r="I60" i="6" s="1"/>
  <c r="H61" i="6"/>
  <c r="I61" i="6" s="1"/>
  <c r="H62" i="6"/>
  <c r="I62" i="6" s="1"/>
  <c r="H66" i="6"/>
  <c r="I66" i="6" s="1"/>
  <c r="H67" i="6"/>
  <c r="I67" i="6" s="1"/>
  <c r="G26" i="10"/>
  <c r="K26" i="10" s="1" a="1"/>
  <c r="K26" i="10" s="1"/>
  <c r="G32" i="10"/>
  <c r="K32" i="10" s="1" a="1"/>
  <c r="K32" i="10" s="1"/>
  <c r="G44" i="10"/>
  <c r="K44" i="10" s="1" a="1"/>
  <c r="K44" i="10" s="1"/>
  <c r="G71" i="10"/>
  <c r="K71" i="10" s="1" a="1"/>
  <c r="K71" i="10" s="1"/>
  <c r="H74" i="6"/>
  <c r="I74" i="6" s="1"/>
  <c r="G95" i="10"/>
  <c r="K95" i="10" s="1" a="1"/>
  <c r="K95" i="10" s="1"/>
  <c r="H116" i="10"/>
  <c r="H119" i="10"/>
  <c r="H35" i="6"/>
  <c r="I35" i="6" s="1"/>
  <c r="H68" i="6"/>
  <c r="I68" i="6" s="1"/>
  <c r="H72" i="6"/>
  <c r="I72" i="6" s="1"/>
  <c r="H42" i="10"/>
  <c r="G45" i="10"/>
  <c r="K45" i="10" s="1" a="1"/>
  <c r="K45" i="10" s="1"/>
  <c r="H48" i="10"/>
  <c r="H29" i="10"/>
  <c r="H47" i="10"/>
  <c r="H50" i="10"/>
  <c r="H59" i="10"/>
  <c r="H152" i="10"/>
  <c r="H164" i="10"/>
  <c r="H167" i="10"/>
  <c r="H38" i="10"/>
  <c r="H41" i="10"/>
  <c r="H5" i="10"/>
  <c r="H98" i="10"/>
  <c r="H105" i="10"/>
  <c r="H111" i="10"/>
  <c r="G6" i="10"/>
  <c r="K6" i="10" s="1" a="1"/>
  <c r="K6" i="10" s="1"/>
  <c r="H15" i="10"/>
  <c r="H68" i="10"/>
  <c r="H75" i="10"/>
  <c r="H122" i="10"/>
  <c r="I127" i="10"/>
  <c r="J127" i="10" s="1"/>
  <c r="H135" i="10"/>
  <c r="I139" i="10"/>
  <c r="J139" i="10" s="1"/>
  <c r="H177" i="10"/>
  <c r="I181" i="10"/>
  <c r="J181" i="10" s="1"/>
  <c r="H8" i="10"/>
  <c r="H11" i="10"/>
  <c r="H17" i="10"/>
  <c r="H27" i="10"/>
  <c r="H30" i="10"/>
  <c r="G38" i="10"/>
  <c r="K38" i="10" s="1" a="1"/>
  <c r="K38" i="10" s="1"/>
  <c r="I40" i="10"/>
  <c r="J40" i="10" s="1"/>
  <c r="I43" i="10"/>
  <c r="J43" i="10" s="1"/>
  <c r="I46" i="10"/>
  <c r="J46" i="10" s="1"/>
  <c r="I52" i="10"/>
  <c r="J52" i="10" s="1"/>
  <c r="I64" i="10"/>
  <c r="J64" i="10" s="1"/>
  <c r="H74" i="10"/>
  <c r="H80" i="10"/>
  <c r="H83" i="10"/>
  <c r="H92" i="10"/>
  <c r="H95" i="10"/>
  <c r="H99" i="10"/>
  <c r="I115" i="10"/>
  <c r="J115" i="10" s="1"/>
  <c r="H128" i="10"/>
  <c r="H131" i="10"/>
  <c r="H147" i="10"/>
  <c r="I154" i="10"/>
  <c r="J154" i="10" s="1"/>
  <c r="I160" i="10"/>
  <c r="J160" i="10" s="1"/>
  <c r="I163" i="10"/>
  <c r="J163" i="10" s="1"/>
  <c r="H170" i="10"/>
  <c r="G167" i="10"/>
  <c r="K167" i="10" s="1" a="1"/>
  <c r="K167" i="10" s="1"/>
  <c r="F36" i="2"/>
  <c r="I4" i="10"/>
  <c r="I19" i="10"/>
  <c r="J19" i="10" s="1"/>
  <c r="I25" i="10"/>
  <c r="J25" i="10" s="1"/>
  <c r="I58" i="10"/>
  <c r="J58" i="10" s="1"/>
  <c r="J100" i="10"/>
  <c r="I142" i="10"/>
  <c r="J142" i="10" s="1"/>
  <c r="I55" i="10"/>
  <c r="J55" i="10" s="1"/>
  <c r="I70" i="10"/>
  <c r="J70" i="10" s="1"/>
  <c r="I103" i="10"/>
  <c r="J103" i="10" s="1"/>
  <c r="I148" i="10"/>
  <c r="J148" i="10" s="1"/>
  <c r="I136" i="10"/>
  <c r="J136" i="10" s="1"/>
  <c r="I10" i="10"/>
  <c r="J10" i="10" s="1"/>
  <c r="I22" i="10"/>
  <c r="J22" i="10" s="1"/>
  <c r="I34" i="10"/>
  <c r="J34" i="10" s="1"/>
  <c r="I49" i="10"/>
  <c r="J49" i="10" s="1"/>
  <c r="I61" i="10"/>
  <c r="J61" i="10" s="1"/>
  <c r="I91" i="10"/>
  <c r="J91" i="10" s="1"/>
  <c r="I106" i="10"/>
  <c r="J106" i="10" s="1"/>
  <c r="I109" i="10"/>
  <c r="J109" i="10" s="1"/>
  <c r="I118" i="10"/>
  <c r="J118" i="10" s="1"/>
  <c r="I151" i="10"/>
  <c r="J151" i="10" s="1"/>
  <c r="I166" i="10"/>
  <c r="J166" i="10" s="1"/>
  <c r="I175" i="10"/>
  <c r="J175" i="10" s="1"/>
  <c r="I73" i="10"/>
  <c r="J73" i="10" s="1"/>
  <c r="J124" i="10"/>
  <c r="I130" i="10"/>
  <c r="J130" i="10" s="1"/>
  <c r="I157" i="10"/>
  <c r="J157" i="10" s="1"/>
  <c r="J7" i="10"/>
  <c r="I31" i="10"/>
  <c r="J31" i="10" s="1"/>
  <c r="I37" i="10"/>
  <c r="J37" i="10" s="1"/>
  <c r="I76" i="10"/>
  <c r="J76" i="10" s="1"/>
  <c r="I82" i="10"/>
  <c r="J82" i="10" s="1"/>
  <c r="I88" i="10"/>
  <c r="J88" i="10" s="1"/>
  <c r="I94" i="10"/>
  <c r="J94" i="10" s="1"/>
  <c r="I121" i="10"/>
  <c r="J121" i="10" s="1"/>
  <c r="I145" i="10"/>
  <c r="J145" i="10" s="1"/>
  <c r="I172" i="10"/>
  <c r="J172" i="10" s="1"/>
  <c r="I178" i="10"/>
  <c r="J178" i="10" s="1"/>
  <c r="F53" i="2"/>
  <c r="F10" i="2"/>
  <c r="F66" i="2"/>
  <c r="F37" i="2"/>
  <c r="G48" i="2"/>
  <c r="F22" i="2"/>
  <c r="F42" i="2"/>
  <c r="F8" i="2"/>
  <c r="F20" i="2"/>
  <c r="F26" i="2"/>
  <c r="G5" i="2"/>
  <c r="G17" i="2"/>
  <c r="F11" i="2"/>
  <c r="G11" i="2"/>
  <c r="F23" i="2"/>
  <c r="G31" i="2"/>
  <c r="F60" i="2"/>
  <c r="F35" i="2"/>
  <c r="G35" i="2"/>
  <c r="G53" i="2"/>
  <c r="F54" i="2"/>
  <c r="F65" i="2"/>
  <c r="G71" i="2"/>
  <c r="G47" i="2"/>
  <c r="G14" i="2"/>
  <c r="G23" i="2"/>
  <c r="G65" i="2"/>
  <c r="G20" i="2"/>
  <c r="G36" i="2"/>
  <c r="G42" i="2"/>
  <c r="G59" i="2"/>
  <c r="G60" i="2"/>
  <c r="C9" i="2"/>
  <c r="G4" i="2"/>
  <c r="C33" i="2"/>
  <c r="G28" i="2"/>
  <c r="F28" i="2"/>
  <c r="C45" i="2"/>
  <c r="G40" i="2"/>
  <c r="F40" i="2"/>
  <c r="G6" i="2"/>
  <c r="F6" i="2"/>
  <c r="G13" i="2"/>
  <c r="F13" i="2"/>
  <c r="G18" i="2"/>
  <c r="F18" i="2"/>
  <c r="G25" i="2"/>
  <c r="F25" i="2"/>
  <c r="F29" i="2"/>
  <c r="G29" i="2"/>
  <c r="C39" i="2"/>
  <c r="G34" i="2"/>
  <c r="F34" i="2"/>
  <c r="C21" i="2"/>
  <c r="G16" i="2"/>
  <c r="F32" i="2"/>
  <c r="G32" i="2"/>
  <c r="G38" i="2"/>
  <c r="F38" i="2"/>
  <c r="G8" i="2"/>
  <c r="H8" i="2" s="1"/>
  <c r="I8" i="2" s="1"/>
  <c r="F5" i="2"/>
  <c r="C15" i="2"/>
  <c r="G10" i="2"/>
  <c r="F14" i="2"/>
  <c r="F17" i="2"/>
  <c r="C27" i="2"/>
  <c r="G22" i="2"/>
  <c r="G30" i="2"/>
  <c r="F30" i="2"/>
  <c r="F4" i="2"/>
  <c r="G7" i="2"/>
  <c r="F7" i="2"/>
  <c r="G12" i="2"/>
  <c r="F12" i="2"/>
  <c r="F16" i="2"/>
  <c r="G19" i="2"/>
  <c r="F19" i="2"/>
  <c r="G24" i="2"/>
  <c r="F24" i="2"/>
  <c r="G26" i="2"/>
  <c r="C51" i="2"/>
  <c r="G46" i="2"/>
  <c r="F46" i="2"/>
  <c r="F31" i="2"/>
  <c r="G37" i="2"/>
  <c r="G41" i="2"/>
  <c r="F41" i="2"/>
  <c r="F47" i="2"/>
  <c r="G54" i="2"/>
  <c r="G62" i="2"/>
  <c r="F62" i="2"/>
  <c r="C69" i="2"/>
  <c r="G64" i="2"/>
  <c r="F64" i="2"/>
  <c r="G67" i="2"/>
  <c r="F67" i="2"/>
  <c r="F71" i="2"/>
  <c r="G73" i="2"/>
  <c r="F73" i="2"/>
  <c r="G68" i="2"/>
  <c r="F68" i="2"/>
  <c r="C75" i="2"/>
  <c r="G70" i="2"/>
  <c r="F70" i="2"/>
  <c r="G74" i="2"/>
  <c r="F74" i="2"/>
  <c r="F43" i="2"/>
  <c r="G43" i="2"/>
  <c r="G44" i="2"/>
  <c r="F44" i="2"/>
  <c r="G56" i="2"/>
  <c r="F56" i="2"/>
  <c r="C63" i="2"/>
  <c r="G58" i="2"/>
  <c r="F58" i="2"/>
  <c r="G61" i="2"/>
  <c r="F61" i="2"/>
  <c r="G49" i="2"/>
  <c r="F49" i="2"/>
  <c r="F48" i="2"/>
  <c r="G50" i="2"/>
  <c r="F50" i="2"/>
  <c r="C57" i="2"/>
  <c r="G52" i="2"/>
  <c r="F52" i="2"/>
  <c r="G55" i="2"/>
  <c r="F55" i="2"/>
  <c r="F59" i="2"/>
  <c r="G66" i="2"/>
  <c r="F72" i="2"/>
  <c r="G72" i="2"/>
  <c r="H65" i="10"/>
  <c r="G65" i="10"/>
  <c r="K65" i="10" s="1" a="1"/>
  <c r="K65" i="10" s="1"/>
  <c r="H89" i="10"/>
  <c r="H54" i="6"/>
  <c r="I54" i="6" s="1"/>
  <c r="H56" i="6"/>
  <c r="I56" i="6" s="1"/>
  <c r="H58" i="6"/>
  <c r="H23" i="10"/>
  <c r="G56" i="10"/>
  <c r="K56" i="10" s="1" a="1"/>
  <c r="K56" i="10" s="1"/>
  <c r="H113" i="10"/>
  <c r="G113" i="10"/>
  <c r="K113" i="10" s="1" a="1"/>
  <c r="K113" i="10" s="1"/>
  <c r="G155" i="10"/>
  <c r="K155" i="10" s="1" a="1"/>
  <c r="K155" i="10" s="1"/>
  <c r="H161" i="10"/>
  <c r="G161" i="10"/>
  <c r="K161" i="10" s="1" a="1"/>
  <c r="K161" i="10" s="1"/>
  <c r="H71" i="10"/>
  <c r="G5" i="10"/>
  <c r="K5" i="10" s="1" a="1"/>
  <c r="K5" i="10" s="1"/>
  <c r="G11" i="10"/>
  <c r="K11" i="10" s="1" a="1"/>
  <c r="K11" i="10" s="1"/>
  <c r="H14" i="10"/>
  <c r="H36" i="10"/>
  <c r="H44" i="10"/>
  <c r="G50" i="10"/>
  <c r="K50" i="10" s="1" a="1"/>
  <c r="K50" i="10" s="1"/>
  <c r="H53" i="10"/>
  <c r="H62" i="10"/>
  <c r="H69" i="10"/>
  <c r="H77" i="10"/>
  <c r="G83" i="10"/>
  <c r="K83" i="10" s="1" a="1"/>
  <c r="K83" i="10" s="1"/>
  <c r="H86" i="10"/>
  <c r="H93" i="10"/>
  <c r="H125" i="10"/>
  <c r="H134" i="10"/>
  <c r="H141" i="10"/>
  <c r="H149" i="10"/>
  <c r="H158" i="10"/>
  <c r="H173" i="10"/>
  <c r="G12" i="10"/>
  <c r="K12" i="10" s="1" a="1"/>
  <c r="K12" i="10" s="1"/>
  <c r="G14" i="10"/>
  <c r="K14" i="10" s="1" a="1"/>
  <c r="K14" i="10" s="1"/>
  <c r="H33" i="10"/>
  <c r="G51" i="10"/>
  <c r="K51" i="10" s="1" a="1"/>
  <c r="K51" i="10" s="1"/>
  <c r="H155" i="10"/>
  <c r="H171" i="10"/>
  <c r="H6" i="10"/>
  <c r="H66" i="10"/>
  <c r="G90" i="10"/>
  <c r="K90" i="10" s="1" a="1"/>
  <c r="K90" i="10" s="1"/>
  <c r="G9" i="10"/>
  <c r="K9" i="10" s="1" a="1"/>
  <c r="K9" i="10" s="1"/>
  <c r="G15" i="10"/>
  <c r="K15" i="10" s="1" a="1"/>
  <c r="K15" i="10" s="1"/>
  <c r="H20" i="10"/>
  <c r="G21" i="10"/>
  <c r="K21" i="10" s="1" a="1"/>
  <c r="K21" i="10" s="1"/>
  <c r="H26" i="10"/>
  <c r="H32" i="10"/>
  <c r="H72" i="10"/>
  <c r="H96" i="10"/>
  <c r="G120" i="10"/>
  <c r="K120" i="10" s="1" a="1"/>
  <c r="K120" i="10" s="1"/>
  <c r="H120" i="10"/>
  <c r="H144" i="10"/>
  <c r="G168" i="10"/>
  <c r="K168" i="10" s="1" a="1"/>
  <c r="K168" i="10" s="1"/>
  <c r="H168" i="10"/>
  <c r="G138" i="10"/>
  <c r="K138" i="10" s="1" a="1"/>
  <c r="K138" i="10" s="1"/>
  <c r="H138" i="10"/>
  <c r="G78" i="10"/>
  <c r="K78" i="10" s="1" a="1"/>
  <c r="K78" i="10" s="1"/>
  <c r="H78" i="10"/>
  <c r="G102" i="10"/>
  <c r="K102" i="10" s="1" a="1"/>
  <c r="K102" i="10" s="1"/>
  <c r="H102" i="10"/>
  <c r="G126" i="10"/>
  <c r="K126" i="10" s="1" a="1"/>
  <c r="K126" i="10" s="1"/>
  <c r="G150" i="10"/>
  <c r="K150" i="10" s="1" a="1"/>
  <c r="K150" i="10" s="1"/>
  <c r="H150" i="10"/>
  <c r="H174" i="10"/>
  <c r="H12" i="10"/>
  <c r="G57" i="10"/>
  <c r="K57" i="10" s="1" a="1"/>
  <c r="K57" i="10" s="1"/>
  <c r="G114" i="10"/>
  <c r="K114" i="10" s="1" a="1"/>
  <c r="K114" i="10" s="1"/>
  <c r="H114" i="10"/>
  <c r="G162" i="10"/>
  <c r="K162" i="10" s="1" a="1"/>
  <c r="K162" i="10" s="1"/>
  <c r="G17" i="10"/>
  <c r="K17" i="10" s="1" a="1"/>
  <c r="K17" i="10" s="1"/>
  <c r="G23" i="10"/>
  <c r="K23" i="10" s="1" a="1"/>
  <c r="K23" i="10" s="1"/>
  <c r="G29" i="10"/>
  <c r="K29" i="10" s="1" a="1"/>
  <c r="K29" i="10" s="1"/>
  <c r="H39" i="10"/>
  <c r="H60" i="10"/>
  <c r="G84" i="10"/>
  <c r="K84" i="10" s="1" a="1"/>
  <c r="K84" i="10" s="1"/>
  <c r="H108" i="10"/>
  <c r="G132" i="10"/>
  <c r="K132" i="10" s="1" a="1"/>
  <c r="K132" i="10" s="1"/>
  <c r="H132" i="10"/>
  <c r="G156" i="10"/>
  <c r="K156" i="10" s="1" a="1"/>
  <c r="K156" i="10" s="1"/>
  <c r="H180" i="10"/>
  <c r="G18" i="10"/>
  <c r="K18" i="10" s="1" a="1"/>
  <c r="K18" i="10" s="1"/>
  <c r="G24" i="10"/>
  <c r="K24" i="10" s="1" a="1"/>
  <c r="K24" i="10" s="1"/>
  <c r="G30" i="10"/>
  <c r="K30" i="10" s="1" a="1"/>
  <c r="K30" i="10" s="1"/>
  <c r="G42" i="10"/>
  <c r="K42" i="10" s="1" a="1"/>
  <c r="K42" i="10" s="1"/>
  <c r="G48" i="10"/>
  <c r="K48" i="10" s="1" a="1"/>
  <c r="K48" i="10" s="1"/>
  <c r="G54" i="10"/>
  <c r="K54" i="10" s="1" a="1"/>
  <c r="K54" i="10" s="1"/>
  <c r="G47" i="10"/>
  <c r="K47" i="10" s="1" a="1"/>
  <c r="K47" i="10" s="1"/>
  <c r="G63" i="10"/>
  <c r="K63" i="10" s="1" a="1"/>
  <c r="K63" i="10" s="1"/>
  <c r="G81" i="10"/>
  <c r="K81" i="10" s="1" a="1"/>
  <c r="K81" i="10" s="1"/>
  <c r="G87" i="10"/>
  <c r="K87" i="10" s="1" a="1"/>
  <c r="K87" i="10" s="1"/>
  <c r="G93" i="10"/>
  <c r="K93" i="10" s="1" a="1"/>
  <c r="K93" i="10" s="1"/>
  <c r="G105" i="10"/>
  <c r="K105" i="10" s="1" a="1"/>
  <c r="K105" i="10" s="1"/>
  <c r="G111" i="10"/>
  <c r="K111" i="10" s="1" a="1"/>
  <c r="K111" i="10" s="1"/>
  <c r="G117" i="10"/>
  <c r="K117" i="10" s="1" a="1"/>
  <c r="K117" i="10" s="1"/>
  <c r="G123" i="10"/>
  <c r="K123" i="10" s="1" a="1"/>
  <c r="K123" i="10" s="1"/>
  <c r="G129" i="10"/>
  <c r="K129" i="10" s="1" a="1"/>
  <c r="K129" i="10" s="1"/>
  <c r="G141" i="10"/>
  <c r="K141" i="10" s="1" a="1"/>
  <c r="K141" i="10" s="1"/>
  <c r="G153" i="10"/>
  <c r="K153" i="10" s="1" a="1"/>
  <c r="K153" i="10" s="1"/>
  <c r="G159" i="10"/>
  <c r="K159" i="10" s="1" a="1"/>
  <c r="K159" i="10" s="1"/>
  <c r="G165" i="10"/>
  <c r="K165" i="10" s="1" a="1"/>
  <c r="K165" i="10" s="1"/>
  <c r="G171" i="10"/>
  <c r="K171" i="10" s="1" a="1"/>
  <c r="K171" i="10" s="1"/>
  <c r="G62" i="10"/>
  <c r="K62" i="10" s="1" a="1"/>
  <c r="K62" i="10" s="1"/>
  <c r="G68" i="10"/>
  <c r="K68" i="10" s="1" a="1"/>
  <c r="K68" i="10" s="1"/>
  <c r="G74" i="10"/>
  <c r="K74" i="10" s="1" a="1"/>
  <c r="K74" i="10" s="1"/>
  <c r="G80" i="10"/>
  <c r="K80" i="10" s="1" a="1"/>
  <c r="K80" i="10" s="1"/>
  <c r="G92" i="10"/>
  <c r="K92" i="10" s="1" a="1"/>
  <c r="K92" i="10" s="1"/>
  <c r="G116" i="10"/>
  <c r="K116" i="10" s="1" a="1"/>
  <c r="K116" i="10" s="1"/>
  <c r="G128" i="10"/>
  <c r="K128" i="10" s="1" a="1"/>
  <c r="K128" i="10" s="1"/>
  <c r="G134" i="10"/>
  <c r="K134" i="10" s="1" a="1"/>
  <c r="K134" i="10" s="1"/>
  <c r="G140" i="10"/>
  <c r="K140" i="10" s="1" a="1"/>
  <c r="K140" i="10" s="1"/>
  <c r="G152" i="10"/>
  <c r="K152" i="10" s="1" a="1"/>
  <c r="K152" i="10" s="1"/>
  <c r="G158" i="10"/>
  <c r="K158" i="10" s="1" a="1"/>
  <c r="K158" i="10" s="1"/>
  <c r="G164" i="10"/>
  <c r="K164" i="10" s="1" a="1"/>
  <c r="K164" i="10" s="1"/>
  <c r="H19" i="7" l="1"/>
  <c r="I19" i="7" s="1"/>
  <c r="H68" i="7"/>
  <c r="I68" i="7" s="1"/>
  <c r="H4" i="7"/>
  <c r="I4" i="7" s="1"/>
  <c r="F57" i="6"/>
  <c r="H12" i="6"/>
  <c r="I12" i="6" s="1"/>
  <c r="H70" i="6"/>
  <c r="G57" i="6"/>
  <c r="F75" i="6"/>
  <c r="H11" i="6"/>
  <c r="I11" i="6" s="1"/>
  <c r="H8" i="6"/>
  <c r="I8" i="6" s="1"/>
  <c r="H4" i="6"/>
  <c r="H52" i="6"/>
  <c r="I52" i="6" s="1"/>
  <c r="H47" i="6"/>
  <c r="I47" i="6" s="1"/>
  <c r="F9" i="6"/>
  <c r="H23" i="6"/>
  <c r="I23" i="6" s="1"/>
  <c r="H41" i="6"/>
  <c r="I41" i="6" s="1"/>
  <c r="H16" i="6"/>
  <c r="I16" i="6" s="1"/>
  <c r="F39" i="6"/>
  <c r="F63" i="6"/>
  <c r="F51" i="6"/>
  <c r="H44" i="6"/>
  <c r="I44" i="6" s="1"/>
  <c r="H18" i="6"/>
  <c r="I18" i="6" s="1"/>
  <c r="H13" i="6"/>
  <c r="I13" i="6" s="1"/>
  <c r="H6" i="7"/>
  <c r="I6" i="7" s="1"/>
  <c r="H48" i="7"/>
  <c r="I48" i="7" s="1"/>
  <c r="F45" i="7"/>
  <c r="H55" i="7"/>
  <c r="I55" i="7" s="1"/>
  <c r="H28" i="7"/>
  <c r="I28" i="7" s="1"/>
  <c r="G21" i="7"/>
  <c r="H20" i="7"/>
  <c r="I20" i="7" s="1"/>
  <c r="H43" i="7"/>
  <c r="I43" i="7" s="1"/>
  <c r="G9" i="7"/>
  <c r="H8" i="7"/>
  <c r="I8" i="7" s="1"/>
  <c r="F51" i="7"/>
  <c r="H31" i="7"/>
  <c r="I31" i="7" s="1"/>
  <c r="H5" i="7"/>
  <c r="I5" i="7" s="1"/>
  <c r="F75" i="7"/>
  <c r="F69" i="7"/>
  <c r="H61" i="7"/>
  <c r="I61" i="7" s="1"/>
  <c r="I63" i="7" s="1"/>
  <c r="G45" i="7"/>
  <c r="H49" i="7"/>
  <c r="I49" i="7" s="1"/>
  <c r="I51" i="7" s="1"/>
  <c r="H17" i="7"/>
  <c r="I17" i="7" s="1"/>
  <c r="G69" i="7"/>
  <c r="H74" i="7"/>
  <c r="I74" i="7" s="1"/>
  <c r="F15" i="7"/>
  <c r="H65" i="7"/>
  <c r="I65" i="7" s="1"/>
  <c r="I69" i="7" s="1"/>
  <c r="F33" i="7"/>
  <c r="F9" i="7"/>
  <c r="F27" i="7"/>
  <c r="H40" i="7"/>
  <c r="I40" i="7" s="1"/>
  <c r="H72" i="7"/>
  <c r="I72" i="7" s="1"/>
  <c r="H18" i="7"/>
  <c r="I18" i="7" s="1"/>
  <c r="F39" i="7"/>
  <c r="H44" i="7"/>
  <c r="I44" i="7" s="1"/>
  <c r="H46" i="6"/>
  <c r="I46" i="6" s="1"/>
  <c r="H42" i="6"/>
  <c r="I42" i="6" s="1"/>
  <c r="H22" i="6"/>
  <c r="H71" i="6"/>
  <c r="I71" i="6" s="1"/>
  <c r="H59" i="6"/>
  <c r="I59" i="6" s="1"/>
  <c r="G75" i="7"/>
  <c r="H65" i="6"/>
  <c r="I65" i="6" s="1"/>
  <c r="H53" i="6"/>
  <c r="I53" i="6" s="1"/>
  <c r="F63" i="7"/>
  <c r="F33" i="6"/>
  <c r="G63" i="7"/>
  <c r="F57" i="7"/>
  <c r="G51" i="7"/>
  <c r="G57" i="7"/>
  <c r="G33" i="7"/>
  <c r="F21" i="7"/>
  <c r="G75" i="6"/>
  <c r="G63" i="6"/>
  <c r="F45" i="6"/>
  <c r="H32" i="6"/>
  <c r="I32" i="6" s="1"/>
  <c r="H20" i="6"/>
  <c r="I20" i="6" s="1"/>
  <c r="G27" i="6"/>
  <c r="H14" i="6"/>
  <c r="I14" i="6" s="1"/>
  <c r="H40" i="6"/>
  <c r="G33" i="6"/>
  <c r="G15" i="6"/>
  <c r="F21" i="6"/>
  <c r="F15" i="6"/>
  <c r="G45" i="6"/>
  <c r="G9" i="6"/>
  <c r="G51" i="6"/>
  <c r="G21" i="6"/>
  <c r="G39" i="6"/>
  <c r="I149" i="10"/>
  <c r="J149" i="10" s="1"/>
  <c r="M149" i="10" s="1" a="1"/>
  <c r="M149" i="10" s="1"/>
  <c r="I125" i="10"/>
  <c r="L125" i="10" s="1" a="1"/>
  <c r="L125" i="10" s="1"/>
  <c r="I39" i="7"/>
  <c r="I143" i="10"/>
  <c r="L143" i="10" s="1" a="1"/>
  <c r="L143" i="10" s="1"/>
  <c r="I45" i="10"/>
  <c r="J45" i="10" s="1"/>
  <c r="M45" i="10" s="1" a="1"/>
  <c r="M45" i="10" s="1"/>
  <c r="H15" i="7"/>
  <c r="H39" i="7"/>
  <c r="I15" i="7"/>
  <c r="I27" i="7"/>
  <c r="I38" i="10"/>
  <c r="J38" i="10" s="1"/>
  <c r="M38" i="10" s="1" a="1"/>
  <c r="M38" i="10" s="1"/>
  <c r="I44" i="10"/>
  <c r="J44" i="10" s="1"/>
  <c r="M44" i="10" s="1" a="1"/>
  <c r="M44" i="10" s="1"/>
  <c r="I131" i="10"/>
  <c r="J131" i="10" s="1"/>
  <c r="M131" i="10" s="1" a="1"/>
  <c r="M131" i="10" s="1"/>
  <c r="I32" i="10"/>
  <c r="L32" i="10" s="1" a="1"/>
  <c r="L32" i="10" s="1"/>
  <c r="I8" i="10"/>
  <c r="J8" i="10" s="1"/>
  <c r="M8" i="10" s="1" a="1"/>
  <c r="M8" i="10" s="1"/>
  <c r="I107" i="10"/>
  <c r="J107" i="10" s="1"/>
  <c r="M107" i="10" s="1" a="1"/>
  <c r="M107" i="10" s="1"/>
  <c r="I39" i="10"/>
  <c r="J39" i="10" s="1"/>
  <c r="M39" i="10" s="1" a="1"/>
  <c r="M39" i="10" s="1"/>
  <c r="I12" i="10"/>
  <c r="L12" i="10" s="1" a="1"/>
  <c r="L12" i="10" s="1"/>
  <c r="I26" i="10"/>
  <c r="J26" i="10" s="1"/>
  <c r="M26" i="10" s="1" a="1"/>
  <c r="M26" i="10" s="1"/>
  <c r="I173" i="10"/>
  <c r="L173" i="10" s="1" a="1"/>
  <c r="L173" i="10" s="1"/>
  <c r="H27" i="7"/>
  <c r="I101" i="10"/>
  <c r="L101" i="10" s="1" a="1"/>
  <c r="L101" i="10" s="1"/>
  <c r="I77" i="10"/>
  <c r="L77" i="10" s="1" a="1"/>
  <c r="L77" i="10" s="1"/>
  <c r="I179" i="10"/>
  <c r="J179" i="10" s="1"/>
  <c r="M179" i="10" s="1" a="1"/>
  <c r="M179" i="10" s="1"/>
  <c r="I6" i="10"/>
  <c r="J6" i="10" s="1"/>
  <c r="I71" i="10"/>
  <c r="L71" i="10" s="1" a="1"/>
  <c r="L71" i="10" s="1"/>
  <c r="I119" i="10"/>
  <c r="L119" i="10" s="1" a="1"/>
  <c r="L119" i="10" s="1"/>
  <c r="I70" i="6"/>
  <c r="I95" i="10"/>
  <c r="L95" i="10" s="1" a="1"/>
  <c r="L95" i="10" s="1"/>
  <c r="I17" i="6"/>
  <c r="I167" i="10"/>
  <c r="J167" i="10" s="1"/>
  <c r="M167" i="10" s="1" a="1"/>
  <c r="M167" i="10" s="1"/>
  <c r="H36" i="2"/>
  <c r="I36" i="2" s="1"/>
  <c r="I83" i="10"/>
  <c r="I59" i="10"/>
  <c r="J143" i="10"/>
  <c r="M143" i="10" s="1" a="1"/>
  <c r="M143" i="10" s="1"/>
  <c r="I50" i="10"/>
  <c r="I11" i="10"/>
  <c r="I161" i="10"/>
  <c r="I89" i="10"/>
  <c r="I137" i="10"/>
  <c r="H53" i="2"/>
  <c r="I53" i="2" s="1"/>
  <c r="H66" i="2"/>
  <c r="I66" i="2" s="1"/>
  <c r="H42" i="2"/>
  <c r="I42" i="2" s="1"/>
  <c r="H23" i="2"/>
  <c r="I23" i="2" s="1"/>
  <c r="J4" i="10"/>
  <c r="I14" i="10"/>
  <c r="I155" i="10"/>
  <c r="I56" i="10"/>
  <c r="I20" i="10"/>
  <c r="I113" i="10"/>
  <c r="H65" i="2"/>
  <c r="I65" i="2" s="1"/>
  <c r="H37" i="2"/>
  <c r="I37" i="2" s="1"/>
  <c r="H60" i="2"/>
  <c r="I60" i="2" s="1"/>
  <c r="H20" i="2"/>
  <c r="I20" i="2" s="1"/>
  <c r="H54" i="2"/>
  <c r="I54" i="2" s="1"/>
  <c r="G69" i="2"/>
  <c r="H35" i="2"/>
  <c r="I35" i="2" s="1"/>
  <c r="H11" i="2"/>
  <c r="I11" i="2" s="1"/>
  <c r="G63" i="2"/>
  <c r="H22" i="2"/>
  <c r="I22" i="2" s="1"/>
  <c r="H26" i="2"/>
  <c r="I26" i="2" s="1"/>
  <c r="F15" i="2"/>
  <c r="H72" i="2"/>
  <c r="I72" i="2" s="1"/>
  <c r="H50" i="2"/>
  <c r="I50" i="2" s="1"/>
  <c r="H68" i="2"/>
  <c r="I68" i="2" s="1"/>
  <c r="H71" i="2"/>
  <c r="I71" i="2" s="1"/>
  <c r="H24" i="2"/>
  <c r="I24" i="2" s="1"/>
  <c r="H25" i="2"/>
  <c r="I25" i="2" s="1"/>
  <c r="G33" i="2"/>
  <c r="F57" i="2"/>
  <c r="H52" i="2"/>
  <c r="I52" i="2" s="1"/>
  <c r="H61" i="2"/>
  <c r="I61" i="2" s="1"/>
  <c r="H43" i="2"/>
  <c r="I43" i="2" s="1"/>
  <c r="F75" i="2"/>
  <c r="H70" i="2"/>
  <c r="I70" i="2" s="1"/>
  <c r="H67" i="2"/>
  <c r="I67" i="2" s="1"/>
  <c r="G51" i="2"/>
  <c r="H12" i="2"/>
  <c r="I12" i="2" s="1"/>
  <c r="H4" i="2"/>
  <c r="F9" i="2"/>
  <c r="G27" i="2"/>
  <c r="G15" i="2"/>
  <c r="G45" i="2"/>
  <c r="F27" i="2"/>
  <c r="F51" i="2"/>
  <c r="H46" i="2"/>
  <c r="I46" i="2" s="1"/>
  <c r="F21" i="2"/>
  <c r="H16" i="2"/>
  <c r="I16" i="2" s="1"/>
  <c r="H14" i="2"/>
  <c r="I14" i="2" s="1"/>
  <c r="G39" i="2"/>
  <c r="H13" i="2"/>
  <c r="I13" i="2" s="1"/>
  <c r="H40" i="2"/>
  <c r="F45" i="2"/>
  <c r="H59" i="2"/>
  <c r="I59" i="2" s="1"/>
  <c r="G57" i="2"/>
  <c r="H48" i="2"/>
  <c r="I48" i="2" s="1"/>
  <c r="H56" i="2"/>
  <c r="I56" i="2" s="1"/>
  <c r="H44" i="2"/>
  <c r="I44" i="2" s="1"/>
  <c r="G75" i="2"/>
  <c r="H73" i="2"/>
  <c r="I73" i="2" s="1"/>
  <c r="H62" i="2"/>
  <c r="I62" i="2" s="1"/>
  <c r="H19" i="2"/>
  <c r="I19" i="2" s="1"/>
  <c r="H32" i="2"/>
  <c r="I32" i="2" s="1"/>
  <c r="H18" i="2"/>
  <c r="I18" i="2" s="1"/>
  <c r="H6" i="2"/>
  <c r="I6" i="2" s="1"/>
  <c r="G9" i="2"/>
  <c r="H41" i="2"/>
  <c r="I41" i="2" s="1"/>
  <c r="H55" i="2"/>
  <c r="I55" i="2" s="1"/>
  <c r="H49" i="2"/>
  <c r="I49" i="2" s="1"/>
  <c r="F63" i="2"/>
  <c r="H58" i="2"/>
  <c r="I58" i="2" s="1"/>
  <c r="H74" i="2"/>
  <c r="I74" i="2" s="1"/>
  <c r="F69" i="2"/>
  <c r="H64" i="2"/>
  <c r="I64" i="2" s="1"/>
  <c r="H47" i="2"/>
  <c r="I47" i="2" s="1"/>
  <c r="H31" i="2"/>
  <c r="I31" i="2" s="1"/>
  <c r="H7" i="2"/>
  <c r="I7" i="2" s="1"/>
  <c r="H30" i="2"/>
  <c r="I30" i="2" s="1"/>
  <c r="H17" i="2"/>
  <c r="I17" i="2" s="1"/>
  <c r="H5" i="2"/>
  <c r="I5" i="2" s="1"/>
  <c r="H38" i="2"/>
  <c r="I38" i="2" s="1"/>
  <c r="G21" i="2"/>
  <c r="H34" i="2"/>
  <c r="F39" i="2"/>
  <c r="H29" i="2"/>
  <c r="I29" i="2" s="1"/>
  <c r="F33" i="2"/>
  <c r="H28" i="2"/>
  <c r="H10" i="2"/>
  <c r="I65" i="10"/>
  <c r="I51" i="10"/>
  <c r="I40" i="6"/>
  <c r="I4" i="6"/>
  <c r="I9" i="6" s="1"/>
  <c r="H9" i="6"/>
  <c r="I28" i="6"/>
  <c r="I33" i="6" s="1"/>
  <c r="H39" i="6"/>
  <c r="I34" i="6"/>
  <c r="I39" i="6" s="1"/>
  <c r="I5" i="10"/>
  <c r="I58" i="6"/>
  <c r="I152" i="10"/>
  <c r="I183" i="10"/>
  <c r="L183" i="10" s="1" a="1"/>
  <c r="L183" i="10" s="1"/>
  <c r="I111" i="10"/>
  <c r="I18" i="10"/>
  <c r="I60" i="10"/>
  <c r="I52" i="7"/>
  <c r="I170" i="10"/>
  <c r="I146" i="10"/>
  <c r="I122" i="10"/>
  <c r="I98" i="10"/>
  <c r="I74" i="10"/>
  <c r="I177" i="10"/>
  <c r="I153" i="10"/>
  <c r="L153" i="10" s="1" a="1"/>
  <c r="L153" i="10" s="1"/>
  <c r="I129" i="10"/>
  <c r="I105" i="10"/>
  <c r="L105" i="10" s="1" a="1"/>
  <c r="L105" i="10" s="1"/>
  <c r="I81" i="10"/>
  <c r="I41" i="10"/>
  <c r="I36" i="10"/>
  <c r="I29" i="10"/>
  <c r="I57" i="10"/>
  <c r="I150" i="10"/>
  <c r="I102" i="10"/>
  <c r="I144" i="10"/>
  <c r="I96" i="10"/>
  <c r="I15" i="10"/>
  <c r="I176" i="10"/>
  <c r="I104" i="10"/>
  <c r="I159" i="10"/>
  <c r="I87" i="10"/>
  <c r="I47" i="10"/>
  <c r="I156" i="10"/>
  <c r="I114" i="10"/>
  <c r="I33" i="10"/>
  <c r="I164" i="10"/>
  <c r="I140" i="10"/>
  <c r="I116" i="10"/>
  <c r="I92" i="10"/>
  <c r="I68" i="10"/>
  <c r="I171" i="10"/>
  <c r="I147" i="10"/>
  <c r="I123" i="10"/>
  <c r="I99" i="10"/>
  <c r="I75" i="10"/>
  <c r="I54" i="10"/>
  <c r="L54" i="10" s="1" a="1"/>
  <c r="L54" i="10" s="1"/>
  <c r="I30" i="10"/>
  <c r="I180" i="10"/>
  <c r="I132" i="10"/>
  <c r="I84" i="10"/>
  <c r="I23" i="10"/>
  <c r="I162" i="10"/>
  <c r="I21" i="10"/>
  <c r="I9" i="10"/>
  <c r="I90" i="10"/>
  <c r="I128" i="10"/>
  <c r="I80" i="10"/>
  <c r="I135" i="10"/>
  <c r="I63" i="10"/>
  <c r="I42" i="10"/>
  <c r="I108" i="10"/>
  <c r="I66" i="10"/>
  <c r="I182" i="10"/>
  <c r="I158" i="10"/>
  <c r="I134" i="10"/>
  <c r="I110" i="10"/>
  <c r="I86" i="10"/>
  <c r="I62" i="10"/>
  <c r="I165" i="10"/>
  <c r="I141" i="10"/>
  <c r="L141" i="10" s="1" a="1"/>
  <c r="L141" i="10" s="1"/>
  <c r="I117" i="10"/>
  <c r="I93" i="10"/>
  <c r="I69" i="10"/>
  <c r="I53" i="10"/>
  <c r="I48" i="10"/>
  <c r="I24" i="10"/>
  <c r="I17" i="10"/>
  <c r="I174" i="10"/>
  <c r="I126" i="10"/>
  <c r="I78" i="10"/>
  <c r="I138" i="10"/>
  <c r="I168" i="10"/>
  <c r="I120" i="10"/>
  <c r="I72" i="10"/>
  <c r="I27" i="10"/>
  <c r="I75" i="7" l="1"/>
  <c r="I9" i="7"/>
  <c r="I33" i="7"/>
  <c r="H9" i="7"/>
  <c r="I45" i="7"/>
  <c r="I21" i="7"/>
  <c r="I57" i="6"/>
  <c r="L149" i="10" a="1"/>
  <c r="L149" i="10" s="1"/>
  <c r="I45" i="6"/>
  <c r="H45" i="6"/>
  <c r="H51" i="6"/>
  <c r="I51" i="6"/>
  <c r="H21" i="6"/>
  <c r="H63" i="6"/>
  <c r="I21" i="6"/>
  <c r="I15" i="6"/>
  <c r="H27" i="6"/>
  <c r="H63" i="7"/>
  <c r="H69" i="7"/>
  <c r="I57" i="7"/>
  <c r="H57" i="7"/>
  <c r="H21" i="7"/>
  <c r="H45" i="7"/>
  <c r="H33" i="7"/>
  <c r="H51" i="7"/>
  <c r="H75" i="7"/>
  <c r="I22" i="6"/>
  <c r="I27" i="6" s="1"/>
  <c r="H57" i="6"/>
  <c r="I75" i="6"/>
  <c r="J125" i="10"/>
  <c r="M125" i="10" s="1" a="1"/>
  <c r="M125" i="10" s="1"/>
  <c r="H75" i="6"/>
  <c r="I63" i="6"/>
  <c r="H33" i="6"/>
  <c r="H15" i="6"/>
  <c r="J101" i="10"/>
  <c r="M101" i="10" s="1" a="1"/>
  <c r="M101" i="10" s="1"/>
  <c r="L38" i="10" a="1"/>
  <c r="L38" i="10" s="1"/>
  <c r="J12" i="10"/>
  <c r="M12" i="10" s="1" a="1"/>
  <c r="M12" i="10" s="1"/>
  <c r="J71" i="10"/>
  <c r="M71" i="10" s="1" a="1"/>
  <c r="M71" i="10" s="1"/>
  <c r="L45" i="10" a="1"/>
  <c r="L45" i="10" s="1"/>
  <c r="L44" i="10" a="1"/>
  <c r="L44" i="10" s="1"/>
  <c r="J77" i="10"/>
  <c r="M77" i="10" s="1" a="1"/>
  <c r="M77" i="10" s="1"/>
  <c r="L26" i="10" a="1"/>
  <c r="L26" i="10" s="1"/>
  <c r="L39" i="10" a="1"/>
  <c r="L39" i="10" s="1"/>
  <c r="J105" i="10"/>
  <c r="M105" i="10" s="1" a="1"/>
  <c r="M105" i="10" s="1"/>
  <c r="L6" i="10" a="1"/>
  <c r="L6" i="10" s="1"/>
  <c r="M6" i="10" a="1"/>
  <c r="M6" i="10" s="1"/>
  <c r="L131" i="10" a="1"/>
  <c r="L131" i="10" s="1"/>
  <c r="J32" i="10"/>
  <c r="M32" i="10" s="1" a="1"/>
  <c r="M32" i="10" s="1"/>
  <c r="L107" i="10" a="1"/>
  <c r="L107" i="10" s="1"/>
  <c r="L8" i="10" a="1"/>
  <c r="L8" i="10" s="1"/>
  <c r="L179" i="10" a="1"/>
  <c r="L179" i="10" s="1"/>
  <c r="L167" i="10" a="1"/>
  <c r="L167" i="10" s="1"/>
  <c r="J119" i="10"/>
  <c r="M119" i="10" s="1" a="1"/>
  <c r="M119" i="10" s="1"/>
  <c r="J95" i="10"/>
  <c r="M95" i="10" s="1" a="1"/>
  <c r="M95" i="10" s="1"/>
  <c r="J173" i="10"/>
  <c r="M173" i="10" s="1" a="1"/>
  <c r="M173" i="10" s="1"/>
  <c r="J183" i="10"/>
  <c r="M183" i="10" s="1" a="1"/>
  <c r="M183" i="10" s="1"/>
  <c r="J141" i="10"/>
  <c r="M141" i="10" s="1" a="1"/>
  <c r="M141" i="10" s="1"/>
  <c r="J153" i="10"/>
  <c r="M153" i="10" s="1" a="1"/>
  <c r="M153" i="10" s="1"/>
  <c r="J147" i="10"/>
  <c r="M147" i="10" s="1" a="1"/>
  <c r="M147" i="10" s="1"/>
  <c r="L147" i="10" a="1"/>
  <c r="L147" i="10" s="1"/>
  <c r="J116" i="10"/>
  <c r="M116" i="10" s="1" a="1"/>
  <c r="M116" i="10" s="1"/>
  <c r="L116" i="10" a="1"/>
  <c r="L116" i="10" s="1"/>
  <c r="J114" i="10"/>
  <c r="M114" i="10" s="1" a="1"/>
  <c r="M114" i="10" s="1"/>
  <c r="L114" i="10" a="1"/>
  <c r="L114" i="10" s="1"/>
  <c r="J159" i="10"/>
  <c r="M159" i="10" s="1" a="1"/>
  <c r="M159" i="10" s="1"/>
  <c r="L159" i="10" a="1"/>
  <c r="L159" i="10" s="1"/>
  <c r="J96" i="10"/>
  <c r="M96" i="10" s="1" a="1"/>
  <c r="M96" i="10" s="1"/>
  <c r="L96" i="10" a="1"/>
  <c r="L96" i="10" s="1"/>
  <c r="J57" i="10"/>
  <c r="M57" i="10" s="1" a="1"/>
  <c r="M57" i="10" s="1"/>
  <c r="L57" i="10" a="1"/>
  <c r="L57" i="10" s="1"/>
  <c r="J81" i="10"/>
  <c r="M81" i="10" s="1" a="1"/>
  <c r="M81" i="10" s="1"/>
  <c r="L81" i="10" a="1"/>
  <c r="L81" i="10" s="1"/>
  <c r="J20" i="10"/>
  <c r="M20" i="10" s="1" a="1"/>
  <c r="M20" i="10" s="1"/>
  <c r="L20" i="10" a="1"/>
  <c r="L20" i="10" s="1"/>
  <c r="J50" i="10"/>
  <c r="M50" i="10" s="1" a="1"/>
  <c r="M50" i="10" s="1"/>
  <c r="L50" i="10" a="1"/>
  <c r="L50" i="10" s="1"/>
  <c r="J59" i="10"/>
  <c r="M59" i="10" s="1" a="1"/>
  <c r="M59" i="10" s="1"/>
  <c r="L59" i="10" a="1"/>
  <c r="L59" i="10" s="1"/>
  <c r="J98" i="10"/>
  <c r="M98" i="10" s="1" a="1"/>
  <c r="M98" i="10" s="1"/>
  <c r="L98" i="10" a="1"/>
  <c r="L98" i="10" s="1"/>
  <c r="J111" i="10"/>
  <c r="M111" i="10" s="1" a="1"/>
  <c r="M111" i="10" s="1"/>
  <c r="L111" i="10" a="1"/>
  <c r="L111" i="10" s="1"/>
  <c r="J65" i="10"/>
  <c r="M65" i="10" s="1" a="1"/>
  <c r="M65" i="10" s="1"/>
  <c r="L65" i="10" a="1"/>
  <c r="L65" i="10" s="1"/>
  <c r="J113" i="10"/>
  <c r="M113" i="10" s="1" a="1"/>
  <c r="M113" i="10" s="1"/>
  <c r="L113" i="10" a="1"/>
  <c r="L113" i="10" s="1"/>
  <c r="J14" i="10"/>
  <c r="M14" i="10" s="1" a="1"/>
  <c r="M14" i="10" s="1"/>
  <c r="L14" i="10" a="1"/>
  <c r="L14" i="10" s="1"/>
  <c r="J137" i="10"/>
  <c r="M137" i="10" s="1" a="1"/>
  <c r="M137" i="10" s="1"/>
  <c r="L137" i="10" a="1"/>
  <c r="L137" i="10" s="1"/>
  <c r="J161" i="10"/>
  <c r="M161" i="10" s="1" a="1"/>
  <c r="M161" i="10" s="1"/>
  <c r="L161" i="10" a="1"/>
  <c r="L161" i="10" s="1"/>
  <c r="J168" i="10"/>
  <c r="M168" i="10" s="1" a="1"/>
  <c r="M168" i="10" s="1"/>
  <c r="L168" i="10" a="1"/>
  <c r="L168" i="10" s="1"/>
  <c r="J174" i="10"/>
  <c r="M174" i="10" s="1" a="1"/>
  <c r="M174" i="10" s="1"/>
  <c r="L174" i="10" a="1"/>
  <c r="L174" i="10" s="1"/>
  <c r="J53" i="10"/>
  <c r="M53" i="10" s="1" a="1"/>
  <c r="M53" i="10" s="1"/>
  <c r="L53" i="10" a="1"/>
  <c r="L53" i="10" s="1"/>
  <c r="J122" i="10"/>
  <c r="M122" i="10" s="1" a="1"/>
  <c r="M122" i="10" s="1"/>
  <c r="L122" i="10" a="1"/>
  <c r="L122" i="10" s="1"/>
  <c r="J27" i="10"/>
  <c r="M27" i="10" s="1" a="1"/>
  <c r="M27" i="10" s="1"/>
  <c r="L27" i="10" a="1"/>
  <c r="L27" i="10" s="1"/>
  <c r="J138" i="10"/>
  <c r="M138" i="10" s="1" a="1"/>
  <c r="M138" i="10" s="1"/>
  <c r="L138" i="10" a="1"/>
  <c r="L138" i="10" s="1"/>
  <c r="J17" i="10"/>
  <c r="M17" i="10" s="1" a="1"/>
  <c r="M17" i="10" s="1"/>
  <c r="L17" i="10" a="1"/>
  <c r="L17" i="10" s="1"/>
  <c r="J69" i="10"/>
  <c r="M69" i="10" s="1" a="1"/>
  <c r="M69" i="10" s="1"/>
  <c r="L69" i="10" a="1"/>
  <c r="L69" i="10" s="1"/>
  <c r="J110" i="10"/>
  <c r="M110" i="10" s="1" a="1"/>
  <c r="M110" i="10" s="1"/>
  <c r="L110" i="10" a="1"/>
  <c r="L110" i="10" s="1"/>
  <c r="J66" i="10"/>
  <c r="M66" i="10" s="1" a="1"/>
  <c r="M66" i="10" s="1"/>
  <c r="L66" i="10" a="1"/>
  <c r="L66" i="10" s="1"/>
  <c r="J63" i="10"/>
  <c r="M63" i="10" s="1" a="1"/>
  <c r="M63" i="10" s="1"/>
  <c r="L63" i="10" a="1"/>
  <c r="L63" i="10" s="1"/>
  <c r="J90" i="10"/>
  <c r="M90" i="10" s="1" a="1"/>
  <c r="M90" i="10" s="1"/>
  <c r="L90" i="10" a="1"/>
  <c r="L90" i="10" s="1"/>
  <c r="J23" i="10"/>
  <c r="M23" i="10" s="1" a="1"/>
  <c r="M23" i="10" s="1"/>
  <c r="L23" i="10" a="1"/>
  <c r="L23" i="10" s="1"/>
  <c r="J30" i="10"/>
  <c r="M30" i="10" s="1" a="1"/>
  <c r="M30" i="10" s="1"/>
  <c r="L30" i="10" a="1"/>
  <c r="L30" i="10" s="1"/>
  <c r="J99" i="10"/>
  <c r="M99" i="10" s="1" a="1"/>
  <c r="M99" i="10" s="1"/>
  <c r="L99" i="10" a="1"/>
  <c r="L99" i="10" s="1"/>
  <c r="J68" i="10"/>
  <c r="M68" i="10" s="1" a="1"/>
  <c r="M68" i="10" s="1"/>
  <c r="L68" i="10" a="1"/>
  <c r="L68" i="10" s="1"/>
  <c r="J164" i="10"/>
  <c r="M164" i="10" s="1" a="1"/>
  <c r="M164" i="10" s="1"/>
  <c r="L164" i="10" a="1"/>
  <c r="L164" i="10" s="1"/>
  <c r="J47" i="10"/>
  <c r="M47" i="10" s="1" a="1"/>
  <c r="M47" i="10" s="1"/>
  <c r="L47" i="10" a="1"/>
  <c r="L47" i="10" s="1"/>
  <c r="J176" i="10"/>
  <c r="M176" i="10" s="1" a="1"/>
  <c r="M176" i="10" s="1"/>
  <c r="L176" i="10" a="1"/>
  <c r="L176" i="10" s="1"/>
  <c r="J102" i="10"/>
  <c r="M102" i="10" s="1" a="1"/>
  <c r="M102" i="10" s="1"/>
  <c r="L102" i="10" a="1"/>
  <c r="L102" i="10" s="1"/>
  <c r="J36" i="10"/>
  <c r="M36" i="10" s="1" a="1"/>
  <c r="M36" i="10" s="1"/>
  <c r="L36" i="10" a="1"/>
  <c r="L36" i="10" s="1"/>
  <c r="J177" i="10"/>
  <c r="M177" i="10" s="1" a="1"/>
  <c r="M177" i="10" s="1"/>
  <c r="L177" i="10" a="1"/>
  <c r="L177" i="10" s="1"/>
  <c r="J146" i="10"/>
  <c r="M146" i="10" s="1" a="1"/>
  <c r="M146" i="10" s="1"/>
  <c r="L146" i="10" a="1"/>
  <c r="L146" i="10" s="1"/>
  <c r="J60" i="10"/>
  <c r="M60" i="10" s="1" a="1"/>
  <c r="M60" i="10" s="1"/>
  <c r="L60" i="10" a="1"/>
  <c r="L60" i="10" s="1"/>
  <c r="J56" i="10"/>
  <c r="M56" i="10" s="1" a="1"/>
  <c r="M56" i="10" s="1"/>
  <c r="L56" i="10" a="1"/>
  <c r="L56" i="10" s="1"/>
  <c r="J89" i="10"/>
  <c r="M89" i="10" s="1" a="1"/>
  <c r="M89" i="10" s="1"/>
  <c r="L89" i="10" a="1"/>
  <c r="L89" i="10" s="1"/>
  <c r="J11" i="10"/>
  <c r="M11" i="10" s="1" a="1"/>
  <c r="M11" i="10" s="1"/>
  <c r="L11" i="10" a="1"/>
  <c r="L11" i="10" s="1"/>
  <c r="J120" i="10"/>
  <c r="M120" i="10" s="1" a="1"/>
  <c r="M120" i="10" s="1"/>
  <c r="L120" i="10" a="1"/>
  <c r="L120" i="10" s="1"/>
  <c r="J126" i="10"/>
  <c r="M126" i="10" s="1" a="1"/>
  <c r="M126" i="10" s="1"/>
  <c r="L126" i="10" a="1"/>
  <c r="L126" i="10" s="1"/>
  <c r="J48" i="10"/>
  <c r="M48" i="10" s="1" a="1"/>
  <c r="M48" i="10" s="1"/>
  <c r="L48" i="10" a="1"/>
  <c r="L48" i="10" s="1"/>
  <c r="J117" i="10"/>
  <c r="M117" i="10" s="1" a="1"/>
  <c r="M117" i="10" s="1"/>
  <c r="L117" i="10" a="1"/>
  <c r="L117" i="10" s="1"/>
  <c r="J62" i="10"/>
  <c r="M62" i="10" s="1" a="1"/>
  <c r="M62" i="10" s="1"/>
  <c r="L62" i="10" a="1"/>
  <c r="L62" i="10" s="1"/>
  <c r="J158" i="10"/>
  <c r="M158" i="10" s="1" a="1"/>
  <c r="M158" i="10" s="1"/>
  <c r="L158" i="10" a="1"/>
  <c r="L158" i="10" s="1"/>
  <c r="J108" i="10"/>
  <c r="M108" i="10" s="1" a="1"/>
  <c r="M108" i="10" s="1"/>
  <c r="L108" i="10" a="1"/>
  <c r="L108" i="10" s="1"/>
  <c r="J80" i="10"/>
  <c r="M80" i="10" s="1" a="1"/>
  <c r="M80" i="10" s="1"/>
  <c r="L80" i="10" a="1"/>
  <c r="L80" i="10" s="1"/>
  <c r="J21" i="10"/>
  <c r="M21" i="10" s="1" a="1"/>
  <c r="M21" i="10" s="1"/>
  <c r="L21" i="10" a="1"/>
  <c r="L21" i="10" s="1"/>
  <c r="J132" i="10"/>
  <c r="M132" i="10" s="1" a="1"/>
  <c r="M132" i="10" s="1"/>
  <c r="L132" i="10" a="1"/>
  <c r="L132" i="10" s="1"/>
  <c r="J86" i="10"/>
  <c r="M86" i="10" s="1" a="1"/>
  <c r="M86" i="10" s="1"/>
  <c r="L86" i="10" a="1"/>
  <c r="L86" i="10" s="1"/>
  <c r="J182" i="10"/>
  <c r="M182" i="10" s="1" a="1"/>
  <c r="M182" i="10" s="1"/>
  <c r="L182" i="10" a="1"/>
  <c r="L182" i="10" s="1"/>
  <c r="J42" i="10"/>
  <c r="M42" i="10" s="1" a="1"/>
  <c r="M42" i="10" s="1"/>
  <c r="L42" i="10" a="1"/>
  <c r="L42" i="10" s="1"/>
  <c r="J128" i="10"/>
  <c r="M128" i="10" s="1" a="1"/>
  <c r="M128" i="10" s="1"/>
  <c r="L128" i="10" a="1"/>
  <c r="L128" i="10" s="1"/>
  <c r="J162" i="10"/>
  <c r="M162" i="10" s="1" a="1"/>
  <c r="M162" i="10" s="1"/>
  <c r="L162" i="10" a="1"/>
  <c r="L162" i="10" s="1"/>
  <c r="J180" i="10"/>
  <c r="M180" i="10" s="1" a="1"/>
  <c r="M180" i="10" s="1"/>
  <c r="L180" i="10" a="1"/>
  <c r="L180" i="10" s="1"/>
  <c r="J75" i="10"/>
  <c r="M75" i="10" s="1" a="1"/>
  <c r="M75" i="10" s="1"/>
  <c r="L75" i="10" a="1"/>
  <c r="L75" i="10" s="1"/>
  <c r="J171" i="10"/>
  <c r="M171" i="10" s="1" a="1"/>
  <c r="M171" i="10" s="1"/>
  <c r="L171" i="10" a="1"/>
  <c r="L171" i="10" s="1"/>
  <c r="J140" i="10"/>
  <c r="M140" i="10" s="1" a="1"/>
  <c r="M140" i="10" s="1"/>
  <c r="L140" i="10" a="1"/>
  <c r="L140" i="10" s="1"/>
  <c r="J156" i="10"/>
  <c r="M156" i="10" s="1" a="1"/>
  <c r="M156" i="10" s="1"/>
  <c r="L156" i="10" a="1"/>
  <c r="L156" i="10" s="1"/>
  <c r="J104" i="10"/>
  <c r="M104" i="10" s="1" a="1"/>
  <c r="M104" i="10" s="1"/>
  <c r="L104" i="10" a="1"/>
  <c r="L104" i="10" s="1"/>
  <c r="J144" i="10"/>
  <c r="M144" i="10" s="1" a="1"/>
  <c r="M144" i="10" s="1"/>
  <c r="L144" i="10" a="1"/>
  <c r="L144" i="10" s="1"/>
  <c r="J29" i="10"/>
  <c r="M29" i="10" s="1" a="1"/>
  <c r="M29" i="10" s="1"/>
  <c r="L29" i="10" a="1"/>
  <c r="L29" i="10" s="1"/>
  <c r="J72" i="10"/>
  <c r="M72" i="10" s="1" a="1"/>
  <c r="M72" i="10" s="1"/>
  <c r="L72" i="10" a="1"/>
  <c r="L72" i="10" s="1"/>
  <c r="J78" i="10"/>
  <c r="M78" i="10" s="1" a="1"/>
  <c r="M78" i="10" s="1"/>
  <c r="L78" i="10" a="1"/>
  <c r="L78" i="10" s="1"/>
  <c r="J24" i="10"/>
  <c r="M24" i="10" s="1" a="1"/>
  <c r="M24" i="10" s="1"/>
  <c r="L24" i="10" a="1"/>
  <c r="L24" i="10" s="1"/>
  <c r="J93" i="10"/>
  <c r="M93" i="10" s="1" a="1"/>
  <c r="M93" i="10" s="1"/>
  <c r="L93" i="10" a="1"/>
  <c r="L93" i="10" s="1"/>
  <c r="J165" i="10"/>
  <c r="M165" i="10" s="1" a="1"/>
  <c r="M165" i="10" s="1"/>
  <c r="L165" i="10" a="1"/>
  <c r="L165" i="10" s="1"/>
  <c r="J134" i="10"/>
  <c r="M134" i="10" s="1" a="1"/>
  <c r="M134" i="10" s="1"/>
  <c r="L134" i="10" a="1"/>
  <c r="L134" i="10" s="1"/>
  <c r="J135" i="10"/>
  <c r="M135" i="10" s="1" a="1"/>
  <c r="M135" i="10" s="1"/>
  <c r="L135" i="10" a="1"/>
  <c r="L135" i="10" s="1"/>
  <c r="J9" i="10"/>
  <c r="M9" i="10" s="1" a="1"/>
  <c r="M9" i="10" s="1"/>
  <c r="L9" i="10" a="1"/>
  <c r="L9" i="10" s="1"/>
  <c r="J84" i="10"/>
  <c r="M84" i="10" s="1" a="1"/>
  <c r="M84" i="10" s="1"/>
  <c r="L84" i="10" a="1"/>
  <c r="L84" i="10" s="1"/>
  <c r="J54" i="10"/>
  <c r="M54" i="10" s="1" a="1"/>
  <c r="M54" i="10" s="1"/>
  <c r="J123" i="10"/>
  <c r="M123" i="10" s="1" a="1"/>
  <c r="M123" i="10" s="1"/>
  <c r="L123" i="10" a="1"/>
  <c r="L123" i="10" s="1"/>
  <c r="J92" i="10"/>
  <c r="M92" i="10" s="1" a="1"/>
  <c r="M92" i="10" s="1"/>
  <c r="L92" i="10" a="1"/>
  <c r="L92" i="10" s="1"/>
  <c r="J33" i="10"/>
  <c r="M33" i="10" s="1" a="1"/>
  <c r="M33" i="10" s="1"/>
  <c r="L33" i="10" a="1"/>
  <c r="L33" i="10" s="1"/>
  <c r="J87" i="10"/>
  <c r="M87" i="10" s="1" a="1"/>
  <c r="M87" i="10" s="1"/>
  <c r="L87" i="10" a="1"/>
  <c r="L87" i="10" s="1"/>
  <c r="J15" i="10"/>
  <c r="M15" i="10" s="1" a="1"/>
  <c r="M15" i="10" s="1"/>
  <c r="L15" i="10" a="1"/>
  <c r="L15" i="10" s="1"/>
  <c r="J150" i="10"/>
  <c r="M150" i="10" s="1" a="1"/>
  <c r="M150" i="10" s="1"/>
  <c r="L150" i="10" a="1"/>
  <c r="L150" i="10" s="1"/>
  <c r="J41" i="10"/>
  <c r="M41" i="10" s="1" a="1"/>
  <c r="M41" i="10" s="1"/>
  <c r="L41" i="10" a="1"/>
  <c r="L41" i="10" s="1"/>
  <c r="J129" i="10"/>
  <c r="M129" i="10" s="1" a="1"/>
  <c r="M129" i="10" s="1"/>
  <c r="L129" i="10" a="1"/>
  <c r="L129" i="10" s="1"/>
  <c r="J74" i="10"/>
  <c r="M74" i="10" s="1" a="1"/>
  <c r="M74" i="10" s="1"/>
  <c r="L74" i="10" a="1"/>
  <c r="L74" i="10" s="1"/>
  <c r="J170" i="10"/>
  <c r="M170" i="10" s="1" a="1"/>
  <c r="M170" i="10" s="1"/>
  <c r="L170" i="10" a="1"/>
  <c r="L170" i="10" s="1"/>
  <c r="J18" i="10"/>
  <c r="M18" i="10" s="1" a="1"/>
  <c r="M18" i="10" s="1"/>
  <c r="L18" i="10" a="1"/>
  <c r="L18" i="10" s="1"/>
  <c r="J152" i="10"/>
  <c r="M152" i="10" s="1" a="1"/>
  <c r="M152" i="10" s="1"/>
  <c r="L152" i="10" a="1"/>
  <c r="L152" i="10" s="1"/>
  <c r="J51" i="10"/>
  <c r="M51" i="10" s="1" a="1"/>
  <c r="M51" i="10" s="1"/>
  <c r="L51" i="10" a="1"/>
  <c r="L51" i="10" s="1"/>
  <c r="J155" i="10"/>
  <c r="M155" i="10" s="1" a="1"/>
  <c r="M155" i="10" s="1"/>
  <c r="L155" i="10" a="1"/>
  <c r="L155" i="10" s="1"/>
  <c r="J83" i="10"/>
  <c r="M83" i="10" s="1" a="1"/>
  <c r="M83" i="10" s="1"/>
  <c r="L83" i="10" a="1"/>
  <c r="L83" i="10" s="1"/>
  <c r="H27" i="2"/>
  <c r="J5" i="10"/>
  <c r="M5" i="10" s="1" a="1"/>
  <c r="M5" i="10" s="1"/>
  <c r="L5" i="10" a="1"/>
  <c r="L5" i="10" s="1"/>
  <c r="H69" i="2"/>
  <c r="H39" i="2"/>
  <c r="H45" i="2"/>
  <c r="I69" i="2"/>
  <c r="I63" i="2"/>
  <c r="I21" i="2"/>
  <c r="I75" i="2"/>
  <c r="I57" i="2"/>
  <c r="H33" i="2"/>
  <c r="I40" i="2"/>
  <c r="I45" i="2" s="1"/>
  <c r="H57" i="2"/>
  <c r="H63" i="2"/>
  <c r="I27" i="2"/>
  <c r="I51" i="2"/>
  <c r="H9" i="2"/>
  <c r="H75" i="2"/>
  <c r="H15" i="2"/>
  <c r="I10" i="2"/>
  <c r="I15" i="2" s="1"/>
  <c r="I28" i="2"/>
  <c r="I33" i="2" s="1"/>
  <c r="I34" i="2"/>
  <c r="I39" i="2" s="1"/>
  <c r="H21" i="2"/>
  <c r="H51" i="2"/>
  <c r="I4" i="2"/>
  <c r="I9" i="2" s="1"/>
  <c r="C64" i="6"/>
  <c r="C69" i="6" s="1"/>
  <c r="D35" i="10" l="1"/>
  <c r="G35" i="10" s="1"/>
  <c r="K35" i="10" s="1" a="1"/>
  <c r="K35" i="10" s="1"/>
  <c r="F64" i="6"/>
  <c r="F69" i="6" s="1"/>
  <c r="G64" i="6"/>
  <c r="H35" i="10" l="1"/>
  <c r="I35" i="10" s="1"/>
  <c r="L35" i="10" s="1" a="1"/>
  <c r="L35" i="10" s="1"/>
  <c r="H64" i="6"/>
  <c r="G69" i="6"/>
  <c r="J35" i="10" l="1"/>
  <c r="M35" i="10" s="1" a="1"/>
  <c r="M35" i="10" s="1"/>
  <c r="I64" i="6"/>
  <c r="I69" i="6" s="1"/>
  <c r="H69" i="6"/>
</calcChain>
</file>

<file path=xl/sharedStrings.xml><?xml version="1.0" encoding="utf-8"?>
<sst xmlns="http://schemas.openxmlformats.org/spreadsheetml/2006/main" count="1785" uniqueCount="255">
  <si>
    <t>Scenario</t>
  </si>
  <si>
    <t>Product</t>
  </si>
  <si>
    <t>Selling Price</t>
  </si>
  <si>
    <t>Cost Price</t>
  </si>
  <si>
    <t>Sneakers</t>
  </si>
  <si>
    <t>Sports Shoes</t>
  </si>
  <si>
    <t>Casual Footwear</t>
  </si>
  <si>
    <t>Best</t>
  </si>
  <si>
    <t>Worst</t>
  </si>
  <si>
    <t>Base</t>
  </si>
  <si>
    <t>Product Category</t>
  </si>
  <si>
    <t>Avg. Selling Price (₹)</t>
  </si>
  <si>
    <t>Avg. Cost Price (₹)</t>
  </si>
  <si>
    <t>Monthly Units Sold</t>
  </si>
  <si>
    <t>Formal &amp; Boots</t>
  </si>
  <si>
    <t>Scenario Description Box</t>
  </si>
  <si>
    <t>Description</t>
  </si>
  <si>
    <t>High Demand, Discount Effective, Stable Supply Chain</t>
  </si>
  <si>
    <t>Normal Demand, Average Sales and Margin</t>
  </si>
  <si>
    <t>Cost Pressure, Weak Demand, Excess Inventory</t>
  </si>
  <si>
    <t>Assumptions Sheet - StrideWalk Pvt. Ltd. (2026 Forecast)</t>
  </si>
  <si>
    <t>Month</t>
  </si>
  <si>
    <t>Units</t>
  </si>
  <si>
    <t>Revenue</t>
  </si>
  <si>
    <t>COGS</t>
  </si>
  <si>
    <t>Gross Profit</t>
  </si>
  <si>
    <t>Margin %</t>
  </si>
  <si>
    <t>May</t>
  </si>
  <si>
    <t>July</t>
  </si>
  <si>
    <t>January</t>
  </si>
  <si>
    <t>February</t>
  </si>
  <si>
    <t>March</t>
  </si>
  <si>
    <t>April</t>
  </si>
  <si>
    <t>June</t>
  </si>
  <si>
    <t>August</t>
  </si>
  <si>
    <t>September</t>
  </si>
  <si>
    <t>October</t>
  </si>
  <si>
    <t>November</t>
  </si>
  <si>
    <t>December</t>
  </si>
  <si>
    <t>Ladies Footwear</t>
  </si>
  <si>
    <t>Total</t>
  </si>
  <si>
    <t xml:space="preserve">Month </t>
  </si>
  <si>
    <t>Multiplier</t>
  </si>
  <si>
    <t>Seasonality Multiplier</t>
  </si>
  <si>
    <t>Seasonal Multipler</t>
  </si>
  <si>
    <t>Underperformance</t>
  </si>
  <si>
    <t>%age (S.P.)</t>
  </si>
  <si>
    <t>%age (C.P)</t>
  </si>
  <si>
    <t>%age (Units)</t>
  </si>
  <si>
    <t>No seasonal/formal triggers in Jan.</t>
  </si>
  <si>
    <t>Winter sale clearance + tier 2/3 travel season.</t>
  </si>
  <si>
    <t>New Year party/fashion shopping boost.</t>
  </si>
  <si>
    <t>Valentine gifting &amp; pre-summer casuals.</t>
  </si>
  <si>
    <t>Continuing gym resolution crowd.</t>
  </si>
  <si>
    <t>Peak Indian wedding season.</t>
  </si>
  <si>
    <t>Medium clearance + regional festivals.</t>
  </si>
  <si>
    <t>Valentine’s Day shopping surge.</t>
  </si>
  <si>
    <t>Weather shifts, pre-summer prep starts.</t>
  </si>
  <si>
    <t>Holi travel, casualwear picks up.</t>
  </si>
  <si>
    <t>Last wave of weddings in North/Central India.</t>
  </si>
  <si>
    <t>Outdoor casuals in demand post-winter.</t>
  </si>
  <si>
    <t>Colorful Holi-specific launches, retail promos.</t>
  </si>
  <si>
    <t>School vacations = summer camps + sports coaching.</t>
  </si>
  <si>
    <t>Rise in college break shopping.</t>
  </si>
  <si>
    <t>No corporate or festive activity.</t>
  </si>
  <si>
    <t>Slippers, crocs demand explodes in heat.</t>
  </si>
  <si>
    <t>Mild uplift from summer casuals.</t>
  </si>
  <si>
    <t>Summer camps, intense outdoor play demand.</t>
  </si>
  <si>
    <t>Travel-focused casualwear purchases.</t>
  </si>
  <si>
    <t>Everyday use footwear drives high churn.</t>
  </si>
  <si>
    <t>Off-season</t>
  </si>
  <si>
    <t>Summer dailywear builds momentum.</t>
  </si>
  <si>
    <t>Online sports promotions peak.</t>
  </si>
  <si>
    <t>Father's Day and family gifting.</t>
  </si>
  <si>
    <t>Minimal demand across India.</t>
  </si>
  <si>
    <t>Flip-flops, open shoes flood e-commerce.</t>
  </si>
  <si>
    <t>Mid-year wardrobe updates.</t>
  </si>
  <si>
    <t>Monsoon lowers outdoor activity, but loyalty purchases continue.</t>
  </si>
  <si>
    <t>Back-to-college wardrobe refresh.</t>
  </si>
  <si>
    <t>Offices, universities reopen after summer.</t>
  </si>
  <si>
    <t>Crocs/rain-friendly styles push growth.</t>
  </si>
  <si>
    <t>Monsoon ethnicwear boosts fashion sales.</t>
  </si>
  <si>
    <t>Independence Day sales &amp; gym re-engagement.</t>
  </si>
  <si>
    <t>Rakhi + festive casuals pick up.</t>
  </si>
  <si>
    <t>Pre-festive office fashion demand.</t>
  </si>
  <si>
    <t>Rakhi + Onam gifting, heavy online traffic.</t>
  </si>
  <si>
    <t>South India festive shopping (Onam).</t>
  </si>
  <si>
    <t>Steady interest from fitness audience.</t>
  </si>
  <si>
    <t>Light rise due to Puja season prep.</t>
  </si>
  <si>
    <t>Durga Puja &amp; upcoming weddings.</t>
  </si>
  <si>
    <t>Early festive surge.</t>
  </si>
  <si>
    <t>Durga Puja + Navratri dress-ups.</t>
  </si>
  <si>
    <t>Health + Diwali gift packs.</t>
  </si>
  <si>
    <t>Diwali casual wear peak.</t>
  </si>
  <si>
    <t>Weddings + festival parties</t>
  </si>
  <si>
    <t>Diwali rush + low-priced gift segment.</t>
  </si>
  <si>
    <t>Black Friday/Cyber Monday offers.</t>
  </si>
  <si>
    <t>Leftover Diwali deals.</t>
  </si>
  <si>
    <t>Peak winter wedding zone.</t>
  </si>
  <si>
    <t>Wedding season in full swing.</t>
  </si>
  <si>
    <t>Utility + clearance promotions.</t>
  </si>
  <si>
    <t>Gym promotions + Christmas fitness gear.</t>
  </si>
  <si>
    <t>Year-end gifting.</t>
  </si>
  <si>
    <t>Tier-2/3 budget gifting and utility rise.</t>
  </si>
  <si>
    <t>New Year party outfits.</t>
  </si>
  <si>
    <t>Winter = boots sales spike.</t>
  </si>
  <si>
    <t>&gt;25%</t>
  </si>
  <si>
    <t>Lower Bound</t>
  </si>
  <si>
    <t>Upper Bound</t>
  </si>
  <si>
    <t>Cost % Change</t>
  </si>
  <si>
    <t>SP % Change</t>
  </si>
  <si>
    <t>Reason</t>
  </si>
  <si>
    <t>Minimal demand change — no pricing power</t>
  </si>
  <si>
    <t>Small price push possible</t>
  </si>
  <si>
    <t>Market will tolerate a small increase</t>
  </si>
  <si>
    <t>Higher volume validates stronger pricing</t>
  </si>
  <si>
    <t>Surging demand justifies it</t>
  </si>
  <si>
    <t>Max leverage — scarcity/premium pricing possible</t>
  </si>
  <si>
    <t>Unit Increase</t>
  </si>
  <si>
    <t>Cost Price Mapping Table</t>
  </si>
  <si>
    <t>Selling Price Mapping Table</t>
  </si>
  <si>
    <t>Mild uptick due to casual wear post-holiday shopping, but limited.</t>
  </si>
  <si>
    <t>Overperformance</t>
  </si>
  <si>
    <t>CP % Change</t>
  </si>
  <si>
    <t>Insignificant drop — no change needed</t>
  </si>
  <si>
    <t>Small markdown to stimulate demand</t>
  </si>
  <si>
    <t>Discounting begins (to protect volume)</t>
  </si>
  <si>
    <t>Price reduction to stay competitive</t>
  </si>
  <si>
    <t>Clear demand concern → aggressive cuts</t>
  </si>
  <si>
    <t>Likely clearance or end-of-season sale</t>
  </si>
  <si>
    <t>Volume drop negligible — contracts stay stable</t>
  </si>
  <si>
    <t>Minor loss of scale → suppliers slightly increase cost</t>
  </si>
  <si>
    <t>Smaller order batches = higher per-unit production cost</t>
  </si>
  <si>
    <t>Factory inefficiencies begin to show</t>
  </si>
  <si>
    <t>Transportation/storage inefficiencies increase</t>
  </si>
  <si>
    <t>Loss of bulk rates + urgent procurement or inventory mismanagement costs spike</t>
  </si>
  <si>
    <t>Post-New Year shopping fatigue sets in; less footfall</t>
  </si>
  <si>
    <t>Fitness fever fades fast after New Year Eve</t>
  </si>
  <si>
    <t>Few formal events; cold weather disincentive</t>
  </si>
  <si>
    <t>Winter = less casual wear outdoors</t>
  </si>
  <si>
    <t>Reduced partywear demand</t>
  </si>
  <si>
    <t>Valentine's sales lower than expected; failed campaigns</t>
  </si>
  <si>
    <t>Pre-exam period; drop in fitness-related purchases</t>
  </si>
  <si>
    <t>Fewer weddings/functions than forecasted</t>
  </si>
  <si>
    <t>Low holiday movement</t>
  </si>
  <si>
    <t>Poor targeting of Valentine promos</t>
  </si>
  <si>
    <t>Exam month — retail stalls</t>
  </si>
  <si>
    <t>Schools/colleges shut, fewer sports events</t>
  </si>
  <si>
    <t>Students &amp; job seekers not buying formalwear</t>
  </si>
  <si>
    <t>No travel = no casual wear demand</t>
  </si>
  <si>
    <t>Parents pull back on spending</t>
  </si>
  <si>
    <t>Summer start but no big push from brand</t>
  </si>
  <si>
    <t>People avoid exercise gear in peak heat</t>
  </si>
  <si>
    <t>No hiring season or formals-related activity</t>
  </si>
  <si>
    <t>Not vacation season yet</t>
  </si>
  <si>
    <t>Store presence weak</t>
  </si>
  <si>
    <t>People travel — less local shopping</t>
  </si>
  <si>
    <t>Outdoor fitness drops due to heat</t>
  </si>
  <si>
    <t>No interview cycles; less formal usage</t>
  </si>
  <si>
    <t>Casuals hit, but your campaign didn’t land</t>
  </si>
  <si>
    <t>Heat waves → reduced shopping</t>
  </si>
  <si>
    <t>Monsoon begins — retail slows</t>
  </si>
  <si>
    <t>Rains kill gym &amp; jog traffic</t>
  </si>
  <si>
    <t>Weddings slow down — no leather sales</t>
  </si>
  <si>
    <t>Monsoon replacements fail to arrive</t>
  </si>
  <si>
    <t>Poor product-market fit</t>
  </si>
  <si>
    <t>Ongoing rains, less physical shopping</t>
  </si>
  <si>
    <t>Outdoor activity slumps</t>
  </si>
  <si>
    <t>Boots irrelevant in Indian monsoon</t>
  </si>
  <si>
    <t>No new launches hurt volumes</t>
  </si>
  <si>
    <t>People stick to old slippers</t>
  </si>
  <si>
    <t>Independence offers misfire</t>
  </si>
  <si>
    <t>Back-to-school but poor promotion</t>
  </si>
  <si>
    <t>Formal segment not triggered</t>
  </si>
  <si>
    <t>Understocked SKUs</t>
  </si>
  <si>
    <t>Crocs/slippers ad campaigns fail</t>
  </si>
  <si>
    <t>Inventory stockout issues</t>
  </si>
  <si>
    <t>Sports events canceled due to rains</t>
  </si>
  <si>
    <t>Office Wear demand weak</t>
  </si>
  <si>
    <t>Missed Ganesh Chaturthi sales</t>
  </si>
  <si>
    <t>Stiff competition undercut you</t>
  </si>
  <si>
    <t>Festive marketing delayed, lost early buyers</t>
  </si>
  <si>
    <t>Competitors ran strong influencer campaigns</t>
  </si>
  <si>
    <t>Formal gifting ignored</t>
  </si>
  <si>
    <t>Didn’t capitalize on Diwali sales</t>
  </si>
  <si>
    <t>Missed Navratri and Karva Chauth</t>
  </si>
  <si>
    <t>People shopped online instead</t>
  </si>
  <si>
    <t>Bad pricing strategy</t>
  </si>
  <si>
    <t>Events planned but brand absent</t>
  </si>
  <si>
    <t>Social media campaign failed</t>
  </si>
  <si>
    <t>Sales hurt by delivery delays</t>
  </si>
  <si>
    <t>Holiday retail miss; people saved more</t>
  </si>
  <si>
    <t>No year-end collabs with fitness influencers</t>
  </si>
  <si>
    <t>Formal wear didn’t trend</t>
  </si>
  <si>
    <t>Discount wars lost to competition</t>
  </si>
  <si>
    <t>No seasonal packaging or promo lines</t>
  </si>
  <si>
    <t>No significant increase in order volume → No bulk discounts from suppliers.</t>
  </si>
  <si>
    <t>Minor volume increase → Some packaging/logistics efficiency and small supplier discounts.</t>
  </si>
  <si>
    <t>Moderate bulk order → Suppliers offer early-stage tiered pricing discounts.</t>
  </si>
  <si>
    <t>Significant scale advantage → Per-unit shipping &amp; storage cost drops.</t>
  </si>
  <si>
    <t>Negotiated purchase orders → Vendor incentives, lower procurement rates.</t>
  </si>
  <si>
    <t>Maximum volume efficiency → Preferential pricing, fixed logistics cost amortization.</t>
  </si>
  <si>
    <t xml:space="preserve"> %age (S.P.)</t>
  </si>
  <si>
    <t>%age (C.P.)</t>
  </si>
  <si>
    <t>Logic Behind Fall in Sales</t>
  </si>
  <si>
    <t>Logic Behind Rise in Sales</t>
  </si>
  <si>
    <t>Units Sold</t>
  </si>
  <si>
    <t>Units Sold (Over)</t>
  </si>
  <si>
    <t>Units Sold (Under)</t>
  </si>
  <si>
    <t>Forecast (Base)</t>
  </si>
  <si>
    <t>Formals &amp; Boots</t>
  </si>
  <si>
    <t>Row Labels</t>
  </si>
  <si>
    <t>Grand Total</t>
  </si>
  <si>
    <t>Column Labels</t>
  </si>
  <si>
    <t>Sum of Revenue</t>
  </si>
  <si>
    <t>Sum of Gross Profit</t>
  </si>
  <si>
    <t>Average of Margin %</t>
  </si>
  <si>
    <t>Revenue by Scenario (Monthly)</t>
  </si>
  <si>
    <t>Gross Profit by Scenario (Based on Product)</t>
  </si>
  <si>
    <t>Margin % by Product (Averages)</t>
  </si>
  <si>
    <t>Revenue Variance</t>
  </si>
  <si>
    <t>Gross Profit Variance</t>
  </si>
  <si>
    <t>Margin % variance</t>
  </si>
  <si>
    <t>Sum of Revenue Variance</t>
  </si>
  <si>
    <t>Gross Profit Variance By Scenario (Monthly)</t>
  </si>
  <si>
    <t>Margin % Variance by Scenario</t>
  </si>
  <si>
    <t>Revenue Variance By Scenario (Monthly)</t>
  </si>
  <si>
    <t>Avg. Margin % Variance</t>
  </si>
  <si>
    <t>Sum Gross Profit Variance</t>
  </si>
  <si>
    <t>Variance Analysis Dashboard [Compared To Base Forecast]</t>
  </si>
  <si>
    <t>Selling Price Per Unit</t>
  </si>
  <si>
    <t>Cost Price Per Unit</t>
  </si>
  <si>
    <r>
      <t>New Year Resolution</t>
    </r>
    <r>
      <rPr>
        <sz val="11"/>
        <rFont val="Calibri"/>
        <family val="2"/>
        <scheme val="minor"/>
      </rPr>
      <t xml:space="preserve"> season; surge in gym memberships, sports events.</t>
    </r>
  </si>
  <si>
    <r>
      <t>Top month</t>
    </r>
    <r>
      <rPr>
        <sz val="11"/>
        <rFont val="Calibri"/>
        <family val="2"/>
        <scheme val="minor"/>
      </rPr>
      <t xml:space="preserve"> for festive fashion launches.</t>
    </r>
  </si>
  <si>
    <t>StrideWalk Pvt. Ltd. | Sales Forecasting &amp; Variance Dashboard (2026)</t>
  </si>
  <si>
    <t>Income Statement</t>
  </si>
  <si>
    <t>Years</t>
  </si>
  <si>
    <t>Selling &amp; General Exp.</t>
  </si>
  <si>
    <t>Employee Cost</t>
  </si>
  <si>
    <t>Other Expenses</t>
  </si>
  <si>
    <t>EBITDA</t>
  </si>
  <si>
    <t>Interest</t>
  </si>
  <si>
    <t>Tax</t>
  </si>
  <si>
    <t>Net Profit</t>
  </si>
  <si>
    <t>Depreciation &amp; Ammortization</t>
  </si>
  <si>
    <t>EBIT (Operating Profit)</t>
  </si>
  <si>
    <t>Assumptions</t>
  </si>
  <si>
    <t>Tax Rate</t>
  </si>
  <si>
    <t>Interest Rate (Cost of Debt)</t>
  </si>
  <si>
    <t>-</t>
  </si>
  <si>
    <t>#</t>
  </si>
  <si>
    <t>Scenario - Best</t>
  </si>
  <si>
    <t>Scenario - Base</t>
  </si>
  <si>
    <t>Scenario - Worst</t>
  </si>
  <si>
    <t>Total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</si>
</sst>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quot;₹&quot;\ #,##0"/>
    <numFmt numFmtId="165" formatCode="&quot;₹&quot;\ #,##0.00"/>
    <numFmt numFmtId="166" formatCode="yyyy\A"/>
    <numFmt numFmtId="167" formatCode="yyyy\E"/>
  </numFmts>
  <fonts count="33" x14ac:knownFonts="1">
    <font>
      <sz val="11"/>
      <color theme="1"/>
      <name val="Calibri"/>
      <family val="2"/>
      <scheme val="minor"/>
    </font>
    <font>
      <sz val="11"/>
      <color theme="1" tint="4.9989318521683403E-2"/>
      <name val="Calibri"/>
      <family val="2"/>
      <scheme val="minor"/>
    </font>
    <font>
      <b/>
      <sz val="11"/>
      <color theme="1" tint="4.9989318521683403E-2"/>
      <name val="Calibri"/>
      <family val="2"/>
      <scheme val="minor"/>
    </font>
    <font>
      <b/>
      <sz val="12"/>
      <color theme="1"/>
      <name val="Calibri"/>
      <family val="2"/>
      <scheme val="minor"/>
    </font>
    <font>
      <b/>
      <sz val="11"/>
      <color theme="1"/>
      <name val="Calibri"/>
      <family val="2"/>
      <scheme val="minor"/>
    </font>
    <font>
      <sz val="24"/>
      <color theme="1"/>
      <name val="Calibri"/>
      <family val="2"/>
      <scheme val="minor"/>
    </font>
    <font>
      <b/>
      <sz val="11"/>
      <color theme="0"/>
      <name val="Calibri"/>
      <family val="2"/>
      <scheme val="minor"/>
    </font>
    <font>
      <sz val="11"/>
      <color theme="0"/>
      <name val="Calibri"/>
      <family val="2"/>
      <scheme val="minor"/>
    </font>
    <font>
      <b/>
      <sz val="12"/>
      <color theme="1" tint="4.9989318521683403E-2"/>
      <name val="Calibri"/>
      <family val="2"/>
      <scheme val="minor"/>
    </font>
    <font>
      <b/>
      <sz val="16"/>
      <color theme="0"/>
      <name val="Calibri"/>
      <family val="2"/>
      <scheme val="minor"/>
    </font>
    <font>
      <b/>
      <sz val="24"/>
      <color theme="0"/>
      <name val="Adobe Fan Heiti Std B"/>
      <family val="2"/>
      <charset val="128"/>
    </font>
    <font>
      <b/>
      <sz val="11"/>
      <color theme="3" tint="-0.249977111117893"/>
      <name val="Calibri"/>
      <family val="2"/>
      <scheme val="minor"/>
    </font>
    <font>
      <sz val="11"/>
      <color theme="3" tint="-0.249977111117893"/>
      <name val="Calibri"/>
      <family val="2"/>
      <scheme val="minor"/>
    </font>
    <font>
      <b/>
      <sz val="18"/>
      <color theme="0"/>
      <name val="Calibri"/>
      <family val="2"/>
      <scheme val="minor"/>
    </font>
    <font>
      <b/>
      <sz val="14"/>
      <color theme="0"/>
      <name val="Calibri"/>
      <family val="2"/>
      <scheme val="minor"/>
    </font>
    <font>
      <sz val="11"/>
      <name val="Calibri"/>
      <family val="2"/>
      <scheme val="minor"/>
    </font>
    <font>
      <sz val="11"/>
      <color rgb="FF0000FF"/>
      <name val="Calibri"/>
      <family val="2"/>
      <scheme val="minor"/>
    </font>
    <font>
      <b/>
      <sz val="11"/>
      <name val="Calibri"/>
      <family val="2"/>
      <scheme val="minor"/>
    </font>
    <font>
      <b/>
      <sz val="12"/>
      <name val="Calibri"/>
      <family val="2"/>
      <scheme val="minor"/>
    </font>
    <font>
      <b/>
      <sz val="12"/>
      <color rgb="FF0000FF"/>
      <name val="Calibri"/>
      <family val="2"/>
      <scheme val="minor"/>
    </font>
    <font>
      <sz val="10"/>
      <color theme="1"/>
      <name val="Calibri"/>
      <family val="2"/>
      <scheme val="minor"/>
    </font>
    <font>
      <b/>
      <sz val="24"/>
      <name val="Adobe Fan Heiti Std B"/>
      <family val="2"/>
      <charset val="128"/>
    </font>
    <font>
      <b/>
      <sz val="20"/>
      <name val="Calibri"/>
      <family val="2"/>
      <scheme val="minor"/>
    </font>
    <font>
      <b/>
      <sz val="20"/>
      <name val="Adobe Fan Heiti Std B"/>
      <family val="2"/>
      <charset val="128"/>
    </font>
    <font>
      <b/>
      <sz val="16"/>
      <name val="Calibri"/>
      <family val="2"/>
      <scheme val="minor"/>
    </font>
    <font>
      <b/>
      <sz val="11"/>
      <name val="Adobe Fan Heiti Std B"/>
    </font>
    <font>
      <sz val="11"/>
      <name val="Adobe Fan Heiti Std B"/>
    </font>
    <font>
      <sz val="26"/>
      <name val="Adobe Fan Heiti Std B"/>
      <family val="2"/>
      <charset val="128"/>
    </font>
    <font>
      <b/>
      <sz val="22"/>
      <color theme="0"/>
      <name val="Adobe Fan Heiti Std B"/>
      <family val="2"/>
      <charset val="128"/>
    </font>
    <font>
      <sz val="12"/>
      <color theme="1"/>
      <name val="Calibri"/>
      <family val="2"/>
      <scheme val="minor"/>
    </font>
    <font>
      <b/>
      <sz val="11"/>
      <name val="Calibri"/>
      <scheme val="minor"/>
    </font>
    <font>
      <sz val="11"/>
      <color theme="1"/>
      <name val="Calibri"/>
      <family val="2"/>
      <scheme val="minor"/>
    </font>
    <font>
      <sz val="10"/>
      <name val="Calibri"/>
      <family val="2"/>
      <scheme val="minor"/>
    </font>
  </fonts>
  <fills count="16">
    <fill>
      <patternFill patternType="none"/>
    </fill>
    <fill>
      <patternFill patternType="gray125"/>
    </fill>
    <fill>
      <patternFill patternType="solid">
        <fgColor theme="8" tint="0.39997558519241921"/>
        <bgColor indexed="64"/>
      </patternFill>
    </fill>
    <fill>
      <patternFill patternType="solid">
        <fgColor theme="0"/>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2060"/>
        <bgColor indexed="64"/>
      </patternFill>
    </fill>
    <fill>
      <patternFill patternType="solid">
        <fgColor rgb="FFFFFF00"/>
        <bgColor indexed="64"/>
      </patternFill>
    </fill>
    <fill>
      <patternFill patternType="solid">
        <fgColor theme="8" tint="-0.49998474074526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rgb="FF00B0F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diagonal/>
    </border>
    <border>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s>
  <cellStyleXfs count="2">
    <xf numFmtId="0" fontId="0" fillId="0" borderId="0"/>
    <xf numFmtId="9" fontId="31" fillId="0" borderId="0" applyFont="0" applyFill="0" applyBorder="0" applyAlignment="0" applyProtection="0"/>
  </cellStyleXfs>
  <cellXfs count="253">
    <xf numFmtId="0" fontId="0" fillId="0" borderId="0" xfId="0"/>
    <xf numFmtId="0" fontId="0" fillId="0" borderId="0" xfId="0" applyBorder="1"/>
    <xf numFmtId="0" fontId="0" fillId="0" borderId="0" xfId="0" applyBorder="1" applyAlignment="1"/>
    <xf numFmtId="0" fontId="0" fillId="0" borderId="1" xfId="0" applyBorder="1" applyAlignment="1">
      <alignment horizontal="center"/>
    </xf>
    <xf numFmtId="0" fontId="0" fillId="0" borderId="0" xfId="0" applyAlignment="1">
      <alignment horizontal="center"/>
    </xf>
    <xf numFmtId="164" fontId="0" fillId="0" borderId="0" xfId="0" applyNumberFormat="1"/>
    <xf numFmtId="10" fontId="0" fillId="0" borderId="0" xfId="0" applyNumberFormat="1"/>
    <xf numFmtId="0" fontId="0" fillId="0" borderId="0" xfId="0" applyNumberFormat="1"/>
    <xf numFmtId="0" fontId="3" fillId="0" borderId="0" xfId="0" applyFont="1"/>
    <xf numFmtId="9" fontId="0" fillId="0" borderId="0" xfId="0" applyNumberFormat="1"/>
    <xf numFmtId="0" fontId="0" fillId="0" borderId="1" xfId="0" applyBorder="1"/>
    <xf numFmtId="9" fontId="0" fillId="0" borderId="0" xfId="0" applyNumberFormat="1" applyAlignment="1">
      <alignment horizontal="right"/>
    </xf>
    <xf numFmtId="0" fontId="4" fillId="0" borderId="1" xfId="0" applyFon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xf>
    <xf numFmtId="10" fontId="0" fillId="0" borderId="1" xfId="0" applyNumberFormat="1" applyBorder="1" applyAlignment="1">
      <alignment horizontal="center" vertical="center"/>
    </xf>
    <xf numFmtId="0" fontId="0" fillId="0" borderId="0" xfId="0" applyAlignment="1">
      <alignment horizontal="left"/>
    </xf>
    <xf numFmtId="0" fontId="0" fillId="0" borderId="1" xfId="0" applyBorder="1" applyAlignment="1"/>
    <xf numFmtId="0" fontId="0" fillId="0" borderId="5" xfId="0" applyBorder="1" applyAlignment="1">
      <alignment horizontal="center" vertical="center"/>
    </xf>
    <xf numFmtId="10" fontId="0" fillId="0" borderId="5" xfId="0" applyNumberFormat="1" applyBorder="1" applyAlignment="1">
      <alignment horizontal="center" vertical="center"/>
    </xf>
    <xf numFmtId="0" fontId="4" fillId="0" borderId="1" xfId="0" applyFont="1" applyFill="1" applyBorder="1" applyAlignment="1">
      <alignment horizontal="center" vertical="center"/>
    </xf>
    <xf numFmtId="0" fontId="0" fillId="0" borderId="1" xfId="0" applyBorder="1" applyAlignment="1">
      <alignment vertical="center"/>
    </xf>
    <xf numFmtId="0" fontId="0" fillId="0" borderId="1" xfId="0" applyBorder="1" applyAlignment="1">
      <alignment horizontal="left" vertical="center"/>
    </xf>
    <xf numFmtId="9" fontId="0" fillId="0" borderId="0" xfId="0" applyNumberFormat="1" applyAlignment="1">
      <alignment horizontal="center"/>
    </xf>
    <xf numFmtId="0" fontId="0" fillId="0" borderId="1" xfId="0" applyBorder="1" applyAlignment="1">
      <alignment vertical="center" wrapText="1"/>
    </xf>
    <xf numFmtId="10" fontId="0" fillId="0" borderId="0" xfId="0" applyNumberFormat="1" applyAlignment="1">
      <alignment horizontal="center"/>
    </xf>
    <xf numFmtId="164" fontId="0" fillId="0" borderId="0" xfId="0" applyNumberFormat="1" applyAlignment="1">
      <alignment horizontal="center"/>
    </xf>
    <xf numFmtId="3" fontId="0" fillId="0" borderId="0" xfId="0" applyNumberFormat="1" applyAlignment="1">
      <alignment horizontal="center"/>
    </xf>
    <xf numFmtId="164" fontId="0" fillId="3" borderId="0" xfId="0" applyNumberFormat="1" applyFill="1" applyBorder="1" applyAlignment="1">
      <alignment horizontal="center"/>
    </xf>
    <xf numFmtId="10" fontId="0" fillId="3" borderId="0" xfId="0" applyNumberFormat="1" applyFill="1" applyBorder="1" applyAlignment="1">
      <alignment horizontal="center"/>
    </xf>
    <xf numFmtId="0" fontId="0" fillId="0" borderId="0" xfId="0" applyNumberFormat="1" applyAlignment="1">
      <alignment horizontal="left"/>
    </xf>
    <xf numFmtId="0" fontId="7" fillId="4" borderId="0" xfId="0" applyFont="1" applyFill="1"/>
    <xf numFmtId="0" fontId="0" fillId="0" borderId="1" xfId="0" applyBorder="1" applyAlignment="1">
      <alignment wrapText="1"/>
    </xf>
    <xf numFmtId="9" fontId="0" fillId="0" borderId="0" xfId="0" applyNumberFormat="1" applyBorder="1" applyAlignment="1">
      <alignment vertical="center" wrapText="1"/>
    </xf>
    <xf numFmtId="0" fontId="0" fillId="0" borderId="0" xfId="0" applyBorder="1" applyAlignment="1">
      <alignment vertical="center" wrapText="1"/>
    </xf>
    <xf numFmtId="0" fontId="0" fillId="0" borderId="13" xfId="0" applyBorder="1"/>
    <xf numFmtId="0" fontId="0" fillId="0" borderId="11" xfId="0" applyBorder="1"/>
    <xf numFmtId="0" fontId="9" fillId="8" borderId="1" xfId="0" applyFont="1" applyFill="1" applyBorder="1" applyAlignment="1">
      <alignment horizontal="center"/>
    </xf>
    <xf numFmtId="0" fontId="8" fillId="5" borderId="13" xfId="0" applyFont="1" applyFill="1" applyBorder="1" applyAlignment="1">
      <alignment horizontal="left"/>
    </xf>
    <xf numFmtId="3" fontId="8" fillId="5" borderId="13" xfId="0" applyNumberFormat="1" applyFont="1" applyFill="1" applyBorder="1" applyAlignment="1">
      <alignment horizontal="center"/>
    </xf>
    <xf numFmtId="164" fontId="8" fillId="5" borderId="13" xfId="0" applyNumberFormat="1" applyFont="1" applyFill="1" applyBorder="1" applyAlignment="1">
      <alignment horizontal="center"/>
    </xf>
    <xf numFmtId="10" fontId="8" fillId="5" borderId="13" xfId="0" applyNumberFormat="1" applyFont="1" applyFill="1" applyBorder="1" applyAlignment="1">
      <alignment horizontal="center"/>
    </xf>
    <xf numFmtId="0" fontId="14" fillId="2" borderId="11" xfId="0" applyFont="1" applyFill="1" applyBorder="1" applyAlignment="1">
      <alignment horizontal="center"/>
    </xf>
    <xf numFmtId="0" fontId="14" fillId="2" borderId="10" xfId="0" applyFont="1" applyFill="1" applyBorder="1" applyAlignment="1">
      <alignment horizont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64" fontId="1" fillId="0" borderId="0" xfId="0" applyNumberFormat="1" applyFont="1" applyBorder="1"/>
    <xf numFmtId="10" fontId="1" fillId="0" borderId="0" xfId="0" applyNumberFormat="1" applyFont="1" applyBorder="1"/>
    <xf numFmtId="9" fontId="1" fillId="0" borderId="0" xfId="0" applyNumberFormat="1" applyFont="1" applyBorder="1"/>
    <xf numFmtId="9" fontId="1" fillId="0" borderId="0" xfId="0" applyNumberFormat="1" applyFont="1" applyBorder="1" applyAlignment="1">
      <alignment horizontal="right"/>
    </xf>
    <xf numFmtId="9" fontId="8" fillId="0" borderId="0" xfId="0" applyNumberFormat="1" applyFont="1" applyBorder="1"/>
    <xf numFmtId="9" fontId="8" fillId="0" borderId="0" xfId="0" applyNumberFormat="1" applyFont="1" applyBorder="1" applyAlignment="1">
      <alignment horizontal="right"/>
    </xf>
    <xf numFmtId="164" fontId="12" fillId="3" borderId="0" xfId="0" applyNumberFormat="1" applyFont="1" applyFill="1" applyAlignment="1">
      <alignment horizontal="center"/>
    </xf>
    <xf numFmtId="10" fontId="12" fillId="3" borderId="0" xfId="0" applyNumberFormat="1" applyFont="1" applyFill="1" applyAlignment="1">
      <alignment horizontal="center"/>
    </xf>
    <xf numFmtId="0" fontId="11" fillId="4" borderId="0" xfId="0" applyFont="1" applyFill="1" applyBorder="1" applyAlignment="1">
      <alignment horizontal="center"/>
    </xf>
    <xf numFmtId="164" fontId="11" fillId="4" borderId="0" xfId="0" applyNumberFormat="1" applyFont="1" applyFill="1" applyBorder="1" applyAlignment="1">
      <alignment horizontal="center"/>
    </xf>
    <xf numFmtId="10" fontId="11" fillId="4" borderId="0" xfId="0" applyNumberFormat="1" applyFont="1" applyFill="1" applyBorder="1" applyAlignment="1">
      <alignment horizontal="center"/>
    </xf>
    <xf numFmtId="0" fontId="11" fillId="4" borderId="0" xfId="0" applyNumberFormat="1" applyFont="1" applyFill="1" applyBorder="1" applyAlignment="1">
      <alignment horizontal="center" wrapText="1"/>
    </xf>
    <xf numFmtId="0" fontId="9" fillId="8" borderId="14" xfId="0" applyFont="1" applyFill="1" applyBorder="1" applyAlignment="1">
      <alignment horizontal="center"/>
    </xf>
    <xf numFmtId="0" fontId="0" fillId="0" borderId="0" xfId="0" applyBorder="1" applyAlignment="1">
      <alignment horizontal="center"/>
    </xf>
    <xf numFmtId="164" fontId="0" fillId="0" borderId="0" xfId="0" applyNumberFormat="1" applyBorder="1"/>
    <xf numFmtId="10" fontId="0" fillId="0" borderId="0" xfId="0" applyNumberFormat="1" applyBorder="1"/>
    <xf numFmtId="0" fontId="0" fillId="0" borderId="0" xfId="0" applyNumberFormat="1" applyBorder="1"/>
    <xf numFmtId="0" fontId="15" fillId="3" borderId="0" xfId="0" applyFont="1" applyFill="1" applyBorder="1" applyAlignment="1">
      <alignment horizontal="center" vertical="center" wrapText="1"/>
    </xf>
    <xf numFmtId="3" fontId="16" fillId="3" borderId="10" xfId="0" applyNumberFormat="1" applyFont="1" applyFill="1" applyBorder="1" applyAlignment="1">
      <alignment horizontal="center" vertical="center" wrapText="1"/>
    </xf>
    <xf numFmtId="0" fontId="16" fillId="3" borderId="10" xfId="0" applyFont="1" applyFill="1" applyBorder="1" applyAlignment="1">
      <alignment horizontal="center" vertical="center" wrapText="1"/>
    </xf>
    <xf numFmtId="3" fontId="16" fillId="3" borderId="9" xfId="0" applyNumberFormat="1" applyFont="1" applyFill="1" applyBorder="1" applyAlignment="1">
      <alignment horizontal="center" vertical="center" wrapText="1"/>
    </xf>
    <xf numFmtId="165" fontId="16" fillId="3" borderId="0" xfId="0" applyNumberFormat="1" applyFont="1" applyFill="1" applyBorder="1" applyAlignment="1">
      <alignment horizontal="center" vertical="center" wrapText="1"/>
    </xf>
    <xf numFmtId="165" fontId="16" fillId="3" borderId="3" xfId="0" applyNumberFormat="1" applyFont="1" applyFill="1" applyBorder="1" applyAlignment="1">
      <alignment horizontal="center" vertical="center" wrapText="1"/>
    </xf>
    <xf numFmtId="0" fontId="2" fillId="9" borderId="2" xfId="0" applyFont="1" applyFill="1" applyBorder="1" applyAlignment="1">
      <alignment horizontal="center" vertical="center" wrapText="1"/>
    </xf>
    <xf numFmtId="0" fontId="2" fillId="9" borderId="12" xfId="0" applyFont="1" applyFill="1" applyBorder="1" applyAlignment="1">
      <alignment horizontal="center" vertical="center" wrapText="1"/>
    </xf>
    <xf numFmtId="0" fontId="2" fillId="9" borderId="4" xfId="0" applyFont="1" applyFill="1" applyBorder="1" applyAlignment="1">
      <alignment horizontal="center" vertical="center" wrapText="1"/>
    </xf>
    <xf numFmtId="0" fontId="0" fillId="10" borderId="1" xfId="0" applyFill="1" applyBorder="1" applyAlignment="1">
      <alignment horizontal="center"/>
    </xf>
    <xf numFmtId="0" fontId="0" fillId="11" borderId="1" xfId="0" applyFill="1" applyBorder="1" applyAlignment="1">
      <alignment horizontal="center"/>
    </xf>
    <xf numFmtId="0" fontId="0" fillId="12" borderId="1" xfId="0" applyFill="1" applyBorder="1" applyAlignment="1">
      <alignment horizontal="center"/>
    </xf>
    <xf numFmtId="0" fontId="17" fillId="4" borderId="0" xfId="0" applyFont="1" applyFill="1" applyBorder="1" applyAlignment="1">
      <alignment horizontal="center"/>
    </xf>
    <xf numFmtId="0" fontId="15" fillId="0" borderId="0" xfId="0" applyNumberFormat="1" applyFont="1" applyBorder="1" applyAlignment="1">
      <alignment horizontal="center" vertical="center" wrapText="1"/>
    </xf>
    <xf numFmtId="0" fontId="18" fillId="7" borderId="0" xfId="0" applyNumberFormat="1" applyFont="1" applyFill="1" applyBorder="1" applyAlignment="1">
      <alignment horizontal="center" vertical="center" wrapText="1"/>
    </xf>
    <xf numFmtId="0" fontId="18" fillId="7" borderId="0" xfId="0" applyFont="1" applyFill="1" applyBorder="1" applyAlignment="1">
      <alignment horizontal="center" vertical="center" wrapText="1"/>
    </xf>
    <xf numFmtId="3" fontId="15" fillId="3" borderId="0" xfId="0" applyNumberFormat="1" applyFont="1" applyFill="1" applyBorder="1"/>
    <xf numFmtId="164" fontId="15" fillId="0" borderId="0" xfId="0" applyNumberFormat="1" applyFont="1" applyBorder="1"/>
    <xf numFmtId="10" fontId="15" fillId="0" borderId="0" xfId="0" applyNumberFormat="1" applyFont="1" applyBorder="1"/>
    <xf numFmtId="0" fontId="15" fillId="0" borderId="0" xfId="0" applyNumberFormat="1" applyFont="1" applyBorder="1"/>
    <xf numFmtId="3" fontId="18" fillId="7" borderId="0" xfId="0" applyNumberFormat="1" applyFont="1" applyFill="1" applyBorder="1"/>
    <xf numFmtId="164" fontId="18" fillId="7" borderId="0" xfId="0" applyNumberFormat="1" applyFont="1" applyFill="1" applyBorder="1"/>
    <xf numFmtId="10" fontId="18" fillId="7" borderId="0" xfId="0" applyNumberFormat="1" applyFont="1" applyFill="1" applyBorder="1"/>
    <xf numFmtId="0" fontId="18" fillId="0" borderId="0" xfId="0" applyNumberFormat="1" applyFont="1" applyBorder="1"/>
    <xf numFmtId="0" fontId="18" fillId="7" borderId="0" xfId="0" applyNumberFormat="1" applyFont="1" applyFill="1" applyBorder="1"/>
    <xf numFmtId="0" fontId="17" fillId="4" borderId="13" xfId="0" applyFont="1" applyFill="1" applyBorder="1" applyAlignment="1">
      <alignment horizontal="center"/>
    </xf>
    <xf numFmtId="0" fontId="17" fillId="4" borderId="13" xfId="0" applyFont="1" applyFill="1" applyBorder="1" applyAlignment="1">
      <alignment horizontal="center" wrapText="1"/>
    </xf>
    <xf numFmtId="164" fontId="17" fillId="4" borderId="13" xfId="0" applyNumberFormat="1" applyFont="1" applyFill="1" applyBorder="1" applyAlignment="1">
      <alignment horizontal="center" wrapText="1"/>
    </xf>
    <xf numFmtId="164" fontId="17" fillId="4" borderId="13" xfId="0" applyNumberFormat="1" applyFont="1" applyFill="1" applyBorder="1" applyAlignment="1">
      <alignment horizontal="center"/>
    </xf>
    <xf numFmtId="10" fontId="17" fillId="4" borderId="13" xfId="0" applyNumberFormat="1" applyFont="1" applyFill="1" applyBorder="1" applyAlignment="1">
      <alignment horizontal="center"/>
    </xf>
    <xf numFmtId="9" fontId="17" fillId="4" borderId="13" xfId="0" applyNumberFormat="1" applyFont="1" applyFill="1" applyBorder="1" applyAlignment="1">
      <alignment horizontal="center"/>
    </xf>
    <xf numFmtId="9" fontId="17" fillId="4" borderId="13" xfId="0" applyNumberFormat="1" applyFont="1" applyFill="1" applyBorder="1" applyAlignment="1">
      <alignment horizontal="center" wrapText="1"/>
    </xf>
    <xf numFmtId="0" fontId="17" fillId="4" borderId="7" xfId="0" applyNumberFormat="1" applyFont="1" applyFill="1" applyBorder="1" applyAlignment="1">
      <alignment horizontal="center"/>
    </xf>
    <xf numFmtId="0" fontId="15" fillId="0" borderId="10" xfId="0" applyFont="1" applyBorder="1" applyAlignment="1">
      <alignment horizontal="left"/>
    </xf>
    <xf numFmtId="0" fontId="17" fillId="0" borderId="10" xfId="0" applyFont="1" applyBorder="1" applyAlignment="1">
      <alignment horizontal="left"/>
    </xf>
    <xf numFmtId="0" fontId="15" fillId="0" borderId="10" xfId="0" applyFont="1" applyBorder="1" applyAlignment="1">
      <alignment horizontal="left" vertical="center" wrapText="1"/>
    </xf>
    <xf numFmtId="0" fontId="18" fillId="0" borderId="10" xfId="0" applyNumberFormat="1" applyFont="1" applyBorder="1" applyAlignment="1">
      <alignment horizontal="left"/>
    </xf>
    <xf numFmtId="0" fontId="15" fillId="0" borderId="10" xfId="0" applyNumberFormat="1" applyFont="1" applyBorder="1" applyAlignment="1">
      <alignment horizontal="left"/>
    </xf>
    <xf numFmtId="0" fontId="15" fillId="0" borderId="9" xfId="0" applyFont="1" applyBorder="1" applyAlignment="1">
      <alignment horizontal="left"/>
    </xf>
    <xf numFmtId="9" fontId="16" fillId="0" borderId="0" xfId="0" applyNumberFormat="1" applyFont="1" applyBorder="1"/>
    <xf numFmtId="9" fontId="19" fillId="0" borderId="0" xfId="0" applyNumberFormat="1" applyFont="1" applyBorder="1"/>
    <xf numFmtId="0" fontId="4" fillId="4" borderId="13" xfId="0" applyFont="1" applyFill="1" applyBorder="1" applyAlignment="1">
      <alignment horizontal="center"/>
    </xf>
    <xf numFmtId="0" fontId="0" fillId="0" borderId="0" xfId="0" applyNumberFormat="1" applyFont="1" applyBorder="1" applyAlignment="1">
      <alignment horizontal="center" vertical="center" wrapText="1"/>
    </xf>
    <xf numFmtId="0" fontId="0" fillId="3" borderId="0" xfId="0" applyFont="1" applyFill="1" applyBorder="1" applyAlignment="1">
      <alignment horizontal="center" vertical="center" wrapText="1"/>
    </xf>
    <xf numFmtId="9" fontId="16" fillId="0" borderId="0" xfId="0" applyNumberFormat="1" applyFont="1" applyBorder="1" applyAlignment="1">
      <alignment vertical="center" wrapText="1"/>
    </xf>
    <xf numFmtId="0" fontId="15" fillId="0" borderId="10" xfId="0" applyFont="1" applyBorder="1"/>
    <xf numFmtId="0" fontId="18" fillId="0" borderId="10" xfId="0" applyNumberFormat="1" applyFont="1" applyBorder="1"/>
    <xf numFmtId="0" fontId="15" fillId="0" borderId="10" xfId="0" applyFont="1" applyBorder="1" applyAlignment="1">
      <alignment vertical="center" wrapText="1"/>
    </xf>
    <xf numFmtId="0" fontId="15" fillId="0" borderId="9" xfId="0" applyFont="1" applyBorder="1"/>
    <xf numFmtId="0" fontId="3" fillId="3" borderId="13" xfId="0" applyNumberFormat="1" applyFont="1" applyFill="1" applyBorder="1" applyAlignment="1">
      <alignment horizontal="center" vertical="center" wrapText="1"/>
    </xf>
    <xf numFmtId="0" fontId="3" fillId="3" borderId="13" xfId="0" applyFont="1" applyFill="1" applyBorder="1" applyAlignment="1">
      <alignment horizontal="center" vertical="center" wrapText="1"/>
    </xf>
    <xf numFmtId="164" fontId="8" fillId="3" borderId="13" xfId="0" applyNumberFormat="1" applyFont="1" applyFill="1" applyBorder="1"/>
    <xf numFmtId="10" fontId="8" fillId="3" borderId="13" xfId="0" applyNumberFormat="1" applyFont="1" applyFill="1" applyBorder="1"/>
    <xf numFmtId="9" fontId="8" fillId="3" borderId="0" xfId="0" applyNumberFormat="1" applyFont="1" applyFill="1" applyBorder="1" applyAlignment="1">
      <alignment horizontal="right"/>
    </xf>
    <xf numFmtId="9" fontId="8" fillId="3" borderId="0" xfId="0" applyNumberFormat="1" applyFont="1" applyFill="1" applyBorder="1"/>
    <xf numFmtId="9" fontId="16" fillId="3" borderId="0" xfId="0" applyNumberFormat="1" applyFont="1" applyFill="1" applyBorder="1" applyAlignment="1">
      <alignment vertical="center" wrapText="1"/>
    </xf>
    <xf numFmtId="9" fontId="16" fillId="3" borderId="0" xfId="0" applyNumberFormat="1" applyFont="1" applyFill="1" applyBorder="1"/>
    <xf numFmtId="0" fontId="3" fillId="3" borderId="12" xfId="0" applyNumberFormat="1" applyFont="1" applyFill="1" applyBorder="1" applyAlignment="1">
      <alignment horizontal="center" vertical="center" wrapText="1"/>
    </xf>
    <xf numFmtId="0" fontId="3" fillId="3" borderId="12" xfId="0" applyFont="1" applyFill="1" applyBorder="1" applyAlignment="1">
      <alignment horizontal="center" vertical="center" wrapText="1"/>
    </xf>
    <xf numFmtId="164" fontId="8" fillId="3" borderId="12" xfId="0" applyNumberFormat="1" applyFont="1" applyFill="1" applyBorder="1"/>
    <xf numFmtId="10" fontId="8" fillId="3" borderId="12" xfId="0" applyNumberFormat="1" applyFont="1" applyFill="1" applyBorder="1"/>
    <xf numFmtId="9" fontId="19" fillId="3" borderId="0" xfId="0" applyNumberFormat="1" applyFont="1" applyFill="1" applyBorder="1"/>
    <xf numFmtId="9" fontId="8" fillId="3" borderId="0" xfId="0" applyNumberFormat="1" applyFont="1" applyFill="1" applyBorder="1" applyAlignment="1">
      <alignment horizontal="center"/>
    </xf>
    <xf numFmtId="9" fontId="1" fillId="3" borderId="0" xfId="0" applyNumberFormat="1" applyFont="1" applyFill="1" applyBorder="1"/>
    <xf numFmtId="9" fontId="16" fillId="3" borderId="3" xfId="0" applyNumberFormat="1" applyFont="1" applyFill="1" applyBorder="1"/>
    <xf numFmtId="0" fontId="18" fillId="5" borderId="13" xfId="0" applyNumberFormat="1" applyFont="1" applyFill="1" applyBorder="1" applyAlignment="1">
      <alignment horizontal="left"/>
    </xf>
    <xf numFmtId="0" fontId="18" fillId="5" borderId="13" xfId="0" applyFont="1" applyFill="1" applyBorder="1" applyAlignment="1">
      <alignment horizontal="left"/>
    </xf>
    <xf numFmtId="0" fontId="15" fillId="3" borderId="0" xfId="0" applyNumberFormat="1" applyFont="1" applyFill="1" applyBorder="1" applyAlignment="1">
      <alignment horizontal="left"/>
    </xf>
    <xf numFmtId="0" fontId="15" fillId="3" borderId="0" xfId="0" applyFont="1" applyFill="1" applyBorder="1" applyAlignment="1">
      <alignment horizontal="left"/>
    </xf>
    <xf numFmtId="3" fontId="15" fillId="3" borderId="0" xfId="0" applyNumberFormat="1" applyFont="1" applyFill="1" applyBorder="1" applyAlignment="1">
      <alignment horizontal="center"/>
    </xf>
    <xf numFmtId="164" fontId="15" fillId="3" borderId="0" xfId="0" applyNumberFormat="1" applyFont="1" applyFill="1" applyBorder="1" applyAlignment="1">
      <alignment horizontal="center"/>
    </xf>
    <xf numFmtId="164" fontId="17" fillId="4" borderId="0" xfId="0" applyNumberFormat="1" applyFont="1" applyFill="1" applyBorder="1" applyAlignment="1">
      <alignment horizontal="center"/>
    </xf>
    <xf numFmtId="10" fontId="17" fillId="4" borderId="0" xfId="0" applyNumberFormat="1" applyFont="1" applyFill="1" applyBorder="1" applyAlignment="1">
      <alignment horizontal="center"/>
    </xf>
    <xf numFmtId="0" fontId="17" fillId="4" borderId="0" xfId="0" applyNumberFormat="1" applyFont="1" applyFill="1" applyBorder="1" applyAlignment="1">
      <alignment horizontal="center" wrapText="1"/>
    </xf>
    <xf numFmtId="164" fontId="15" fillId="3" borderId="0" xfId="0" applyNumberFormat="1" applyFont="1" applyFill="1" applyBorder="1"/>
    <xf numFmtId="164" fontId="15" fillId="0" borderId="0" xfId="0" applyNumberFormat="1" applyFont="1" applyBorder="1" applyAlignment="1"/>
    <xf numFmtId="0" fontId="18" fillId="3" borderId="12" xfId="0" applyFont="1" applyFill="1" applyBorder="1" applyAlignment="1">
      <alignment horizontal="center" vertical="center" wrapText="1"/>
    </xf>
    <xf numFmtId="0" fontId="18" fillId="3" borderId="13" xfId="0" applyFont="1" applyFill="1" applyBorder="1" applyAlignment="1">
      <alignment horizontal="center" vertical="center" wrapText="1"/>
    </xf>
    <xf numFmtId="3" fontId="18" fillId="3" borderId="12" xfId="0" applyNumberFormat="1" applyFont="1" applyFill="1" applyBorder="1" applyAlignment="1">
      <alignment horizontal="center" vertical="center" wrapText="1"/>
    </xf>
    <xf numFmtId="0" fontId="0" fillId="3" borderId="11" xfId="0" applyFont="1" applyFill="1" applyBorder="1" applyAlignment="1">
      <alignment horizontal="center" vertical="center" wrapText="1"/>
    </xf>
    <xf numFmtId="0" fontId="0" fillId="3" borderId="8" xfId="0" applyFont="1" applyFill="1" applyBorder="1" applyAlignment="1">
      <alignment horizontal="center" vertical="center" wrapText="1"/>
    </xf>
    <xf numFmtId="0" fontId="0" fillId="3" borderId="3" xfId="0" applyFont="1" applyFill="1" applyBorder="1" applyAlignment="1">
      <alignment horizontal="center" vertical="center" wrapText="1"/>
    </xf>
    <xf numFmtId="0" fontId="7" fillId="8" borderId="0" xfId="0" applyFont="1" applyFill="1"/>
    <xf numFmtId="0" fontId="6" fillId="8" borderId="0" xfId="0" applyFont="1" applyFill="1"/>
    <xf numFmtId="166" fontId="6" fillId="8" borderId="0" xfId="0" applyNumberFormat="1" applyFont="1" applyFill="1"/>
    <xf numFmtId="167" fontId="6" fillId="8" borderId="0" xfId="0" applyNumberFormat="1" applyFont="1" applyFill="1"/>
    <xf numFmtId="0" fontId="0" fillId="0" borderId="0" xfId="0" applyFill="1" applyBorder="1"/>
    <xf numFmtId="0" fontId="0" fillId="0" borderId="13" xfId="0" applyFill="1" applyBorder="1"/>
    <xf numFmtId="0" fontId="0" fillId="0" borderId="0" xfId="0" applyAlignment="1">
      <alignment horizontal="right"/>
    </xf>
    <xf numFmtId="0" fontId="0" fillId="0" borderId="0" xfId="0" applyFont="1"/>
    <xf numFmtId="0" fontId="20" fillId="0" borderId="0" xfId="0" applyFont="1"/>
    <xf numFmtId="0" fontId="6" fillId="8" borderId="0" xfId="0" applyFont="1" applyFill="1" applyAlignment="1">
      <alignment horizontal="center"/>
    </xf>
    <xf numFmtId="0" fontId="6" fillId="2" borderId="0" xfId="0" applyFont="1" applyFill="1" applyAlignment="1">
      <alignment horizontal="center"/>
    </xf>
    <xf numFmtId="0" fontId="17" fillId="2" borderId="0" xfId="0" applyFont="1" applyFill="1" applyAlignment="1">
      <alignment horizontal="left"/>
    </xf>
    <xf numFmtId="0" fontId="20" fillId="3" borderId="0" xfId="0" applyFont="1" applyFill="1"/>
    <xf numFmtId="0" fontId="6" fillId="3" borderId="0" xfId="0" applyFont="1" applyFill="1" applyAlignment="1">
      <alignment horizontal="center"/>
    </xf>
    <xf numFmtId="0" fontId="0" fillId="3" borderId="0" xfId="0" applyFill="1"/>
    <xf numFmtId="0" fontId="4" fillId="9" borderId="0" xfId="0" applyFont="1" applyFill="1"/>
    <xf numFmtId="0" fontId="0" fillId="9" borderId="0" xfId="0" applyFill="1"/>
    <xf numFmtId="0" fontId="7" fillId="8" borderId="0" xfId="0" applyFont="1" applyFill="1" applyAlignment="1">
      <alignment horizontal="center"/>
    </xf>
    <xf numFmtId="164" fontId="7" fillId="8" borderId="0" xfId="0" applyNumberFormat="1" applyFont="1" applyFill="1"/>
    <xf numFmtId="10" fontId="7" fillId="8" borderId="0" xfId="0" applyNumberFormat="1" applyFont="1" applyFill="1"/>
    <xf numFmtId="0" fontId="7" fillId="8" borderId="0" xfId="0" applyNumberFormat="1" applyFont="1" applyFill="1"/>
    <xf numFmtId="0" fontId="7" fillId="3" borderId="0" xfId="0" applyFont="1" applyFill="1"/>
    <xf numFmtId="0" fontId="21" fillId="3" borderId="0" xfId="0" applyFont="1" applyFill="1" applyAlignment="1"/>
    <xf numFmtId="0" fontId="22" fillId="3" borderId="0" xfId="0" applyFont="1" applyFill="1" applyAlignment="1"/>
    <xf numFmtId="0" fontId="15" fillId="3" borderId="0" xfId="0" applyFont="1" applyFill="1"/>
    <xf numFmtId="0" fontId="23" fillId="3" borderId="0" xfId="0" applyFont="1" applyFill="1" applyAlignment="1">
      <alignment horizontal="center"/>
    </xf>
    <xf numFmtId="0" fontId="24" fillId="3" borderId="0" xfId="0" applyFont="1" applyFill="1" applyAlignment="1"/>
    <xf numFmtId="0" fontId="25" fillId="3" borderId="0" xfId="0" applyFont="1" applyFill="1" applyAlignment="1">
      <alignment horizontal="left"/>
    </xf>
    <xf numFmtId="0" fontId="27" fillId="3" borderId="0" xfId="0" applyFont="1" applyFill="1" applyAlignment="1"/>
    <xf numFmtId="0" fontId="17" fillId="3" borderId="0" xfId="0" applyFont="1" applyFill="1"/>
    <xf numFmtId="0" fontId="26" fillId="3" borderId="0" xfId="0" applyFont="1" applyFill="1" applyAlignment="1">
      <alignment horizontal="left"/>
    </xf>
    <xf numFmtId="164" fontId="26" fillId="3" borderId="0" xfId="0" applyNumberFormat="1" applyFont="1" applyFill="1"/>
    <xf numFmtId="164" fontId="25" fillId="3" borderId="0" xfId="0" applyNumberFormat="1" applyFont="1" applyFill="1"/>
    <xf numFmtId="10" fontId="15" fillId="3" borderId="0" xfId="0" applyNumberFormat="1" applyFont="1" applyFill="1"/>
    <xf numFmtId="10" fontId="25" fillId="3" borderId="0" xfId="0" applyNumberFormat="1" applyFont="1" applyFill="1" applyAlignment="1">
      <alignment horizontal="left"/>
    </xf>
    <xf numFmtId="10" fontId="25" fillId="3" borderId="0" xfId="0" applyNumberFormat="1" applyFont="1" applyFill="1"/>
    <xf numFmtId="0" fontId="15" fillId="3" borderId="0" xfId="0" applyFont="1" applyFill="1" applyAlignment="1">
      <alignment horizontal="left"/>
    </xf>
    <xf numFmtId="164" fontId="15" fillId="3" borderId="0" xfId="0" applyNumberFormat="1" applyFont="1" applyFill="1"/>
    <xf numFmtId="0" fontId="10" fillId="6" borderId="0" xfId="0" applyFont="1" applyFill="1" applyAlignment="1"/>
    <xf numFmtId="0" fontId="7" fillId="6" borderId="0" xfId="0" applyFont="1" applyFill="1"/>
    <xf numFmtId="0" fontId="0" fillId="0" borderId="3" xfId="0" applyBorder="1"/>
    <xf numFmtId="0" fontId="0" fillId="0" borderId="10" xfId="0" applyBorder="1"/>
    <xf numFmtId="0" fontId="0" fillId="0" borderId="9" xfId="0" applyBorder="1"/>
    <xf numFmtId="0" fontId="7" fillId="13" borderId="0" xfId="0" applyFont="1" applyFill="1"/>
    <xf numFmtId="0" fontId="7" fillId="14" borderId="0" xfId="0" applyFont="1" applyFill="1"/>
    <xf numFmtId="0" fontId="7" fillId="4" borderId="3" xfId="0" applyFont="1" applyFill="1" applyBorder="1"/>
    <xf numFmtId="0" fontId="29" fillId="0" borderId="0" xfId="0" applyFont="1"/>
    <xf numFmtId="0" fontId="30" fillId="3" borderId="0" xfId="0" applyFont="1" applyFill="1"/>
    <xf numFmtId="0" fontId="30" fillId="3" borderId="0" xfId="0" applyFont="1" applyFill="1" applyAlignment="1">
      <alignment horizontal="center"/>
    </xf>
    <xf numFmtId="164" fontId="26" fillId="3" borderId="0" xfId="0" applyNumberFormat="1" applyFont="1" applyFill="1" applyAlignment="1">
      <alignment horizontal="center"/>
    </xf>
    <xf numFmtId="164" fontId="25" fillId="3" borderId="0" xfId="0" applyNumberFormat="1" applyFont="1" applyFill="1" applyAlignment="1">
      <alignment horizontal="center"/>
    </xf>
    <xf numFmtId="0" fontId="30" fillId="3" borderId="0" xfId="0" applyFont="1" applyFill="1" applyAlignment="1">
      <alignment horizontal="left"/>
    </xf>
    <xf numFmtId="10" fontId="25" fillId="3" borderId="0" xfId="0" applyNumberFormat="1" applyFont="1" applyFill="1" applyAlignment="1">
      <alignment horizontal="center"/>
    </xf>
    <xf numFmtId="0" fontId="6" fillId="8" borderId="0" xfId="0" applyFont="1" applyFill="1" applyAlignment="1">
      <alignment horizontal="center"/>
    </xf>
    <xf numFmtId="0" fontId="32" fillId="3" borderId="0" xfId="0" applyFont="1" applyFill="1"/>
    <xf numFmtId="164" fontId="15" fillId="3" borderId="0" xfId="0" applyNumberFormat="1" applyFont="1" applyFill="1" applyAlignment="1">
      <alignment horizontal="center"/>
    </xf>
    <xf numFmtId="0" fontId="15" fillId="3" borderId="0" xfId="0" applyFont="1" applyFill="1" applyAlignment="1">
      <alignment horizontal="center"/>
    </xf>
    <xf numFmtId="0" fontId="15" fillId="0" borderId="0" xfId="0" applyNumberFormat="1" applyFont="1" applyAlignment="1">
      <alignment horizontal="center" vertical="center" wrapText="1"/>
    </xf>
    <xf numFmtId="0" fontId="15" fillId="3" borderId="0" xfId="0" applyFont="1" applyFill="1" applyAlignment="1">
      <alignment horizontal="center" vertical="center" wrapText="1"/>
    </xf>
    <xf numFmtId="3" fontId="15" fillId="3" borderId="0" xfId="0" applyNumberFormat="1" applyFont="1" applyFill="1"/>
    <xf numFmtId="164" fontId="15" fillId="0" borderId="0" xfId="0" applyNumberFormat="1" applyFont="1"/>
    <xf numFmtId="10" fontId="15" fillId="0" borderId="0" xfId="0" applyNumberFormat="1" applyFont="1"/>
    <xf numFmtId="0" fontId="15" fillId="0" borderId="0" xfId="0" applyNumberFormat="1" applyFont="1"/>
    <xf numFmtId="10" fontId="0" fillId="0" borderId="0" xfId="0" applyNumberFormat="1" applyAlignment="1">
      <alignment horizontal="right"/>
    </xf>
    <xf numFmtId="10" fontId="0" fillId="0" borderId="0" xfId="1" applyNumberFormat="1" applyFont="1" applyAlignment="1">
      <alignment horizontal="right"/>
    </xf>
    <xf numFmtId="9" fontId="0" fillId="0" borderId="0" xfId="1" applyFont="1"/>
    <xf numFmtId="164" fontId="6" fillId="8" borderId="0" xfId="0" applyNumberFormat="1" applyFont="1" applyFill="1"/>
    <xf numFmtId="0" fontId="4" fillId="0" borderId="0" xfId="0" applyFont="1"/>
    <xf numFmtId="10" fontId="4" fillId="8" borderId="0" xfId="0" applyNumberFormat="1" applyFont="1" applyFill="1"/>
    <xf numFmtId="0" fontId="4" fillId="8" borderId="0" xfId="0" applyNumberFormat="1" applyFont="1" applyFill="1"/>
    <xf numFmtId="0" fontId="6" fillId="8" borderId="0" xfId="0" applyNumberFormat="1" applyFont="1" applyFill="1" applyBorder="1" applyAlignment="1">
      <alignment horizontal="center" vertical="center" wrapText="1"/>
    </xf>
    <xf numFmtId="0" fontId="6" fillId="8" borderId="0" xfId="0" applyFont="1" applyFill="1" applyBorder="1" applyAlignment="1">
      <alignment horizontal="center" vertical="center" wrapText="1"/>
    </xf>
    <xf numFmtId="3" fontId="6" fillId="8" borderId="0" xfId="0" applyNumberFormat="1" applyFont="1" applyFill="1" applyBorder="1"/>
    <xf numFmtId="164" fontId="6" fillId="8" borderId="0" xfId="0" applyNumberFormat="1" applyFont="1" applyFill="1" applyBorder="1"/>
    <xf numFmtId="10" fontId="6" fillId="8" borderId="0" xfId="0" applyNumberFormat="1" applyFont="1" applyFill="1"/>
    <xf numFmtId="0" fontId="6" fillId="8" borderId="0" xfId="0" applyNumberFormat="1" applyFont="1" applyFill="1"/>
    <xf numFmtId="0" fontId="7" fillId="15" borderId="0" xfId="0" applyFont="1" applyFill="1"/>
    <xf numFmtId="0" fontId="0" fillId="12" borderId="1" xfId="0" applyFill="1" applyBorder="1" applyAlignment="1">
      <alignment horizontal="center"/>
    </xf>
    <xf numFmtId="0" fontId="9" fillId="8" borderId="2" xfId="0" applyFont="1" applyFill="1" applyBorder="1" applyAlignment="1">
      <alignment horizontal="center"/>
    </xf>
    <xf numFmtId="0" fontId="9" fillId="8" borderId="12" xfId="0" applyFont="1" applyFill="1" applyBorder="1" applyAlignment="1">
      <alignment horizontal="center"/>
    </xf>
    <xf numFmtId="0" fontId="9" fillId="8" borderId="4" xfId="0" applyFont="1" applyFill="1" applyBorder="1" applyAlignment="1">
      <alignment horizontal="center"/>
    </xf>
    <xf numFmtId="0" fontId="6" fillId="8" borderId="1" xfId="0" applyFont="1" applyFill="1" applyBorder="1" applyAlignment="1">
      <alignment horizontal="center"/>
    </xf>
    <xf numFmtId="0" fontId="0" fillId="0" borderId="1" xfId="0" applyBorder="1" applyAlignment="1">
      <alignment horizontal="center"/>
    </xf>
    <xf numFmtId="0" fontId="0" fillId="10" borderId="1" xfId="0" applyFill="1" applyBorder="1" applyAlignment="1">
      <alignment horizontal="center"/>
    </xf>
    <xf numFmtId="0" fontId="0" fillId="11" borderId="1" xfId="0" applyFill="1" applyBorder="1" applyAlignment="1">
      <alignment horizontal="center"/>
    </xf>
    <xf numFmtId="164" fontId="9" fillId="8" borderId="1" xfId="0" applyNumberFormat="1" applyFont="1" applyFill="1" applyBorder="1" applyAlignment="1">
      <alignment horizontal="center"/>
    </xf>
    <xf numFmtId="0" fontId="9" fillId="8" borderId="1" xfId="0" applyFont="1" applyFill="1" applyBorder="1" applyAlignment="1">
      <alignment horizontal="center"/>
    </xf>
    <xf numFmtId="0" fontId="6" fillId="8" borderId="0" xfId="0" applyFont="1" applyFill="1" applyAlignment="1">
      <alignment horizontal="center"/>
    </xf>
    <xf numFmtId="0" fontId="10" fillId="6" borderId="0" xfId="0" applyFont="1" applyFill="1" applyAlignment="1">
      <alignment horizontal="center"/>
    </xf>
    <xf numFmtId="0" fontId="27" fillId="3" borderId="0" xfId="0" applyFont="1" applyFill="1" applyAlignment="1">
      <alignment horizontal="center"/>
    </xf>
    <xf numFmtId="0" fontId="24" fillId="3" borderId="0" xfId="0" applyFont="1" applyFill="1" applyAlignment="1">
      <alignment horizontal="center"/>
    </xf>
    <xf numFmtId="0" fontId="23" fillId="3" borderId="0" xfId="0" applyFont="1" applyFill="1" applyBorder="1" applyAlignment="1">
      <alignment horizontal="center"/>
    </xf>
    <xf numFmtId="0" fontId="28" fillId="6" borderId="0" xfId="0" applyFont="1" applyFill="1" applyBorder="1" applyAlignment="1">
      <alignment horizontal="center"/>
    </xf>
    <xf numFmtId="0" fontId="28" fillId="6" borderId="10" xfId="0" applyFont="1" applyFill="1" applyBorder="1" applyAlignment="1">
      <alignment horizontal="center"/>
    </xf>
    <xf numFmtId="0" fontId="13" fillId="8" borderId="6" xfId="0" applyFont="1" applyFill="1" applyBorder="1" applyAlignment="1">
      <alignment horizontal="center"/>
    </xf>
    <xf numFmtId="0" fontId="13" fillId="8" borderId="7" xfId="0" applyFont="1" applyFill="1" applyBorder="1" applyAlignment="1">
      <alignment horizontal="center"/>
    </xf>
    <xf numFmtId="0" fontId="4" fillId="0" borderId="1" xfId="0" applyFont="1" applyBorder="1" applyAlignment="1">
      <alignment horizontal="center"/>
    </xf>
    <xf numFmtId="0" fontId="5" fillId="0" borderId="1" xfId="0" applyFont="1" applyBorder="1" applyAlignment="1">
      <alignment horizontal="center"/>
    </xf>
    <xf numFmtId="0" fontId="4" fillId="0" borderId="2" xfId="0" applyFont="1" applyBorder="1" applyAlignment="1">
      <alignment horizontal="center"/>
    </xf>
    <xf numFmtId="0" fontId="4" fillId="0" borderId="4" xfId="0" applyFont="1" applyBorder="1" applyAlignment="1">
      <alignment horizontal="center"/>
    </xf>
    <xf numFmtId="0" fontId="4" fillId="0" borderId="5" xfId="0" applyFont="1" applyBorder="1" applyAlignment="1">
      <alignment horizontal="center"/>
    </xf>
    <xf numFmtId="0" fontId="0" fillId="0" borderId="0" xfId="0" applyFont="1" applyBorder="1"/>
    <xf numFmtId="0" fontId="4" fillId="4" borderId="0" xfId="0" applyFont="1" applyFill="1" applyBorder="1" applyAlignment="1">
      <alignment horizontal="center"/>
    </xf>
    <xf numFmtId="164" fontId="4" fillId="4" borderId="0" xfId="0" applyNumberFormat="1" applyFont="1" applyFill="1" applyBorder="1" applyAlignment="1">
      <alignment horizontal="center"/>
    </xf>
    <xf numFmtId="10" fontId="4" fillId="4" borderId="0" xfId="0" applyNumberFormat="1" applyFont="1" applyFill="1" applyBorder="1" applyAlignment="1">
      <alignment horizontal="center"/>
    </xf>
    <xf numFmtId="0" fontId="4" fillId="4" borderId="0" xfId="0" applyNumberFormat="1" applyFont="1" applyFill="1" applyBorder="1" applyAlignment="1">
      <alignment horizontal="center" wrapText="1"/>
    </xf>
  </cellXfs>
  <cellStyles count="2">
    <cellStyle name="Normal" xfId="0" builtinId="0"/>
    <cellStyle name="Percent" xfId="1" builtinId="5"/>
  </cellStyles>
  <dxfs count="1146">
    <dxf>
      <numFmt numFmtId="14" formatCode="0.00%"/>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ont>
        <color theme="0"/>
      </font>
    </dxf>
    <dxf>
      <font>
        <color theme="0"/>
      </font>
    </dxf>
    <dxf>
      <font>
        <color theme="0"/>
      </font>
    </dxf>
    <dxf>
      <font>
        <color theme="0"/>
      </font>
    </dxf>
    <dxf>
      <font>
        <color theme="0"/>
      </font>
    </dxf>
    <dxf>
      <font>
        <color theme="0"/>
      </font>
    </dxf>
    <dxf>
      <fill>
        <patternFill patternType="solid">
          <bgColor theme="4" tint="0.59999389629810485"/>
        </patternFill>
      </fill>
    </dxf>
    <dxf>
      <fill>
        <patternFill patternType="solid">
          <bgColor theme="4" tint="0.59999389629810485"/>
        </patternFill>
      </fill>
    </dxf>
    <dxf>
      <fill>
        <patternFill patternType="solid">
          <bgColor rgb="FF002060"/>
        </patternFill>
      </fill>
    </dxf>
    <dxf>
      <font>
        <color theme="0"/>
      </font>
    </dxf>
    <dxf>
      <font>
        <b/>
      </font>
    </dxf>
    <dxf>
      <fill>
        <patternFill>
          <bgColor theme="9" tint="0.39997558519241921"/>
        </patternFill>
      </fill>
    </dxf>
    <dxf>
      <fill>
        <patternFill>
          <bgColor rgb="FFFF5050"/>
        </patternFill>
      </fill>
    </dxf>
    <dxf>
      <font>
        <b/>
      </font>
    </dxf>
    <dxf>
      <font>
        <b/>
      </font>
    </dxf>
    <dxf>
      <font>
        <name val="Adobe Fan Heiti Std B"/>
        <scheme val="none"/>
      </font>
    </dxf>
    <dxf>
      <font>
        <name val="Adobe Fan Heiti Std B"/>
        <scheme val="none"/>
      </font>
    </dxf>
    <dxf>
      <font>
        <name val="Adobe Fan Heiti Std B"/>
        <scheme val="none"/>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5" formatCode="&quot;₹&quot;\ #,##0.00"/>
    </dxf>
    <dxf>
      <numFmt numFmtId="168" formatCode="&quot;₹&quot;\ #,##0.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left" readingOrder="0"/>
    </dxf>
    <dxf>
      <alignment horizontal="left" readingOrder="0"/>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ont>
        <b/>
      </font>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ont>
        <color rgb="FF002060"/>
      </font>
    </dxf>
    <dxf>
      <font>
        <color rgb="FF002060"/>
      </font>
    </dxf>
    <dxf>
      <fill>
        <patternFill>
          <bgColor theme="8" tint="0.39997558519241921"/>
        </patternFill>
      </fill>
    </dxf>
    <dxf>
      <fill>
        <patternFill>
          <bgColor theme="9" tint="0.39997558519241921"/>
        </patternFill>
      </fill>
    </dxf>
    <dxf>
      <fill>
        <patternFill>
          <bgColor rgb="FFFF5050"/>
        </patternFill>
      </fill>
    </dxf>
    <dxf>
      <font>
        <name val="Adobe Fan Heiti Std B"/>
        <scheme val="none"/>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color theme="1" tint="4.9989318521683403E-2"/>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5" formatCode="&quot;₹&quot;\ #,##0.00"/>
    </dxf>
    <dxf>
      <fill>
        <patternFill patternType="solid">
          <bgColor theme="4" tint="0.59999389629810485"/>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ont>
        <color theme="0"/>
      </font>
    </dxf>
    <dxf>
      <font>
        <color theme="0"/>
      </font>
    </dxf>
    <dxf>
      <font>
        <color theme="0"/>
      </font>
    </dxf>
    <dxf>
      <font>
        <color theme="0"/>
      </font>
    </dxf>
    <dxf>
      <font>
        <color theme="0"/>
      </font>
    </dxf>
    <dxf>
      <font>
        <color theme="0"/>
      </font>
    </dxf>
    <dxf>
      <font>
        <b/>
      </font>
    </dxf>
    <dxf>
      <font>
        <b/>
      </font>
    </dxf>
    <dxf>
      <font>
        <b/>
      </font>
    </dxf>
    <dxf>
      <font>
        <b/>
      </font>
    </dxf>
    <dxf>
      <font>
        <b/>
      </font>
    </dxf>
    <dxf>
      <font>
        <b/>
      </font>
    </dxf>
    <dxf>
      <fill>
        <patternFill>
          <bgColor rgb="FF002060"/>
        </patternFill>
      </fill>
    </dxf>
    <dxf>
      <font>
        <color theme="0"/>
      </font>
    </dxf>
    <dxf>
      <font>
        <b/>
      </font>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numFmt numFmtId="168" formatCode="&quot;₹&quot;\ #,##0.0"/>
    </dxf>
    <dxf>
      <numFmt numFmtId="164" formatCode="&quot;₹&quot;\ #,##0"/>
    </dxf>
    <dxf>
      <fill>
        <patternFill>
          <bgColor theme="9" tint="0.39997558519241921"/>
        </patternFill>
      </fill>
    </dxf>
    <dxf>
      <fill>
        <patternFill>
          <bgColor rgb="FFFF5050"/>
        </patternFill>
      </fill>
    </dxf>
    <dxf>
      <font>
        <name val="Adobe Fan Heiti Std B"/>
        <scheme val="none"/>
      </font>
    </dxf>
    <dxf>
      <font>
        <name val="Adobe Fan Heiti Std B"/>
        <scheme val="none"/>
      </font>
    </dxf>
    <dxf>
      <font>
        <name val="Adobe Fan Heiti Std B"/>
        <scheme val="none"/>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4" formatCode="0.0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general" readingOrder="0"/>
    </dxf>
    <dxf>
      <alignment horizontal="left" readingOrder="0"/>
    </dxf>
    <dxf>
      <alignment horizontal="left" readingOrder="0"/>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ont>
        <b/>
      </font>
    </dxf>
    <dxf>
      <font>
        <b/>
      </font>
    </dxf>
    <dxf>
      <font>
        <b/>
      </font>
    </dxf>
    <dxf>
      <font>
        <b/>
      </font>
    </dxf>
    <dxf>
      <font>
        <b/>
      </font>
    </dxf>
    <dxf>
      <font>
        <b/>
      </font>
    </dxf>
    <dxf>
      <font>
        <b/>
      </font>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ont>
        <color theme="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8" tint="-0.249977111117893"/>
        </patternFill>
      </fill>
    </dxf>
    <dxf>
      <fill>
        <patternFill>
          <bgColor theme="8" tint="-0.249977111117893"/>
        </patternFill>
      </fill>
    </dxf>
    <dxf>
      <fill>
        <patternFill>
          <bgColor theme="8" tint="-0.249977111117893"/>
        </patternFill>
      </fill>
    </dxf>
    <dxf>
      <alignment horizontal="left" readingOrder="0"/>
    </dxf>
    <dxf>
      <alignment horizontal="left" readingOrder="0"/>
    </dxf>
    <dxf>
      <alignment horizontal="left" readingOrder="0"/>
    </dxf>
    <dxf>
      <font>
        <color rgb="FF002060"/>
      </font>
    </dxf>
    <dxf>
      <font>
        <color rgb="FF002060"/>
      </font>
    </dxf>
    <dxf>
      <fill>
        <patternFill>
          <bgColor theme="8" tint="-0.249977111117893"/>
        </patternFill>
      </fill>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Adobe Fan Heiti Std B"/>
        <scheme val="none"/>
      </font>
    </dxf>
    <dxf>
      <font>
        <name val="Calibri"/>
        <scheme val="minor"/>
      </font>
    </dxf>
    <dxf>
      <font>
        <name val="Calibri"/>
        <scheme val="minor"/>
      </font>
    </dxf>
    <dxf>
      <font>
        <name val="Calibri"/>
        <scheme val="minor"/>
      </font>
    </dxf>
    <dxf>
      <font>
        <color theme="1" tint="4.9989318521683403E-2"/>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auto="1"/>
      </font>
    </dxf>
    <dxf>
      <font>
        <color auto="1"/>
      </font>
    </dxf>
    <dxf>
      <font>
        <color auto="1"/>
      </font>
    </dxf>
    <dxf>
      <font>
        <color auto="1"/>
      </font>
    </dxf>
    <dxf>
      <font>
        <color auto="1"/>
      </font>
    </dxf>
    <dxf>
      <font>
        <color auto="1"/>
      </font>
    </dxf>
    <dxf>
      <font>
        <color auto="1"/>
      </font>
    </dxf>
    <dxf>
      <fill>
        <patternFill patternType="solid">
          <bgColor rgb="FF002060"/>
        </patternFill>
      </fill>
    </dxf>
    <dxf>
      <font>
        <color theme="0"/>
      </font>
    </dxf>
    <dxf>
      <font>
        <b/>
      </font>
    </dxf>
    <dxf>
      <font>
        <color theme="0"/>
      </font>
    </dxf>
    <dxf>
      <font>
        <color theme="0"/>
      </font>
    </dxf>
    <dxf>
      <font>
        <color theme="0"/>
      </font>
    </dxf>
    <dxf>
      <font>
        <color theme="0"/>
      </font>
    </dxf>
    <dxf>
      <font>
        <color theme="0"/>
      </font>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fill>
        <patternFill patternType="solid">
          <bgColor theme="8" tint="-0.249977111117893"/>
        </patternFill>
      </fill>
    </dxf>
    <dxf>
      <numFmt numFmtId="165" formatCode="&quot;₹&quot;\ #,##0.00"/>
    </dxf>
    <dxf>
      <numFmt numFmtId="168" formatCode="&quot;₹&quot;\ #,##0.0"/>
    </dxf>
    <dxf>
      <numFmt numFmtId="164" formatCode="&quot;₹&quot;\ #,##0"/>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ont>
        <color theme="0"/>
      </font>
    </dxf>
    <dxf>
      <font>
        <color theme="0"/>
      </font>
    </dxf>
    <dxf>
      <font>
        <color theme="0"/>
      </font>
    </dxf>
    <dxf>
      <font>
        <color theme="0"/>
      </font>
    </dxf>
    <dxf>
      <font>
        <color theme="0"/>
      </font>
    </dxf>
    <dxf>
      <fill>
        <patternFill patternType="solid">
          <bgColor theme="4" tint="0.59999389629810485"/>
        </patternFill>
      </fill>
    </dxf>
    <dxf>
      <fill>
        <patternFill patternType="solid">
          <bgColor theme="4" tint="0.59999389629810485"/>
        </patternFill>
      </fill>
    </dxf>
    <dxf>
      <font>
        <name val="Adobe Fan Heiti Std B"/>
        <scheme val="none"/>
      </font>
    </dxf>
    <dxf>
      <font>
        <name val="Adobe Fan Heiti Std B"/>
        <scheme val="none"/>
      </font>
    </dxf>
    <dxf>
      <fill>
        <patternFill>
          <bgColor theme="9" tint="0.39997558519241921"/>
        </patternFill>
      </fill>
    </dxf>
    <dxf>
      <fill>
        <patternFill>
          <bgColor rgb="FFFF5050"/>
        </patternFill>
      </fill>
    </dxf>
    <dxf>
      <font>
        <name val="Adobe Fan Heiti Std B"/>
        <scheme val="none"/>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numFmt numFmtId="165" formatCode="&quot;₹&quot;\ #,##0.00"/>
    </dxf>
    <dxf>
      <numFmt numFmtId="168" formatCode="&quot;₹&quot;\ #,##0.0"/>
    </dxf>
    <dxf>
      <numFmt numFmtId="164" formatCode="&quot;₹&quot;\ #,##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left" readingOrder="0"/>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4"/>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0066"/>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ill>
        <patternFill>
          <bgColor rgb="FF00133A"/>
        </patternFill>
      </fill>
    </dxf>
    <dxf>
      <font>
        <b/>
      </font>
    </dxf>
    <dxf>
      <font>
        <b val="0"/>
      </font>
    </dxf>
    <dxf>
      <font>
        <b/>
      </font>
    </dxf>
    <dxf>
      <font>
        <b val="0"/>
      </font>
    </dxf>
    <dxf>
      <font>
        <b val="0"/>
      </font>
    </dxf>
    <dxf>
      <font>
        <b/>
      </font>
    </dxf>
    <dxf>
      <font>
        <b/>
      </font>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0" tint="-0.499984740745262"/>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ill>
        <patternFill>
          <bgColor theme="5" tint="0.59999389629810485"/>
        </patternFill>
      </fill>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ont>
        <color theme="1" tint="4.9989318521683403E-2"/>
      </font>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7" tint="0.39997558519241921"/>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249977111117893"/>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theme="5" tint="0.39997558519241921"/>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rgb="FFF4F6F9"/>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ont>
        <color theme="0"/>
      </font>
    </dxf>
    <dxf>
      <font>
        <color theme="0"/>
      </font>
    </dxf>
    <dxf>
      <font>
        <color theme="0"/>
      </font>
    </dxf>
    <dxf>
      <font>
        <color theme="0"/>
      </font>
    </dxf>
    <dxf>
      <font>
        <color theme="0"/>
      </font>
    </dxf>
    <dxf>
      <font>
        <color theme="0"/>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ont>
        <color theme="0"/>
      </font>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theme="8" tint="0.39997558519241921"/>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206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rgb="FF0070C0"/>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ill>
        <patternFill>
          <bgColor theme="4" tint="-0.499984740745262"/>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4" tint="0.59999389629810485"/>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ill>
        <patternFill>
          <bgColor theme="8" tint="-0.249977111117893"/>
        </patternFill>
      </fill>
    </dxf>
    <dxf>
      <font>
        <color rgb="FF002060"/>
      </font>
    </dxf>
    <dxf>
      <font>
        <color rgb="FF002060"/>
      </font>
    </dxf>
    <dxf>
      <font>
        <color theme="1"/>
      </font>
    </dxf>
    <dxf>
      <font>
        <color theme="0"/>
      </font>
    </dxf>
    <dxf>
      <fill>
        <patternFill>
          <bgColor theme="8" tint="-0.249977111117893"/>
        </patternFill>
      </fill>
    </dxf>
    <dxf>
      <fill>
        <patternFill>
          <bgColor theme="8" tint="0.39997558519241921"/>
        </patternFill>
      </fill>
    </dxf>
    <dxf>
      <fill>
        <patternFill>
          <bgColor theme="9" tint="0.39997558519241921"/>
        </patternFill>
      </fill>
    </dxf>
    <dxf>
      <fill>
        <patternFill>
          <bgColor rgb="FFFF5050"/>
        </patternFill>
      </fill>
    </dxf>
    <dxf>
      <font>
        <name val="Adobe Fan Heiti Std B"/>
        <scheme val="none"/>
      </font>
    </dxf>
    <dxf>
      <font>
        <name val="Calibri"/>
        <scheme val="minor"/>
      </font>
    </dxf>
    <dxf>
      <font>
        <name val="Calibri"/>
        <scheme val="minor"/>
      </font>
    </dxf>
    <dxf>
      <font>
        <name val="Calibri"/>
        <scheme val="minor"/>
      </font>
    </dxf>
    <dxf>
      <font>
        <name val="Calibri"/>
        <scheme val="minor"/>
      </font>
    </dxf>
    <dxf>
      <font>
        <name val="Calibri"/>
        <scheme val="minor"/>
      </font>
    </dxf>
    <dxf>
      <font>
        <name val="Calibri"/>
        <scheme val="minor"/>
      </font>
    </dxf>
    <dxf>
      <font>
        <b val="0"/>
      </font>
    </dxf>
    <dxf>
      <font>
        <b/>
      </font>
    </dxf>
    <dxf>
      <font>
        <b val="0"/>
      </font>
    </dxf>
    <dxf>
      <font>
        <u/>
      </font>
    </dxf>
    <dxf>
      <font>
        <u val="none"/>
      </font>
    </dxf>
    <dxf>
      <font>
        <i/>
      </font>
    </dxf>
    <dxf>
      <font>
        <i val="0"/>
      </font>
    </dxf>
    <dxf>
      <font>
        <color theme="1" tint="4.9989318521683403E-2"/>
      </font>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ill>
        <patternFill>
          <bgColor theme="0"/>
        </patternFill>
      </fill>
    </dxf>
    <dxf>
      <font>
        <color auto="1"/>
      </font>
    </dxf>
    <dxf>
      <font>
        <color auto="1"/>
      </font>
    </dxf>
    <dxf>
      <font>
        <color auto="1"/>
      </font>
    </dxf>
    <dxf>
      <font>
        <color auto="1"/>
      </font>
    </dxf>
    <dxf>
      <font>
        <color auto="1"/>
      </font>
    </dxf>
    <dxf>
      <font>
        <color auto="1"/>
      </font>
    </dxf>
    <dxf>
      <font>
        <color auto="1"/>
      </font>
    </dxf>
    <dxf>
      <font>
        <color auto="1"/>
      </font>
    </dxf>
    <dxf>
      <font>
        <color auto="1"/>
      </font>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rgb="FF000000"/>
        </top>
      </border>
    </dxf>
    <dxf>
      <border outline="0">
        <left style="thin">
          <color rgb="FF000000"/>
        </left>
        <right style="thin">
          <color rgb="FF000000"/>
        </right>
        <top style="thin">
          <color rgb="FF000000"/>
        </top>
        <bottom style="thin">
          <color rgb="FF000000"/>
        </bottom>
      </border>
    </dxf>
    <dxf>
      <font>
        <strike val="0"/>
        <outline val="0"/>
        <shadow val="0"/>
        <u val="none"/>
        <vertAlign val="baseline"/>
        <color rgb="FF333F4F"/>
        <name val="Calibri"/>
        <scheme val="none"/>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strike val="0"/>
        <outline val="0"/>
        <shadow val="0"/>
        <u val="none"/>
        <vertAlign val="baseline"/>
        <sz val="11"/>
        <color theme="3" tint="-0.249977111117893"/>
        <name val="Calibri"/>
        <scheme val="minor"/>
      </font>
      <numFmt numFmtId="14" formatCode="0.0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theme="3" tint="-0.249977111117893"/>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theme="3" tint="-0.249977111117893"/>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numFmt numFmtId="14" formatCode="0.0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164" formatCode="&quot;₹&quot;\ #,##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numFmt numFmtId="3" formatCode="#,##0"/>
      <fill>
        <patternFill patternType="solid">
          <fgColor indexed="64"/>
          <bgColor theme="0"/>
        </patternFill>
      </fill>
      <alignment horizontal="center"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dxf>
    <dxf>
      <font>
        <strike val="0"/>
        <outline val="0"/>
        <shadow val="0"/>
        <u val="none"/>
        <vertAlign val="baseline"/>
        <sz val="11"/>
        <color auto="1"/>
        <name val="Calibri"/>
        <scheme val="minor"/>
      </font>
      <fill>
        <patternFill patternType="solid">
          <fgColor indexed="64"/>
          <bgColor theme="0"/>
        </patternFill>
      </fill>
      <alignment horizontal="left" vertical="bottom" textRotation="0" wrapText="0" indent="0" justifyLastLine="0" shrinkToFit="0" readingOrder="0"/>
    </dxf>
    <dxf>
      <font>
        <strike val="0"/>
        <outline val="0"/>
        <shadow val="0"/>
        <u val="none"/>
        <vertAlign val="baseline"/>
        <sz val="11"/>
        <color auto="1"/>
        <name val="Calibri"/>
        <scheme val="minor"/>
      </font>
      <numFmt numFmtId="0" formatCode="General"/>
      <fill>
        <patternFill patternType="solid">
          <fgColor indexed="64"/>
          <bgColor theme="0"/>
        </patternFill>
      </fill>
      <alignment horizontal="left" vertical="bottom" textRotation="0" wrapText="0" indent="0" justifyLastLine="0" shrinkToFit="0" readingOrder="0"/>
    </dxf>
    <dxf>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2"/>
        <color theme="1" tint="4.9989318521683403E-2"/>
        <name val="Calibri"/>
        <scheme val="minor"/>
      </font>
      <numFmt numFmtId="164" formatCode="&quot;₹&quot;\ #,##0"/>
      <fill>
        <patternFill patternType="solid">
          <fgColor indexed="64"/>
          <bgColor theme="4" tint="0.39997558519241921"/>
        </patternFill>
      </fill>
      <alignment horizontal="center" vertical="bottom" textRotation="0" wrapText="0" indent="0" justifyLastLine="0" shrinkToFit="0" readingOrder="0"/>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strike val="0"/>
        <outline val="0"/>
        <shadow val="0"/>
        <u val="none"/>
        <vertAlign val="baseline"/>
        <color rgb="FF0000FF"/>
        <name val="Calibri"/>
        <scheme val="minor"/>
      </font>
      <numFmt numFmtId="13" formatCode="0%"/>
      <alignment horizontal="general" vertical="center" textRotation="0" wrapText="1" indent="0" justifyLastLine="0" shrinkToFit="0" readingOrder="0"/>
    </dxf>
    <dxf>
      <font>
        <strike val="0"/>
        <outline val="0"/>
        <shadow val="0"/>
        <u val="none"/>
        <vertAlign val="baseline"/>
        <color theme="1" tint="4.9989318521683403E-2"/>
        <name val="Calibri"/>
        <scheme val="minor"/>
      </font>
      <numFmt numFmtId="13" formatCode="0%"/>
    </dxf>
    <dxf>
      <font>
        <strike val="0"/>
        <outline val="0"/>
        <shadow val="0"/>
        <u val="none"/>
        <vertAlign val="baseline"/>
        <color theme="1" tint="4.9989318521683403E-2"/>
        <name val="Calibri"/>
        <scheme val="minor"/>
      </font>
      <numFmt numFmtId="13" formatCode="0%"/>
      <alignment horizontal="right" vertical="bottom" textRotation="0" wrapText="0" indent="0" justifyLastLine="0" shrinkToFit="0" readingOrder="0"/>
    </dxf>
    <dxf>
      <font>
        <strike val="0"/>
        <outline val="0"/>
        <shadow val="0"/>
        <u val="none"/>
        <vertAlign val="baseline"/>
        <color theme="1" tint="4.9989318521683403E-2"/>
        <name val="Calibri"/>
        <scheme val="minor"/>
      </font>
      <numFmt numFmtId="14" formatCode="0.0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auto="1"/>
        <name val="Calibri"/>
        <scheme val="minor"/>
      </font>
      <numFmt numFmtId="164" formatCode="&quot;₹&quot;\ #,##0"/>
      <alignment horizontal="general" vertical="bottom" textRotation="0" wrapText="0" indent="0" justifyLastLine="0" shrinkToFit="0" readingOrder="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theme="1"/>
        <name val="Calibri"/>
        <scheme val="minor"/>
      </font>
      <numFmt numFmtId="0" formatCode="General"/>
      <alignment horizontal="center" vertical="center" textRotation="0" wrapText="1" indent="0" justifyLastLine="0" shrinkToFit="0" readingOrder="0"/>
    </dxf>
    <dxf>
      <border outline="0">
        <top style="thin">
          <color indexed="64"/>
        </top>
      </border>
    </dxf>
    <dxf>
      <border outline="0">
        <left style="thin">
          <color rgb="FF000000"/>
        </left>
        <right style="thin">
          <color indexed="64"/>
        </right>
        <bottom style="thin">
          <color indexed="64"/>
        </bottom>
      </border>
    </dxf>
    <dxf>
      <font>
        <strike val="0"/>
        <outline val="0"/>
        <shadow val="0"/>
        <u val="none"/>
        <vertAlign val="baseline"/>
        <color theme="3" tint="-0.249977111117893"/>
        <name val="Calibri"/>
        <scheme val="minor"/>
      </font>
    </dxf>
    <dxf>
      <border outline="0">
        <bottom style="thin">
          <color indexed="64"/>
        </bottom>
      </border>
    </dxf>
    <dxf>
      <font>
        <strike val="0"/>
        <outline val="0"/>
        <shadow val="0"/>
        <u val="none"/>
        <vertAlign val="baseline"/>
        <color theme="3" tint="-0.249977111117893"/>
        <name val="Calibri"/>
        <scheme val="minor"/>
      </font>
    </dxf>
    <dxf>
      <font>
        <strike val="0"/>
        <outline val="0"/>
        <shadow val="0"/>
        <u val="none"/>
        <vertAlign val="baseline"/>
        <color rgb="FF0000FF"/>
        <name val="Calibri"/>
        <scheme val="minor"/>
      </font>
      <numFmt numFmtId="13" formatCode="0%"/>
    </dxf>
    <dxf>
      <numFmt numFmtId="13" formatCode="0%"/>
      <alignment horizontal="right" vertical="bottom" textRotation="0" wrapText="0" indent="0" justifyLastLine="0" shrinkToFit="0" readingOrder="0"/>
      <border diagonalUp="0" diagonalDown="0" outline="0">
        <left/>
        <right/>
        <top/>
        <bottom/>
      </border>
    </dxf>
    <dxf>
      <font>
        <strike val="0"/>
        <outline val="0"/>
        <shadow val="0"/>
        <u val="none"/>
        <vertAlign val="baseline"/>
        <color theme="1" tint="4.9989318521683403E-2"/>
        <name val="Calibri"/>
        <scheme val="minor"/>
      </font>
      <numFmt numFmtId="13" formatCode="0%"/>
      <alignment horizontal="right" vertical="bottom" textRotation="0" wrapText="0" indent="0" justifyLastLine="0" shrinkToFit="0" readingOrder="0"/>
    </dxf>
    <dxf>
      <numFmt numFmtId="13" formatCode="0%"/>
      <border diagonalUp="0" diagonalDown="0" outline="0">
        <left/>
        <right/>
        <top/>
        <bottom/>
      </border>
    </dxf>
    <dxf>
      <font>
        <strike val="0"/>
        <outline val="0"/>
        <shadow val="0"/>
        <u val="none"/>
        <vertAlign val="baseline"/>
        <color theme="1" tint="4.9989318521683403E-2"/>
        <name val="Calibri"/>
        <scheme val="minor"/>
      </font>
      <numFmt numFmtId="13" formatCode="0%"/>
    </dxf>
    <dxf>
      <numFmt numFmtId="14" formatCode="0.00%"/>
      <border diagonalUp="0" diagonalDown="0" outline="0">
        <left/>
        <right/>
        <top/>
        <bottom/>
      </border>
    </dxf>
    <dxf>
      <font>
        <strike val="0"/>
        <outline val="0"/>
        <shadow val="0"/>
        <u val="none"/>
        <vertAlign val="baseline"/>
        <color theme="1" tint="4.9989318521683403E-2"/>
        <name val="Calibri"/>
        <scheme val="minor"/>
      </font>
      <numFmt numFmtId="14" formatCode="0.0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numFmt numFmtId="164" formatCode="&quot;₹&quot;\ #,##0"/>
      <border diagonalUp="0" diagonalDown="0" outline="0">
        <left/>
        <right/>
        <top/>
        <bottom/>
      </border>
    </dxf>
    <dxf>
      <font>
        <strike val="0"/>
        <outline val="0"/>
        <shadow val="0"/>
        <u val="none"/>
        <vertAlign val="baseline"/>
        <color theme="1" tint="4.9989318521683403E-2"/>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fill>
        <patternFill patternType="solid">
          <fgColor indexed="64"/>
          <bgColor theme="0"/>
        </patternFill>
      </fill>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theme="1"/>
        <name val="Calibri"/>
        <scheme val="minor"/>
      </font>
      <fill>
        <patternFill patternType="solid">
          <fgColor indexed="64"/>
          <bgColor theme="0"/>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numFmt numFmtId="0" formatCode="General"/>
      <alignment horizontal="center" vertical="center" textRotation="0" wrapText="1" indent="0" justifyLastLine="0" shrinkToFit="0" readingOrder="0"/>
      <border diagonalUp="0" diagonalDown="0" outline="0">
        <left/>
        <right/>
        <top/>
        <bottom/>
      </border>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right style="thin">
          <color indexed="64"/>
        </right>
        <top style="thin">
          <color rgb="FF000000"/>
        </top>
        <bottom style="thin">
          <color indexed="64"/>
        </bottom>
      </border>
    </dxf>
    <dxf>
      <font>
        <strike val="0"/>
        <outline val="0"/>
        <shadow val="0"/>
        <u val="none"/>
        <vertAlign val="baseline"/>
        <color theme="3" tint="-0.249977111117893"/>
        <name val="Calibri"/>
        <scheme val="minor"/>
      </font>
    </dxf>
    <dxf>
      <font>
        <strike val="0"/>
        <outline val="0"/>
        <shadow val="0"/>
        <u val="none"/>
        <vertAlign val="baseline"/>
        <color theme="3" tint="-0.249977111117893"/>
        <name val="Calibri"/>
        <scheme val="minor"/>
      </font>
    </dxf>
    <dxf>
      <font>
        <strike val="0"/>
        <outline val="0"/>
        <shadow val="0"/>
        <u val="none"/>
        <vertAlign val="baseline"/>
        <color auto="1"/>
        <name val="Calibri"/>
        <scheme val="minor"/>
      </font>
      <numFmt numFmtId="0" formatCode="General"/>
    </dxf>
    <dxf>
      <font>
        <strike val="0"/>
        <outline val="0"/>
        <shadow val="0"/>
        <u val="none"/>
        <vertAlign val="baseline"/>
        <color auto="1"/>
        <name val="Calibri"/>
        <scheme val="minor"/>
      </font>
      <numFmt numFmtId="14" formatCode="0.0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164" formatCode="&quot;₹&quot;\ #,##0"/>
    </dxf>
    <dxf>
      <font>
        <strike val="0"/>
        <outline val="0"/>
        <shadow val="0"/>
        <u val="none"/>
        <vertAlign val="baseline"/>
        <color auto="1"/>
        <name val="Calibri"/>
        <scheme val="minor"/>
      </font>
      <numFmt numFmtId="3" formatCode="#,##0"/>
      <fill>
        <patternFill patternType="solid">
          <fgColor indexed="64"/>
          <bgColor theme="0"/>
        </patternFill>
      </fill>
    </dxf>
    <dxf>
      <font>
        <b val="0"/>
        <i val="0"/>
        <strike val="0"/>
        <condense val="0"/>
        <extend val="0"/>
        <outline val="0"/>
        <shadow val="0"/>
        <u val="none"/>
        <vertAlign val="baseline"/>
        <sz val="11"/>
        <color auto="1"/>
        <name val="Calibri"/>
        <scheme val="minor"/>
      </font>
      <fill>
        <patternFill patternType="solid">
          <fgColor indexed="64"/>
          <bgColor theme="0"/>
        </patternFill>
      </fill>
      <alignment horizontal="center" vertical="center" textRotation="0" wrapText="1" indent="0" justifyLastLine="0" shrinkToFit="0" readingOrder="0"/>
    </dxf>
    <dxf>
      <font>
        <strike val="0"/>
        <outline val="0"/>
        <shadow val="0"/>
        <u val="none"/>
        <vertAlign val="baseline"/>
        <color auto="1"/>
        <name val="Calibri"/>
        <scheme val="minor"/>
      </font>
      <numFmt numFmtId="0" formatCode="General"/>
      <alignment horizontal="center" vertical="center" textRotation="0" wrapText="1"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theme="3" tint="-0.249977111117893"/>
        <name val="Calibri"/>
        <scheme val="minor"/>
      </font>
      <numFmt numFmtId="164" formatCode="&quot;₹&quot;\ #,##0"/>
    </dxf>
    <dxf>
      <font>
        <b/>
        <i val="0"/>
        <strike val="0"/>
        <condense val="0"/>
        <extend val="0"/>
        <outline val="0"/>
        <shadow val="0"/>
        <u val="none"/>
        <vertAlign val="baseline"/>
        <sz val="11"/>
        <color theme="3" tint="-0.249977111117893"/>
        <name val="Calibri"/>
        <scheme val="minor"/>
      </font>
      <numFmt numFmtId="164" formatCode="&quot;₹&quot;\ #,##0"/>
      <fill>
        <patternFill patternType="solid">
          <fgColor indexed="64"/>
          <bgColor theme="4" tint="0.59999389629810485"/>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133A"/>
      </font>
    </dxf>
    <dxf>
      <font>
        <color rgb="FF00133A"/>
      </font>
    </dxf>
  </dxfs>
  <tableStyles count="2" defaultTableStyle="TableStyleMedium2" defaultPivotStyle="PivotStyleLight16">
    <tableStyle name="Slicer Style 1" pivot="0" table="0" count="1">
      <tableStyleElement type="wholeTable" dxfId="1145"/>
    </tableStyle>
    <tableStyle name="Slicer Style 2" pivot="0" table="0" count="1">
      <tableStyleElement type="wholeTable" dxfId="1144"/>
    </tableStyle>
  </tableStyles>
  <colors>
    <mruColors>
      <color rgb="FF00194C"/>
      <color rgb="FFCC0000"/>
      <color rgb="FFFF5050"/>
      <color rgb="FF512373"/>
      <color rgb="FF000066"/>
      <color rgb="FF0000FF"/>
      <color rgb="FFF4F6F9"/>
      <color rgb="FF040609"/>
      <color rgb="FF00133A"/>
    </mruColors>
  </colors>
  <extLst>
    <ext xmlns:x14="http://schemas.microsoft.com/office/spreadsheetml/2009/9/main" uri="{EB79DEF2-80B8-43e5-95BD-54CBDDF9020C}">
      <x14:slicerStyles defaultSlicerStyle="SlicerStyleLight1">
        <x14:slicerStyle name="Slicer Style 1"/>
        <x14:slicerStyle name="Slicer Style 2"/>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 Type="http://schemas.openxmlformats.org/officeDocument/2006/relationships/worksheet" Target="worksheets/sheet2.xml"/><Relationship Id="rId16" Type="http://schemas.microsoft.com/office/2007/relationships/slicerCache" Target="slicerCaches/slicerCache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by Scenario</c:name>
    <c:fmtId val="0"/>
  </c:pivotSource>
  <c:chart>
    <c:title>
      <c:tx>
        <c:rich>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r>
              <a:rPr lang="en-IN">
                <a:solidFill>
                  <a:schemeClr val="tx1"/>
                </a:solidFill>
                <a:latin typeface="Adobe Fan Heiti Std B" panose="020B0700000000000000" pitchFamily="34" charset="-128"/>
                <a:ea typeface="Adobe Fan Heiti Std B" panose="020B0700000000000000" pitchFamily="34" charset="-128"/>
              </a:rPr>
              <a:t>Revenue By Scenario (Monthly)</a:t>
            </a:r>
          </a:p>
        </c:rich>
      </c:tx>
      <c:layout>
        <c:manualLayout>
          <c:xMode val="edge"/>
          <c:yMode val="edge"/>
          <c:x val="0.31541839944505884"/>
          <c:y val="2.69061202436692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lumMod val="60000"/>
              <a:lumOff val="40000"/>
            </a:schemeClr>
          </a:solidFill>
          <a:ln>
            <a:solidFill>
              <a:schemeClr val="tx1"/>
            </a:solidFill>
          </a:ln>
          <a:effectLst/>
        </c:spPr>
        <c:marker>
          <c:symbol val="none"/>
        </c:marker>
      </c:pivotFmt>
      <c:pivotFmt>
        <c:idx val="4"/>
        <c:spPr>
          <a:solidFill>
            <a:schemeClr val="accent6">
              <a:lumMod val="40000"/>
              <a:lumOff val="60000"/>
            </a:schemeClr>
          </a:solidFill>
          <a:ln>
            <a:solidFill>
              <a:schemeClr val="tx1"/>
            </a:solidFill>
          </a:ln>
          <a:effectLst/>
        </c:spPr>
        <c:marker>
          <c:symbol val="none"/>
        </c:marker>
      </c:pivotFmt>
      <c:pivotFmt>
        <c:idx val="5"/>
        <c:spPr>
          <a:solidFill>
            <a:srgbClr val="FF5050"/>
          </a:solidFill>
          <a:ln>
            <a:solidFill>
              <a:schemeClr val="tx1"/>
            </a:solidFill>
            <a:miter lim="800000"/>
          </a:ln>
          <a:effectLst/>
        </c:spPr>
        <c:marker>
          <c:symbol val="none"/>
        </c:marker>
      </c:pivotFmt>
      <c:pivotFmt>
        <c:idx val="6"/>
        <c:spPr>
          <a:solidFill>
            <a:srgbClr val="00B0F0"/>
          </a:solidFill>
          <a:ln>
            <a:solidFill>
              <a:schemeClr val="tx1"/>
            </a:solidFill>
          </a:ln>
          <a:effectLst/>
        </c:spPr>
        <c:marker>
          <c:symbol val="none"/>
        </c:marker>
      </c:pivotFmt>
      <c:pivotFmt>
        <c:idx val="7"/>
        <c:spPr>
          <a:solidFill>
            <a:srgbClr val="92D050"/>
          </a:solidFill>
          <a:ln>
            <a:solidFill>
              <a:schemeClr val="tx1"/>
            </a:solidFill>
          </a:ln>
          <a:effectLst/>
        </c:spPr>
        <c:marker>
          <c:symbol val="none"/>
        </c:marker>
      </c:pivotFmt>
      <c:pivotFmt>
        <c:idx val="8"/>
        <c:spPr>
          <a:solidFill>
            <a:srgbClr val="FF0000"/>
          </a:solidFill>
          <a:ln>
            <a:solidFill>
              <a:schemeClr val="tx1"/>
            </a:solid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s>
    <c:plotArea>
      <c:layout>
        <c:manualLayout>
          <c:layoutTarget val="inner"/>
          <c:xMode val="edge"/>
          <c:yMode val="edge"/>
          <c:x val="0.1337571580436529"/>
          <c:y val="9.3785904211666618E-2"/>
          <c:w val="0.80846941618495549"/>
          <c:h val="0.72591645133909521"/>
        </c:manualLayout>
      </c:layout>
      <c:barChart>
        <c:barDir val="col"/>
        <c:grouping val="clustered"/>
        <c:varyColors val="0"/>
        <c:ser>
          <c:idx val="0"/>
          <c:order val="0"/>
          <c:tx>
            <c:strRef>
              <c:f>Dashboard!$B$9:$B$10</c:f>
              <c:strCache>
                <c:ptCount val="1"/>
                <c:pt idx="0">
                  <c:v>Forecast (Base)</c:v>
                </c:pt>
              </c:strCache>
            </c:strRef>
          </c:tx>
          <c:spPr>
            <a:solidFill>
              <a:srgbClr val="00B0F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Dashboard!$B$11:$B$23</c:f>
              <c:numCache>
                <c:formatCode>"₹"\ #,##0</c:formatCode>
                <c:ptCount val="12"/>
                <c:pt idx="0">
                  <c:v>13452000</c:v>
                </c:pt>
                <c:pt idx="1">
                  <c:v>12744000</c:v>
                </c:pt>
                <c:pt idx="2">
                  <c:v>14868000</c:v>
                </c:pt>
                <c:pt idx="3">
                  <c:v>15576000</c:v>
                </c:pt>
                <c:pt idx="4">
                  <c:v>16992000</c:v>
                </c:pt>
                <c:pt idx="5">
                  <c:v>16284000</c:v>
                </c:pt>
                <c:pt idx="6">
                  <c:v>14868000</c:v>
                </c:pt>
                <c:pt idx="7">
                  <c:v>15576000</c:v>
                </c:pt>
                <c:pt idx="8">
                  <c:v>16284000</c:v>
                </c:pt>
                <c:pt idx="9">
                  <c:v>18408000</c:v>
                </c:pt>
                <c:pt idx="10">
                  <c:v>17700000</c:v>
                </c:pt>
                <c:pt idx="11">
                  <c:v>16992000</c:v>
                </c:pt>
              </c:numCache>
            </c:numRef>
          </c:val>
          <c:extLst>
            <c:ext xmlns:c16="http://schemas.microsoft.com/office/drawing/2014/chart" uri="{C3380CC4-5D6E-409C-BE32-E72D297353CC}">
              <c16:uniqueId val="{00000000-7D80-4F2A-AB9B-46DAA453C06A}"/>
            </c:ext>
          </c:extLst>
        </c:ser>
        <c:ser>
          <c:idx val="1"/>
          <c:order val="1"/>
          <c:tx>
            <c:strRef>
              <c:f>Dashboard!$C$9:$C$10</c:f>
              <c:strCache>
                <c:ptCount val="1"/>
                <c:pt idx="0">
                  <c:v>Overperformance</c:v>
                </c:pt>
              </c:strCache>
            </c:strRef>
          </c:tx>
          <c:spPr>
            <a:solidFill>
              <a:srgbClr val="92D05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Dashboard!$C$11:$C$23</c:f>
              <c:numCache>
                <c:formatCode>"₹"\ #,##0</c:formatCode>
                <c:ptCount val="12"/>
                <c:pt idx="0">
                  <c:v>21452254</c:v>
                </c:pt>
                <c:pt idx="1">
                  <c:v>20406564</c:v>
                </c:pt>
                <c:pt idx="2">
                  <c:v>24015925.5</c:v>
                </c:pt>
                <c:pt idx="3">
                  <c:v>25481764</c:v>
                </c:pt>
                <c:pt idx="4">
                  <c:v>27236664</c:v>
                </c:pt>
                <c:pt idx="5">
                  <c:v>24946382.5</c:v>
                </c:pt>
                <c:pt idx="6">
                  <c:v>23584984.5</c:v>
                </c:pt>
                <c:pt idx="7">
                  <c:v>25557380.200000003</c:v>
                </c:pt>
                <c:pt idx="8">
                  <c:v>25646334</c:v>
                </c:pt>
                <c:pt idx="9">
                  <c:v>31625542</c:v>
                </c:pt>
                <c:pt idx="10">
                  <c:v>29698887.500000004</c:v>
                </c:pt>
                <c:pt idx="11">
                  <c:v>27372511.200000003</c:v>
                </c:pt>
              </c:numCache>
            </c:numRef>
          </c:val>
          <c:extLst>
            <c:ext xmlns:c16="http://schemas.microsoft.com/office/drawing/2014/chart" uri="{C3380CC4-5D6E-409C-BE32-E72D297353CC}">
              <c16:uniqueId val="{00000002-A6FF-4014-B8FA-1BD372D7D4C5}"/>
            </c:ext>
          </c:extLst>
        </c:ser>
        <c:ser>
          <c:idx val="2"/>
          <c:order val="2"/>
          <c:tx>
            <c:strRef>
              <c:f>Dashboard!$D$9:$D$10</c:f>
              <c:strCache>
                <c:ptCount val="1"/>
                <c:pt idx="0">
                  <c:v>Underperformance</c:v>
                </c:pt>
              </c:strCache>
            </c:strRef>
          </c:tx>
          <c:spPr>
            <a:solidFill>
              <a:srgbClr val="FF0000"/>
            </a:solidFill>
            <a:ln>
              <a:solidFill>
                <a:schemeClr val="tx1"/>
              </a:solid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Dashboard!$D$11:$D$23</c:f>
              <c:numCache>
                <c:formatCode>"₹"\ #,##0</c:formatCode>
                <c:ptCount val="12"/>
                <c:pt idx="0">
                  <c:v>7994364</c:v>
                </c:pt>
                <c:pt idx="1">
                  <c:v>7312881.5999999996</c:v>
                </c:pt>
                <c:pt idx="2">
                  <c:v>9027981.9000000004</c:v>
                </c:pt>
                <c:pt idx="3">
                  <c:v>9823525.8000000007</c:v>
                </c:pt>
                <c:pt idx="4">
                  <c:v>10438480.799999999</c:v>
                </c:pt>
                <c:pt idx="5">
                  <c:v>9881193.2999999989</c:v>
                </c:pt>
                <c:pt idx="6">
                  <c:v>9300910.5</c:v>
                </c:pt>
                <c:pt idx="7">
                  <c:v>9983652.8000000007</c:v>
                </c:pt>
                <c:pt idx="8">
                  <c:v>10491202.75</c:v>
                </c:pt>
                <c:pt idx="9">
                  <c:v>11126258</c:v>
                </c:pt>
                <c:pt idx="10">
                  <c:v>11240167.5</c:v>
                </c:pt>
                <c:pt idx="11">
                  <c:v>10002256.800000001</c:v>
                </c:pt>
              </c:numCache>
            </c:numRef>
          </c:val>
          <c:extLst>
            <c:ext xmlns:c16="http://schemas.microsoft.com/office/drawing/2014/chart" uri="{C3380CC4-5D6E-409C-BE32-E72D297353CC}">
              <c16:uniqueId val="{00000003-A6FF-4014-B8FA-1BD372D7D4C5}"/>
            </c:ext>
          </c:extLst>
        </c:ser>
        <c:dLbls>
          <c:showLegendKey val="0"/>
          <c:showVal val="0"/>
          <c:showCatName val="0"/>
          <c:showSerName val="0"/>
          <c:showPercent val="0"/>
          <c:showBubbleSize val="0"/>
        </c:dLbls>
        <c:gapWidth val="100"/>
        <c:overlap val="-24"/>
        <c:axId val="2032271535"/>
        <c:axId val="2032271951"/>
      </c:barChart>
      <c:catAx>
        <c:axId val="2032271535"/>
        <c:scaling>
          <c:orientation val="minMax"/>
        </c:scaling>
        <c:delete val="0"/>
        <c:axPos val="b"/>
        <c:numFmt formatCode="General" sourceLinked="0"/>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951"/>
        <c:crosses val="autoZero"/>
        <c:auto val="1"/>
        <c:lblAlgn val="ctr"/>
        <c:lblOffset val="10"/>
        <c:noMultiLvlLbl val="0"/>
      </c:catAx>
      <c:valAx>
        <c:axId val="2032271951"/>
        <c:scaling>
          <c:orientation val="minMax"/>
        </c:scaling>
        <c:delete val="0"/>
        <c:axPos val="l"/>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535"/>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by Scenario</c:name>
    <c:fmtId val="1"/>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Gross Profit by Scenario (Based on Product)</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manualLayout>
          <c:xMode val="edge"/>
          <c:yMode val="edge"/>
          <c:x val="0.28411795781041649"/>
          <c:y val="3.944294619118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solidFill>
              <a:schemeClr val="tx1"/>
            </a:solidFill>
          </a:ln>
          <a:effectLst/>
        </c:spPr>
        <c:dLbl>
          <c:idx val="0"/>
          <c:layout>
            <c:manualLayout>
              <c:x val="-2.5834862743646148E-2"/>
              <c:y val="-7.53045312278107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050"/>
          </a:solidFill>
          <a:ln>
            <a:solidFill>
              <a:schemeClr val="tx1"/>
            </a:solidFill>
          </a:ln>
          <a:effectLst/>
        </c:spPr>
        <c:dLbl>
          <c:idx val="0"/>
          <c:layout>
            <c:manualLayout>
              <c:x val="-2.9010535164424021E-3"/>
              <c:y val="-7.530453122781142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a:solidFill>
              <a:schemeClr val="tx1"/>
            </a:solidFill>
          </a:ln>
          <a:effectLst/>
        </c:spPr>
        <c:dLbl>
          <c:idx val="0"/>
          <c:layout>
            <c:manualLayout>
              <c:x val="5.8021070328846984E-3"/>
              <c:y val="-3.3887039052514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pivotFmt>
      <c:pivotFmt>
        <c:idx val="13"/>
        <c:spPr>
          <a:solidFill>
            <a:schemeClr val="accent1"/>
          </a:solidFill>
          <a:ln>
            <a:solidFill>
              <a:schemeClr val="tx1"/>
            </a:solidFill>
          </a:ln>
          <a:effectLst/>
        </c:spPr>
        <c:marker>
          <c:symbol val="none"/>
        </c:marker>
      </c:pivotFmt>
      <c:pivotFmt>
        <c:idx val="14"/>
        <c:spPr>
          <a:solidFill>
            <a:schemeClr val="accent1"/>
          </a:solidFill>
          <a:ln>
            <a:solidFill>
              <a:schemeClr val="tx1"/>
            </a:solidFill>
          </a:ln>
          <a:effectLst/>
        </c:spPr>
        <c:marker>
          <c:symbol val="none"/>
        </c:marker>
      </c:pivotFmt>
      <c:pivotFmt>
        <c:idx val="1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pivotFmt>
    </c:pivotFmts>
    <c:plotArea>
      <c:layout>
        <c:manualLayout>
          <c:layoutTarget val="inner"/>
          <c:xMode val="edge"/>
          <c:yMode val="edge"/>
          <c:x val="0.11645168567570877"/>
          <c:y val="0.1809684926443034"/>
          <c:w val="0.84582769290337945"/>
          <c:h val="0.72626754131346916"/>
        </c:manualLayout>
      </c:layout>
      <c:barChart>
        <c:barDir val="bar"/>
        <c:grouping val="clustered"/>
        <c:varyColors val="0"/>
        <c:ser>
          <c:idx val="0"/>
          <c:order val="0"/>
          <c:tx>
            <c:strRef>
              <c:f>Dashboard!$B$26:$B$27</c:f>
              <c:strCache>
                <c:ptCount val="1"/>
                <c:pt idx="0">
                  <c:v>Forecast (Base)</c:v>
                </c:pt>
              </c:strCache>
            </c:strRef>
          </c:tx>
          <c:spPr>
            <a:solidFill>
              <a:srgbClr val="FF5050"/>
            </a:solidFill>
            <a:ln>
              <a:solidFill>
                <a:schemeClr val="tx1"/>
              </a:solidFill>
            </a:ln>
            <a:effectLst/>
          </c:spPr>
          <c:invertIfNegative val="0"/>
          <c:dPt>
            <c:idx val="0"/>
            <c:invertIfNegative val="0"/>
            <c:bubble3D val="0"/>
            <c:spPr>
              <a:solidFill>
                <a:srgbClr val="FF5050"/>
              </a:solidFill>
              <a:ln>
                <a:solidFill>
                  <a:schemeClr val="tx1"/>
                </a:solidFill>
              </a:ln>
              <a:effectLst/>
            </c:spPr>
            <c:extLst>
              <c:ext xmlns:c16="http://schemas.microsoft.com/office/drawing/2014/chart" uri="{C3380CC4-5D6E-409C-BE32-E72D297353CC}">
                <c16:uniqueId val="{0000000B-90BC-4228-A875-44552882F63F}"/>
              </c:ext>
            </c:extLst>
          </c:dPt>
          <c:dPt>
            <c:idx val="1"/>
            <c:invertIfNegative val="0"/>
            <c:bubble3D val="0"/>
            <c:extLst>
              <c:ext xmlns:c16="http://schemas.microsoft.com/office/drawing/2014/chart" uri="{C3380CC4-5D6E-409C-BE32-E72D297353CC}">
                <c16:uniqueId val="{0000000A-90BC-4228-A875-44552882F63F}"/>
              </c:ext>
            </c:extLst>
          </c:dPt>
          <c:dPt>
            <c:idx val="2"/>
            <c:invertIfNegative val="0"/>
            <c:bubble3D val="0"/>
            <c:extLst>
              <c:ext xmlns:c16="http://schemas.microsoft.com/office/drawing/2014/chart" uri="{C3380CC4-5D6E-409C-BE32-E72D297353CC}">
                <c16:uniqueId val="{00000009-90BC-4228-A875-44552882F63F}"/>
              </c:ext>
            </c:extLst>
          </c:dPt>
          <c:dPt>
            <c:idx val="3"/>
            <c:invertIfNegative val="0"/>
            <c:bubble3D val="0"/>
            <c:extLst>
              <c:ext xmlns:c16="http://schemas.microsoft.com/office/drawing/2014/chart" uri="{C3380CC4-5D6E-409C-BE32-E72D297353CC}">
                <c16:uniqueId val="{00000008-90BC-4228-A875-44552882F63F}"/>
              </c:ext>
            </c:extLst>
          </c:dPt>
          <c:dPt>
            <c:idx val="4"/>
            <c:invertIfNegative val="0"/>
            <c:bubble3D val="0"/>
            <c:extLst>
              <c:ext xmlns:c16="http://schemas.microsoft.com/office/drawing/2014/chart" uri="{C3380CC4-5D6E-409C-BE32-E72D297353CC}">
                <c16:uniqueId val="{00000007-90BC-4228-A875-44552882F63F}"/>
              </c:ext>
            </c:extLst>
          </c:dPt>
          <c:dLbls>
            <c:dLbl>
              <c:idx val="0"/>
              <c:layout>
                <c:manualLayout>
                  <c:x val="1.7329248906688135E-3"/>
                  <c:y val="2.445493888672260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0BC-4228-A875-44552882F63F}"/>
                </c:ext>
              </c:extLst>
            </c:dLbl>
            <c:dLbl>
              <c:idx val="1"/>
              <c:layout>
                <c:manualLayout>
                  <c:x val="0"/>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0BC-4228-A875-44552882F63F}"/>
                </c:ext>
              </c:extLst>
            </c:dLbl>
            <c:dLbl>
              <c:idx val="2"/>
              <c:layout>
                <c:manualLayout>
                  <c:x val="-1.2707969061361621E-16"/>
                  <c:y val="2.85307620345097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0BC-4228-A875-44552882F63F}"/>
                </c:ext>
              </c:extLst>
            </c:dLbl>
            <c:dLbl>
              <c:idx val="3"/>
              <c:layout>
                <c:manualLayout>
                  <c:x val="0"/>
                  <c:y val="2.8530762034509632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90BC-4228-A875-44552882F63F}"/>
                </c:ext>
              </c:extLst>
            </c:dLbl>
            <c:dLbl>
              <c:idx val="4"/>
              <c:layout>
                <c:manualLayout>
                  <c:x val="-6.3539845306808106E-17"/>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0BC-4228-A875-44552882F63F}"/>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Dashboard!$B$28:$B$33</c:f>
              <c:numCache>
                <c:formatCode>"₹"\ #,##0</c:formatCode>
                <c:ptCount val="5"/>
                <c:pt idx="0">
                  <c:v>7504000</c:v>
                </c:pt>
                <c:pt idx="1">
                  <c:v>11792000</c:v>
                </c:pt>
                <c:pt idx="2">
                  <c:v>13400000</c:v>
                </c:pt>
                <c:pt idx="3">
                  <c:v>17152000</c:v>
                </c:pt>
                <c:pt idx="4">
                  <c:v>12060000</c:v>
                </c:pt>
              </c:numCache>
            </c:numRef>
          </c:val>
          <c:extLst>
            <c:ext xmlns:c16="http://schemas.microsoft.com/office/drawing/2014/chart" uri="{C3380CC4-5D6E-409C-BE32-E72D297353CC}">
              <c16:uniqueId val="{00000000-BAEC-4C14-B2A7-8333EFE156EF}"/>
            </c:ext>
          </c:extLst>
        </c:ser>
        <c:ser>
          <c:idx val="1"/>
          <c:order val="1"/>
          <c:tx>
            <c:strRef>
              <c:f>Dashboard!$C$26:$C$27</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Dashboard!$C$28:$C$33</c:f>
              <c:numCache>
                <c:formatCode>"₹"\ #,##0</c:formatCode>
                <c:ptCount val="5"/>
                <c:pt idx="0">
                  <c:v>25473350</c:v>
                </c:pt>
                <c:pt idx="1">
                  <c:v>27432828.5</c:v>
                </c:pt>
                <c:pt idx="2">
                  <c:v>30059517.1875</c:v>
                </c:pt>
                <c:pt idx="3">
                  <c:v>32227800</c:v>
                </c:pt>
                <c:pt idx="4">
                  <c:v>26304641.024999999</c:v>
                </c:pt>
              </c:numCache>
            </c:numRef>
          </c:val>
          <c:extLst>
            <c:ext xmlns:c16="http://schemas.microsoft.com/office/drawing/2014/chart" uri="{C3380CC4-5D6E-409C-BE32-E72D297353CC}">
              <c16:uniqueId val="{00000014-DF09-4668-ACFC-2FE222E5F232}"/>
            </c:ext>
          </c:extLst>
        </c:ser>
        <c:ser>
          <c:idx val="2"/>
          <c:order val="2"/>
          <c:tx>
            <c:strRef>
              <c:f>Dashboard!$D$26:$D$27</c:f>
              <c:strCache>
                <c:ptCount val="1"/>
                <c:pt idx="0">
                  <c:v>Underperformance</c:v>
                </c:pt>
              </c:strCache>
            </c:strRef>
          </c:tx>
          <c:spPr>
            <a:solidFill>
              <a:schemeClr val="accent5">
                <a:lumMod val="60000"/>
                <a:lumOff val="40000"/>
              </a:schemeClr>
            </a:solidFill>
            <a:ln>
              <a:solidFill>
                <a:schemeClr val="tx1"/>
              </a:solidFill>
            </a:ln>
            <a:effectLst/>
          </c:spPr>
          <c:invertIfNegative val="0"/>
          <c:dPt>
            <c:idx val="0"/>
            <c:invertIfNegative val="0"/>
            <c:bubble3D val="0"/>
            <c:spPr>
              <a:solidFill>
                <a:schemeClr val="accent5">
                  <a:lumMod val="60000"/>
                  <a:lumOff val="40000"/>
                </a:schemeClr>
              </a:solidFill>
              <a:ln>
                <a:solidFill>
                  <a:schemeClr val="tx1"/>
                </a:solidFill>
              </a:ln>
              <a:effectLst/>
            </c:spPr>
            <c:extLst>
              <c:ext xmlns:c16="http://schemas.microsoft.com/office/drawing/2014/chart" uri="{C3380CC4-5D6E-409C-BE32-E72D297353CC}">
                <c16:uniqueId val="{0000000B-8350-4334-A279-C1DEFD5DBA34}"/>
              </c:ext>
            </c:extLst>
          </c:dPt>
          <c:dPt>
            <c:idx val="1"/>
            <c:invertIfNegative val="0"/>
            <c:bubble3D val="0"/>
            <c:extLst>
              <c:ext xmlns:c16="http://schemas.microsoft.com/office/drawing/2014/chart" uri="{C3380CC4-5D6E-409C-BE32-E72D297353CC}">
                <c16:uniqueId val="{0000000D-8350-4334-A279-C1DEFD5DBA34}"/>
              </c:ext>
            </c:extLst>
          </c:dPt>
          <c:dPt>
            <c:idx val="2"/>
            <c:invertIfNegative val="0"/>
            <c:bubble3D val="0"/>
            <c:extLst>
              <c:ext xmlns:c16="http://schemas.microsoft.com/office/drawing/2014/chart" uri="{C3380CC4-5D6E-409C-BE32-E72D297353CC}">
                <c16:uniqueId val="{0000000F-8350-4334-A279-C1DEFD5DBA34}"/>
              </c:ext>
            </c:extLst>
          </c:dPt>
          <c:dPt>
            <c:idx val="3"/>
            <c:invertIfNegative val="0"/>
            <c:bubble3D val="0"/>
            <c:extLst>
              <c:ext xmlns:c16="http://schemas.microsoft.com/office/drawing/2014/chart" uri="{C3380CC4-5D6E-409C-BE32-E72D297353CC}">
                <c16:uniqueId val="{00000011-8350-4334-A279-C1DEFD5DBA34}"/>
              </c:ext>
            </c:extLst>
          </c:dPt>
          <c:dLbls>
            <c:dLbl>
              <c:idx val="0"/>
              <c:layout>
                <c:manualLayout>
                  <c:x val="3.465849781337643E-3"/>
                  <c:y val="-5.2985700921232309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8350-4334-A279-C1DEFD5DBA34}"/>
                </c:ext>
              </c:extLst>
            </c:dLbl>
            <c:dLbl>
              <c:idx val="1"/>
              <c:layout>
                <c:manualLayout>
                  <c:x val="-6.3539845306808106E-17"/>
                  <c:y val="-1.630329259114847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8350-4334-A279-C1DEFD5DBA34}"/>
                </c:ext>
              </c:extLst>
            </c:dLbl>
            <c:dLbl>
              <c:idx val="2"/>
              <c:layout>
                <c:manualLayout>
                  <c:x val="0"/>
                  <c:y val="-1.630329259114840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350-4334-A279-C1DEFD5DBA34}"/>
                </c:ext>
              </c:extLst>
            </c:dLbl>
            <c:dLbl>
              <c:idx val="3"/>
              <c:layout>
                <c:manualLayout>
                  <c:x val="0"/>
                  <c:y val="-4.0758231477871013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350-4334-A279-C1DEFD5DBA3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Dashboard!$D$28:$D$33</c:f>
              <c:numCache>
                <c:formatCode>"₹"\ #,##0</c:formatCode>
                <c:ptCount val="5"/>
                <c:pt idx="0">
                  <c:v>-190928</c:v>
                </c:pt>
                <c:pt idx="1">
                  <c:v>1691469.0000000005</c:v>
                </c:pt>
                <c:pt idx="2">
                  <c:v>3278374.5</c:v>
                </c:pt>
                <c:pt idx="3">
                  <c:v>6940538.4000000004</c:v>
                </c:pt>
                <c:pt idx="4">
                  <c:v>2981744</c:v>
                </c:pt>
              </c:numCache>
            </c:numRef>
          </c:val>
          <c:extLst>
            <c:ext xmlns:c16="http://schemas.microsoft.com/office/drawing/2014/chart" uri="{C3380CC4-5D6E-409C-BE32-E72D297353CC}">
              <c16:uniqueId val="{00000015-DF09-4668-ACFC-2FE222E5F232}"/>
            </c:ext>
          </c:extLst>
        </c:ser>
        <c:dLbls>
          <c:dLblPos val="outEnd"/>
          <c:showLegendKey val="0"/>
          <c:showVal val="1"/>
          <c:showCatName val="0"/>
          <c:showSerName val="0"/>
          <c:showPercent val="0"/>
          <c:showBubbleSize val="0"/>
        </c:dLbls>
        <c:gapWidth val="182"/>
        <c:axId val="2033203167"/>
        <c:axId val="2033201919"/>
      </c:barChart>
      <c:catAx>
        <c:axId val="203320316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3201919"/>
        <c:crosses val="autoZero"/>
        <c:auto val="1"/>
        <c:lblAlgn val="ctr"/>
        <c:lblOffset val="100"/>
        <c:noMultiLvlLbl val="0"/>
      </c:catAx>
      <c:valAx>
        <c:axId val="2033201919"/>
        <c:scaling>
          <c:orientation val="minMax"/>
        </c:scaling>
        <c:delete val="1"/>
        <c:axPos val="b"/>
        <c:numFmt formatCode="&quot;₹&quot;\ #,##0" sourceLinked="1"/>
        <c:majorTickMark val="none"/>
        <c:minorTickMark val="none"/>
        <c:tickLblPos val="nextTo"/>
        <c:crossAx val="20332031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by Product</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Margin % by Product (Averages)</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pPr>
            <a:solidFill>
              <a:srgbClr val="002060"/>
            </a:solidFill>
            <a:ln w="9525">
              <a:solidFill>
                <a:schemeClr val="tx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Dashboard!$B$36</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Dashboard!$A$37:$A$42</c:f>
              <c:strCache>
                <c:ptCount val="5"/>
                <c:pt idx="0">
                  <c:v>Casual Footwear</c:v>
                </c:pt>
                <c:pt idx="1">
                  <c:v>Formals &amp; Boots</c:v>
                </c:pt>
                <c:pt idx="2">
                  <c:v>Ladies Footwear</c:v>
                </c:pt>
                <c:pt idx="3">
                  <c:v>Sneakers</c:v>
                </c:pt>
                <c:pt idx="4">
                  <c:v>Sports Shoes</c:v>
                </c:pt>
              </c:strCache>
            </c:strRef>
          </c:cat>
          <c:val>
            <c:numRef>
              <c:f>Dashboard!$B$37:$B$42</c:f>
              <c:numCache>
                <c:formatCode>0.00%</c:formatCode>
                <c:ptCount val="5"/>
                <c:pt idx="0">
                  <c:v>0.34656510374176247</c:v>
                </c:pt>
                <c:pt idx="1">
                  <c:v>0.27361690414743489</c:v>
                </c:pt>
                <c:pt idx="2">
                  <c:v>0.38366730959957174</c:v>
                </c:pt>
                <c:pt idx="3">
                  <c:v>0.3092096640128954</c:v>
                </c:pt>
                <c:pt idx="4">
                  <c:v>0.23797730290643371</c:v>
                </c:pt>
              </c:numCache>
            </c:numRef>
          </c:val>
          <c:smooth val="0"/>
          <c:extLst>
            <c:ext xmlns:c16="http://schemas.microsoft.com/office/drawing/2014/chart" uri="{C3380CC4-5D6E-409C-BE32-E72D297353CC}">
              <c16:uniqueId val="{00000000-A55F-47CF-8200-8B5039E0A019}"/>
            </c:ext>
          </c:extLst>
        </c:ser>
        <c:dLbls>
          <c:dLblPos val="b"/>
          <c:showLegendKey val="0"/>
          <c:showVal val="1"/>
          <c:showCatName val="0"/>
          <c:showSerName val="0"/>
          <c:showPercent val="0"/>
          <c:showBubbleSize val="0"/>
        </c:dLbls>
        <c:marker val="1"/>
        <c:smooth val="0"/>
        <c:axId val="1407484576"/>
        <c:axId val="1407490816"/>
      </c:lineChart>
      <c:catAx>
        <c:axId val="14074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crossAx val="1407490816"/>
        <c:crosses val="autoZero"/>
        <c:auto val="1"/>
        <c:lblAlgn val="ctr"/>
        <c:lblOffset val="100"/>
        <c:noMultiLvlLbl val="0"/>
      </c:catAx>
      <c:valAx>
        <c:axId val="140749081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484576"/>
        <c:crosses val="autoZero"/>
        <c:crossBetween val="between"/>
      </c:valAx>
      <c:spPr>
        <a:noFill/>
        <a:ln w="25400">
          <a:noFill/>
        </a:ln>
        <a:effectLst/>
      </c:spPr>
    </c:plotArea>
    <c:plotVisOnly val="1"/>
    <c:dispBlanksAs val="gap"/>
    <c:showDLblsOverMax val="0"/>
  </c:chart>
  <c:spPr>
    <a:solidFill>
      <a:schemeClr val="accent4">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Variance by Scenario</c:name>
    <c:fmtId val="7"/>
  </c:pivotSource>
  <c:chart>
    <c:title>
      <c:tx>
        <c:rich>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r>
              <a:rPr lang="en-IN" sz="1600" b="1" i="0" u="none" strike="noStrike" cap="none" normalizeH="0" baseline="0">
                <a:solidFill>
                  <a:schemeClr val="tx1"/>
                </a:solidFill>
                <a:effectLst/>
                <a:latin typeface="Adobe Fan Heiti Std B" panose="020B0700000000000000" pitchFamily="34" charset="-128"/>
                <a:ea typeface="Adobe Fan Heiti Std B" panose="020B0700000000000000" pitchFamily="34" charset="-128"/>
              </a:rPr>
              <a:t>Revenue Variance By Scenario (Monthly)</a:t>
            </a:r>
            <a:r>
              <a:rPr lang="en-IN" sz="1600" b="1" i="0" u="none" strike="noStrike" cap="none" normalizeH="0"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6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endParaRPr lang="en-US"/>
        </a:p>
      </c:txPr>
    </c:title>
    <c:autoTitleDeleted val="0"/>
    <c:pivotFmts>
      <c:pivotFmt>
        <c:idx val="0"/>
      </c:pivotFmt>
      <c:pivotFmt>
        <c:idx val="1"/>
      </c:pivotFmt>
      <c:pivotFmt>
        <c:idx val="2"/>
        <c:spPr>
          <a:solidFill>
            <a:schemeClr val="accent6">
              <a:lumMod val="60000"/>
              <a:lumOff val="40000"/>
            </a:schemeClr>
          </a:solidFill>
          <a:ln>
            <a:solidFill>
              <a:schemeClr val="tx1"/>
            </a:solidFill>
          </a:ln>
          <a:effectLst/>
        </c:spPr>
        <c:marker>
          <c:symbol val="none"/>
        </c:marker>
      </c:pivotFmt>
      <c:pivotFmt>
        <c:idx val="3"/>
        <c:spPr>
          <a:solidFill>
            <a:srgbClr val="FF5050">
              <a:alpha val="70000"/>
            </a:srgbClr>
          </a:solidFill>
          <a:ln>
            <a:solidFill>
              <a:schemeClr val="tx1"/>
            </a:solidFill>
          </a:ln>
          <a:effectLst/>
        </c:spPr>
        <c:marker>
          <c:symbol val="none"/>
        </c:marker>
      </c:pivotFmt>
      <c:pivotFmt>
        <c:idx val="4"/>
        <c:spPr>
          <a:solidFill>
            <a:schemeClr val="accent6">
              <a:lumMod val="60000"/>
              <a:lumOff val="40000"/>
            </a:schemeClr>
          </a:solidFill>
          <a:ln>
            <a:solidFill>
              <a:schemeClr val="tx1"/>
            </a:solidFill>
          </a:ln>
          <a:effectLst/>
        </c:spPr>
        <c:marker>
          <c:symbol val="none"/>
        </c:marker>
      </c:pivotFmt>
      <c:pivotFmt>
        <c:idx val="5"/>
        <c:spPr>
          <a:solidFill>
            <a:srgbClr val="FF5050">
              <a:alpha val="70000"/>
            </a:srgbClr>
          </a:solidFill>
          <a:ln>
            <a:solidFill>
              <a:schemeClr val="tx1"/>
            </a:solidFill>
          </a:ln>
          <a:effectLst/>
        </c:spPr>
        <c:marker>
          <c:symbol val="none"/>
        </c:marker>
      </c:pivotFmt>
      <c:pivotFmt>
        <c:idx val="6"/>
        <c:spPr>
          <a:solidFill>
            <a:schemeClr val="accent6">
              <a:lumMod val="60000"/>
              <a:lumOff val="40000"/>
            </a:schemeClr>
          </a:solidFill>
          <a:ln>
            <a:solidFill>
              <a:schemeClr val="tx1"/>
            </a:solidFill>
          </a:ln>
          <a:effectLst/>
        </c:spPr>
        <c:marker>
          <c:symbol val="none"/>
        </c:marker>
      </c:pivotFmt>
      <c:pivotFmt>
        <c:idx val="7"/>
        <c:spPr>
          <a:solidFill>
            <a:srgbClr val="FF5050">
              <a:alpha val="70000"/>
            </a:srgbClr>
          </a:solidFill>
          <a:ln>
            <a:solidFill>
              <a:schemeClr val="tx1"/>
            </a:solid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pivotFmt>
      <c:pivotFmt>
        <c:idx val="13"/>
        <c:spPr>
          <a:solidFill>
            <a:schemeClr val="accent1">
              <a:alpha val="70000"/>
            </a:schemeClr>
          </a:solidFill>
          <a:ln>
            <a:noFill/>
          </a:ln>
          <a:effectLst/>
        </c:spPr>
        <c:marker>
          <c:symbol val="none"/>
        </c:marker>
      </c:pivotFmt>
      <c:pivotFmt>
        <c:idx val="14"/>
        <c:spPr>
          <a:solidFill>
            <a:schemeClr val="accent1">
              <a:alpha val="70000"/>
            </a:schemeClr>
          </a:solidFill>
          <a:ln>
            <a:noFill/>
          </a:ln>
          <a:effectLst/>
        </c:spPr>
        <c:marker>
          <c:symbol val="none"/>
        </c:marker>
      </c:pivotFmt>
      <c:pivotFmt>
        <c:idx val="15"/>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Dashboard!$B$46:$B$47</c:f>
              <c:strCache>
                <c:ptCount val="1"/>
                <c:pt idx="0">
                  <c:v>Forecast (Base)</c:v>
                </c:pt>
              </c:strCache>
            </c:strRef>
          </c:tx>
          <c:spPr>
            <a:solidFill>
              <a:schemeClr val="accent1">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Dashboard!$B$48:$B$60</c:f>
              <c:numCache>
                <c:formatCode>"₹"\ #,##0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A87F-4256-A058-1D5376AB11F2}"/>
            </c:ext>
          </c:extLst>
        </c:ser>
        <c:ser>
          <c:idx val="1"/>
          <c:order val="1"/>
          <c:tx>
            <c:strRef>
              <c:f>Dashboard!$C$46:$C$47</c:f>
              <c:strCache>
                <c:ptCount val="1"/>
                <c:pt idx="0">
                  <c:v>Overperformance</c:v>
                </c:pt>
              </c:strCache>
            </c:strRef>
          </c:tx>
          <c:spPr>
            <a:solidFill>
              <a:schemeClr val="accent2">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Dashboard!$C$48:$C$60</c:f>
              <c:numCache>
                <c:formatCode>"₹"\ #,##0</c:formatCode>
                <c:ptCount val="12"/>
                <c:pt idx="0">
                  <c:v>8000254</c:v>
                </c:pt>
                <c:pt idx="1">
                  <c:v>7662564.0000000009</c:v>
                </c:pt>
                <c:pt idx="2">
                  <c:v>9147925.5000000019</c:v>
                </c:pt>
                <c:pt idx="3">
                  <c:v>9905764.0000000019</c:v>
                </c:pt>
                <c:pt idx="4">
                  <c:v>10244664</c:v>
                </c:pt>
                <c:pt idx="5">
                  <c:v>8662382.5</c:v>
                </c:pt>
                <c:pt idx="6">
                  <c:v>8716984.5</c:v>
                </c:pt>
                <c:pt idx="7">
                  <c:v>9981380.2000000011</c:v>
                </c:pt>
                <c:pt idx="8">
                  <c:v>9362334</c:v>
                </c:pt>
                <c:pt idx="9">
                  <c:v>13217542</c:v>
                </c:pt>
                <c:pt idx="10">
                  <c:v>11998887.500000004</c:v>
                </c:pt>
                <c:pt idx="11">
                  <c:v>10380511.200000003</c:v>
                </c:pt>
              </c:numCache>
            </c:numRef>
          </c:val>
          <c:extLst>
            <c:ext xmlns:c16="http://schemas.microsoft.com/office/drawing/2014/chart" uri="{C3380CC4-5D6E-409C-BE32-E72D297353CC}">
              <c16:uniqueId val="{00000002-D811-40B9-A83F-722098853342}"/>
            </c:ext>
          </c:extLst>
        </c:ser>
        <c:ser>
          <c:idx val="2"/>
          <c:order val="2"/>
          <c:tx>
            <c:strRef>
              <c:f>Dashboard!$D$46:$D$47</c:f>
              <c:strCache>
                <c:ptCount val="1"/>
                <c:pt idx="0">
                  <c:v>Underperformance</c:v>
                </c:pt>
              </c:strCache>
            </c:strRef>
          </c:tx>
          <c:spPr>
            <a:solidFill>
              <a:schemeClr val="accent3">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Dashboard!$D$48:$D$60</c:f>
              <c:numCache>
                <c:formatCode>"₹"\ #,##0</c:formatCode>
                <c:ptCount val="12"/>
                <c:pt idx="0">
                  <c:v>-5457636</c:v>
                </c:pt>
                <c:pt idx="1">
                  <c:v>-5431118.4000000004</c:v>
                </c:pt>
                <c:pt idx="2">
                  <c:v>-5840018.0999999996</c:v>
                </c:pt>
                <c:pt idx="3">
                  <c:v>-5752474.2000000002</c:v>
                </c:pt>
                <c:pt idx="4">
                  <c:v>-6553519.2000000002</c:v>
                </c:pt>
                <c:pt idx="5">
                  <c:v>-6402806.6999999993</c:v>
                </c:pt>
                <c:pt idx="6">
                  <c:v>-5567089.5</c:v>
                </c:pt>
                <c:pt idx="7">
                  <c:v>-5592347.2000000002</c:v>
                </c:pt>
                <c:pt idx="8">
                  <c:v>-5792797.25</c:v>
                </c:pt>
                <c:pt idx="9">
                  <c:v>-7281742</c:v>
                </c:pt>
                <c:pt idx="10">
                  <c:v>-6459832.5</c:v>
                </c:pt>
                <c:pt idx="11">
                  <c:v>-6989743.1999999993</c:v>
                </c:pt>
              </c:numCache>
            </c:numRef>
          </c:val>
          <c:extLst>
            <c:ext xmlns:c16="http://schemas.microsoft.com/office/drawing/2014/chart" uri="{C3380CC4-5D6E-409C-BE32-E72D297353CC}">
              <c16:uniqueId val="{00000000-1688-4670-9C69-161FD54747D4}"/>
            </c:ext>
          </c:extLst>
        </c:ser>
        <c:dLbls>
          <c:showLegendKey val="0"/>
          <c:showVal val="0"/>
          <c:showCatName val="0"/>
          <c:showSerName val="0"/>
          <c:showPercent val="0"/>
          <c:showBubbleSize val="0"/>
        </c:dLbls>
        <c:gapWidth val="80"/>
        <c:overlap val="25"/>
        <c:axId val="1336618672"/>
        <c:axId val="1336624080"/>
      </c:barChart>
      <c:catAx>
        <c:axId val="1336618672"/>
        <c:scaling>
          <c:orientation val="minMax"/>
        </c:scaling>
        <c:delete val="0"/>
        <c:axPos val="b"/>
        <c:numFmt formatCode="General" sourceLinked="1"/>
        <c:majorTickMark val="none"/>
        <c:minorTickMark val="none"/>
        <c:tickLblPos val="high"/>
        <c:spPr>
          <a:noFill/>
          <a:ln w="15875" cap="flat" cmpd="sng" algn="ctr">
            <a:solidFill>
              <a:schemeClr val="tx1"/>
            </a:solidFill>
            <a:round/>
          </a:ln>
          <a:effectLst/>
        </c:spPr>
        <c:txPr>
          <a:bodyPr rot="-5400000" spcFirstLastPara="1" vertOverflow="ellipsis" wrap="square" anchor="ctr" anchorCtr="1"/>
          <a:lstStyle/>
          <a:p>
            <a:pPr>
              <a:defRPr sz="900" b="1" i="0" u="none" strike="noStrike" kern="1200" cap="none" spc="20" normalizeH="0" baseline="0">
                <a:solidFill>
                  <a:schemeClr val="tx1"/>
                </a:solidFill>
                <a:latin typeface="+mn-lt"/>
                <a:ea typeface="+mn-ea"/>
                <a:cs typeface="+mn-cs"/>
              </a:defRPr>
            </a:pPr>
            <a:endParaRPr lang="en-US"/>
          </a:p>
        </c:txPr>
        <c:crossAx val="1336624080"/>
        <c:crosses val="autoZero"/>
        <c:auto val="1"/>
        <c:lblAlgn val="ctr"/>
        <c:lblOffset val="100"/>
        <c:noMultiLvlLbl val="0"/>
      </c:catAx>
      <c:valAx>
        <c:axId val="1336624080"/>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tx1"/>
                </a:solidFill>
                <a:latin typeface="+mn-lt"/>
                <a:ea typeface="+mn-ea"/>
                <a:cs typeface="+mn-cs"/>
              </a:defRPr>
            </a:pPr>
            <a:endParaRPr lang="en-US"/>
          </a:p>
        </c:txPr>
        <c:crossAx val="1336618672"/>
        <c:crosses val="autoZero"/>
        <c:crossBetween val="between"/>
      </c:valAx>
      <c:spPr>
        <a:noFill/>
        <a:ln>
          <a:noFill/>
        </a:ln>
        <a:effectLst/>
      </c:spPr>
    </c:plotArea>
    <c:plotVisOnly val="1"/>
    <c:dispBlanksAs val="gap"/>
    <c:showDLblsOverMax val="0"/>
  </c:chart>
  <c:spPr>
    <a:solidFill>
      <a:schemeClr val="accent1">
        <a:lumMod val="20000"/>
        <a:lumOff val="80000"/>
      </a:schemeClr>
    </a:solidFill>
    <a:ln w="9525" cap="flat" cmpd="sng" algn="ctr">
      <a:solidFill>
        <a:schemeClr val="tx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Variance by Scenario</c:name>
    <c:fmtId val="3"/>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Gross Profit Variance By Scenario (Monthly)</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overlay val="0"/>
      <c:spPr>
        <a:solidFill>
          <a:schemeClr val="accent6">
            <a:lumMod val="20000"/>
            <a:lumOff val="8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pivotFmt>
    </c:pivotFmts>
    <c:plotArea>
      <c:layout/>
      <c:barChart>
        <c:barDir val="bar"/>
        <c:grouping val="clustered"/>
        <c:varyColors val="0"/>
        <c:ser>
          <c:idx val="0"/>
          <c:order val="0"/>
          <c:tx>
            <c:strRef>
              <c:f>Dashboard!$B$63:$B$64</c:f>
              <c:strCache>
                <c:ptCount val="1"/>
                <c:pt idx="0">
                  <c:v>Forecast (Base)</c:v>
                </c:pt>
              </c:strCache>
            </c:strRef>
          </c:tx>
          <c:spPr>
            <a:solidFill>
              <a:schemeClr val="accent1"/>
            </a:solidFill>
            <a:ln>
              <a:noFill/>
            </a:ln>
            <a:effectLst/>
          </c:spPr>
          <c:invertIfNegative val="0"/>
          <c:dLbls>
            <c:delete val="1"/>
          </c:dLbls>
          <c:cat>
            <c:strRef>
              <c:f>Dashboard!$A$65:$A$70</c:f>
              <c:strCache>
                <c:ptCount val="5"/>
                <c:pt idx="0">
                  <c:v>Casual Footwear</c:v>
                </c:pt>
                <c:pt idx="1">
                  <c:v>Formals &amp; Boots</c:v>
                </c:pt>
                <c:pt idx="2">
                  <c:v>Ladies Footwear</c:v>
                </c:pt>
                <c:pt idx="3">
                  <c:v>Sneakers</c:v>
                </c:pt>
                <c:pt idx="4">
                  <c:v>Sports Shoes</c:v>
                </c:pt>
              </c:strCache>
            </c:strRef>
          </c:cat>
          <c:val>
            <c:numRef>
              <c:f>Dashboard!$B$65:$B$70</c:f>
              <c:numCache>
                <c:formatCode>"₹"\ #,##0</c:formatCode>
                <c:ptCount val="5"/>
                <c:pt idx="0">
                  <c:v>0</c:v>
                </c:pt>
                <c:pt idx="1">
                  <c:v>0</c:v>
                </c:pt>
                <c:pt idx="2">
                  <c:v>0</c:v>
                </c:pt>
                <c:pt idx="3">
                  <c:v>0</c:v>
                </c:pt>
                <c:pt idx="4">
                  <c:v>0</c:v>
                </c:pt>
              </c:numCache>
            </c:numRef>
          </c:val>
          <c:extLst>
            <c:ext xmlns:c16="http://schemas.microsoft.com/office/drawing/2014/chart" uri="{C3380CC4-5D6E-409C-BE32-E72D297353CC}">
              <c16:uniqueId val="{00000000-4616-4612-B430-139F68CC425E}"/>
            </c:ext>
          </c:extLst>
        </c:ser>
        <c:ser>
          <c:idx val="1"/>
          <c:order val="1"/>
          <c:tx>
            <c:strRef>
              <c:f>Dashboard!$C$63:$C$64</c:f>
              <c:strCache>
                <c:ptCount val="1"/>
                <c:pt idx="0">
                  <c:v>Overperformance</c:v>
                </c:pt>
              </c:strCache>
            </c:strRef>
          </c:tx>
          <c:spPr>
            <a:solidFill>
              <a:schemeClr val="accent6">
                <a:lumMod val="60000"/>
                <a:lumOff val="40000"/>
              </a:schemeClr>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Dashboard!$C$65:$C$70</c:f>
              <c:numCache>
                <c:formatCode>"₹"\ #,##0</c:formatCode>
                <c:ptCount val="5"/>
                <c:pt idx="0">
                  <c:v>17969350</c:v>
                </c:pt>
                <c:pt idx="1">
                  <c:v>15640828.5</c:v>
                </c:pt>
                <c:pt idx="2">
                  <c:v>16659517.1875</c:v>
                </c:pt>
                <c:pt idx="3">
                  <c:v>15075800</c:v>
                </c:pt>
                <c:pt idx="4">
                  <c:v>14244641.025000002</c:v>
                </c:pt>
              </c:numCache>
            </c:numRef>
          </c:val>
          <c:extLst>
            <c:ext xmlns:c16="http://schemas.microsoft.com/office/drawing/2014/chart" uri="{C3380CC4-5D6E-409C-BE32-E72D297353CC}">
              <c16:uniqueId val="{00000001-4616-4612-B430-139F68CC425E}"/>
            </c:ext>
          </c:extLst>
        </c:ser>
        <c:ser>
          <c:idx val="2"/>
          <c:order val="2"/>
          <c:tx>
            <c:strRef>
              <c:f>Dashboard!$D$63:$D$64</c:f>
              <c:strCache>
                <c:ptCount val="1"/>
                <c:pt idx="0">
                  <c:v>Underperformance</c:v>
                </c:pt>
              </c:strCache>
            </c:strRef>
          </c:tx>
          <c:spPr>
            <a:solidFill>
              <a:srgbClr val="FF5050"/>
            </a:solidFill>
            <a:ln>
              <a:solidFill>
                <a:schemeClr val="tx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Dashboard!$D$65:$D$70</c:f>
              <c:numCache>
                <c:formatCode>"₹"\ #,##0</c:formatCode>
                <c:ptCount val="5"/>
                <c:pt idx="0">
                  <c:v>-7694928</c:v>
                </c:pt>
                <c:pt idx="1">
                  <c:v>-10100531</c:v>
                </c:pt>
                <c:pt idx="2">
                  <c:v>-10121625.5</c:v>
                </c:pt>
                <c:pt idx="3">
                  <c:v>-10211461.600000001</c:v>
                </c:pt>
                <c:pt idx="4">
                  <c:v>-9078256</c:v>
                </c:pt>
              </c:numCache>
            </c:numRef>
          </c:val>
          <c:extLst>
            <c:ext xmlns:c16="http://schemas.microsoft.com/office/drawing/2014/chart" uri="{C3380CC4-5D6E-409C-BE32-E72D297353CC}">
              <c16:uniqueId val="{00000000-FBDE-4D20-8B10-784D057FDAED}"/>
            </c:ext>
          </c:extLst>
        </c:ser>
        <c:dLbls>
          <c:dLblPos val="ctr"/>
          <c:showLegendKey val="0"/>
          <c:showVal val="1"/>
          <c:showCatName val="0"/>
          <c:showSerName val="0"/>
          <c:showPercent val="0"/>
          <c:showBubbleSize val="0"/>
        </c:dLbls>
        <c:gapWidth val="182"/>
        <c:axId val="1421129872"/>
        <c:axId val="1421123216"/>
      </c:barChart>
      <c:catAx>
        <c:axId val="1421129872"/>
        <c:scaling>
          <c:orientation val="minMax"/>
        </c:scaling>
        <c:delete val="0"/>
        <c:axPos val="l"/>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23216"/>
        <c:crosses val="autoZero"/>
        <c:auto val="1"/>
        <c:lblAlgn val="ctr"/>
        <c:lblOffset val="100"/>
        <c:noMultiLvlLbl val="0"/>
      </c:catAx>
      <c:valAx>
        <c:axId val="1421123216"/>
        <c:scaling>
          <c:orientation val="minMax"/>
        </c:scaling>
        <c:delete val="0"/>
        <c:axPos val="b"/>
        <c:numFmt formatCode="&quot;₹&quot;\ #,##0" sourceLinked="1"/>
        <c:majorTickMark val="out"/>
        <c:minorTickMark val="none"/>
        <c:tickLblPos val="low"/>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mn-lt"/>
                <a:ea typeface="+mn-ea"/>
                <a:cs typeface="+mn-cs"/>
              </a:defRPr>
            </a:pPr>
            <a:endParaRPr lang="en-US"/>
          </a:p>
        </c:txPr>
        <c:crossAx val="1421129872"/>
        <c:crosses val="autoZero"/>
        <c:crossBetween val="between"/>
      </c:valAx>
      <c:spPr>
        <a:noFill/>
        <a:ln>
          <a:noFill/>
        </a:ln>
        <a:effectLst/>
      </c:spPr>
    </c:plotArea>
    <c:plotVisOnly val="1"/>
    <c:dispBlanksAs val="gap"/>
    <c:showDLblsOverMax val="0"/>
  </c:chart>
  <c:spPr>
    <a:solidFill>
      <a:schemeClr val="accent6">
        <a:lumMod val="20000"/>
        <a:lumOff val="80000"/>
      </a:schemeClr>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 Variance by Scenario</c:name>
    <c:fmtId val="0"/>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0"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Margin % Variance by Scenario</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b="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pPr>
            <a:solidFill>
              <a:schemeClr val="accent6">
                <a:lumMod val="75000"/>
              </a:schemeClr>
            </a:solidFill>
            <a:ln w="9525">
              <a:solidFill>
                <a:schemeClr val="tx1"/>
              </a:solidFill>
            </a:ln>
            <a:effectLst/>
          </c:spPr>
        </c:marker>
      </c:pivotFmt>
      <c:pivotFmt>
        <c:idx val="1"/>
        <c:spPr>
          <a:solidFill>
            <a:schemeClr val="accent1"/>
          </a:solidFill>
          <a:ln w="28575" cap="rnd">
            <a:solidFill>
              <a:srgbClr val="FF5050"/>
            </a:solidFill>
            <a:round/>
          </a:ln>
          <a:effectLst/>
        </c:spPr>
        <c:marker>
          <c:spPr>
            <a:solidFill>
              <a:srgbClr val="FF0000"/>
            </a:solidFill>
            <a:ln w="9525">
              <a:solidFill>
                <a:schemeClr val="tx1"/>
              </a:solidFill>
            </a:ln>
            <a:effectLst/>
          </c:spPr>
        </c:marker>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Dashboard!$B$73:$B$74</c:f>
              <c:strCache>
                <c:ptCount val="1"/>
                <c:pt idx="0">
                  <c:v>Forecast (Base)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Dashboard!$A$75:$A$80</c:f>
              <c:strCache>
                <c:ptCount val="5"/>
                <c:pt idx="0">
                  <c:v>Casual Footwear</c:v>
                </c:pt>
                <c:pt idx="1">
                  <c:v>Formals &amp; Boots</c:v>
                </c:pt>
                <c:pt idx="2">
                  <c:v>Ladies Footwear</c:v>
                </c:pt>
                <c:pt idx="3">
                  <c:v>Sneakers</c:v>
                </c:pt>
                <c:pt idx="4">
                  <c:v>Sports Shoes</c:v>
                </c:pt>
              </c:strCache>
            </c:strRef>
          </c:cat>
          <c:val>
            <c:numRef>
              <c:f>Dashboard!$B$75:$B$80</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69AB-4AF8-A084-4AFAF8748948}"/>
            </c:ext>
          </c:extLst>
        </c:ser>
        <c:ser>
          <c:idx val="1"/>
          <c:order val="1"/>
          <c:tx>
            <c:strRef>
              <c:f>Dashboard!$C$73:$C$74</c:f>
              <c:strCache>
                <c:ptCount val="1"/>
                <c:pt idx="0">
                  <c:v>Overperformance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Dashboard!$C$75:$C$80</c:f>
              <c:numCache>
                <c:formatCode>0.00%</c:formatCode>
                <c:ptCount val="5"/>
                <c:pt idx="0">
                  <c:v>0.25996604578173593</c:v>
                </c:pt>
                <c:pt idx="1">
                  <c:v>0.13864982652111366</c:v>
                </c:pt>
                <c:pt idx="2">
                  <c:v>0.13660627154591526</c:v>
                </c:pt>
                <c:pt idx="3">
                  <c:v>8.3466694708686562E-2</c:v>
                </c:pt>
                <c:pt idx="4">
                  <c:v>0.1013727134281469</c:v>
                </c:pt>
              </c:numCache>
            </c:numRef>
          </c:val>
          <c:smooth val="0"/>
          <c:extLst>
            <c:ext xmlns:c16="http://schemas.microsoft.com/office/drawing/2014/chart" uri="{C3380CC4-5D6E-409C-BE32-E72D297353CC}">
              <c16:uniqueId val="{00000001-69AB-4AF8-A084-4AFAF8748948}"/>
            </c:ext>
          </c:extLst>
        </c:ser>
        <c:ser>
          <c:idx val="2"/>
          <c:order val="2"/>
          <c:tx>
            <c:strRef>
              <c:f>Dashboard!$D$73:$D$74</c:f>
              <c:strCache>
                <c:ptCount val="1"/>
                <c:pt idx="0">
                  <c:v>Underperformance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Dashboard!$D$75:$D$80</c:f>
              <c:numCache>
                <c:formatCode>0.00%</c:formatCode>
                <c:ptCount val="5"/>
                <c:pt idx="0">
                  <c:v>-0.42027073455644887</c:v>
                </c:pt>
                <c:pt idx="1">
                  <c:v>-0.24087603715573233</c:v>
                </c:pt>
                <c:pt idx="2">
                  <c:v>-0.23560434274719991</c:v>
                </c:pt>
                <c:pt idx="3">
                  <c:v>-0.11583770267000083</c:v>
                </c:pt>
                <c:pt idx="4">
                  <c:v>-0.15886937613741736</c:v>
                </c:pt>
              </c:numCache>
            </c:numRef>
          </c:val>
          <c:smooth val="0"/>
          <c:extLst>
            <c:ext xmlns:c16="http://schemas.microsoft.com/office/drawing/2014/chart" uri="{C3380CC4-5D6E-409C-BE32-E72D297353CC}">
              <c16:uniqueId val="{00000000-FC8F-418F-97F3-C579330FA2A0}"/>
            </c:ext>
          </c:extLst>
        </c:ser>
        <c:dLbls>
          <c:dLblPos val="b"/>
          <c:showLegendKey val="0"/>
          <c:showVal val="1"/>
          <c:showCatName val="0"/>
          <c:showSerName val="0"/>
          <c:showPercent val="0"/>
          <c:showBubbleSize val="0"/>
        </c:dLbls>
        <c:marker val="1"/>
        <c:smooth val="0"/>
        <c:axId val="1421130704"/>
        <c:axId val="1421135280"/>
      </c:lineChart>
      <c:catAx>
        <c:axId val="14211307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5280"/>
        <c:crosses val="autoZero"/>
        <c:auto val="1"/>
        <c:lblAlgn val="ctr"/>
        <c:lblOffset val="100"/>
        <c:noMultiLvlLbl val="0"/>
      </c:catAx>
      <c:valAx>
        <c:axId val="14211352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07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by Scenario</c:name>
    <c:fmtId val="2"/>
  </c:pivotSource>
  <c:chart>
    <c:title>
      <c:tx>
        <c:rich>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r>
              <a:rPr lang="en-IN" sz="1200">
                <a:solidFill>
                  <a:schemeClr val="tx1"/>
                </a:solidFill>
                <a:latin typeface="Adobe Fan Heiti Std B" panose="020B0700000000000000" pitchFamily="34" charset="-128"/>
                <a:ea typeface="Adobe Fan Heiti Std B" panose="020B0700000000000000" pitchFamily="34" charset="-128"/>
              </a:rPr>
              <a:t>Revenue By Scenario (Monthly)</a:t>
            </a:r>
          </a:p>
        </c:rich>
      </c:tx>
      <c:layout>
        <c:manualLayout>
          <c:xMode val="edge"/>
          <c:yMode val="edge"/>
          <c:x val="0.31541839944505884"/>
          <c:y val="2.6906120243669236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lumMod val="60000"/>
              <a:lumOff val="40000"/>
            </a:schemeClr>
          </a:solidFill>
          <a:ln>
            <a:solidFill>
              <a:schemeClr val="tx1"/>
            </a:solidFill>
          </a:ln>
          <a:effectLst/>
        </c:spPr>
        <c:marker>
          <c:symbol val="none"/>
        </c:marker>
      </c:pivotFmt>
      <c:pivotFmt>
        <c:idx val="4"/>
        <c:spPr>
          <a:solidFill>
            <a:schemeClr val="accent6">
              <a:lumMod val="40000"/>
              <a:lumOff val="60000"/>
            </a:schemeClr>
          </a:solidFill>
          <a:ln>
            <a:solidFill>
              <a:schemeClr val="tx1"/>
            </a:solidFill>
          </a:ln>
          <a:effectLst/>
        </c:spPr>
        <c:marker>
          <c:symbol val="none"/>
        </c:marker>
      </c:pivotFmt>
      <c:pivotFmt>
        <c:idx val="5"/>
        <c:spPr>
          <a:solidFill>
            <a:srgbClr val="FF5050"/>
          </a:solidFill>
          <a:ln>
            <a:solidFill>
              <a:schemeClr val="tx1"/>
            </a:solidFill>
            <a:miter lim="800000"/>
          </a:ln>
          <a:effectLst/>
        </c:spPr>
        <c:marker>
          <c:symbol val="none"/>
        </c:marker>
      </c:pivotFmt>
      <c:pivotFmt>
        <c:idx val="6"/>
        <c:spPr>
          <a:solidFill>
            <a:srgbClr val="00B0F0"/>
          </a:solidFill>
          <a:ln>
            <a:solidFill>
              <a:schemeClr val="tx1"/>
            </a:solidFill>
          </a:ln>
          <a:effectLst/>
        </c:spPr>
        <c:marker>
          <c:symbol val="none"/>
        </c:marker>
      </c:pivotFmt>
      <c:pivotFmt>
        <c:idx val="7"/>
        <c:spPr>
          <a:solidFill>
            <a:srgbClr val="92D050"/>
          </a:solidFill>
          <a:ln>
            <a:solidFill>
              <a:schemeClr val="tx1"/>
            </a:solidFill>
          </a:ln>
          <a:effectLst/>
        </c:spPr>
        <c:marker>
          <c:symbol val="none"/>
        </c:marker>
      </c:pivotFmt>
      <c:pivotFmt>
        <c:idx val="8"/>
        <c:spPr>
          <a:solidFill>
            <a:srgbClr val="FF0000"/>
          </a:solidFill>
          <a:ln>
            <a:solidFill>
              <a:schemeClr val="tx1"/>
            </a:solidFill>
          </a:ln>
          <a:effectLst/>
        </c:spPr>
        <c:marker>
          <c:symbol val="none"/>
        </c:marke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pivotFmt>
      <c:pivotFmt>
        <c:idx val="10"/>
        <c:spPr>
          <a:solidFill>
            <a:srgbClr val="00B0F0"/>
          </a:solidFill>
          <a:ln>
            <a:solidFill>
              <a:schemeClr val="tx1"/>
            </a:solidFill>
          </a:ln>
          <a:effectLst/>
        </c:spPr>
        <c:marker>
          <c:symbol val="none"/>
        </c:marker>
      </c:pivotFmt>
      <c:pivotFmt>
        <c:idx val="11"/>
        <c:spPr>
          <a:solidFill>
            <a:srgbClr val="92D050"/>
          </a:solidFill>
          <a:ln>
            <a:solidFill>
              <a:schemeClr val="tx1"/>
            </a:solidFill>
          </a:ln>
          <a:effectLst/>
        </c:spPr>
        <c:marker>
          <c:symbol val="none"/>
        </c:marker>
      </c:pivotFmt>
      <c:pivotFmt>
        <c:idx val="12"/>
        <c:spPr>
          <a:solidFill>
            <a:srgbClr val="FF0000"/>
          </a:solidFill>
          <a:ln>
            <a:solidFill>
              <a:schemeClr val="tx1"/>
            </a:solidFill>
          </a:ln>
          <a:effectLst/>
        </c:spPr>
        <c:marker>
          <c:symbol val="none"/>
        </c:marker>
      </c:pivotFmt>
      <c:pivotFmt>
        <c:idx val="13"/>
        <c:spPr>
          <a:solidFill>
            <a:srgbClr val="00B0F0"/>
          </a:solidFill>
          <a:ln>
            <a:solidFill>
              <a:schemeClr val="tx1"/>
            </a:solidFill>
          </a:ln>
          <a:effectLst/>
        </c:spPr>
        <c:marker>
          <c:symbol val="none"/>
        </c:marker>
      </c:pivotFmt>
      <c:pivotFmt>
        <c:idx val="14"/>
        <c:spPr>
          <a:solidFill>
            <a:srgbClr val="92D050"/>
          </a:solidFill>
          <a:ln>
            <a:solidFill>
              <a:schemeClr val="tx1"/>
            </a:solidFill>
          </a:ln>
          <a:effectLst/>
        </c:spPr>
        <c:marker>
          <c:symbol val="none"/>
        </c:marker>
      </c:pivotFmt>
      <c:pivotFmt>
        <c:idx val="15"/>
        <c:spPr>
          <a:solidFill>
            <a:srgbClr val="FF0000"/>
          </a:solidFill>
          <a:ln>
            <a:solidFill>
              <a:schemeClr val="tx1"/>
            </a:solidFill>
          </a:ln>
          <a:effectLst/>
        </c:spPr>
        <c:marker>
          <c:symbol val="none"/>
        </c:marker>
      </c:pivotFmt>
      <c:pivotFmt>
        <c:idx val="16"/>
        <c:spPr>
          <a:solidFill>
            <a:srgbClr val="00B0F0"/>
          </a:solidFill>
          <a:ln>
            <a:noFill/>
          </a:ln>
          <a:effectLst/>
        </c:spPr>
        <c:marker>
          <c:symbol val="none"/>
        </c:marker>
      </c:pivotFmt>
      <c:pivotFmt>
        <c:idx val="17"/>
        <c:spPr>
          <a:solidFill>
            <a:srgbClr val="002060"/>
          </a:solidFill>
          <a:ln>
            <a:noFill/>
          </a:ln>
          <a:effectLst/>
        </c:spPr>
        <c:marker>
          <c:symbol val="none"/>
        </c:marker>
      </c:pivotFmt>
      <c:pivotFmt>
        <c:idx val="18"/>
        <c:spPr>
          <a:solidFill>
            <a:srgbClr val="7030A0"/>
          </a:solidFill>
          <a:ln>
            <a:noFill/>
          </a:ln>
          <a:effectLst/>
        </c:spPr>
        <c:marker>
          <c:symbol val="none"/>
        </c:marker>
      </c:pivotFmt>
    </c:pivotFmts>
    <c:plotArea>
      <c:layout>
        <c:manualLayout>
          <c:layoutTarget val="inner"/>
          <c:xMode val="edge"/>
          <c:yMode val="edge"/>
          <c:x val="0.1337571580436529"/>
          <c:y val="9.3785904211666618E-2"/>
          <c:w val="0.80846941618495549"/>
          <c:h val="0.72591645133909521"/>
        </c:manualLayout>
      </c:layout>
      <c:barChart>
        <c:barDir val="col"/>
        <c:grouping val="clustered"/>
        <c:varyColors val="0"/>
        <c:ser>
          <c:idx val="0"/>
          <c:order val="0"/>
          <c:tx>
            <c:strRef>
              <c:f>Dashboard!$B$9:$B$10</c:f>
              <c:strCache>
                <c:ptCount val="1"/>
                <c:pt idx="0">
                  <c:v>Forecast (Base)</c:v>
                </c:pt>
              </c:strCache>
            </c:strRef>
          </c:tx>
          <c:spPr>
            <a:solidFill>
              <a:srgbClr val="00B0F0"/>
            </a:solidFill>
            <a:ln>
              <a:no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Dashboard!$B$11:$B$23</c:f>
              <c:numCache>
                <c:formatCode>"₹"\ #,##0</c:formatCode>
                <c:ptCount val="12"/>
                <c:pt idx="0">
                  <c:v>13452000</c:v>
                </c:pt>
                <c:pt idx="1">
                  <c:v>12744000</c:v>
                </c:pt>
                <c:pt idx="2">
                  <c:v>14868000</c:v>
                </c:pt>
                <c:pt idx="3">
                  <c:v>15576000</c:v>
                </c:pt>
                <c:pt idx="4">
                  <c:v>16992000</c:v>
                </c:pt>
                <c:pt idx="5">
                  <c:v>16284000</c:v>
                </c:pt>
                <c:pt idx="6">
                  <c:v>14868000</c:v>
                </c:pt>
                <c:pt idx="7">
                  <c:v>15576000</c:v>
                </c:pt>
                <c:pt idx="8">
                  <c:v>16284000</c:v>
                </c:pt>
                <c:pt idx="9">
                  <c:v>18408000</c:v>
                </c:pt>
                <c:pt idx="10">
                  <c:v>17700000</c:v>
                </c:pt>
                <c:pt idx="11">
                  <c:v>16992000</c:v>
                </c:pt>
              </c:numCache>
            </c:numRef>
          </c:val>
          <c:extLst>
            <c:ext xmlns:c16="http://schemas.microsoft.com/office/drawing/2014/chart" uri="{C3380CC4-5D6E-409C-BE32-E72D297353CC}">
              <c16:uniqueId val="{00000000-FB15-46F1-A180-A96F1C872A99}"/>
            </c:ext>
          </c:extLst>
        </c:ser>
        <c:ser>
          <c:idx val="1"/>
          <c:order val="1"/>
          <c:tx>
            <c:strRef>
              <c:f>Dashboard!$C$9:$C$10</c:f>
              <c:strCache>
                <c:ptCount val="1"/>
                <c:pt idx="0">
                  <c:v>Overperformance</c:v>
                </c:pt>
              </c:strCache>
            </c:strRef>
          </c:tx>
          <c:spPr>
            <a:solidFill>
              <a:srgbClr val="002060"/>
            </a:solidFill>
            <a:ln>
              <a:no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Dashboard!$C$11:$C$23</c:f>
              <c:numCache>
                <c:formatCode>"₹"\ #,##0</c:formatCode>
                <c:ptCount val="12"/>
                <c:pt idx="0">
                  <c:v>21452254</c:v>
                </c:pt>
                <c:pt idx="1">
                  <c:v>20406564</c:v>
                </c:pt>
                <c:pt idx="2">
                  <c:v>24015925.5</c:v>
                </c:pt>
                <c:pt idx="3">
                  <c:v>25481764</c:v>
                </c:pt>
                <c:pt idx="4">
                  <c:v>27236664</c:v>
                </c:pt>
                <c:pt idx="5">
                  <c:v>24946382.5</c:v>
                </c:pt>
                <c:pt idx="6">
                  <c:v>23584984.5</c:v>
                </c:pt>
                <c:pt idx="7">
                  <c:v>25557380.200000003</c:v>
                </c:pt>
                <c:pt idx="8">
                  <c:v>25646334</c:v>
                </c:pt>
                <c:pt idx="9">
                  <c:v>31625542</c:v>
                </c:pt>
                <c:pt idx="10">
                  <c:v>29698887.500000004</c:v>
                </c:pt>
                <c:pt idx="11">
                  <c:v>27372511.200000003</c:v>
                </c:pt>
              </c:numCache>
            </c:numRef>
          </c:val>
          <c:extLst>
            <c:ext xmlns:c16="http://schemas.microsoft.com/office/drawing/2014/chart" uri="{C3380CC4-5D6E-409C-BE32-E72D297353CC}">
              <c16:uniqueId val="{00000001-FB15-46F1-A180-A96F1C872A99}"/>
            </c:ext>
          </c:extLst>
        </c:ser>
        <c:ser>
          <c:idx val="2"/>
          <c:order val="2"/>
          <c:tx>
            <c:strRef>
              <c:f>Dashboard!$D$9:$D$10</c:f>
              <c:strCache>
                <c:ptCount val="1"/>
                <c:pt idx="0">
                  <c:v>Underperformance</c:v>
                </c:pt>
              </c:strCache>
            </c:strRef>
          </c:tx>
          <c:spPr>
            <a:solidFill>
              <a:srgbClr val="7030A0"/>
            </a:solidFill>
            <a:ln>
              <a:noFill/>
            </a:ln>
            <a:effectLst/>
          </c:spPr>
          <c:invertIfNegative val="0"/>
          <c:cat>
            <c:strRef>
              <c:f>Dashboard!$A$11:$A$23</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Dashboard!$D$11:$D$23</c:f>
              <c:numCache>
                <c:formatCode>"₹"\ #,##0</c:formatCode>
                <c:ptCount val="12"/>
                <c:pt idx="0">
                  <c:v>7994364</c:v>
                </c:pt>
                <c:pt idx="1">
                  <c:v>7312881.5999999996</c:v>
                </c:pt>
                <c:pt idx="2">
                  <c:v>9027981.9000000004</c:v>
                </c:pt>
                <c:pt idx="3">
                  <c:v>9823525.8000000007</c:v>
                </c:pt>
                <c:pt idx="4">
                  <c:v>10438480.799999999</c:v>
                </c:pt>
                <c:pt idx="5">
                  <c:v>9881193.2999999989</c:v>
                </c:pt>
                <c:pt idx="6">
                  <c:v>9300910.5</c:v>
                </c:pt>
                <c:pt idx="7">
                  <c:v>9983652.8000000007</c:v>
                </c:pt>
                <c:pt idx="8">
                  <c:v>10491202.75</c:v>
                </c:pt>
                <c:pt idx="9">
                  <c:v>11126258</c:v>
                </c:pt>
                <c:pt idx="10">
                  <c:v>11240167.5</c:v>
                </c:pt>
                <c:pt idx="11">
                  <c:v>10002256.800000001</c:v>
                </c:pt>
              </c:numCache>
            </c:numRef>
          </c:val>
          <c:extLst>
            <c:ext xmlns:c16="http://schemas.microsoft.com/office/drawing/2014/chart" uri="{C3380CC4-5D6E-409C-BE32-E72D297353CC}">
              <c16:uniqueId val="{00000002-FB15-46F1-A180-A96F1C872A99}"/>
            </c:ext>
          </c:extLst>
        </c:ser>
        <c:dLbls>
          <c:showLegendKey val="0"/>
          <c:showVal val="0"/>
          <c:showCatName val="0"/>
          <c:showSerName val="0"/>
          <c:showPercent val="0"/>
          <c:showBubbleSize val="0"/>
        </c:dLbls>
        <c:gapWidth val="100"/>
        <c:overlap val="-24"/>
        <c:axId val="2032271535"/>
        <c:axId val="2032271951"/>
      </c:barChart>
      <c:catAx>
        <c:axId val="2032271535"/>
        <c:scaling>
          <c:orientation val="minMax"/>
        </c:scaling>
        <c:delete val="0"/>
        <c:axPos val="b"/>
        <c:numFmt formatCode="General" sourceLinked="0"/>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951"/>
        <c:crosses val="autoZero"/>
        <c:auto val="1"/>
        <c:lblAlgn val="ctr"/>
        <c:lblOffset val="10"/>
        <c:noMultiLvlLbl val="0"/>
      </c:catAx>
      <c:valAx>
        <c:axId val="2032271951"/>
        <c:scaling>
          <c:orientation val="minMax"/>
        </c:scaling>
        <c:delete val="0"/>
        <c:axPos val="l"/>
        <c:numFmt formatCode="&quot;₹&quot;\ #,##0" sourceLinked="1"/>
        <c:majorTickMark val="none"/>
        <c:minorTickMark val="none"/>
        <c:tickLblPos val="nextTo"/>
        <c:spPr>
          <a:noFill/>
          <a:ln>
            <a:solidFill>
              <a:schemeClr val="tx1"/>
            </a:solid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2271535"/>
        <c:crosses val="autoZero"/>
        <c:crossBetween val="between"/>
      </c:valAx>
      <c:spPr>
        <a:noFill/>
        <a:ln>
          <a:noFill/>
        </a:ln>
        <a:effectLst/>
      </c:spPr>
    </c:plotArea>
    <c:legend>
      <c:legendPos val="t"/>
      <c:layout>
        <c:manualLayout>
          <c:xMode val="edge"/>
          <c:yMode val="edge"/>
          <c:x val="0.14562463905758388"/>
          <c:y val="0.1693528484767598"/>
          <c:w val="0.56390289606066502"/>
          <c:h val="8.9639249935538748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showDLblsOverMax val="0"/>
  </c:chart>
  <c:spPr>
    <a:no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by Product</c:name>
    <c:fmtId val="4"/>
  </c:pivotSource>
  <c:chart>
    <c:title>
      <c:tx>
        <c:rich>
          <a:bodyPr rot="0" spcFirstLastPara="1" vertOverflow="ellipsis" vert="horz" wrap="square" anchor="ctr" anchorCtr="1"/>
          <a:lstStyle/>
          <a:p>
            <a:pPr>
              <a:defRPr sz="105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050" b="1" i="0" u="none" strike="noStrike" baseline="0">
                <a:solidFill>
                  <a:schemeClr val="tx1"/>
                </a:solidFill>
                <a:effectLst/>
                <a:latin typeface="Adobe Fan Heiti Std B" panose="020B0700000000000000" pitchFamily="34" charset="-128"/>
                <a:ea typeface="Adobe Fan Heiti Std B" panose="020B0700000000000000" pitchFamily="34" charset="-128"/>
              </a:rPr>
              <a:t>Margin % by Product (Averages)</a:t>
            </a:r>
            <a:r>
              <a:rPr lang="en-IN" sz="105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sz="1050">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05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pPr>
            <a:solidFill>
              <a:srgbClr val="002060"/>
            </a:solidFill>
            <a:ln w="9525">
              <a:solidFill>
                <a:schemeClr val="tx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round/>
          </a:ln>
          <a:effectLst/>
        </c:spPr>
        <c:marker>
          <c:symbol val="circle"/>
          <c:size val="5"/>
          <c:spPr>
            <a:solidFill>
              <a:srgbClr val="00B0F0"/>
            </a:solidFill>
            <a:ln w="9525">
              <a:solidFill>
                <a:schemeClr val="accent1"/>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gradFill flip="none" rotWithShape="1">
              <a:gsLst>
                <a:gs pos="0">
                  <a:srgbClr val="000066"/>
                </a:gs>
                <a:gs pos="22000">
                  <a:schemeClr val="accent1">
                    <a:lumMod val="95000"/>
                    <a:lumOff val="5000"/>
                  </a:schemeClr>
                </a:gs>
                <a:gs pos="47000">
                  <a:schemeClr val="accent1">
                    <a:lumMod val="60000"/>
                  </a:schemeClr>
                </a:gs>
              </a:gsLst>
              <a:lin ang="2700000" scaled="1"/>
              <a:tileRect/>
            </a:gradFill>
            <a:round/>
          </a:ln>
          <a:effectLst/>
        </c:spPr>
        <c:marker>
          <c:symbol val="circle"/>
          <c:size val="5"/>
          <c:spPr>
            <a:solidFill>
              <a:srgbClr val="00B0F0"/>
            </a:solidFill>
            <a:ln w="9525">
              <a:solidFill>
                <a:schemeClr val="accent1"/>
              </a:solidFill>
            </a:ln>
            <a:effectLst/>
          </c:spPr>
        </c:marker>
      </c:pivotFmt>
      <c:pivotFmt>
        <c:idx val="8"/>
        <c:spPr>
          <a:ln w="28575" cap="rnd">
            <a:gradFill flip="none" rotWithShape="1">
              <a:gsLst>
                <a:gs pos="0">
                  <a:srgbClr val="00B0F0"/>
                </a:gs>
                <a:gs pos="40000">
                  <a:srgbClr val="0070C0"/>
                </a:gs>
                <a:gs pos="100000">
                  <a:srgbClr val="002060"/>
                </a:gs>
              </a:gsLst>
              <a:path path="circle">
                <a:fillToRect l="50000" t="130000" r="50000" b="-30000"/>
              </a:path>
              <a:tileRect/>
            </a:gradFill>
            <a:round/>
          </a:ln>
          <a:effectLst/>
        </c:spPr>
        <c:marker>
          <c:symbol val="circle"/>
          <c:size val="5"/>
          <c:spPr>
            <a:solidFill>
              <a:srgbClr val="00B0F0"/>
            </a:solidFill>
            <a:ln w="9525">
              <a:solidFill>
                <a:schemeClr val="accent1"/>
              </a:solidFill>
            </a:ln>
            <a:effectLst/>
          </c:spPr>
        </c:marker>
      </c:pivotFmt>
    </c:pivotFmts>
    <c:plotArea>
      <c:layout/>
      <c:lineChart>
        <c:grouping val="standard"/>
        <c:varyColors val="0"/>
        <c:ser>
          <c:idx val="0"/>
          <c:order val="0"/>
          <c:tx>
            <c:strRef>
              <c:f>Dashboard!$B$36</c:f>
              <c:strCache>
                <c:ptCount val="1"/>
                <c:pt idx="0">
                  <c:v>Total</c:v>
                </c:pt>
              </c:strCache>
            </c:strRef>
          </c:tx>
          <c:spPr>
            <a:ln w="28575" cap="rnd">
              <a:gradFill flip="none" rotWithShape="1">
                <a:gsLst>
                  <a:gs pos="0">
                    <a:schemeClr val="accent1">
                      <a:lumMod val="40000"/>
                      <a:lumOff val="60000"/>
                    </a:schemeClr>
                  </a:gs>
                  <a:gs pos="46000">
                    <a:schemeClr val="accent1">
                      <a:lumMod val="95000"/>
                      <a:lumOff val="5000"/>
                    </a:schemeClr>
                  </a:gs>
                  <a:gs pos="100000">
                    <a:schemeClr val="accent1">
                      <a:lumMod val="60000"/>
                    </a:schemeClr>
                  </a:gs>
                </a:gsLst>
                <a:path path="circle">
                  <a:fillToRect l="50000" t="130000" r="50000" b="-30000"/>
                </a:path>
                <a:tileRect/>
              </a:gradFill>
              <a:round/>
            </a:ln>
            <a:effectLst/>
          </c:spPr>
          <c:marker>
            <c:symbol val="circle"/>
            <c:size val="5"/>
            <c:spPr>
              <a:solidFill>
                <a:srgbClr val="00B0F0"/>
              </a:solidFill>
              <a:ln w="9525">
                <a:solidFill>
                  <a:schemeClr val="accent1"/>
                </a:solidFill>
              </a:ln>
              <a:effectLst/>
            </c:spPr>
          </c:marker>
          <c:dPt>
            <c:idx val="1"/>
            <c:marker>
              <c:symbol val="circle"/>
              <c:size val="5"/>
              <c:spPr>
                <a:solidFill>
                  <a:srgbClr val="00B0F0"/>
                </a:solidFill>
                <a:ln w="9525">
                  <a:solidFill>
                    <a:schemeClr val="accent1"/>
                  </a:solidFill>
                </a:ln>
                <a:effectLst/>
              </c:spPr>
            </c:marker>
            <c:bubble3D val="0"/>
            <c:spPr>
              <a:ln w="28575" cap="rnd">
                <a:gradFill flip="none" rotWithShape="1">
                  <a:gsLst>
                    <a:gs pos="0">
                      <a:srgbClr val="00B0F0"/>
                    </a:gs>
                    <a:gs pos="40000">
                      <a:srgbClr val="0070C0"/>
                    </a:gs>
                    <a:gs pos="100000">
                      <a:srgbClr val="002060"/>
                    </a:gs>
                  </a:gsLst>
                  <a:path path="circle">
                    <a:fillToRect l="50000" t="130000" r="50000" b="-30000"/>
                  </a:path>
                  <a:tileRect/>
                </a:gradFill>
                <a:round/>
              </a:ln>
              <a:effectLst/>
            </c:spPr>
            <c:extLst>
              <c:ext xmlns:c16="http://schemas.microsoft.com/office/drawing/2014/chart" uri="{C3380CC4-5D6E-409C-BE32-E72D297353CC}">
                <c16:uniqueId val="{00000002-C46D-4575-B900-70A8F3D4350A}"/>
              </c:ext>
            </c:extLst>
          </c:dPt>
          <c:dPt>
            <c:idx val="3"/>
            <c:marker>
              <c:symbol val="circle"/>
              <c:size val="5"/>
              <c:spPr>
                <a:solidFill>
                  <a:srgbClr val="00B0F0"/>
                </a:solidFill>
                <a:ln w="9525">
                  <a:solidFill>
                    <a:schemeClr val="accent1"/>
                  </a:solidFill>
                </a:ln>
                <a:effectLst/>
              </c:spPr>
            </c:marker>
            <c:bubble3D val="0"/>
            <c:spPr>
              <a:ln w="28575" cap="rnd">
                <a:gradFill flip="none" rotWithShape="1">
                  <a:gsLst>
                    <a:gs pos="0">
                      <a:srgbClr val="000066"/>
                    </a:gs>
                    <a:gs pos="22000">
                      <a:schemeClr val="accent1">
                        <a:lumMod val="95000"/>
                        <a:lumOff val="5000"/>
                      </a:schemeClr>
                    </a:gs>
                    <a:gs pos="47000">
                      <a:schemeClr val="accent1">
                        <a:lumMod val="60000"/>
                      </a:schemeClr>
                    </a:gs>
                  </a:gsLst>
                  <a:lin ang="2700000" scaled="1"/>
                  <a:tileRect/>
                </a:gradFill>
                <a:round/>
              </a:ln>
              <a:effectLst/>
            </c:spPr>
            <c:extLst>
              <c:ext xmlns:c16="http://schemas.microsoft.com/office/drawing/2014/chart" uri="{C3380CC4-5D6E-409C-BE32-E72D297353CC}">
                <c16:uniqueId val="{00000001-C46D-4575-B900-70A8F3D4350A}"/>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Dashboard!$A$37:$A$42</c:f>
              <c:strCache>
                <c:ptCount val="5"/>
                <c:pt idx="0">
                  <c:v>Casual Footwear</c:v>
                </c:pt>
                <c:pt idx="1">
                  <c:v>Formals &amp; Boots</c:v>
                </c:pt>
                <c:pt idx="2">
                  <c:v>Ladies Footwear</c:v>
                </c:pt>
                <c:pt idx="3">
                  <c:v>Sneakers</c:v>
                </c:pt>
                <c:pt idx="4">
                  <c:v>Sports Shoes</c:v>
                </c:pt>
              </c:strCache>
            </c:strRef>
          </c:cat>
          <c:val>
            <c:numRef>
              <c:f>Dashboard!$B$37:$B$42</c:f>
              <c:numCache>
                <c:formatCode>0.00%</c:formatCode>
                <c:ptCount val="5"/>
                <c:pt idx="0">
                  <c:v>0.34656510374176247</c:v>
                </c:pt>
                <c:pt idx="1">
                  <c:v>0.27361690414743489</c:v>
                </c:pt>
                <c:pt idx="2">
                  <c:v>0.38366730959957174</c:v>
                </c:pt>
                <c:pt idx="3">
                  <c:v>0.3092096640128954</c:v>
                </c:pt>
                <c:pt idx="4">
                  <c:v>0.23797730290643371</c:v>
                </c:pt>
              </c:numCache>
            </c:numRef>
          </c:val>
          <c:smooth val="0"/>
          <c:extLst>
            <c:ext xmlns:c16="http://schemas.microsoft.com/office/drawing/2014/chart" uri="{C3380CC4-5D6E-409C-BE32-E72D297353CC}">
              <c16:uniqueId val="{00000000-C46D-4575-B900-70A8F3D4350A}"/>
            </c:ext>
          </c:extLst>
        </c:ser>
        <c:dLbls>
          <c:dLblPos val="b"/>
          <c:showLegendKey val="0"/>
          <c:showVal val="1"/>
          <c:showCatName val="0"/>
          <c:showSerName val="0"/>
          <c:showPercent val="0"/>
          <c:showBubbleSize val="0"/>
        </c:dLbls>
        <c:marker val="1"/>
        <c:smooth val="0"/>
        <c:axId val="1407484576"/>
        <c:axId val="1407490816"/>
      </c:lineChart>
      <c:catAx>
        <c:axId val="1407484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crossAx val="1407490816"/>
        <c:crosses val="autoZero"/>
        <c:auto val="1"/>
        <c:lblAlgn val="ctr"/>
        <c:lblOffset val="100"/>
        <c:noMultiLvlLbl val="0"/>
      </c:catAx>
      <c:valAx>
        <c:axId val="1407490816"/>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407484576"/>
        <c:crosses val="autoZero"/>
        <c:crossBetween val="between"/>
      </c:valAx>
      <c:spPr>
        <a:noFill/>
        <a:ln w="25400">
          <a:noFill/>
        </a:ln>
        <a:effectLst/>
      </c:spPr>
    </c:plotArea>
    <c:plotVisOnly val="1"/>
    <c:dispBlanksAs val="gap"/>
    <c:showDLblsOverMax val="0"/>
  </c:chart>
  <c:spPr>
    <a:noFill/>
    <a:ln w="9525" cap="rnd" cmpd="dbl"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by Scenario</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r>
              <a:rPr lang="en-IN" sz="1400" b="1" i="0" u="none" strike="noStrike" baseline="0">
                <a:solidFill>
                  <a:schemeClr val="tx1"/>
                </a:solidFill>
                <a:effectLst/>
                <a:latin typeface="Adobe Fan Heiti Std B" panose="020B0700000000000000" pitchFamily="34" charset="-128"/>
                <a:ea typeface="Adobe Fan Heiti Std B" panose="020B0700000000000000" pitchFamily="34" charset="-128"/>
              </a:rPr>
              <a:t>Gross Profit by Scenario (Based on Product)</a:t>
            </a:r>
            <a:r>
              <a:rPr lang="en-IN" sz="1400" b="0" i="0" u="none" strike="noStrike" baseline="0">
                <a:solidFill>
                  <a:schemeClr val="tx1"/>
                </a:solidFill>
                <a:latin typeface="Adobe Fan Heiti Std B" panose="020B0700000000000000" pitchFamily="34" charset="-128"/>
                <a:ea typeface="Adobe Fan Heiti Std B" panose="020B0700000000000000" pitchFamily="34" charset="-128"/>
              </a:rPr>
              <a:t> </a:t>
            </a:r>
            <a:endParaRPr lang="en-IN">
              <a:solidFill>
                <a:schemeClr val="tx1"/>
              </a:solidFill>
              <a:latin typeface="Adobe Fan Heiti Std B" panose="020B0700000000000000" pitchFamily="34" charset="-128"/>
              <a:ea typeface="Adobe Fan Heiti Std B" panose="020B0700000000000000" pitchFamily="34" charset="-128"/>
            </a:endParaRPr>
          </a:p>
        </c:rich>
      </c:tx>
      <c:layout>
        <c:manualLayout>
          <c:xMode val="edge"/>
          <c:yMode val="edge"/>
          <c:x val="0.28411795781041649"/>
          <c:y val="3.944294619118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pivotFmt>
      <c:pivotFmt>
        <c:idx val="1"/>
      </c:pivotFmt>
      <c:pivotFmt>
        <c:idx val="2"/>
      </c:pivotFmt>
      <c:pivotFmt>
        <c:idx val="3"/>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solidFill>
              <a:schemeClr val="tx1"/>
            </a:solidFill>
          </a:ln>
          <a:effectLst/>
        </c:spPr>
        <c:dLbl>
          <c:idx val="0"/>
          <c:layout>
            <c:manualLayout>
              <c:x val="-2.5834862743646148E-2"/>
              <c:y val="-7.530453122781073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5050"/>
          </a:solidFill>
          <a:ln>
            <a:solidFill>
              <a:schemeClr val="tx1"/>
            </a:solidFill>
          </a:ln>
          <a:effectLst/>
        </c:spPr>
        <c:dLbl>
          <c:idx val="0"/>
          <c:layout>
            <c:manualLayout>
              <c:x val="-2.9010535164424021E-3"/>
              <c:y val="-7.530453122781142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solidFill>
          <a:ln>
            <a:solidFill>
              <a:schemeClr val="tx1"/>
            </a:solidFill>
          </a:ln>
          <a:effectLst/>
        </c:spPr>
        <c:dLbl>
          <c:idx val="0"/>
          <c:layout>
            <c:manualLayout>
              <c:x val="5.8021070328846984E-3"/>
              <c:y val="-3.388703905251483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solidFill>
              <a:schemeClr val="tx1"/>
            </a:solidFill>
          </a:ln>
          <a:effectLst/>
        </c:spPr>
        <c:marker>
          <c:symbol val="none"/>
        </c:marker>
      </c:pivotFmt>
      <c:pivotFmt>
        <c:idx val="13"/>
        <c:spPr>
          <a:solidFill>
            <a:schemeClr val="accent1"/>
          </a:solidFill>
          <a:ln>
            <a:solidFill>
              <a:schemeClr val="tx1"/>
            </a:solidFill>
          </a:ln>
          <a:effectLst/>
        </c:spPr>
        <c:marker>
          <c:symbol val="none"/>
        </c:marker>
      </c:pivotFmt>
      <c:pivotFmt>
        <c:idx val="14"/>
        <c:spPr>
          <a:solidFill>
            <a:schemeClr val="accent1"/>
          </a:solidFill>
          <a:ln>
            <a:solidFill>
              <a:schemeClr val="tx1"/>
            </a:solidFill>
          </a:ln>
          <a:effectLst/>
        </c:spPr>
        <c:marker>
          <c:symbol val="none"/>
        </c:marker>
      </c:pivotFmt>
      <c:pivotFmt>
        <c:idx val="1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pivotFmt>
      <c:pivotFmt>
        <c:idx val="28"/>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1"/>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2"/>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3"/>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0"/>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FF5050"/>
          </a:solidFill>
          <a:ln>
            <a:solidFill>
              <a:schemeClr val="tx1"/>
            </a:solidFill>
          </a:ln>
          <a:effectLst/>
        </c:spPr>
        <c:dLbl>
          <c:idx val="0"/>
          <c:layout>
            <c:manualLayout>
              <c:x val="1.7329248906688135E-3"/>
              <c:y val="2.445493888672260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2"/>
        <c:spPr>
          <a:solidFill>
            <a:srgbClr val="FF5050"/>
          </a:solidFill>
          <a:ln>
            <a:solidFill>
              <a:schemeClr val="tx1"/>
            </a:solidFill>
          </a:ln>
          <a:effectLst/>
        </c:spPr>
        <c:dLbl>
          <c:idx val="0"/>
          <c:layout>
            <c:manualLayout>
              <c:x val="0"/>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3"/>
        <c:spPr>
          <a:solidFill>
            <a:srgbClr val="FF5050"/>
          </a:solidFill>
          <a:ln>
            <a:solidFill>
              <a:schemeClr val="tx1"/>
            </a:solidFill>
          </a:ln>
          <a:effectLst/>
        </c:spPr>
        <c:dLbl>
          <c:idx val="0"/>
          <c:layout>
            <c:manualLayout>
              <c:x val="-1.2707969061361621E-16"/>
              <c:y val="2.85307620345097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rgbClr val="FF5050"/>
          </a:solidFill>
          <a:ln>
            <a:solidFill>
              <a:schemeClr val="tx1"/>
            </a:solidFill>
          </a:ln>
          <a:effectLst/>
        </c:spPr>
        <c:dLbl>
          <c:idx val="0"/>
          <c:layout>
            <c:manualLayout>
              <c:x val="0"/>
              <c:y val="2.853076203450963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rgbClr val="FF5050"/>
          </a:solidFill>
          <a:ln>
            <a:solidFill>
              <a:schemeClr val="tx1"/>
            </a:solidFill>
          </a:ln>
          <a:effectLst/>
        </c:spPr>
        <c:dLbl>
          <c:idx val="0"/>
          <c:layout>
            <c:manualLayout>
              <c:x val="-6.3539845306808106E-17"/>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5">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5">
              <a:lumMod val="60000"/>
              <a:lumOff val="40000"/>
            </a:schemeClr>
          </a:solidFill>
          <a:ln>
            <a:solidFill>
              <a:schemeClr val="tx1"/>
            </a:solidFill>
          </a:ln>
          <a:effectLst/>
        </c:spPr>
        <c:dLbl>
          <c:idx val="0"/>
          <c:layout>
            <c:manualLayout>
              <c:x val="3.465849781337643E-3"/>
              <c:y val="-5.298570092123230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5">
              <a:lumMod val="60000"/>
              <a:lumOff val="40000"/>
            </a:schemeClr>
          </a:solidFill>
          <a:ln>
            <a:solidFill>
              <a:schemeClr val="tx1"/>
            </a:solidFill>
          </a:ln>
          <a:effectLst/>
        </c:spPr>
        <c:dLbl>
          <c:idx val="0"/>
          <c:layout>
            <c:manualLayout>
              <c:x val="-6.3539845306808106E-17"/>
              <c:y val="-1.630329259114847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5">
              <a:lumMod val="60000"/>
              <a:lumOff val="40000"/>
            </a:schemeClr>
          </a:solidFill>
          <a:ln>
            <a:solidFill>
              <a:schemeClr val="tx1"/>
            </a:solidFill>
          </a:ln>
          <a:effectLst/>
        </c:spPr>
        <c:dLbl>
          <c:idx val="0"/>
          <c:layout>
            <c:manualLayout>
              <c:x val="0"/>
              <c:y val="-1.6303292591148405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5">
              <a:lumMod val="60000"/>
              <a:lumOff val="40000"/>
            </a:schemeClr>
          </a:solidFill>
          <a:ln>
            <a:solidFill>
              <a:schemeClr val="tx1"/>
            </a:solidFill>
          </a:ln>
          <a:effectLst/>
        </c:spPr>
        <c:dLbl>
          <c:idx val="0"/>
          <c:layout>
            <c:manualLayout>
              <c:x val="0"/>
              <c:y val="-4.0758231477871013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Adobe Fan Heiti Std B" panose="020B0700000000000000" pitchFamily="34" charset="-128"/>
                  <a:ea typeface="Adobe Fan Heiti Std B" panose="020B0700000000000000" pitchFamily="34" charset="-128"/>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2"/>
        <c:spPr>
          <a:solidFill>
            <a:srgbClr val="7030A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3"/>
        <c:spPr>
          <a:solidFill>
            <a:srgbClr val="00206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4"/>
        <c:spPr>
          <a:solidFill>
            <a:srgbClr val="00B0F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rgbClr val="00B0F0"/>
          </a:solidFill>
          <a:ln>
            <a:noFill/>
          </a:ln>
          <a:effectLst/>
        </c:spPr>
        <c:dLbl>
          <c:idx val="0"/>
          <c:layout>
            <c:manualLayout>
              <c:x val="0"/>
              <c:y val="-1.48471619123923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6"/>
        <c:spPr>
          <a:solidFill>
            <a:srgbClr val="7030A0"/>
          </a:solidFill>
          <a:ln>
            <a:noFill/>
          </a:ln>
          <a:effectLst/>
        </c:spPr>
        <c:dLbl>
          <c:idx val="0"/>
          <c:layout>
            <c:manualLayout>
              <c:x val="0"/>
              <c:y val="1.484716191239239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7"/>
        <c:spPr>
          <a:solidFill>
            <a:srgbClr val="00B0F0"/>
          </a:solidFill>
          <a:ln>
            <a:noFill/>
          </a:ln>
          <a:effectLst/>
        </c:spPr>
        <c:dLbl>
          <c:idx val="0"/>
          <c:layout>
            <c:manualLayout>
              <c:x val="0"/>
              <c:y val="-1.979621588318985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8"/>
        <c:spPr>
          <a:solidFill>
            <a:srgbClr val="00B0F0"/>
          </a:solidFill>
          <a:ln>
            <a:noFill/>
          </a:ln>
          <a:effectLst/>
        </c:spPr>
        <c:dLbl>
          <c:idx val="0"/>
          <c:layout>
            <c:manualLayout>
              <c:x val="1.0631647081554276E-2"/>
              <c:y val="-3.464337779558233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59"/>
        <c:spPr>
          <a:solidFill>
            <a:srgbClr val="00B0F0"/>
          </a:solidFill>
          <a:ln>
            <a:noFill/>
          </a:ln>
          <a:effectLst/>
        </c:spPr>
        <c:dLbl>
          <c:idx val="0"/>
          <c:layout>
            <c:manualLayout>
              <c:x val="4.2526588326217106E-3"/>
              <c:y val="-4.454148573717726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60"/>
        <c:spPr>
          <a:solidFill>
            <a:srgbClr val="7030A0"/>
          </a:solidFill>
          <a:ln>
            <a:noFill/>
          </a:ln>
          <a:effectLst/>
        </c:spPr>
        <c:dLbl>
          <c:idx val="0"/>
          <c:layout>
            <c:manualLayout>
              <c:x val="0"/>
              <c:y val="2.969432382478478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manualLayout>
          <c:layoutTarget val="inner"/>
          <c:xMode val="edge"/>
          <c:yMode val="edge"/>
          <c:x val="0.11645168567570877"/>
          <c:y val="0.1809684926443034"/>
          <c:w val="0.84582769290337945"/>
          <c:h val="0.72626754131346916"/>
        </c:manualLayout>
      </c:layout>
      <c:barChart>
        <c:barDir val="bar"/>
        <c:grouping val="clustered"/>
        <c:varyColors val="0"/>
        <c:ser>
          <c:idx val="0"/>
          <c:order val="0"/>
          <c:tx>
            <c:strRef>
              <c:f>Dashboard!$B$26:$B$27</c:f>
              <c:strCache>
                <c:ptCount val="1"/>
                <c:pt idx="0">
                  <c:v>Forecast (Base)</c:v>
                </c:pt>
              </c:strCache>
            </c:strRef>
          </c:tx>
          <c:spPr>
            <a:solidFill>
              <a:srgbClr val="7030A0"/>
            </a:solidFill>
            <a:ln>
              <a:noFill/>
            </a:ln>
            <a:effectLst/>
          </c:spPr>
          <c:invertIfNegative val="0"/>
          <c:dPt>
            <c:idx val="0"/>
            <c:invertIfNegative val="0"/>
            <c:bubble3D val="0"/>
            <c:spPr>
              <a:solidFill>
                <a:srgbClr val="7030A0"/>
              </a:solidFill>
              <a:ln>
                <a:noFill/>
              </a:ln>
              <a:effectLst/>
            </c:spPr>
            <c:extLst>
              <c:ext xmlns:c16="http://schemas.microsoft.com/office/drawing/2014/chart" uri="{C3380CC4-5D6E-409C-BE32-E72D297353CC}">
                <c16:uniqueId val="{00000001-7E0A-411C-AE04-94959F2AAE87}"/>
              </c:ext>
            </c:extLst>
          </c:dPt>
          <c:dPt>
            <c:idx val="1"/>
            <c:invertIfNegative val="0"/>
            <c:bubble3D val="0"/>
            <c:extLst>
              <c:ext xmlns:c16="http://schemas.microsoft.com/office/drawing/2014/chart" uri="{C3380CC4-5D6E-409C-BE32-E72D297353CC}">
                <c16:uniqueId val="{00000003-7E0A-411C-AE04-94959F2AAE87}"/>
              </c:ext>
            </c:extLst>
          </c:dPt>
          <c:dPt>
            <c:idx val="2"/>
            <c:invertIfNegative val="0"/>
            <c:bubble3D val="0"/>
            <c:extLst>
              <c:ext xmlns:c16="http://schemas.microsoft.com/office/drawing/2014/chart" uri="{C3380CC4-5D6E-409C-BE32-E72D297353CC}">
                <c16:uniqueId val="{00000005-7E0A-411C-AE04-94959F2AAE87}"/>
              </c:ext>
            </c:extLst>
          </c:dPt>
          <c:dPt>
            <c:idx val="3"/>
            <c:invertIfNegative val="0"/>
            <c:bubble3D val="0"/>
            <c:extLst>
              <c:ext xmlns:c16="http://schemas.microsoft.com/office/drawing/2014/chart" uri="{C3380CC4-5D6E-409C-BE32-E72D297353CC}">
                <c16:uniqueId val="{00000007-7E0A-411C-AE04-94959F2AAE87}"/>
              </c:ext>
            </c:extLst>
          </c:dPt>
          <c:dPt>
            <c:idx val="4"/>
            <c:invertIfNegative val="0"/>
            <c:bubble3D val="0"/>
            <c:spPr>
              <a:solidFill>
                <a:srgbClr val="7030A0"/>
              </a:solidFill>
              <a:ln>
                <a:noFill/>
              </a:ln>
              <a:effectLst/>
            </c:spPr>
            <c:extLst>
              <c:ext xmlns:c16="http://schemas.microsoft.com/office/drawing/2014/chart" uri="{C3380CC4-5D6E-409C-BE32-E72D297353CC}">
                <c16:uniqueId val="{00000009-7E0A-411C-AE04-94959F2AAE87}"/>
              </c:ext>
            </c:extLst>
          </c:dPt>
          <c:dLbls>
            <c:dLbl>
              <c:idx val="0"/>
              <c:layout>
                <c:manualLayout>
                  <c:x val="0"/>
                  <c:y val="2.9694323824784784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7E0A-411C-AE04-94959F2AAE87}"/>
                </c:ext>
              </c:extLst>
            </c:dLbl>
            <c:dLbl>
              <c:idx val="4"/>
              <c:layout>
                <c:manualLayout>
                  <c:x val="0"/>
                  <c:y val="1.4847161912392392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7E0A-411C-AE04-94959F2AAE8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Dashboard!$B$28:$B$33</c:f>
              <c:numCache>
                <c:formatCode>"₹"\ #,##0</c:formatCode>
                <c:ptCount val="5"/>
                <c:pt idx="0">
                  <c:v>7504000</c:v>
                </c:pt>
                <c:pt idx="1">
                  <c:v>11792000</c:v>
                </c:pt>
                <c:pt idx="2">
                  <c:v>13400000</c:v>
                </c:pt>
                <c:pt idx="3">
                  <c:v>17152000</c:v>
                </c:pt>
                <c:pt idx="4">
                  <c:v>12060000</c:v>
                </c:pt>
              </c:numCache>
            </c:numRef>
          </c:val>
          <c:extLst>
            <c:ext xmlns:c16="http://schemas.microsoft.com/office/drawing/2014/chart" uri="{C3380CC4-5D6E-409C-BE32-E72D297353CC}">
              <c16:uniqueId val="{0000000A-7E0A-411C-AE04-94959F2AAE87}"/>
            </c:ext>
          </c:extLst>
        </c:ser>
        <c:ser>
          <c:idx val="1"/>
          <c:order val="1"/>
          <c:tx>
            <c:strRef>
              <c:f>Dashboard!$C$26:$C$27</c:f>
              <c:strCache>
                <c:ptCount val="1"/>
                <c:pt idx="0">
                  <c:v>Overperformance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Dashboard!$C$28:$C$33</c:f>
              <c:numCache>
                <c:formatCode>"₹"\ #,##0</c:formatCode>
                <c:ptCount val="5"/>
                <c:pt idx="0">
                  <c:v>25473350</c:v>
                </c:pt>
                <c:pt idx="1">
                  <c:v>27432828.5</c:v>
                </c:pt>
                <c:pt idx="2">
                  <c:v>30059517.1875</c:v>
                </c:pt>
                <c:pt idx="3">
                  <c:v>32227800</c:v>
                </c:pt>
                <c:pt idx="4">
                  <c:v>26304641.024999999</c:v>
                </c:pt>
              </c:numCache>
            </c:numRef>
          </c:val>
          <c:extLst>
            <c:ext xmlns:c16="http://schemas.microsoft.com/office/drawing/2014/chart" uri="{C3380CC4-5D6E-409C-BE32-E72D297353CC}">
              <c16:uniqueId val="{0000000B-7E0A-411C-AE04-94959F2AAE87}"/>
            </c:ext>
          </c:extLst>
        </c:ser>
        <c:ser>
          <c:idx val="2"/>
          <c:order val="2"/>
          <c:tx>
            <c:strRef>
              <c:f>Dashboard!$D$26:$D$27</c:f>
              <c:strCache>
                <c:ptCount val="1"/>
                <c:pt idx="0">
                  <c:v>Underperformance</c:v>
                </c:pt>
              </c:strCache>
            </c:strRef>
          </c:tx>
          <c:spPr>
            <a:solidFill>
              <a:srgbClr val="00B0F0"/>
            </a:solidFill>
            <a:ln>
              <a:noFill/>
            </a:ln>
            <a:effectLst/>
          </c:spPr>
          <c:invertIfNegative val="0"/>
          <c:dPt>
            <c:idx val="0"/>
            <c:invertIfNegative val="0"/>
            <c:bubble3D val="0"/>
            <c:spPr>
              <a:solidFill>
                <a:srgbClr val="00B0F0"/>
              </a:solidFill>
              <a:ln>
                <a:noFill/>
              </a:ln>
              <a:effectLst/>
            </c:spPr>
            <c:extLst>
              <c:ext xmlns:c16="http://schemas.microsoft.com/office/drawing/2014/chart" uri="{C3380CC4-5D6E-409C-BE32-E72D297353CC}">
                <c16:uniqueId val="{0000000D-7E0A-411C-AE04-94959F2AAE87}"/>
              </c:ext>
            </c:extLst>
          </c:dPt>
          <c:dPt>
            <c:idx val="1"/>
            <c:invertIfNegative val="0"/>
            <c:bubble3D val="0"/>
            <c:spPr>
              <a:solidFill>
                <a:srgbClr val="00B0F0"/>
              </a:solidFill>
              <a:ln>
                <a:noFill/>
              </a:ln>
              <a:effectLst/>
            </c:spPr>
            <c:extLst>
              <c:ext xmlns:c16="http://schemas.microsoft.com/office/drawing/2014/chart" uri="{C3380CC4-5D6E-409C-BE32-E72D297353CC}">
                <c16:uniqueId val="{0000000F-7E0A-411C-AE04-94959F2AAE87}"/>
              </c:ext>
            </c:extLst>
          </c:dPt>
          <c:dPt>
            <c:idx val="2"/>
            <c:invertIfNegative val="0"/>
            <c:bubble3D val="0"/>
            <c:extLst>
              <c:ext xmlns:c16="http://schemas.microsoft.com/office/drawing/2014/chart" uri="{C3380CC4-5D6E-409C-BE32-E72D297353CC}">
                <c16:uniqueId val="{00000011-7E0A-411C-AE04-94959F2AAE87}"/>
              </c:ext>
            </c:extLst>
          </c:dPt>
          <c:dPt>
            <c:idx val="3"/>
            <c:invertIfNegative val="0"/>
            <c:bubble3D val="0"/>
            <c:spPr>
              <a:solidFill>
                <a:srgbClr val="00B0F0"/>
              </a:solidFill>
              <a:ln>
                <a:noFill/>
              </a:ln>
              <a:effectLst/>
            </c:spPr>
            <c:extLst>
              <c:ext xmlns:c16="http://schemas.microsoft.com/office/drawing/2014/chart" uri="{C3380CC4-5D6E-409C-BE32-E72D297353CC}">
                <c16:uniqueId val="{00000013-7E0A-411C-AE04-94959F2AAE87}"/>
              </c:ext>
            </c:extLst>
          </c:dPt>
          <c:dPt>
            <c:idx val="4"/>
            <c:invertIfNegative val="0"/>
            <c:bubble3D val="0"/>
            <c:spPr>
              <a:solidFill>
                <a:srgbClr val="00B0F0"/>
              </a:solidFill>
              <a:ln>
                <a:noFill/>
              </a:ln>
              <a:effectLst/>
            </c:spPr>
            <c:extLst>
              <c:ext xmlns:c16="http://schemas.microsoft.com/office/drawing/2014/chart" uri="{C3380CC4-5D6E-409C-BE32-E72D297353CC}">
                <c16:uniqueId val="{00000015-7E0A-411C-AE04-94959F2AAE87}"/>
              </c:ext>
            </c:extLst>
          </c:dPt>
          <c:dLbls>
            <c:dLbl>
              <c:idx val="0"/>
              <c:layout>
                <c:manualLayout>
                  <c:x val="1.0631647081554276E-2"/>
                  <c:y val="-3.4643377795582339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D-7E0A-411C-AE04-94959F2AAE87}"/>
                </c:ext>
              </c:extLst>
            </c:dLbl>
            <c:dLbl>
              <c:idx val="1"/>
              <c:layout>
                <c:manualLayout>
                  <c:x val="4.2526588326217106E-3"/>
                  <c:y val="-4.4541485737177269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F-7E0A-411C-AE04-94959F2AAE87}"/>
                </c:ext>
              </c:extLst>
            </c:dLbl>
            <c:dLbl>
              <c:idx val="3"/>
              <c:layout>
                <c:manualLayout>
                  <c:x val="0"/>
                  <c:y val="-1.9796215883189857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3-7E0A-411C-AE04-94959F2AAE87}"/>
                </c:ext>
              </c:extLst>
            </c:dLbl>
            <c:dLbl>
              <c:idx val="4"/>
              <c:layout>
                <c:manualLayout>
                  <c:x val="0"/>
                  <c:y val="-1.4847161912392392E-2"/>
                </c:manualLayout>
              </c:layout>
              <c:dLblPos val="outEnd"/>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15-7E0A-411C-AE04-94959F2AAE8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Dashboard!$A$28:$A$33</c:f>
              <c:strCache>
                <c:ptCount val="5"/>
                <c:pt idx="0">
                  <c:v>Casual Footwear</c:v>
                </c:pt>
                <c:pt idx="1">
                  <c:v>Formals &amp; Boots</c:v>
                </c:pt>
                <c:pt idx="2">
                  <c:v>Ladies Footwear</c:v>
                </c:pt>
                <c:pt idx="3">
                  <c:v>Sneakers</c:v>
                </c:pt>
                <c:pt idx="4">
                  <c:v>Sports Shoes</c:v>
                </c:pt>
              </c:strCache>
            </c:strRef>
          </c:cat>
          <c:val>
            <c:numRef>
              <c:f>Dashboard!$D$28:$D$33</c:f>
              <c:numCache>
                <c:formatCode>"₹"\ #,##0</c:formatCode>
                <c:ptCount val="5"/>
                <c:pt idx="0">
                  <c:v>-190928</c:v>
                </c:pt>
                <c:pt idx="1">
                  <c:v>1691469.0000000005</c:v>
                </c:pt>
                <c:pt idx="2">
                  <c:v>3278374.5</c:v>
                </c:pt>
                <c:pt idx="3">
                  <c:v>6940538.4000000004</c:v>
                </c:pt>
                <c:pt idx="4">
                  <c:v>2981744</c:v>
                </c:pt>
              </c:numCache>
            </c:numRef>
          </c:val>
          <c:extLst>
            <c:ext xmlns:c16="http://schemas.microsoft.com/office/drawing/2014/chart" uri="{C3380CC4-5D6E-409C-BE32-E72D297353CC}">
              <c16:uniqueId val="{00000014-7E0A-411C-AE04-94959F2AAE87}"/>
            </c:ext>
          </c:extLst>
        </c:ser>
        <c:dLbls>
          <c:dLblPos val="outEnd"/>
          <c:showLegendKey val="0"/>
          <c:showVal val="1"/>
          <c:showCatName val="0"/>
          <c:showSerName val="0"/>
          <c:showPercent val="0"/>
          <c:showBubbleSize val="0"/>
        </c:dLbls>
        <c:gapWidth val="182"/>
        <c:axId val="2033203167"/>
        <c:axId val="2033201919"/>
      </c:barChart>
      <c:catAx>
        <c:axId val="2033203167"/>
        <c:scaling>
          <c:orientation val="minMax"/>
        </c:scaling>
        <c:delete val="0"/>
        <c:axPos val="l"/>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0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2033201919"/>
        <c:crosses val="autoZero"/>
        <c:auto val="1"/>
        <c:lblAlgn val="ctr"/>
        <c:lblOffset val="100"/>
        <c:noMultiLvlLbl val="0"/>
      </c:catAx>
      <c:valAx>
        <c:axId val="2033201919"/>
        <c:scaling>
          <c:orientation val="minMax"/>
        </c:scaling>
        <c:delete val="1"/>
        <c:axPos val="b"/>
        <c:numFmt formatCode="&quot;₹&quot;\ #,##0" sourceLinked="1"/>
        <c:majorTickMark val="none"/>
        <c:minorTickMark val="none"/>
        <c:tickLblPos val="nextTo"/>
        <c:crossAx val="2033203167"/>
        <c:crosses val="autoZero"/>
        <c:crossBetween val="between"/>
      </c:valAx>
      <c:spPr>
        <a:noFill/>
        <a:ln>
          <a:noFill/>
        </a:ln>
        <a:effectLst/>
      </c:spPr>
    </c:plotArea>
    <c:plotVisOnly val="1"/>
    <c:dispBlanksAs val="gap"/>
    <c:showDLblsOverMax val="0"/>
  </c:chart>
  <c:spPr>
    <a:no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Model.xlsx]Dashboard!Revenue Variance by Scenario</c:name>
    <c:fmtId val="9"/>
  </c:pivotSource>
  <c:chart>
    <c:title>
      <c:tx>
        <c:rich>
          <a:bodyPr rot="0" spcFirstLastPara="1" vertOverflow="ellipsis" vert="horz" wrap="square" anchor="ctr" anchorCtr="1"/>
          <a:lstStyle/>
          <a:p>
            <a:pPr>
              <a:defRPr sz="14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r>
              <a:rPr lang="en-IN" sz="1400" b="1" i="0" u="none" strike="noStrike" cap="none" normalizeH="0" baseline="0">
                <a:solidFill>
                  <a:schemeClr val="tx1"/>
                </a:solidFill>
                <a:effectLst/>
                <a:latin typeface="Adobe Fan Heiti Std B" panose="020B0700000000000000" pitchFamily="34" charset="-128"/>
                <a:ea typeface="Adobe Fan Heiti Std B" panose="020B0700000000000000" pitchFamily="34" charset="-128"/>
              </a:rPr>
              <a:t>Revenue Variance By Scenario (Monthly)</a:t>
            </a:r>
            <a:r>
              <a:rPr lang="en-IN" sz="1400" b="1" i="0" u="none" strike="noStrike" cap="none" normalizeH="0" baseline="0">
                <a:solidFill>
                  <a:schemeClr val="tx1"/>
                </a:solidFill>
                <a:latin typeface="Adobe Fan Heiti Std B" panose="020B0700000000000000" pitchFamily="34" charset="-128"/>
                <a:ea typeface="Adobe Fan Heiti Std B" panose="020B0700000000000000" pitchFamily="34" charset="-128"/>
              </a:rPr>
              <a:t> </a:t>
            </a:r>
            <a:endParaRPr lang="en-IN" sz="1400">
              <a:solidFill>
                <a:schemeClr val="tx1"/>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1" i="0" u="none" strike="noStrike" kern="1200" cap="none" spc="50" normalizeH="0" baseline="0">
              <a:solidFill>
                <a:schemeClr val="tx1"/>
              </a:solidFill>
              <a:latin typeface="Adobe Fan Heiti Std B" panose="020B0700000000000000" pitchFamily="34" charset="-128"/>
              <a:ea typeface="Adobe Fan Heiti Std B" panose="020B0700000000000000" pitchFamily="34" charset="-128"/>
              <a:cs typeface="+mj-cs"/>
            </a:defRPr>
          </a:pPr>
          <a:endParaRPr lang="en-US"/>
        </a:p>
      </c:txPr>
    </c:title>
    <c:autoTitleDeleted val="0"/>
    <c:pivotFmts>
      <c:pivotFmt>
        <c:idx val="0"/>
      </c:pivotFmt>
      <c:pivotFmt>
        <c:idx val="1"/>
      </c:pivotFmt>
      <c:pivotFmt>
        <c:idx val="2"/>
        <c:spPr>
          <a:solidFill>
            <a:schemeClr val="accent6">
              <a:lumMod val="60000"/>
              <a:lumOff val="40000"/>
            </a:schemeClr>
          </a:solidFill>
          <a:ln>
            <a:solidFill>
              <a:schemeClr val="tx1"/>
            </a:solidFill>
          </a:ln>
          <a:effectLst/>
        </c:spPr>
        <c:marker>
          <c:symbol val="none"/>
        </c:marker>
      </c:pivotFmt>
      <c:pivotFmt>
        <c:idx val="3"/>
        <c:spPr>
          <a:solidFill>
            <a:srgbClr val="FF5050">
              <a:alpha val="70000"/>
            </a:srgbClr>
          </a:solidFill>
          <a:ln>
            <a:solidFill>
              <a:schemeClr val="tx1"/>
            </a:solidFill>
          </a:ln>
          <a:effectLst/>
        </c:spPr>
        <c:marker>
          <c:symbol val="none"/>
        </c:marker>
      </c:pivotFmt>
      <c:pivotFmt>
        <c:idx val="4"/>
        <c:spPr>
          <a:solidFill>
            <a:schemeClr val="accent6">
              <a:lumMod val="60000"/>
              <a:lumOff val="40000"/>
            </a:schemeClr>
          </a:solidFill>
          <a:ln>
            <a:solidFill>
              <a:schemeClr val="tx1"/>
            </a:solidFill>
          </a:ln>
          <a:effectLst/>
        </c:spPr>
        <c:marker>
          <c:symbol val="none"/>
        </c:marker>
      </c:pivotFmt>
      <c:pivotFmt>
        <c:idx val="5"/>
        <c:spPr>
          <a:solidFill>
            <a:srgbClr val="FF5050">
              <a:alpha val="70000"/>
            </a:srgbClr>
          </a:solidFill>
          <a:ln>
            <a:solidFill>
              <a:schemeClr val="tx1"/>
            </a:solidFill>
          </a:ln>
          <a:effectLst/>
        </c:spPr>
        <c:marker>
          <c:symbol val="none"/>
        </c:marker>
      </c:pivotFmt>
      <c:pivotFmt>
        <c:idx val="6"/>
        <c:spPr>
          <a:solidFill>
            <a:schemeClr val="accent6">
              <a:lumMod val="60000"/>
              <a:lumOff val="40000"/>
            </a:schemeClr>
          </a:solidFill>
          <a:ln>
            <a:solidFill>
              <a:schemeClr val="tx1"/>
            </a:solidFill>
          </a:ln>
          <a:effectLst/>
        </c:spPr>
        <c:marker>
          <c:symbol val="none"/>
        </c:marker>
      </c:pivotFmt>
      <c:pivotFmt>
        <c:idx val="7"/>
        <c:spPr>
          <a:solidFill>
            <a:srgbClr val="FF5050">
              <a:alpha val="70000"/>
            </a:srgbClr>
          </a:solidFill>
          <a:ln>
            <a:solidFill>
              <a:schemeClr val="tx1"/>
            </a:solidFill>
          </a:ln>
          <a:effectLst/>
        </c:spPr>
        <c:marker>
          <c:symbol val="none"/>
        </c:marker>
      </c:pivotFmt>
      <c:pivotFmt>
        <c:idx val="8"/>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505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70000"/>
            </a:schemeClr>
          </a:solidFill>
          <a:ln>
            <a:noFill/>
          </a:ln>
          <a:effectLst/>
        </c:spPr>
        <c:marker>
          <c:symbol val="none"/>
        </c:marker>
      </c:pivotFmt>
      <c:pivotFmt>
        <c:idx val="13"/>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FF505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rgbClr val="00B0F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rgbClr val="FF0000">
              <a:alpha val="70000"/>
            </a:srgb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spPr>
          <a:solidFill>
            <a:srgbClr val="CC0000">
              <a:alpha val="69804"/>
            </a:srgbClr>
          </a:solidFill>
          <a:ln>
            <a:noFill/>
          </a:ln>
          <a:effectLst/>
        </c:spPr>
        <c:marker>
          <c:symbol val="none"/>
        </c:marker>
      </c:pivotFmt>
      <c:pivotFmt>
        <c:idx val="20"/>
        <c:spPr>
          <a:solidFill>
            <a:srgbClr val="00B0F0"/>
          </a:solidFill>
          <a:ln>
            <a:noFill/>
          </a:ln>
          <a:effectLst/>
        </c:spPr>
        <c:marker>
          <c:symbol val="none"/>
        </c:marker>
      </c:pivotFmt>
      <c:pivotFmt>
        <c:idx val="21"/>
        <c:spPr>
          <a:solidFill>
            <a:schemeClr val="accent1">
              <a:alpha val="70000"/>
            </a:schemeClr>
          </a:solidFill>
          <a:ln>
            <a:noFill/>
          </a:ln>
          <a:effectLst/>
        </c:spPr>
        <c:marker>
          <c:symbol val="none"/>
        </c:marker>
      </c:pivotFmt>
    </c:pivotFmts>
    <c:plotArea>
      <c:layout/>
      <c:barChart>
        <c:barDir val="col"/>
        <c:grouping val="clustered"/>
        <c:varyColors val="0"/>
        <c:ser>
          <c:idx val="0"/>
          <c:order val="0"/>
          <c:tx>
            <c:strRef>
              <c:f>Dashboard!$B$46:$B$47</c:f>
              <c:strCache>
                <c:ptCount val="1"/>
                <c:pt idx="0">
                  <c:v>Forecast (Base)</c:v>
                </c:pt>
              </c:strCache>
            </c:strRef>
          </c:tx>
          <c:spPr>
            <a:solidFill>
              <a:schemeClr val="accent1">
                <a:alpha val="70000"/>
              </a:scheme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Dashboard!$B$48:$B$60</c:f>
              <c:numCache>
                <c:formatCode>"₹"\ #,##0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6="http://schemas.microsoft.com/office/drawing/2014/chart" uri="{C3380CC4-5D6E-409C-BE32-E72D297353CC}">
              <c16:uniqueId val="{00000000-CC59-425D-80F9-C6EFCBDB8305}"/>
            </c:ext>
          </c:extLst>
        </c:ser>
        <c:ser>
          <c:idx val="1"/>
          <c:order val="1"/>
          <c:tx>
            <c:strRef>
              <c:f>Dashboard!$C$46:$C$47</c:f>
              <c:strCache>
                <c:ptCount val="1"/>
                <c:pt idx="0">
                  <c:v>Overperformance</c:v>
                </c:pt>
              </c:strCache>
            </c:strRef>
          </c:tx>
          <c:spPr>
            <a:solidFill>
              <a:srgbClr val="00B0F0"/>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Dashboard!$C$48:$C$60</c:f>
              <c:numCache>
                <c:formatCode>"₹"\ #,##0</c:formatCode>
                <c:ptCount val="12"/>
                <c:pt idx="0">
                  <c:v>8000254</c:v>
                </c:pt>
                <c:pt idx="1">
                  <c:v>7662564.0000000009</c:v>
                </c:pt>
                <c:pt idx="2">
                  <c:v>9147925.5000000019</c:v>
                </c:pt>
                <c:pt idx="3">
                  <c:v>9905764.0000000019</c:v>
                </c:pt>
                <c:pt idx="4">
                  <c:v>10244664</c:v>
                </c:pt>
                <c:pt idx="5">
                  <c:v>8662382.5</c:v>
                </c:pt>
                <c:pt idx="6">
                  <c:v>8716984.5</c:v>
                </c:pt>
                <c:pt idx="7">
                  <c:v>9981380.2000000011</c:v>
                </c:pt>
                <c:pt idx="8">
                  <c:v>9362334</c:v>
                </c:pt>
                <c:pt idx="9">
                  <c:v>13217542</c:v>
                </c:pt>
                <c:pt idx="10">
                  <c:v>11998887.500000004</c:v>
                </c:pt>
                <c:pt idx="11">
                  <c:v>10380511.200000003</c:v>
                </c:pt>
              </c:numCache>
            </c:numRef>
          </c:val>
          <c:extLst>
            <c:ext xmlns:c16="http://schemas.microsoft.com/office/drawing/2014/chart" uri="{C3380CC4-5D6E-409C-BE32-E72D297353CC}">
              <c16:uniqueId val="{00000001-CC59-425D-80F9-C6EFCBDB8305}"/>
            </c:ext>
          </c:extLst>
        </c:ser>
        <c:ser>
          <c:idx val="2"/>
          <c:order val="2"/>
          <c:tx>
            <c:strRef>
              <c:f>Dashboard!$D$46:$D$47</c:f>
              <c:strCache>
                <c:ptCount val="1"/>
                <c:pt idx="0">
                  <c:v>Underperformance</c:v>
                </c:pt>
              </c:strCache>
            </c:strRef>
          </c:tx>
          <c:spPr>
            <a:solidFill>
              <a:srgbClr val="CC0000">
                <a:alpha val="69804"/>
              </a:srgbClr>
            </a:solidFill>
            <a:ln>
              <a:noFill/>
            </a:ln>
            <a:effectLst/>
          </c:spPr>
          <c:invertIfNegative val="0"/>
          <c:cat>
            <c:strRef>
              <c:f>Dashboard!$A$48:$A$60</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Dashboard!$D$48:$D$60</c:f>
              <c:numCache>
                <c:formatCode>"₹"\ #,##0</c:formatCode>
                <c:ptCount val="12"/>
                <c:pt idx="0">
                  <c:v>-5457636</c:v>
                </c:pt>
                <c:pt idx="1">
                  <c:v>-5431118.4000000004</c:v>
                </c:pt>
                <c:pt idx="2">
                  <c:v>-5840018.0999999996</c:v>
                </c:pt>
                <c:pt idx="3">
                  <c:v>-5752474.2000000002</c:v>
                </c:pt>
                <c:pt idx="4">
                  <c:v>-6553519.2000000002</c:v>
                </c:pt>
                <c:pt idx="5">
                  <c:v>-6402806.6999999993</c:v>
                </c:pt>
                <c:pt idx="6">
                  <c:v>-5567089.5</c:v>
                </c:pt>
                <c:pt idx="7">
                  <c:v>-5592347.2000000002</c:v>
                </c:pt>
                <c:pt idx="8">
                  <c:v>-5792797.25</c:v>
                </c:pt>
                <c:pt idx="9">
                  <c:v>-7281742</c:v>
                </c:pt>
                <c:pt idx="10">
                  <c:v>-6459832.5</c:v>
                </c:pt>
                <c:pt idx="11">
                  <c:v>-6989743.1999999993</c:v>
                </c:pt>
              </c:numCache>
            </c:numRef>
          </c:val>
          <c:extLst>
            <c:ext xmlns:c16="http://schemas.microsoft.com/office/drawing/2014/chart" uri="{C3380CC4-5D6E-409C-BE32-E72D297353CC}">
              <c16:uniqueId val="{00000000-8AE7-41D7-97DD-98435EC00383}"/>
            </c:ext>
          </c:extLst>
        </c:ser>
        <c:dLbls>
          <c:showLegendKey val="0"/>
          <c:showVal val="0"/>
          <c:showCatName val="0"/>
          <c:showSerName val="0"/>
          <c:showPercent val="0"/>
          <c:showBubbleSize val="0"/>
        </c:dLbls>
        <c:gapWidth val="80"/>
        <c:overlap val="25"/>
        <c:axId val="1336618672"/>
        <c:axId val="1336624080"/>
      </c:barChart>
      <c:catAx>
        <c:axId val="1336618672"/>
        <c:scaling>
          <c:orientation val="minMax"/>
        </c:scaling>
        <c:delete val="0"/>
        <c:axPos val="b"/>
        <c:numFmt formatCode="General" sourceLinked="1"/>
        <c:majorTickMark val="none"/>
        <c:minorTickMark val="none"/>
        <c:tickLblPos val="high"/>
        <c:spPr>
          <a:noFill/>
          <a:ln w="15875" cap="flat" cmpd="sng" algn="ctr">
            <a:solidFill>
              <a:schemeClr val="tx1"/>
            </a:solidFill>
            <a:round/>
          </a:ln>
          <a:effectLst/>
        </c:spPr>
        <c:txPr>
          <a:bodyPr rot="-5400000" spcFirstLastPara="1" vertOverflow="ellipsis" wrap="square" anchor="ctr" anchorCtr="1"/>
          <a:lstStyle/>
          <a:p>
            <a:pPr>
              <a:defRPr sz="900" b="1" i="0" u="none" strike="noStrike" kern="1200" cap="none" spc="20" normalizeH="0" baseline="0">
                <a:solidFill>
                  <a:schemeClr val="tx1"/>
                </a:solidFill>
                <a:latin typeface="+mn-lt"/>
                <a:ea typeface="+mn-ea"/>
                <a:cs typeface="+mn-cs"/>
              </a:defRPr>
            </a:pPr>
            <a:endParaRPr lang="en-US"/>
          </a:p>
        </c:txPr>
        <c:crossAx val="1336624080"/>
        <c:crosses val="autoZero"/>
        <c:auto val="1"/>
        <c:lblAlgn val="ctr"/>
        <c:lblOffset val="100"/>
        <c:noMultiLvlLbl val="0"/>
      </c:catAx>
      <c:valAx>
        <c:axId val="1336624080"/>
        <c:scaling>
          <c:orientation val="minMax"/>
        </c:scaling>
        <c:delete val="0"/>
        <c:axPos val="l"/>
        <c:numFmt formatCode="&quot;₹&quot;\ #,##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spc="20" baseline="0">
                <a:solidFill>
                  <a:schemeClr val="tx1"/>
                </a:solidFill>
                <a:latin typeface="+mn-lt"/>
                <a:ea typeface="+mn-ea"/>
                <a:cs typeface="+mn-cs"/>
              </a:defRPr>
            </a:pPr>
            <a:endParaRPr lang="en-US"/>
          </a:p>
        </c:txPr>
        <c:crossAx val="1336618672"/>
        <c:crosses val="autoZero"/>
        <c:crossBetween val="between"/>
      </c:valAx>
      <c:spPr>
        <a:noFill/>
        <a:ln>
          <a:noFill/>
        </a:ln>
        <a:effectLst/>
      </c:spPr>
    </c:plotArea>
    <c:plotVisOnly val="1"/>
    <c:dispBlanksAs val="gap"/>
    <c:showDLblsOverMax val="0"/>
  </c:chart>
  <c:spPr>
    <a:noFill/>
    <a:ln w="9525" cap="rnd" cmpd="thickThin" algn="ctr">
      <a:solidFill>
        <a:schemeClr val="tx1"/>
      </a:solidFill>
      <a:round/>
    </a:ln>
    <a:effectLst/>
  </c:spPr>
  <c:txPr>
    <a:bodyPr/>
    <a:lstStyle/>
    <a:p>
      <a:pPr>
        <a:defRPr b="1">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Model.xlsx]Dashboard!Gross Profit Variance by Scenario</c:name>
    <c:fmtId val="8"/>
  </c:pivotSource>
  <c:chart>
    <c:title>
      <c:tx>
        <c:rich>
          <a:bodyPr rot="0" spcFirstLastPara="1" vertOverflow="ellipsis" vert="horz" wrap="square" anchor="ctr" anchorCtr="1"/>
          <a:lstStyle/>
          <a:p>
            <a:pPr>
              <a:defRPr sz="12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200" b="1"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Gross Profit Variance By Scenario (Monthly)</a:t>
            </a:r>
            <a:r>
              <a:rPr lang="en-IN" sz="12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sz="120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solidFill>
          <a:schemeClr val="bg1"/>
        </a:solidFill>
        <a:ln>
          <a:noFill/>
        </a:ln>
        <a:effectLst/>
      </c:spPr>
      <c:txPr>
        <a:bodyPr rot="0" spcFirstLastPara="1" vertOverflow="ellipsis" vert="horz" wrap="square" anchor="ctr" anchorCtr="1"/>
        <a:lstStyle/>
        <a:p>
          <a:pPr>
            <a:defRPr sz="12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lumMod val="60000"/>
              <a:lumOff val="40000"/>
            </a:schemeClr>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5050"/>
          </a:solidFill>
          <a:ln>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F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7"/>
        <c:spPr>
          <a:solidFill>
            <a:srgbClr val="002060"/>
          </a:solidFill>
          <a:ln>
            <a:no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ext>
          </c:extLst>
        </c:dLbl>
      </c:pivotFmt>
      <c:pivotFmt>
        <c:idx val="8"/>
        <c:spPr>
          <a:solidFill>
            <a:schemeClr val="accent1"/>
          </a:solidFill>
          <a:ln>
            <a:noFill/>
          </a:ln>
          <a:effectLst/>
        </c:spPr>
        <c:marker>
          <c:symbol val="none"/>
        </c:marker>
      </c:pivotFmt>
    </c:pivotFmts>
    <c:plotArea>
      <c:layout/>
      <c:barChart>
        <c:barDir val="bar"/>
        <c:grouping val="clustered"/>
        <c:varyColors val="0"/>
        <c:ser>
          <c:idx val="0"/>
          <c:order val="0"/>
          <c:tx>
            <c:strRef>
              <c:f>Dashboard!$B$63:$B$64</c:f>
              <c:strCache>
                <c:ptCount val="1"/>
                <c:pt idx="0">
                  <c:v>Forecast (Base)</c:v>
                </c:pt>
              </c:strCache>
            </c:strRef>
          </c:tx>
          <c:spPr>
            <a:solidFill>
              <a:schemeClr val="accent1"/>
            </a:solidFill>
            <a:ln>
              <a:noFill/>
            </a:ln>
            <a:effectLst/>
          </c:spPr>
          <c:invertIfNegative val="0"/>
          <c:dLbls>
            <c:delete val="1"/>
          </c:dLbls>
          <c:cat>
            <c:strRef>
              <c:f>Dashboard!$A$65:$A$70</c:f>
              <c:strCache>
                <c:ptCount val="5"/>
                <c:pt idx="0">
                  <c:v>Casual Footwear</c:v>
                </c:pt>
                <c:pt idx="1">
                  <c:v>Formals &amp; Boots</c:v>
                </c:pt>
                <c:pt idx="2">
                  <c:v>Ladies Footwear</c:v>
                </c:pt>
                <c:pt idx="3">
                  <c:v>Sneakers</c:v>
                </c:pt>
                <c:pt idx="4">
                  <c:v>Sports Shoes</c:v>
                </c:pt>
              </c:strCache>
            </c:strRef>
          </c:cat>
          <c:val>
            <c:numRef>
              <c:f>Dashboard!$B$65:$B$70</c:f>
              <c:numCache>
                <c:formatCode>"₹"\ #,##0</c:formatCode>
                <c:ptCount val="5"/>
                <c:pt idx="0">
                  <c:v>0</c:v>
                </c:pt>
                <c:pt idx="1">
                  <c:v>0</c:v>
                </c:pt>
                <c:pt idx="2">
                  <c:v>0</c:v>
                </c:pt>
                <c:pt idx="3">
                  <c:v>0</c:v>
                </c:pt>
                <c:pt idx="4">
                  <c:v>0</c:v>
                </c:pt>
              </c:numCache>
            </c:numRef>
          </c:val>
          <c:extLst>
            <c:ext xmlns:c16="http://schemas.microsoft.com/office/drawing/2014/chart" uri="{C3380CC4-5D6E-409C-BE32-E72D297353CC}">
              <c16:uniqueId val="{00000000-68B2-4797-9D9E-C60357DAA701}"/>
            </c:ext>
          </c:extLst>
        </c:ser>
        <c:ser>
          <c:idx val="1"/>
          <c:order val="1"/>
          <c:tx>
            <c:strRef>
              <c:f>Dashboard!$C$63:$C$64</c:f>
              <c:strCache>
                <c:ptCount val="1"/>
                <c:pt idx="0">
                  <c:v>Overperformance</c:v>
                </c:pt>
              </c:strCache>
            </c:strRef>
          </c:tx>
          <c:spPr>
            <a:solidFill>
              <a:srgbClr val="00B0F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Dashboard!$C$65:$C$70</c:f>
              <c:numCache>
                <c:formatCode>"₹"\ #,##0</c:formatCode>
                <c:ptCount val="5"/>
                <c:pt idx="0">
                  <c:v>17969350</c:v>
                </c:pt>
                <c:pt idx="1">
                  <c:v>15640828.5</c:v>
                </c:pt>
                <c:pt idx="2">
                  <c:v>16659517.1875</c:v>
                </c:pt>
                <c:pt idx="3">
                  <c:v>15075800</c:v>
                </c:pt>
                <c:pt idx="4">
                  <c:v>14244641.025000002</c:v>
                </c:pt>
              </c:numCache>
            </c:numRef>
          </c:val>
          <c:extLst>
            <c:ext xmlns:c16="http://schemas.microsoft.com/office/drawing/2014/chart" uri="{C3380CC4-5D6E-409C-BE32-E72D297353CC}">
              <c16:uniqueId val="{00000001-68B2-4797-9D9E-C60357DAA701}"/>
            </c:ext>
          </c:extLst>
        </c:ser>
        <c:ser>
          <c:idx val="2"/>
          <c:order val="2"/>
          <c:tx>
            <c:strRef>
              <c:f>Dashboard!$D$63:$D$64</c:f>
              <c:strCache>
                <c:ptCount val="1"/>
                <c:pt idx="0">
                  <c:v>Underperformance</c:v>
                </c:pt>
              </c:strCache>
            </c:strRef>
          </c:tx>
          <c:spPr>
            <a:solidFill>
              <a:srgbClr val="00206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dobe Fan Heiti Std B" panose="020B0700000000000000" pitchFamily="34" charset="-128"/>
                    <a:ea typeface="Adobe Fan Heiti Std B" panose="020B0700000000000000" pitchFamily="34" charset="-128"/>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Dashboard!$A$65:$A$70</c:f>
              <c:strCache>
                <c:ptCount val="5"/>
                <c:pt idx="0">
                  <c:v>Casual Footwear</c:v>
                </c:pt>
                <c:pt idx="1">
                  <c:v>Formals &amp; Boots</c:v>
                </c:pt>
                <c:pt idx="2">
                  <c:v>Ladies Footwear</c:v>
                </c:pt>
                <c:pt idx="3">
                  <c:v>Sneakers</c:v>
                </c:pt>
                <c:pt idx="4">
                  <c:v>Sports Shoes</c:v>
                </c:pt>
              </c:strCache>
            </c:strRef>
          </c:cat>
          <c:val>
            <c:numRef>
              <c:f>Dashboard!$D$65:$D$70</c:f>
              <c:numCache>
                <c:formatCode>"₹"\ #,##0</c:formatCode>
                <c:ptCount val="5"/>
                <c:pt idx="0">
                  <c:v>-7694928</c:v>
                </c:pt>
                <c:pt idx="1">
                  <c:v>-10100531</c:v>
                </c:pt>
                <c:pt idx="2">
                  <c:v>-10121625.5</c:v>
                </c:pt>
                <c:pt idx="3">
                  <c:v>-10211461.600000001</c:v>
                </c:pt>
                <c:pt idx="4">
                  <c:v>-9078256</c:v>
                </c:pt>
              </c:numCache>
            </c:numRef>
          </c:val>
          <c:extLst>
            <c:ext xmlns:c16="http://schemas.microsoft.com/office/drawing/2014/chart" uri="{C3380CC4-5D6E-409C-BE32-E72D297353CC}">
              <c16:uniqueId val="{00000000-F9FD-4028-B5F2-3CBBBBD3F820}"/>
            </c:ext>
          </c:extLst>
        </c:ser>
        <c:dLbls>
          <c:dLblPos val="ctr"/>
          <c:showLegendKey val="0"/>
          <c:showVal val="1"/>
          <c:showCatName val="0"/>
          <c:showSerName val="0"/>
          <c:showPercent val="0"/>
          <c:showBubbleSize val="0"/>
        </c:dLbls>
        <c:gapWidth val="182"/>
        <c:axId val="1421129872"/>
        <c:axId val="1421123216"/>
      </c:barChart>
      <c:catAx>
        <c:axId val="1421129872"/>
        <c:scaling>
          <c:orientation val="minMax"/>
        </c:scaling>
        <c:delete val="0"/>
        <c:axPos val="l"/>
        <c:numFmt formatCode="General" sourceLinked="1"/>
        <c:majorTickMark val="out"/>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23216"/>
        <c:crosses val="autoZero"/>
        <c:auto val="1"/>
        <c:lblAlgn val="ctr"/>
        <c:lblOffset val="100"/>
        <c:noMultiLvlLbl val="0"/>
      </c:catAx>
      <c:valAx>
        <c:axId val="1421123216"/>
        <c:scaling>
          <c:orientation val="minMax"/>
        </c:scaling>
        <c:delete val="1"/>
        <c:axPos val="b"/>
        <c:numFmt formatCode="&quot;₹&quot;\ #,##0" sourceLinked="1"/>
        <c:majorTickMark val="out"/>
        <c:minorTickMark val="none"/>
        <c:tickLblPos val="low"/>
        <c:crossAx val="1421129872"/>
        <c:crosses val="autoZero"/>
        <c:crossBetween val="between"/>
      </c:valAx>
      <c:spPr>
        <a:noFill/>
        <a:ln>
          <a:noFill/>
        </a:ln>
        <a:effectLst/>
      </c:spPr>
    </c:plotArea>
    <c:plotVisOnly val="1"/>
    <c:dispBlanksAs val="gap"/>
    <c:showDLblsOverMax val="0"/>
  </c:chart>
  <c:spPr>
    <a:no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[Sales Forecasting &amp; Variance Analysis Model.xlsx]Dashboard!Margin % Variance by Scenario</c:name>
    <c:fmtId val="2"/>
  </c:pivotSource>
  <c:chart>
    <c:title>
      <c:tx>
        <c:rich>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r>
              <a:rPr lang="en-IN" sz="1400" b="0" i="0" u="none" strike="noStrike" baseline="0">
                <a:solidFill>
                  <a:schemeClr val="tx1">
                    <a:lumMod val="95000"/>
                    <a:lumOff val="5000"/>
                  </a:schemeClr>
                </a:solidFill>
                <a:effectLst/>
                <a:latin typeface="Adobe Fan Heiti Std B" panose="020B0700000000000000" pitchFamily="34" charset="-128"/>
                <a:ea typeface="Adobe Fan Heiti Std B" panose="020B0700000000000000" pitchFamily="34" charset="-128"/>
              </a:rPr>
              <a:t>Margin % Variance by Scenario</a:t>
            </a:r>
            <a:r>
              <a:rPr lang="en-IN" sz="1400" b="0" i="0" u="none" strike="noStrike" baseline="0">
                <a:solidFill>
                  <a:schemeClr val="tx1">
                    <a:lumMod val="95000"/>
                    <a:lumOff val="5000"/>
                  </a:schemeClr>
                </a:solidFill>
                <a:latin typeface="Adobe Fan Heiti Std B" panose="020B0700000000000000" pitchFamily="34" charset="-128"/>
                <a:ea typeface="Adobe Fan Heiti Std B" panose="020B0700000000000000" pitchFamily="34" charset="-128"/>
              </a:rPr>
              <a:t> </a:t>
            </a:r>
            <a:endParaRPr lang="en-IN" b="0">
              <a:solidFill>
                <a:schemeClr val="tx1">
                  <a:lumMod val="95000"/>
                  <a:lumOff val="5000"/>
                </a:schemeClr>
              </a:solidFill>
              <a:latin typeface="Adobe Fan Heiti Std B" panose="020B0700000000000000" pitchFamily="34" charset="-128"/>
              <a:ea typeface="Adobe Fan Heiti Std B" panose="020B0700000000000000" pitchFamily="34" charset="-128"/>
            </a:endParaRP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title>
    <c:autoTitleDeleted val="0"/>
    <c:pivotFmts>
      <c:pivotFmt>
        <c:idx val="0"/>
        <c:spPr>
          <a:solidFill>
            <a:schemeClr val="accent1"/>
          </a:solidFill>
          <a:ln w="28575" cap="rnd">
            <a:solidFill>
              <a:schemeClr val="accent6">
                <a:lumMod val="60000"/>
                <a:lumOff val="40000"/>
              </a:schemeClr>
            </a:solidFill>
            <a:round/>
          </a:ln>
          <a:effectLst/>
        </c:spPr>
        <c:marker>
          <c:spPr>
            <a:solidFill>
              <a:schemeClr val="accent6">
                <a:lumMod val="75000"/>
              </a:schemeClr>
            </a:solidFill>
            <a:ln w="9525">
              <a:solidFill>
                <a:schemeClr val="tx1"/>
              </a:solidFill>
            </a:ln>
            <a:effectLst/>
          </c:spPr>
        </c:marker>
      </c:pivotFmt>
      <c:pivotFmt>
        <c:idx val="1"/>
        <c:spPr>
          <a:solidFill>
            <a:schemeClr val="accent1"/>
          </a:solidFill>
          <a:ln w="28575" cap="rnd">
            <a:solidFill>
              <a:srgbClr val="FF5050"/>
            </a:solidFill>
            <a:round/>
          </a:ln>
          <a:effectLst/>
        </c:spPr>
        <c:marker>
          <c:spPr>
            <a:solidFill>
              <a:srgbClr val="FF0000"/>
            </a:solidFill>
            <a:ln w="9525">
              <a:solidFill>
                <a:schemeClr val="tx1"/>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rgbClr val="00B0F0"/>
            </a:solidFill>
            <a:round/>
          </a:ln>
          <a:effectLst/>
        </c:spPr>
        <c:marker>
          <c:symbol val="circle"/>
          <c:size val="5"/>
          <c:spPr>
            <a:solidFill>
              <a:srgbClr val="002060"/>
            </a:solidFill>
            <a:ln w="9525">
              <a:solidFill>
                <a:srgbClr val="00B0F0"/>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
        <c:idx val="7"/>
        <c:spPr>
          <a:ln w="28575" cap="rnd">
            <a:solidFill>
              <a:srgbClr val="FF0000"/>
            </a:solidFill>
            <a:round/>
          </a:ln>
          <a:effectLst/>
        </c:spPr>
        <c:marker>
          <c:symbol val="circle"/>
          <c:size val="5"/>
          <c:spPr>
            <a:solidFill>
              <a:schemeClr val="tx1"/>
            </a:solidFill>
            <a:ln w="9525">
              <a:solidFill>
                <a:srgbClr val="FF0000"/>
              </a:solidFill>
            </a:ln>
            <a:effectLst/>
          </c:spPr>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15:layout/>
            </c:ext>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s>
    <c:plotArea>
      <c:layout/>
      <c:lineChart>
        <c:grouping val="standard"/>
        <c:varyColors val="0"/>
        <c:ser>
          <c:idx val="0"/>
          <c:order val="0"/>
          <c:tx>
            <c:strRef>
              <c:f>Dashboard!$B$73:$B$74</c:f>
              <c:strCache>
                <c:ptCount val="1"/>
                <c:pt idx="0">
                  <c:v>Forecast (Base)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delete val="1"/>
          </c:dLbls>
          <c:cat>
            <c:strRef>
              <c:f>Dashboard!$A$75:$A$80</c:f>
              <c:strCache>
                <c:ptCount val="5"/>
                <c:pt idx="0">
                  <c:v>Casual Footwear</c:v>
                </c:pt>
                <c:pt idx="1">
                  <c:v>Formals &amp; Boots</c:v>
                </c:pt>
                <c:pt idx="2">
                  <c:v>Ladies Footwear</c:v>
                </c:pt>
                <c:pt idx="3">
                  <c:v>Sneakers</c:v>
                </c:pt>
                <c:pt idx="4">
                  <c:v>Sports Shoes</c:v>
                </c:pt>
              </c:strCache>
            </c:strRef>
          </c:cat>
          <c:val>
            <c:numRef>
              <c:f>Dashboard!$B$75:$B$80</c:f>
              <c:numCache>
                <c:formatCode>0.00%</c:formatCode>
                <c:ptCount val="5"/>
                <c:pt idx="0">
                  <c:v>0</c:v>
                </c:pt>
                <c:pt idx="1">
                  <c:v>0</c:v>
                </c:pt>
                <c:pt idx="2">
                  <c:v>0</c:v>
                </c:pt>
                <c:pt idx="3">
                  <c:v>0</c:v>
                </c:pt>
                <c:pt idx="4">
                  <c:v>0</c:v>
                </c:pt>
              </c:numCache>
            </c:numRef>
          </c:val>
          <c:smooth val="0"/>
          <c:extLst>
            <c:ext xmlns:c16="http://schemas.microsoft.com/office/drawing/2014/chart" uri="{C3380CC4-5D6E-409C-BE32-E72D297353CC}">
              <c16:uniqueId val="{00000000-D32E-4D3A-9D95-C3C86FFB51AE}"/>
            </c:ext>
          </c:extLst>
        </c:ser>
        <c:ser>
          <c:idx val="1"/>
          <c:order val="1"/>
          <c:tx>
            <c:strRef>
              <c:f>Dashboard!$C$73:$C$74</c:f>
              <c:strCache>
                <c:ptCount val="1"/>
                <c:pt idx="0">
                  <c:v>Overperformance</c:v>
                </c:pt>
              </c:strCache>
            </c:strRef>
          </c:tx>
          <c:spPr>
            <a:ln w="28575" cap="rnd">
              <a:solidFill>
                <a:srgbClr val="00B0F0"/>
              </a:solidFill>
              <a:round/>
            </a:ln>
            <a:effectLst/>
          </c:spPr>
          <c:marker>
            <c:symbol val="circle"/>
            <c:size val="5"/>
            <c:spPr>
              <a:solidFill>
                <a:srgbClr val="002060"/>
              </a:solidFill>
              <a:ln w="9525">
                <a:solidFill>
                  <a:srgbClr val="00B0F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Dashboard!$C$75:$C$80</c:f>
              <c:numCache>
                <c:formatCode>0.00%</c:formatCode>
                <c:ptCount val="5"/>
                <c:pt idx="0">
                  <c:v>0.25996604578173593</c:v>
                </c:pt>
                <c:pt idx="1">
                  <c:v>0.13864982652111366</c:v>
                </c:pt>
                <c:pt idx="2">
                  <c:v>0.13660627154591526</c:v>
                </c:pt>
                <c:pt idx="3">
                  <c:v>8.3466694708686562E-2</c:v>
                </c:pt>
                <c:pt idx="4">
                  <c:v>0.1013727134281469</c:v>
                </c:pt>
              </c:numCache>
            </c:numRef>
          </c:val>
          <c:smooth val="0"/>
          <c:extLst>
            <c:ext xmlns:c16="http://schemas.microsoft.com/office/drawing/2014/chart" uri="{C3380CC4-5D6E-409C-BE32-E72D297353CC}">
              <c16:uniqueId val="{00000001-D32E-4D3A-9D95-C3C86FFB51AE}"/>
            </c:ext>
          </c:extLst>
        </c:ser>
        <c:ser>
          <c:idx val="2"/>
          <c:order val="2"/>
          <c:tx>
            <c:strRef>
              <c:f>Dashboard!$D$73:$D$74</c:f>
              <c:strCache>
                <c:ptCount val="1"/>
                <c:pt idx="0">
                  <c:v>Underperformance</c:v>
                </c:pt>
              </c:strCache>
            </c:strRef>
          </c:tx>
          <c:spPr>
            <a:ln w="28575" cap="rnd">
              <a:solidFill>
                <a:srgbClr val="FF0000"/>
              </a:solidFill>
              <a:round/>
            </a:ln>
            <a:effectLst/>
          </c:spPr>
          <c:marker>
            <c:symbol val="circle"/>
            <c:size val="5"/>
            <c:spPr>
              <a:solidFill>
                <a:schemeClr val="tx1"/>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Dashboard!$A$75:$A$80</c:f>
              <c:strCache>
                <c:ptCount val="5"/>
                <c:pt idx="0">
                  <c:v>Casual Footwear</c:v>
                </c:pt>
                <c:pt idx="1">
                  <c:v>Formals &amp; Boots</c:v>
                </c:pt>
                <c:pt idx="2">
                  <c:v>Ladies Footwear</c:v>
                </c:pt>
                <c:pt idx="3">
                  <c:v>Sneakers</c:v>
                </c:pt>
                <c:pt idx="4">
                  <c:v>Sports Shoes</c:v>
                </c:pt>
              </c:strCache>
            </c:strRef>
          </c:cat>
          <c:val>
            <c:numRef>
              <c:f>Dashboard!$D$75:$D$80</c:f>
              <c:numCache>
                <c:formatCode>0.00%</c:formatCode>
                <c:ptCount val="5"/>
                <c:pt idx="0">
                  <c:v>-0.42027073455644887</c:v>
                </c:pt>
                <c:pt idx="1">
                  <c:v>-0.24087603715573233</c:v>
                </c:pt>
                <c:pt idx="2">
                  <c:v>-0.23560434274719991</c:v>
                </c:pt>
                <c:pt idx="3">
                  <c:v>-0.11583770267000083</c:v>
                </c:pt>
                <c:pt idx="4">
                  <c:v>-0.15886937613741736</c:v>
                </c:pt>
              </c:numCache>
            </c:numRef>
          </c:val>
          <c:smooth val="0"/>
          <c:extLst>
            <c:ext xmlns:c16="http://schemas.microsoft.com/office/drawing/2014/chart" uri="{C3380CC4-5D6E-409C-BE32-E72D297353CC}">
              <c16:uniqueId val="{00000000-3797-40B4-8226-B2A17AE1EB94}"/>
            </c:ext>
          </c:extLst>
        </c:ser>
        <c:dLbls>
          <c:dLblPos val="b"/>
          <c:showLegendKey val="0"/>
          <c:showVal val="1"/>
          <c:showCatName val="0"/>
          <c:showSerName val="0"/>
          <c:showPercent val="0"/>
          <c:showBubbleSize val="0"/>
        </c:dLbls>
        <c:marker val="1"/>
        <c:smooth val="0"/>
        <c:axId val="1421130704"/>
        <c:axId val="1421135280"/>
      </c:lineChart>
      <c:catAx>
        <c:axId val="1421130704"/>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5280"/>
        <c:crosses val="autoZero"/>
        <c:auto val="1"/>
        <c:lblAlgn val="ctr"/>
        <c:lblOffset val="100"/>
        <c:noMultiLvlLbl val="0"/>
      </c:catAx>
      <c:valAx>
        <c:axId val="1421135280"/>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95000"/>
                    <a:lumOff val="5000"/>
                  </a:schemeClr>
                </a:solidFill>
                <a:latin typeface="Adobe Fan Heiti Std B" panose="020B0700000000000000" pitchFamily="34" charset="-128"/>
                <a:ea typeface="Adobe Fan Heiti Std B" panose="020B0700000000000000" pitchFamily="34" charset="-128"/>
                <a:cs typeface="+mn-cs"/>
              </a:defRPr>
            </a:pPr>
            <a:endParaRPr lang="en-US"/>
          </a:p>
        </c:txPr>
        <c:crossAx val="1421130704"/>
        <c:crosses val="autoZero"/>
        <c:crossBetween val="between"/>
      </c:valAx>
      <c:spPr>
        <a:noFill/>
        <a:ln>
          <a:noFill/>
        </a:ln>
        <a:effectLst/>
      </c:spPr>
    </c:plotArea>
    <c:plotVisOnly val="1"/>
    <c:dispBlanksAs val="gap"/>
    <c:showDLblsOverMax val="0"/>
  </c:chart>
  <c:spPr>
    <a:solidFill>
      <a:schemeClr val="bg1"/>
    </a:solidFill>
    <a:ln w="9525" cap="rnd" cmpd="thickThin"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image" Target="../media/image1.pn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16</xdr:col>
      <xdr:colOff>583408</xdr:colOff>
      <xdr:row>7</xdr:row>
      <xdr:rowOff>33336</xdr:rowOff>
    </xdr:from>
    <xdr:to>
      <xdr:col>19</xdr:col>
      <xdr:colOff>130970</xdr:colOff>
      <xdr:row>16</xdr:row>
      <xdr:rowOff>11907</xdr:rowOff>
    </xdr:to>
    <mc:AlternateContent xmlns:mc="http://schemas.openxmlformats.org/markup-compatibility/2006" xmlns:a14="http://schemas.microsoft.com/office/drawing/2010/main">
      <mc:Choice Requires="a14">
        <xdr:graphicFrame macro="">
          <xdr:nvGraphicFramePr>
            <xdr:cNvPr id="10" name="Forecast Scenario"/>
            <xdr:cNvGraphicFramePr/>
          </xdr:nvGraphicFramePr>
          <xdr:xfrm>
            <a:off x="0" y="0"/>
            <a:ext cx="0" cy="0"/>
          </xdr:xfrm>
          <a:graphic>
            <a:graphicData uri="http://schemas.microsoft.com/office/drawing/2010/slicer">
              <sle:slicer xmlns:sle="http://schemas.microsoft.com/office/drawing/2010/slicer" name="Forecast Scenario"/>
            </a:graphicData>
          </a:graphic>
        </xdr:graphicFrame>
      </mc:Choice>
      <mc:Fallback xmlns="">
        <xdr:sp macro="" textlink="">
          <xdr:nvSpPr>
            <xdr:cNvPr id="0" name=""/>
            <xdr:cNvSpPr>
              <a:spLocks noTextEdit="1"/>
            </xdr:cNvSpPr>
          </xdr:nvSpPr>
          <xdr:spPr>
            <a:xfrm>
              <a:off x="14347033" y="1688305"/>
              <a:ext cx="1369218" cy="176450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465745</xdr:colOff>
      <xdr:row>7</xdr:row>
      <xdr:rowOff>25632</xdr:rowOff>
    </xdr:from>
    <xdr:to>
      <xdr:col>16</xdr:col>
      <xdr:colOff>535081</xdr:colOff>
      <xdr:row>25</xdr:row>
      <xdr:rowOff>83343</xdr:rowOff>
    </xdr:to>
    <mc:AlternateContent xmlns:mc="http://schemas.openxmlformats.org/markup-compatibility/2006" xmlns:a14="http://schemas.microsoft.com/office/drawing/2010/main">
      <mc:Choice Requires="a14">
        <xdr:graphicFrame macro="">
          <xdr:nvGraphicFramePr>
            <xdr:cNvPr id="8" name="Month"/>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3014933" y="1680601"/>
              <a:ext cx="1283774" cy="36295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605817</xdr:colOff>
      <xdr:row>16</xdr:row>
      <xdr:rowOff>83342</xdr:rowOff>
    </xdr:from>
    <xdr:to>
      <xdr:col>19</xdr:col>
      <xdr:colOff>130969</xdr:colOff>
      <xdr:row>25</xdr:row>
      <xdr:rowOff>95249</xdr:rowOff>
    </xdr:to>
    <mc:AlternateContent xmlns:mc="http://schemas.openxmlformats.org/markup-compatibility/2006" xmlns:a14="http://schemas.microsoft.com/office/drawing/2010/main">
      <mc:Choice Requires="a14">
        <xdr:graphicFrame macro="">
          <xdr:nvGraphicFramePr>
            <xdr:cNvPr id="9" name="Product"/>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14369442" y="3524248"/>
              <a:ext cx="1346808" cy="17978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47624</xdr:colOff>
      <xdr:row>7</xdr:row>
      <xdr:rowOff>2803</xdr:rowOff>
    </xdr:from>
    <xdr:to>
      <xdr:col>14</xdr:col>
      <xdr:colOff>355929</xdr:colOff>
      <xdr:row>25</xdr:row>
      <xdr:rowOff>88947</xdr:rowOff>
    </xdr:to>
    <xdr:graphicFrame macro="">
      <xdr:nvGraphicFramePr>
        <xdr:cNvPr id="11" name="Chart 10"/>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83344</xdr:colOff>
      <xdr:row>26</xdr:row>
      <xdr:rowOff>34319</xdr:rowOff>
    </xdr:from>
    <xdr:to>
      <xdr:col>19</xdr:col>
      <xdr:colOff>119063</xdr:colOff>
      <xdr:row>41</xdr:row>
      <xdr:rowOff>59531</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511968</xdr:colOff>
      <xdr:row>1</xdr:row>
      <xdr:rowOff>56732</xdr:rowOff>
    </xdr:from>
    <xdr:to>
      <xdr:col>2</xdr:col>
      <xdr:colOff>1119187</xdr:colOff>
      <xdr:row>6</xdr:row>
      <xdr:rowOff>35718</xdr:rowOff>
    </xdr:to>
    <xdr:sp macro="" textlink="">
      <xdr:nvSpPr>
        <xdr:cNvPr id="4" name="TextBox 3"/>
        <xdr:cNvSpPr txBox="1"/>
      </xdr:nvSpPr>
      <xdr:spPr>
        <a:xfrm>
          <a:off x="2024062" y="461545"/>
          <a:ext cx="1738313"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(Overperformance)</a:t>
          </a:r>
        </a:p>
        <a:p>
          <a:pPr algn="ctr"/>
          <a:r>
            <a:rPr lang="en-IN" sz="1100" b="1" i="0" u="none" strike="noStrike">
              <a:solidFill>
                <a:sysClr val="windowText" lastClr="000000"/>
              </a:solidFill>
              <a:effectLst/>
              <a:latin typeface="+mn-lt"/>
              <a:ea typeface="+mn-ea"/>
              <a:cs typeface="+mn-cs"/>
            </a:rPr>
            <a:t>₹ </a:t>
          </a:r>
          <a:r>
            <a:rPr lang="en-IN" sz="2800" b="1" i="0" u="none" strike="noStrike">
              <a:ln>
                <a:solidFill>
                  <a:schemeClr val="tx1"/>
                </a:solidFill>
              </a:ln>
              <a:solidFill>
                <a:schemeClr val="accent6">
                  <a:lumMod val="60000"/>
                  <a:lumOff val="40000"/>
                </a:schemeClr>
              </a:solidFill>
              <a:effectLst/>
              <a:latin typeface="+mn-lt"/>
              <a:ea typeface="+mn-ea"/>
              <a:cs typeface="+mn-cs"/>
            </a:rPr>
            <a:t>30.70</a:t>
          </a:r>
          <a:r>
            <a:rPr lang="en-IN" sz="2800" b="1" i="0" u="none" strike="noStrike" baseline="0">
              <a:ln>
                <a:solidFill>
                  <a:schemeClr val="tx1"/>
                </a:solidFill>
              </a:ln>
              <a:solidFill>
                <a:schemeClr val="accent6">
                  <a:lumMod val="60000"/>
                  <a:lumOff val="40000"/>
                </a:schemeClr>
              </a:solidFill>
              <a:effectLst/>
              <a:latin typeface="+mn-lt"/>
              <a:ea typeface="+mn-ea"/>
              <a:cs typeface="+mn-cs"/>
            </a:rPr>
            <a:t> CR</a:t>
          </a:r>
          <a:endParaRPr lang="en-IN" sz="2800">
            <a:ln>
              <a:solidFill>
                <a:schemeClr val="tx1"/>
              </a:solidFill>
            </a:ln>
            <a:solidFill>
              <a:schemeClr val="accent6">
                <a:lumMod val="60000"/>
                <a:lumOff val="40000"/>
              </a:schemeClr>
            </a:solidFill>
            <a:effectLst/>
          </a:endParaRPr>
        </a:p>
      </xdr:txBody>
    </xdr:sp>
    <xdr:clientData/>
  </xdr:twoCellAnchor>
  <xdr:twoCellAnchor>
    <xdr:from>
      <xdr:col>4</xdr:col>
      <xdr:colOff>1036267</xdr:colOff>
      <xdr:row>1</xdr:row>
      <xdr:rowOff>59530</xdr:rowOff>
    </xdr:from>
    <xdr:to>
      <xdr:col>8</xdr:col>
      <xdr:colOff>476250</xdr:colOff>
      <xdr:row>6</xdr:row>
      <xdr:rowOff>59531</xdr:rowOff>
    </xdr:to>
    <xdr:sp macro="" textlink="">
      <xdr:nvSpPr>
        <xdr:cNvPr id="12" name="TextBox 11"/>
        <xdr:cNvSpPr txBox="1"/>
      </xdr:nvSpPr>
      <xdr:spPr>
        <a:xfrm>
          <a:off x="6382173" y="416718"/>
          <a:ext cx="2999952" cy="1107282"/>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a:latin typeface="Adobe Fan Heiti Std B" panose="020B0700000000000000" pitchFamily="34" charset="-128"/>
              <a:ea typeface="Adobe Fan Heiti Std B" panose="020B0700000000000000" pitchFamily="34" charset="-128"/>
            </a:rPr>
            <a:t>Total Units Sold</a:t>
          </a:r>
          <a:endPar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endParaRPr>
        </a:p>
        <a:p>
          <a:pPr algn="ctr"/>
          <a:r>
            <a:rPr lang="en-IN" sz="1000" b="1" i="0" u="none" strike="noStrike">
              <a:solidFill>
                <a:schemeClr val="dk1"/>
              </a:solidFill>
              <a:effectLst/>
              <a:latin typeface="Adobe Fan Heiti Std B" panose="020B0700000000000000" pitchFamily="34" charset="-128"/>
              <a:ea typeface="Adobe Fan Heiti Std B" panose="020B0700000000000000" pitchFamily="34" charset="-128"/>
              <a:cs typeface="+mn-cs"/>
            </a:rPr>
            <a:t>(Over</a:t>
          </a:r>
          <a:r>
            <a:rPr lang="en-IN" sz="1000" b="1"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 Vs Under)</a:t>
          </a:r>
          <a:endParaRPr lang="en-IN" sz="1100" b="1" i="0" u="none" strike="noStrike" baseline="0">
            <a:solidFill>
              <a:schemeClr val="dk1"/>
            </a:solidFill>
            <a:effectLst/>
            <a:latin typeface="+mn-lt"/>
            <a:ea typeface="+mn-ea"/>
            <a:cs typeface="+mn-cs"/>
          </a:endParaRPr>
        </a:p>
        <a:p>
          <a:pPr algn="ctr"/>
          <a:r>
            <a:rPr lang="en-IN" sz="2400" b="1" i="0" u="none" strike="noStrike">
              <a:ln>
                <a:solidFill>
                  <a:schemeClr val="tx1"/>
                </a:solidFill>
              </a:ln>
              <a:solidFill>
                <a:schemeClr val="accent6">
                  <a:lumMod val="60000"/>
                  <a:lumOff val="40000"/>
                </a:schemeClr>
              </a:solidFill>
              <a:effectLst/>
              <a:latin typeface="+mn-lt"/>
              <a:ea typeface="+mn-ea"/>
              <a:cs typeface="+mn-cs"/>
            </a:rPr>
            <a:t>1,60,693 </a:t>
          </a:r>
          <a:r>
            <a:rPr lang="en-IN" sz="2000" b="1">
              <a:solidFill>
                <a:schemeClr val="tx1">
                  <a:lumMod val="95000"/>
                  <a:lumOff val="5000"/>
                </a:schemeClr>
              </a:solidFill>
              <a:effectLst/>
            </a:rPr>
            <a:t> </a:t>
          </a:r>
          <a:r>
            <a:rPr lang="en-IN" sz="1400" b="1">
              <a:solidFill>
                <a:schemeClr val="tx1">
                  <a:lumMod val="95000"/>
                  <a:lumOff val="5000"/>
                </a:schemeClr>
              </a:solidFill>
              <a:effectLst/>
            </a:rPr>
            <a:t>Vs</a:t>
          </a:r>
          <a:r>
            <a:rPr lang="en-IN" sz="2000" b="1">
              <a:solidFill>
                <a:schemeClr val="tx1">
                  <a:lumMod val="95000"/>
                  <a:lumOff val="5000"/>
                </a:schemeClr>
              </a:solidFill>
              <a:effectLst/>
            </a:rPr>
            <a:t>  </a:t>
          </a:r>
          <a:r>
            <a:rPr lang="en-IN" sz="2400" b="1">
              <a:ln>
                <a:solidFill>
                  <a:schemeClr val="tx1"/>
                </a:solidFill>
              </a:ln>
              <a:solidFill>
                <a:srgbClr val="FF5050"/>
              </a:solidFill>
              <a:effectLst/>
            </a:rPr>
            <a:t>78,109</a:t>
          </a:r>
        </a:p>
      </xdr:txBody>
    </xdr:sp>
    <xdr:clientData/>
  </xdr:twoCellAnchor>
  <xdr:twoCellAnchor>
    <xdr:from>
      <xdr:col>4</xdr:col>
      <xdr:colOff>91746</xdr:colOff>
      <xdr:row>26</xdr:row>
      <xdr:rowOff>51547</xdr:rowOff>
    </xdr:from>
    <xdr:to>
      <xdr:col>10</xdr:col>
      <xdr:colOff>11906</xdr:colOff>
      <xdr:row>41</xdr:row>
      <xdr:rowOff>47625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119062</xdr:colOff>
      <xdr:row>43</xdr:row>
      <xdr:rowOff>83344</xdr:rowOff>
    </xdr:from>
    <xdr:to>
      <xdr:col>13</xdr:col>
      <xdr:colOff>154781</xdr:colOff>
      <xdr:row>59</xdr:row>
      <xdr:rowOff>59533</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130968</xdr:colOff>
      <xdr:row>59</xdr:row>
      <xdr:rowOff>152398</xdr:rowOff>
    </xdr:from>
    <xdr:to>
      <xdr:col>10</xdr:col>
      <xdr:colOff>547687</xdr:colOff>
      <xdr:row>79</xdr:row>
      <xdr:rowOff>178592</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59532</xdr:colOff>
      <xdr:row>59</xdr:row>
      <xdr:rowOff>164306</xdr:rowOff>
    </xdr:from>
    <xdr:to>
      <xdr:col>19</xdr:col>
      <xdr:colOff>142874</xdr:colOff>
      <xdr:row>79</xdr:row>
      <xdr:rowOff>154781</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178594</xdr:colOff>
      <xdr:row>43</xdr:row>
      <xdr:rowOff>80962</xdr:rowOff>
    </xdr:from>
    <xdr:to>
      <xdr:col>19</xdr:col>
      <xdr:colOff>142875</xdr:colOff>
      <xdr:row>59</xdr:row>
      <xdr:rowOff>71438</xdr:rowOff>
    </xdr:to>
    <mc:AlternateContent xmlns:mc="http://schemas.openxmlformats.org/markup-compatibility/2006" xmlns:a14="http://schemas.microsoft.com/office/drawing/2010/main">
      <mc:Choice Requires="a14">
        <xdr:graphicFrame macro="">
          <xdr:nvGraphicFramePr>
            <xdr:cNvPr id="18" name="Month 1"/>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13858875" y="9105900"/>
              <a:ext cx="1785937" cy="310991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130968</xdr:colOff>
      <xdr:row>33</xdr:row>
      <xdr:rowOff>59530</xdr:rowOff>
    </xdr:from>
    <xdr:to>
      <xdr:col>3</xdr:col>
      <xdr:colOff>1131093</xdr:colOff>
      <xdr:row>41</xdr:row>
      <xdr:rowOff>107156</xdr:rowOff>
    </xdr:to>
    <xdr:sp macro="" textlink="">
      <xdr:nvSpPr>
        <xdr:cNvPr id="21" name="TextBox 20"/>
        <xdr:cNvSpPr txBox="1"/>
      </xdr:nvSpPr>
      <xdr:spPr>
        <a:xfrm>
          <a:off x="3131343" y="6810374"/>
          <a:ext cx="2131219" cy="1643063"/>
        </a:xfrm>
        <a:prstGeom prst="flowChartPreparation">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Avg. Margin %</a:t>
          </a:r>
        </a:p>
        <a:p>
          <a:pPr algn="ctr"/>
          <a:r>
            <a:rPr lang="en-IN" sz="1000" b="1">
              <a:solidFill>
                <a:schemeClr val="tx1">
                  <a:lumMod val="95000"/>
                  <a:lumOff val="5000"/>
                </a:schemeClr>
              </a:solidFill>
              <a:latin typeface="Adobe Fan Heiti Std B" panose="020B0700000000000000" pitchFamily="34" charset="-128"/>
              <a:ea typeface="Adobe Fan Heiti Std B" panose="020B0700000000000000" pitchFamily="34" charset="-128"/>
            </a:rPr>
            <a:t>(Over Vs Under)</a:t>
          </a:r>
        </a:p>
        <a:p>
          <a:pPr algn="ctr"/>
          <a:r>
            <a:rPr lang="en-IN" sz="2800" b="1">
              <a:ln>
                <a:solidFill>
                  <a:schemeClr val="tx1"/>
                </a:solidFill>
              </a:ln>
              <a:solidFill>
                <a:schemeClr val="accent4">
                  <a:lumMod val="40000"/>
                  <a:lumOff val="60000"/>
                </a:schemeClr>
              </a:solidFill>
              <a:latin typeface="+mn-lt"/>
              <a:ea typeface="Adobe Fan Heiti Std B" panose="020B0700000000000000" pitchFamily="34" charset="-128"/>
            </a:rPr>
            <a:t>45.99%</a:t>
          </a:r>
        </a:p>
        <a:p>
          <a:pPr algn="ctr"/>
          <a:r>
            <a:rPr lang="en-IN" sz="1400" b="1">
              <a:ln>
                <a:noFill/>
              </a:ln>
              <a:solidFill>
                <a:schemeClr val="tx1"/>
              </a:solidFill>
              <a:latin typeface="+mn-lt"/>
              <a:ea typeface="Adobe Fan Heiti Std B" panose="020B0700000000000000" pitchFamily="34" charset="-128"/>
            </a:rPr>
            <a:t>Vs</a:t>
          </a:r>
          <a:endParaRPr lang="en-IN" sz="1400" b="1" baseline="0">
            <a:ln>
              <a:noFill/>
            </a:ln>
            <a:solidFill>
              <a:schemeClr val="tx1"/>
            </a:solidFill>
            <a:latin typeface="+mn-lt"/>
            <a:ea typeface="Adobe Fan Heiti Std B" panose="020B0700000000000000" pitchFamily="34" charset="-128"/>
          </a:endParaRPr>
        </a:p>
        <a:p>
          <a:pPr algn="ctr"/>
          <a:r>
            <a:rPr lang="en-IN" sz="2800" b="1" baseline="0">
              <a:ln>
                <a:solidFill>
                  <a:schemeClr val="tx1"/>
                </a:solidFill>
              </a:ln>
              <a:solidFill>
                <a:schemeClr val="accent4">
                  <a:lumMod val="40000"/>
                  <a:lumOff val="60000"/>
                </a:schemeClr>
              </a:solidFill>
              <a:latin typeface="+mn-lt"/>
              <a:ea typeface="Adobe Fan Heiti Std B" panose="020B0700000000000000" pitchFamily="34" charset="-128"/>
            </a:rPr>
            <a:t>12.53%</a:t>
          </a:r>
          <a:endParaRPr lang="en-IN" sz="2800" b="1">
            <a:ln>
              <a:solidFill>
                <a:schemeClr val="tx1"/>
              </a:solidFill>
            </a:ln>
            <a:solidFill>
              <a:schemeClr val="accent4">
                <a:lumMod val="40000"/>
                <a:lumOff val="60000"/>
              </a:schemeClr>
            </a:solidFill>
            <a:latin typeface="+mn-lt"/>
            <a:ea typeface="Adobe Fan Heiti Std B" panose="020B0700000000000000" pitchFamily="34" charset="-128"/>
          </a:endParaRPr>
        </a:p>
      </xdr:txBody>
    </xdr:sp>
    <xdr:clientData/>
  </xdr:twoCellAnchor>
  <xdr:twoCellAnchor editAs="oneCell">
    <xdr:from>
      <xdr:col>13</xdr:col>
      <xdr:colOff>380999</xdr:colOff>
      <xdr:row>49</xdr:row>
      <xdr:rowOff>92869</xdr:rowOff>
    </xdr:from>
    <xdr:to>
      <xdr:col>16</xdr:col>
      <xdr:colOff>114300</xdr:colOff>
      <xdr:row>59</xdr:row>
      <xdr:rowOff>107155</xdr:rowOff>
    </xdr:to>
    <mc:AlternateContent xmlns:mc="http://schemas.openxmlformats.org/markup-compatibility/2006" xmlns:a14="http://schemas.microsoft.com/office/drawing/2010/main">
      <mc:Choice Requires="a14">
        <xdr:graphicFrame macro="">
          <xdr:nvGraphicFramePr>
            <xdr:cNvPr id="19" name="Product 1"/>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2322968" y="10332244"/>
              <a:ext cx="1554957" cy="1919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380999</xdr:colOff>
      <xdr:row>43</xdr:row>
      <xdr:rowOff>80965</xdr:rowOff>
    </xdr:from>
    <xdr:to>
      <xdr:col>16</xdr:col>
      <xdr:colOff>126204</xdr:colOff>
      <xdr:row>49</xdr:row>
      <xdr:rowOff>35722</xdr:rowOff>
    </xdr:to>
    <mc:AlternateContent xmlns:mc="http://schemas.openxmlformats.org/markup-compatibility/2006" xmlns:a14="http://schemas.microsoft.com/office/drawing/2010/main">
      <mc:Choice Requires="a14">
        <xdr:graphicFrame macro="">
          <xdr:nvGraphicFramePr>
            <xdr:cNvPr id="20" name="Scenario"/>
            <xdr:cNvGraphicFramePr/>
          </xdr:nvGraphicFramePr>
          <xdr:xfrm>
            <a:off x="0" y="0"/>
            <a:ext cx="0" cy="0"/>
          </xdr:xfrm>
          <a:graphic>
            <a:graphicData uri="http://schemas.microsoft.com/office/drawing/2010/slicer">
              <sle:slicer xmlns:sle="http://schemas.microsoft.com/office/drawing/2010/slicer" name="Scenario"/>
            </a:graphicData>
          </a:graphic>
        </xdr:graphicFrame>
      </mc:Choice>
      <mc:Fallback xmlns="">
        <xdr:sp macro="" textlink="">
          <xdr:nvSpPr>
            <xdr:cNvPr id="0" name=""/>
            <xdr:cNvSpPr>
              <a:spLocks noTextEdit="1"/>
            </xdr:cNvSpPr>
          </xdr:nvSpPr>
          <xdr:spPr>
            <a:xfrm>
              <a:off x="12322968" y="8974934"/>
              <a:ext cx="1566861" cy="116919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152823</xdr:colOff>
      <xdr:row>1</xdr:row>
      <xdr:rowOff>69056</xdr:rowOff>
    </xdr:from>
    <xdr:to>
      <xdr:col>12</xdr:col>
      <xdr:colOff>273844</xdr:colOff>
      <xdr:row>6</xdr:row>
      <xdr:rowOff>95249</xdr:rowOff>
    </xdr:to>
    <xdr:sp macro="" textlink="">
      <xdr:nvSpPr>
        <xdr:cNvPr id="22" name="TextBox 21"/>
        <xdr:cNvSpPr txBox="1"/>
      </xdr:nvSpPr>
      <xdr:spPr>
        <a:xfrm>
          <a:off x="9665917" y="426244"/>
          <a:ext cx="1942677" cy="1133474"/>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Best Performing Product</a:t>
          </a:r>
        </a:p>
        <a:p>
          <a:pPr algn="ctr"/>
          <a:r>
            <a:rPr lang="en-IN" sz="1100" b="1" i="0" u="none" strike="noStrike" baseline="0">
              <a:solidFill>
                <a:schemeClr val="dk1"/>
              </a:solidFill>
              <a:effectLst/>
              <a:latin typeface="+mn-lt"/>
              <a:ea typeface="+mn-ea"/>
              <a:cs typeface="+mn-cs"/>
            </a:rPr>
            <a:t>(By Gross Profit)</a:t>
          </a:r>
        </a:p>
        <a:p>
          <a:pPr algn="ctr"/>
          <a:r>
            <a:rPr lang="en-IN" sz="2800" b="1" i="0" u="none" strike="noStrike">
              <a:ln>
                <a:solidFill>
                  <a:schemeClr val="tx1"/>
                </a:solidFill>
              </a:ln>
              <a:solidFill>
                <a:srgbClr val="0070C0"/>
              </a:solidFill>
              <a:effectLst/>
              <a:latin typeface="+mn-lt"/>
              <a:ea typeface="+mn-ea"/>
              <a:cs typeface="+mn-cs"/>
            </a:rPr>
            <a:t>Sneakers</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16</xdr:col>
      <xdr:colOff>67097</xdr:colOff>
      <xdr:row>1</xdr:row>
      <xdr:rowOff>54767</xdr:rowOff>
    </xdr:from>
    <xdr:to>
      <xdr:col>18</xdr:col>
      <xdr:colOff>592931</xdr:colOff>
      <xdr:row>6</xdr:row>
      <xdr:rowOff>71437</xdr:rowOff>
    </xdr:to>
    <xdr:sp macro="" textlink="">
      <xdr:nvSpPr>
        <xdr:cNvPr id="23" name="TextBox 22"/>
        <xdr:cNvSpPr txBox="1"/>
      </xdr:nvSpPr>
      <xdr:spPr>
        <a:xfrm>
          <a:off x="13830722" y="411955"/>
          <a:ext cx="1740272" cy="1123951"/>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Month With Highest Revenue</a:t>
          </a:r>
          <a:endParaRPr lang="en-IN" sz="1100" b="1" i="0" u="none" strike="noStrike" baseline="0">
            <a:solidFill>
              <a:schemeClr val="dk1"/>
            </a:solidFill>
            <a:effectLst/>
            <a:latin typeface="+mn-lt"/>
            <a:ea typeface="+mn-ea"/>
            <a:cs typeface="+mn-cs"/>
          </a:endParaRPr>
        </a:p>
        <a:p>
          <a:pPr algn="ctr"/>
          <a:r>
            <a:rPr lang="en-IN" sz="2800" b="1" i="0" u="none" strike="noStrike" baseline="0">
              <a:ln>
                <a:solidFill>
                  <a:schemeClr val="tx1"/>
                </a:solidFill>
              </a:ln>
              <a:solidFill>
                <a:srgbClr val="0070C0"/>
              </a:solidFill>
              <a:effectLst/>
              <a:latin typeface="+mn-lt"/>
              <a:ea typeface="+mn-ea"/>
              <a:cs typeface="+mn-cs"/>
            </a:rPr>
            <a:t>October</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12</xdr:col>
      <xdr:colOff>540968</xdr:colOff>
      <xdr:row>1</xdr:row>
      <xdr:rowOff>59530</xdr:rowOff>
    </xdr:from>
    <xdr:to>
      <xdr:col>15</xdr:col>
      <xdr:colOff>459583</xdr:colOff>
      <xdr:row>6</xdr:row>
      <xdr:rowOff>95249</xdr:rowOff>
    </xdr:to>
    <xdr:sp macro="" textlink="">
      <xdr:nvSpPr>
        <xdr:cNvPr id="24" name="TextBox 23"/>
        <xdr:cNvSpPr txBox="1"/>
      </xdr:nvSpPr>
      <xdr:spPr>
        <a:xfrm>
          <a:off x="11875718" y="416718"/>
          <a:ext cx="1740271" cy="1143000"/>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Highest Avg. Margin</a:t>
          </a:r>
        </a:p>
        <a:p>
          <a:pPr algn="ctr"/>
          <a:r>
            <a:rPr lang="en-IN" sz="950" b="0" i="0" u="none" strike="noStrike" baseline="0">
              <a:solidFill>
                <a:schemeClr val="dk1"/>
              </a:solidFill>
              <a:effectLst/>
              <a:latin typeface="Adobe Fan Heiti Std B" panose="020B0700000000000000" pitchFamily="34" charset="-128"/>
              <a:ea typeface="Adobe Fan Heiti Std B" panose="020B0700000000000000" pitchFamily="34" charset="-128"/>
              <a:cs typeface="+mn-cs"/>
            </a:rPr>
            <a:t>(Ladies Footwear)</a:t>
          </a:r>
          <a:endParaRPr lang="en-IN" sz="950" b="1" i="0" u="none" strike="noStrike" baseline="0">
            <a:solidFill>
              <a:schemeClr val="dk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IN" sz="3400" b="1">
              <a:ln>
                <a:solidFill>
                  <a:schemeClr val="tx1"/>
                </a:solidFill>
              </a:ln>
              <a:solidFill>
                <a:schemeClr val="accent4">
                  <a:lumMod val="40000"/>
                  <a:lumOff val="60000"/>
                </a:schemeClr>
              </a:solidFill>
              <a:effectLst/>
              <a:latin typeface="+mn-lt"/>
              <a:ea typeface="+mn-ea"/>
              <a:cs typeface="+mn-cs"/>
            </a:rPr>
            <a:t>38.37%</a:t>
          </a:r>
          <a:endParaRPr lang="en-IN" sz="3400">
            <a:ln>
              <a:solidFill>
                <a:schemeClr val="tx1"/>
              </a:solidFill>
            </a:ln>
            <a:solidFill>
              <a:schemeClr val="accent4">
                <a:lumMod val="40000"/>
                <a:lumOff val="60000"/>
              </a:schemeClr>
            </a:solidFill>
            <a:effectLst/>
          </a:endParaRPr>
        </a:p>
      </xdr:txBody>
    </xdr:sp>
    <xdr:clientData/>
  </xdr:twoCellAnchor>
  <xdr:twoCellAnchor>
    <xdr:from>
      <xdr:col>3</xdr:col>
      <xdr:colOff>104775</xdr:colOff>
      <xdr:row>1</xdr:row>
      <xdr:rowOff>66256</xdr:rowOff>
    </xdr:from>
    <xdr:to>
      <xdr:col>4</xdr:col>
      <xdr:colOff>845344</xdr:colOff>
      <xdr:row>6</xdr:row>
      <xdr:rowOff>45242</xdr:rowOff>
    </xdr:to>
    <xdr:sp macro="" textlink="">
      <xdr:nvSpPr>
        <xdr:cNvPr id="25" name="TextBox 24"/>
        <xdr:cNvSpPr txBox="1"/>
      </xdr:nvSpPr>
      <xdr:spPr>
        <a:xfrm>
          <a:off x="4236244" y="423444"/>
          <a:ext cx="1955006" cy="1086267"/>
        </a:xfrm>
        <a:prstGeom prst="flowChartAlternateProcess">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Total Revenue</a:t>
          </a:r>
        </a:p>
        <a:p>
          <a:pPr algn="ctr"/>
          <a:r>
            <a:rPr lang="en-IN" sz="1000" b="1">
              <a:solidFill>
                <a:sysClr val="windowText" lastClr="000000"/>
              </a:solidFill>
              <a:latin typeface="Adobe Fan Heiti Std B" panose="020B0700000000000000" pitchFamily="34" charset="-128"/>
              <a:ea typeface="Adobe Fan Heiti Std B" panose="020B0700000000000000" pitchFamily="34" charset="-128"/>
            </a:rPr>
            <a:t>(Underperformance)</a:t>
          </a:r>
        </a:p>
        <a:p>
          <a:pPr algn="ctr"/>
          <a:r>
            <a:rPr lang="en-IN" sz="1100" b="1" i="0" u="none" strike="noStrike">
              <a:solidFill>
                <a:sysClr val="windowText" lastClr="000000"/>
              </a:solidFill>
              <a:effectLst/>
              <a:latin typeface="+mn-lt"/>
              <a:ea typeface="+mn-ea"/>
              <a:cs typeface="+mn-cs"/>
            </a:rPr>
            <a:t>₹ </a:t>
          </a:r>
          <a:r>
            <a:rPr lang="en-IN" sz="2600" b="1" i="0" u="none" strike="noStrike">
              <a:ln>
                <a:solidFill>
                  <a:schemeClr val="tx1"/>
                </a:solidFill>
              </a:ln>
              <a:solidFill>
                <a:srgbClr val="FF5050"/>
              </a:solidFill>
              <a:effectLst/>
              <a:latin typeface="+mn-lt"/>
              <a:ea typeface="+mn-ea"/>
              <a:cs typeface="+mn-cs"/>
            </a:rPr>
            <a:t>11.66</a:t>
          </a:r>
          <a:r>
            <a:rPr lang="en-IN" sz="2600" b="1" i="0" u="none" strike="noStrike" baseline="0">
              <a:ln>
                <a:solidFill>
                  <a:schemeClr val="tx1"/>
                </a:solidFill>
              </a:ln>
              <a:solidFill>
                <a:srgbClr val="FF5050"/>
              </a:solidFill>
              <a:effectLst/>
              <a:latin typeface="+mn-lt"/>
              <a:ea typeface="+mn-ea"/>
              <a:cs typeface="+mn-cs"/>
            </a:rPr>
            <a:t> CR</a:t>
          </a:r>
          <a:endParaRPr lang="en-IN" sz="2600">
            <a:ln>
              <a:solidFill>
                <a:schemeClr val="tx1"/>
              </a:solidFill>
            </a:ln>
            <a:solidFill>
              <a:srgbClr val="FF5050"/>
            </a:solidFill>
            <a:effectLst/>
          </a:endParaRPr>
        </a:p>
      </xdr:txBody>
    </xdr:sp>
    <xdr:clientData/>
  </xdr:twoCellAnchor>
  <xdr:twoCellAnchor editAs="oneCell">
    <xdr:from>
      <xdr:col>0</xdr:col>
      <xdr:colOff>214309</xdr:colOff>
      <xdr:row>1</xdr:row>
      <xdr:rowOff>23812</xdr:rowOff>
    </xdr:from>
    <xdr:to>
      <xdr:col>0</xdr:col>
      <xdr:colOff>1393029</xdr:colOff>
      <xdr:row>6</xdr:row>
      <xdr:rowOff>66199</xdr:rowOff>
    </xdr:to>
    <xdr:pic>
      <xdr:nvPicPr>
        <xdr:cNvPr id="29" name="Picture 28" descr="Caleres - Wikipedia"/>
        <xdr:cNvPicPr>
          <a:picLocks noChangeAspect="1"/>
        </xdr:cNvPicPr>
      </xdr:nvPicPr>
      <xdr:blipFill>
        <a:blip xmlns:r="http://schemas.openxmlformats.org/officeDocument/2006/relationships" r:embed="rId7">
          <a:biLevel thresh="50000"/>
          <a:extLst>
            <a:ext uri="{28A0092B-C50C-407E-A947-70E740481C1C}">
              <a14:useLocalDpi xmlns:a14="http://schemas.microsoft.com/office/drawing/2010/main" val="0"/>
            </a:ext>
          </a:extLst>
        </a:blip>
        <a:stretch>
          <a:fillRect/>
        </a:stretch>
      </xdr:blipFill>
      <xdr:spPr>
        <a:xfrm>
          <a:off x="214309" y="428625"/>
          <a:ext cx="1178720" cy="114966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168089</xdr:colOff>
      <xdr:row>1</xdr:row>
      <xdr:rowOff>78440</xdr:rowOff>
    </xdr:from>
    <xdr:to>
      <xdr:col>6</xdr:col>
      <xdr:colOff>593912</xdr:colOff>
      <xdr:row>6</xdr:row>
      <xdr:rowOff>22410</xdr:rowOff>
    </xdr:to>
    <xdr:sp macro="" textlink="">
      <xdr:nvSpPr>
        <xdr:cNvPr id="8" name="TextBox 7"/>
        <xdr:cNvSpPr txBox="1"/>
      </xdr:nvSpPr>
      <xdr:spPr>
        <a:xfrm>
          <a:off x="2588560" y="481852"/>
          <a:ext cx="1636058" cy="896470"/>
        </a:xfrm>
        <a:prstGeom prst="flowChartAlternateProcess">
          <a:avLst/>
        </a:prstGeom>
        <a:solidFill>
          <a:srgbClr val="00B0F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1">
              <a:solidFill>
                <a:schemeClr val="bg1"/>
              </a:solidFill>
              <a:latin typeface="Adobe Fan Heiti Std B" panose="020B0700000000000000" pitchFamily="34" charset="-128"/>
              <a:ea typeface="Adobe Fan Heiti Std B" panose="020B0700000000000000" pitchFamily="34" charset="-128"/>
            </a:rPr>
            <a:t>Total Revenue</a:t>
          </a:r>
        </a:p>
        <a:p>
          <a:pPr algn="ctr"/>
          <a:r>
            <a:rPr lang="en-IN" sz="900" b="1">
              <a:solidFill>
                <a:schemeClr val="bg1"/>
              </a:solidFill>
              <a:latin typeface="Adobe Fan Heiti Std B" panose="020B0700000000000000" pitchFamily="34" charset="-128"/>
              <a:ea typeface="Adobe Fan Heiti Std B" panose="020B0700000000000000" pitchFamily="34" charset="-128"/>
            </a:rPr>
            <a:t>(Overperformance)</a:t>
          </a:r>
        </a:p>
        <a:p>
          <a:pPr algn="ctr"/>
          <a:r>
            <a:rPr lang="en-IN" sz="1100" b="1" i="0" u="none" strike="noStrike">
              <a:solidFill>
                <a:schemeClr val="bg1"/>
              </a:solidFill>
              <a:effectLst/>
              <a:latin typeface="+mn-lt"/>
              <a:ea typeface="+mn-ea"/>
              <a:cs typeface="+mn-cs"/>
            </a:rPr>
            <a:t>₹ </a:t>
          </a:r>
          <a:r>
            <a:rPr lang="en-IN" sz="2000" b="1" i="0" u="none" strike="noStrike">
              <a:ln>
                <a:noFill/>
              </a:ln>
              <a:solidFill>
                <a:schemeClr val="bg1"/>
              </a:solidFill>
              <a:effectLst/>
              <a:latin typeface="+mn-lt"/>
              <a:ea typeface="+mn-ea"/>
              <a:cs typeface="+mn-cs"/>
            </a:rPr>
            <a:t>30.70</a:t>
          </a:r>
          <a:r>
            <a:rPr lang="en-IN" sz="2000" b="1" i="0" u="none" strike="noStrike" baseline="0">
              <a:ln>
                <a:noFill/>
              </a:ln>
              <a:solidFill>
                <a:schemeClr val="bg1"/>
              </a:solidFill>
              <a:effectLst/>
              <a:latin typeface="+mn-lt"/>
              <a:ea typeface="+mn-ea"/>
              <a:cs typeface="+mn-cs"/>
            </a:rPr>
            <a:t> CR</a:t>
          </a:r>
          <a:endParaRPr lang="en-IN" sz="2000">
            <a:ln>
              <a:noFill/>
            </a:ln>
            <a:solidFill>
              <a:schemeClr val="bg1"/>
            </a:solidFill>
            <a:effectLst/>
          </a:endParaRPr>
        </a:p>
      </xdr:txBody>
    </xdr:sp>
    <xdr:clientData/>
  </xdr:twoCellAnchor>
  <xdr:twoCellAnchor>
    <xdr:from>
      <xdr:col>10</xdr:col>
      <xdr:colOff>123265</xdr:colOff>
      <xdr:row>1</xdr:row>
      <xdr:rowOff>67232</xdr:rowOff>
    </xdr:from>
    <xdr:to>
      <xdr:col>14</xdr:col>
      <xdr:colOff>179294</xdr:colOff>
      <xdr:row>6</xdr:row>
      <xdr:rowOff>33615</xdr:rowOff>
    </xdr:to>
    <xdr:sp macro="" textlink="">
      <xdr:nvSpPr>
        <xdr:cNvPr id="9" name="TextBox 8"/>
        <xdr:cNvSpPr txBox="1"/>
      </xdr:nvSpPr>
      <xdr:spPr>
        <a:xfrm>
          <a:off x="6174441" y="470644"/>
          <a:ext cx="2476500" cy="918883"/>
        </a:xfrm>
        <a:prstGeom prst="flowChartAlternateProcess">
          <a:avLst/>
        </a:prstGeom>
        <a:solidFill>
          <a:srgbClr val="512373"/>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800">
              <a:ln>
                <a:noFill/>
              </a:ln>
              <a:solidFill>
                <a:schemeClr val="bg1"/>
              </a:solidFill>
              <a:latin typeface="Adobe Fan Heiti Std B" panose="020B0700000000000000" pitchFamily="34" charset="-128"/>
              <a:ea typeface="Adobe Fan Heiti Std B" panose="020B0700000000000000" pitchFamily="34" charset="-128"/>
            </a:rPr>
            <a:t>Total Units Sold</a:t>
          </a:r>
          <a:endParaRPr lang="en-IN" sz="800" b="1" i="0" u="none" strike="noStrike">
            <a:ln>
              <a:noFill/>
            </a:ln>
            <a:solidFill>
              <a:schemeClr val="bg1"/>
            </a:solidFill>
            <a:effectLst/>
            <a:latin typeface="Adobe Fan Heiti Std B" panose="020B0700000000000000" pitchFamily="34" charset="-128"/>
            <a:ea typeface="Adobe Fan Heiti Std B" panose="020B0700000000000000" pitchFamily="34" charset="-128"/>
            <a:cs typeface="+mn-cs"/>
          </a:endParaRPr>
        </a:p>
        <a:p>
          <a:pPr algn="ctr"/>
          <a:r>
            <a:rPr lang="en-IN" sz="800" b="1" i="0" u="none" strike="noStrike">
              <a:ln>
                <a:noFill/>
              </a:ln>
              <a:solidFill>
                <a:schemeClr val="bg1"/>
              </a:solidFill>
              <a:effectLst/>
              <a:latin typeface="Adobe Fan Heiti Std B" panose="020B0700000000000000" pitchFamily="34" charset="-128"/>
              <a:ea typeface="Adobe Fan Heiti Std B" panose="020B0700000000000000" pitchFamily="34" charset="-128"/>
              <a:cs typeface="+mn-cs"/>
            </a:rPr>
            <a:t>(Over</a:t>
          </a:r>
          <a:r>
            <a:rPr lang="en-IN" sz="800" b="1"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 Vs Under)</a:t>
          </a:r>
        </a:p>
        <a:p>
          <a:pPr algn="ctr"/>
          <a:r>
            <a:rPr lang="en-IN" sz="2000" b="1" i="0" u="none" strike="noStrike">
              <a:ln>
                <a:noFill/>
              </a:ln>
              <a:solidFill>
                <a:schemeClr val="bg1"/>
              </a:solidFill>
              <a:effectLst/>
              <a:latin typeface="+mn-lt"/>
              <a:ea typeface="+mn-ea"/>
              <a:cs typeface="+mn-cs"/>
            </a:rPr>
            <a:t>1,60,693</a:t>
          </a:r>
          <a:r>
            <a:rPr lang="en-IN" sz="2400" b="1" i="0" u="none" strike="noStrike">
              <a:ln>
                <a:noFill/>
              </a:ln>
              <a:solidFill>
                <a:schemeClr val="bg1"/>
              </a:solidFill>
              <a:effectLst/>
              <a:latin typeface="+mn-lt"/>
              <a:ea typeface="+mn-ea"/>
              <a:cs typeface="+mn-cs"/>
            </a:rPr>
            <a:t> </a:t>
          </a:r>
          <a:r>
            <a:rPr lang="en-IN" sz="2000" b="1">
              <a:ln>
                <a:noFill/>
              </a:ln>
              <a:solidFill>
                <a:schemeClr val="bg1"/>
              </a:solidFill>
              <a:effectLst/>
            </a:rPr>
            <a:t> </a:t>
          </a:r>
          <a:r>
            <a:rPr lang="en-IN" sz="1200" b="1">
              <a:ln>
                <a:noFill/>
              </a:ln>
              <a:solidFill>
                <a:schemeClr val="bg1"/>
              </a:solidFill>
              <a:effectLst/>
            </a:rPr>
            <a:t>Vs</a:t>
          </a:r>
          <a:r>
            <a:rPr lang="en-IN" sz="2000" b="1">
              <a:ln>
                <a:noFill/>
              </a:ln>
              <a:solidFill>
                <a:schemeClr val="bg1"/>
              </a:solidFill>
              <a:effectLst/>
            </a:rPr>
            <a:t>  78,109</a:t>
          </a:r>
        </a:p>
      </xdr:txBody>
    </xdr:sp>
    <xdr:clientData/>
  </xdr:twoCellAnchor>
  <xdr:twoCellAnchor>
    <xdr:from>
      <xdr:col>14</xdr:col>
      <xdr:colOff>347382</xdr:colOff>
      <xdr:row>1</xdr:row>
      <xdr:rowOff>68076</xdr:rowOff>
    </xdr:from>
    <xdr:to>
      <xdr:col>17</xdr:col>
      <xdr:colOff>336176</xdr:colOff>
      <xdr:row>6</xdr:row>
      <xdr:rowOff>33616</xdr:rowOff>
    </xdr:to>
    <xdr:sp macro="" textlink="">
      <xdr:nvSpPr>
        <xdr:cNvPr id="10" name="TextBox 9"/>
        <xdr:cNvSpPr txBox="1"/>
      </xdr:nvSpPr>
      <xdr:spPr>
        <a:xfrm>
          <a:off x="8819029" y="471488"/>
          <a:ext cx="1804147" cy="918040"/>
        </a:xfrm>
        <a:prstGeom prst="flowChartAlternateProcess">
          <a:avLst/>
        </a:prstGeom>
        <a:solidFill>
          <a:schemeClr val="accent5">
            <a:lumMod val="7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i="0" u="none" strike="noStrike" baseline="0">
              <a:solidFill>
                <a:schemeClr val="bg1"/>
              </a:solidFill>
              <a:effectLst/>
              <a:latin typeface="Adobe Fan Heiti Std B" panose="020B0700000000000000" pitchFamily="34" charset="-128"/>
              <a:ea typeface="Adobe Fan Heiti Std B" panose="020B0700000000000000" pitchFamily="34" charset="-128"/>
              <a:cs typeface="+mn-cs"/>
            </a:rPr>
            <a:t>Best Performing Product</a:t>
          </a:r>
        </a:p>
        <a:p>
          <a:pPr algn="ctr"/>
          <a:r>
            <a:rPr lang="en-IN" sz="1050" b="1" i="0" u="none" strike="noStrike" baseline="0">
              <a:solidFill>
                <a:schemeClr val="bg1"/>
              </a:solidFill>
              <a:effectLst/>
              <a:latin typeface="+mn-lt"/>
              <a:ea typeface="+mn-ea"/>
              <a:cs typeface="+mn-cs"/>
            </a:rPr>
            <a:t>(By Gross Profit)</a:t>
          </a:r>
        </a:p>
        <a:p>
          <a:pPr algn="ctr"/>
          <a:r>
            <a:rPr lang="en-IN" sz="2000" b="1" i="0" u="none" strike="noStrike">
              <a:ln>
                <a:noFill/>
              </a:ln>
              <a:solidFill>
                <a:schemeClr val="bg1"/>
              </a:solidFill>
              <a:effectLst/>
              <a:latin typeface="+mn-lt"/>
              <a:ea typeface="+mn-ea"/>
              <a:cs typeface="+mn-cs"/>
            </a:rPr>
            <a:t>Sneakers</a:t>
          </a:r>
          <a:r>
            <a:rPr lang="en-IN" sz="2400" b="1" i="0" u="none" strike="noStrike" baseline="0">
              <a:ln>
                <a:solidFill>
                  <a:schemeClr val="tx1"/>
                </a:solidFill>
              </a:ln>
              <a:solidFill>
                <a:schemeClr val="bg1"/>
              </a:solidFill>
              <a:effectLst>
                <a:glow rad="63500">
                  <a:schemeClr val="tx1">
                    <a:alpha val="40000"/>
                  </a:schemeClr>
                </a:glow>
              </a:effectLst>
              <a:latin typeface="+mn-lt"/>
              <a:ea typeface="+mn-ea"/>
              <a:cs typeface="+mn-cs"/>
            </a:rPr>
            <a:t> </a:t>
          </a:r>
          <a:endParaRPr lang="en-IN" sz="2400" b="1">
            <a:ln>
              <a:solidFill>
                <a:schemeClr val="tx1"/>
              </a:solidFill>
            </a:ln>
            <a:solidFill>
              <a:schemeClr val="bg1"/>
            </a:solidFill>
            <a:effectLst>
              <a:glow rad="63500">
                <a:schemeClr val="tx1">
                  <a:alpha val="40000"/>
                </a:schemeClr>
              </a:glow>
            </a:effectLst>
          </a:endParaRPr>
        </a:p>
      </xdr:txBody>
    </xdr:sp>
    <xdr:clientData/>
  </xdr:twoCellAnchor>
  <xdr:twoCellAnchor>
    <xdr:from>
      <xdr:col>20</xdr:col>
      <xdr:colOff>593913</xdr:colOff>
      <xdr:row>1</xdr:row>
      <xdr:rowOff>76200</xdr:rowOff>
    </xdr:from>
    <xdr:to>
      <xdr:col>23</xdr:col>
      <xdr:colOff>437030</xdr:colOff>
      <xdr:row>6</xdr:row>
      <xdr:rowOff>67234</xdr:rowOff>
    </xdr:to>
    <xdr:sp macro="" textlink="">
      <xdr:nvSpPr>
        <xdr:cNvPr id="11" name="TextBox 10"/>
        <xdr:cNvSpPr txBox="1"/>
      </xdr:nvSpPr>
      <xdr:spPr>
        <a:xfrm>
          <a:off x="12696266" y="479612"/>
          <a:ext cx="1658470" cy="943534"/>
        </a:xfrm>
        <a:prstGeom prst="flowChartAlternateProcess">
          <a:avLst/>
        </a:prstGeom>
        <a:solidFill>
          <a:srgbClr val="00206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Month With Highest Revenue</a:t>
          </a:r>
          <a:endParaRPr lang="en-IN" sz="1050" b="1" i="0" u="none" strike="noStrike" baseline="0">
            <a:ln>
              <a:noFill/>
            </a:ln>
            <a:solidFill>
              <a:schemeClr val="bg1"/>
            </a:solidFill>
            <a:effectLst/>
            <a:latin typeface="+mn-lt"/>
            <a:ea typeface="+mn-ea"/>
            <a:cs typeface="+mn-cs"/>
          </a:endParaRPr>
        </a:p>
        <a:p>
          <a:pPr algn="ctr"/>
          <a:r>
            <a:rPr lang="en-IN" sz="2000" b="1" i="0" u="none" strike="noStrike" baseline="0">
              <a:ln>
                <a:noFill/>
              </a:ln>
              <a:solidFill>
                <a:schemeClr val="bg1"/>
              </a:solidFill>
              <a:effectLst/>
              <a:latin typeface="+mn-lt"/>
              <a:ea typeface="+mn-ea"/>
              <a:cs typeface="+mn-cs"/>
            </a:rPr>
            <a:t>October</a:t>
          </a:r>
          <a:r>
            <a:rPr lang="en-IN" sz="2400" b="1" i="0" u="none" strike="noStrike" baseline="0">
              <a:ln>
                <a:noFill/>
              </a:ln>
              <a:solidFill>
                <a:schemeClr val="bg1"/>
              </a:solidFill>
              <a:effectLst>
                <a:glow rad="63500">
                  <a:schemeClr val="tx1">
                    <a:alpha val="40000"/>
                  </a:schemeClr>
                </a:glow>
              </a:effectLst>
              <a:latin typeface="+mn-lt"/>
              <a:ea typeface="+mn-ea"/>
              <a:cs typeface="+mn-cs"/>
            </a:rPr>
            <a:t> </a:t>
          </a:r>
          <a:endParaRPr lang="en-IN" sz="2400" b="1">
            <a:ln>
              <a:noFill/>
            </a:ln>
            <a:solidFill>
              <a:schemeClr val="bg1"/>
            </a:solidFill>
            <a:effectLst>
              <a:glow rad="63500">
                <a:schemeClr val="tx1">
                  <a:alpha val="40000"/>
                </a:schemeClr>
              </a:glow>
            </a:effectLst>
          </a:endParaRPr>
        </a:p>
      </xdr:txBody>
    </xdr:sp>
    <xdr:clientData/>
  </xdr:twoCellAnchor>
  <xdr:twoCellAnchor>
    <xdr:from>
      <xdr:col>17</xdr:col>
      <xdr:colOff>515471</xdr:colOff>
      <xdr:row>1</xdr:row>
      <xdr:rowOff>69756</xdr:rowOff>
    </xdr:from>
    <xdr:to>
      <xdr:col>20</xdr:col>
      <xdr:colOff>381000</xdr:colOff>
      <xdr:row>6</xdr:row>
      <xdr:rowOff>56028</xdr:rowOff>
    </xdr:to>
    <xdr:sp macro="" textlink="">
      <xdr:nvSpPr>
        <xdr:cNvPr id="12" name="TextBox 11"/>
        <xdr:cNvSpPr txBox="1"/>
      </xdr:nvSpPr>
      <xdr:spPr>
        <a:xfrm>
          <a:off x="10802471" y="473168"/>
          <a:ext cx="1680882" cy="938772"/>
        </a:xfrm>
        <a:prstGeom prst="flowChartAlternateProcess">
          <a:avLst/>
        </a:prstGeom>
        <a:solidFill>
          <a:schemeClr val="accent5">
            <a:lumMod val="5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0"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Highest Avg. Margin</a:t>
          </a:r>
        </a:p>
        <a:p>
          <a:pPr algn="ctr"/>
          <a:r>
            <a:rPr lang="en-IN" sz="900" b="0" i="0" u="none" strike="noStrike" baseline="0">
              <a:ln>
                <a:noFill/>
              </a:ln>
              <a:solidFill>
                <a:schemeClr val="bg1"/>
              </a:solidFill>
              <a:effectLst/>
              <a:latin typeface="Adobe Fan Heiti Std B" panose="020B0700000000000000" pitchFamily="34" charset="-128"/>
              <a:ea typeface="Adobe Fan Heiti Std B" panose="020B0700000000000000" pitchFamily="34" charset="-128"/>
              <a:cs typeface="+mn-cs"/>
            </a:rPr>
            <a:t>(Ladies Footwear)</a:t>
          </a:r>
          <a:endParaRPr lang="en-IN" sz="900" b="1" i="0" u="none" strike="noStrike" baseline="0">
            <a:ln>
              <a:noFill/>
            </a:ln>
            <a:solidFill>
              <a:schemeClr val="bg1"/>
            </a:solidFill>
            <a:effectLst/>
            <a:latin typeface="+mn-lt"/>
            <a:ea typeface="+mn-ea"/>
            <a:cs typeface="+mn-cs"/>
          </a:endParaRPr>
        </a:p>
        <a:p>
          <a:pPr marL="0" marR="0" indent="0" algn="ctr" defTabSz="914400" eaLnBrk="1" fontAlgn="auto" latinLnBrk="0" hangingPunct="1">
            <a:lnSpc>
              <a:spcPct val="100000"/>
            </a:lnSpc>
            <a:spcBef>
              <a:spcPts val="0"/>
            </a:spcBef>
            <a:spcAft>
              <a:spcPts val="0"/>
            </a:spcAft>
            <a:buClrTx/>
            <a:buSzTx/>
            <a:buFontTx/>
            <a:buNone/>
            <a:tabLst/>
            <a:defRPr/>
          </a:pPr>
          <a:r>
            <a:rPr lang="en-IN" sz="2400" b="1">
              <a:ln>
                <a:noFill/>
              </a:ln>
              <a:solidFill>
                <a:schemeClr val="bg1"/>
              </a:solidFill>
              <a:effectLst/>
              <a:latin typeface="+mn-lt"/>
              <a:ea typeface="+mn-ea"/>
              <a:cs typeface="+mn-cs"/>
            </a:rPr>
            <a:t>38.37%</a:t>
          </a:r>
          <a:endParaRPr lang="en-IN" sz="2400">
            <a:ln>
              <a:noFill/>
            </a:ln>
            <a:solidFill>
              <a:schemeClr val="bg1"/>
            </a:solidFill>
            <a:effectLst/>
          </a:endParaRPr>
        </a:p>
      </xdr:txBody>
    </xdr:sp>
    <xdr:clientData/>
  </xdr:twoCellAnchor>
  <xdr:twoCellAnchor>
    <xdr:from>
      <xdr:col>7</xdr:col>
      <xdr:colOff>190500</xdr:colOff>
      <xdr:row>1</xdr:row>
      <xdr:rowOff>76483</xdr:rowOff>
    </xdr:from>
    <xdr:to>
      <xdr:col>9</xdr:col>
      <xdr:colOff>504265</xdr:colOff>
      <xdr:row>6</xdr:row>
      <xdr:rowOff>11205</xdr:rowOff>
    </xdr:to>
    <xdr:sp macro="" textlink="">
      <xdr:nvSpPr>
        <xdr:cNvPr id="13" name="TextBox 12"/>
        <xdr:cNvSpPr txBox="1"/>
      </xdr:nvSpPr>
      <xdr:spPr>
        <a:xfrm>
          <a:off x="4426324" y="479895"/>
          <a:ext cx="1524000" cy="887222"/>
        </a:xfrm>
        <a:prstGeom prst="flowChartAlternateProcess">
          <a:avLst/>
        </a:prstGeom>
        <a:solidFill>
          <a:schemeClr val="accent1">
            <a:lumMod val="75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900" b="1">
              <a:ln>
                <a:noFill/>
              </a:ln>
              <a:solidFill>
                <a:schemeClr val="bg1"/>
              </a:solidFill>
              <a:latin typeface="Adobe Fan Heiti Std B" panose="020B0700000000000000" pitchFamily="34" charset="-128"/>
              <a:ea typeface="Adobe Fan Heiti Std B" panose="020B0700000000000000" pitchFamily="34" charset="-128"/>
            </a:rPr>
            <a:t>Total Revenue</a:t>
          </a:r>
        </a:p>
        <a:p>
          <a:pPr algn="ctr"/>
          <a:r>
            <a:rPr lang="en-IN" sz="900" b="1">
              <a:ln>
                <a:noFill/>
              </a:ln>
              <a:solidFill>
                <a:schemeClr val="bg1"/>
              </a:solidFill>
              <a:latin typeface="Adobe Fan Heiti Std B" panose="020B0700000000000000" pitchFamily="34" charset="-128"/>
              <a:ea typeface="Adobe Fan Heiti Std B" panose="020B0700000000000000" pitchFamily="34" charset="-128"/>
            </a:rPr>
            <a:t>(Underperformance)</a:t>
          </a:r>
        </a:p>
        <a:p>
          <a:pPr algn="ctr"/>
          <a:r>
            <a:rPr lang="en-IN" sz="2000" b="1" i="0" u="none" strike="noStrike">
              <a:ln>
                <a:noFill/>
              </a:ln>
              <a:solidFill>
                <a:schemeClr val="bg1"/>
              </a:solidFill>
              <a:effectLst/>
              <a:latin typeface="+mn-lt"/>
              <a:ea typeface="+mn-ea"/>
              <a:cs typeface="+mn-cs"/>
            </a:rPr>
            <a:t>₹ 11.66</a:t>
          </a:r>
          <a:r>
            <a:rPr lang="en-IN" sz="2000" b="1" i="0" u="none" strike="noStrike" baseline="0">
              <a:ln>
                <a:noFill/>
              </a:ln>
              <a:solidFill>
                <a:schemeClr val="bg1"/>
              </a:solidFill>
              <a:effectLst/>
              <a:latin typeface="+mn-lt"/>
              <a:ea typeface="+mn-ea"/>
              <a:cs typeface="+mn-cs"/>
            </a:rPr>
            <a:t> CR</a:t>
          </a:r>
          <a:endParaRPr lang="en-IN" sz="2000">
            <a:ln>
              <a:noFill/>
            </a:ln>
            <a:solidFill>
              <a:schemeClr val="bg1"/>
            </a:solidFill>
            <a:effectLst/>
          </a:endParaRPr>
        </a:p>
      </xdr:txBody>
    </xdr:sp>
    <xdr:clientData/>
  </xdr:twoCellAnchor>
  <xdr:twoCellAnchor>
    <xdr:from>
      <xdr:col>4</xdr:col>
      <xdr:colOff>179294</xdr:colOff>
      <xdr:row>6</xdr:row>
      <xdr:rowOff>134471</xdr:rowOff>
    </xdr:from>
    <xdr:to>
      <xdr:col>14</xdr:col>
      <xdr:colOff>347382</xdr:colOff>
      <xdr:row>22</xdr:row>
      <xdr:rowOff>1</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515473</xdr:colOff>
      <xdr:row>6</xdr:row>
      <xdr:rowOff>134468</xdr:rowOff>
    </xdr:from>
    <xdr:to>
      <xdr:col>23</xdr:col>
      <xdr:colOff>459441</xdr:colOff>
      <xdr:row>19</xdr:row>
      <xdr:rowOff>179293</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212911</xdr:colOff>
      <xdr:row>22</xdr:row>
      <xdr:rowOff>156882</xdr:rowOff>
    </xdr:from>
    <xdr:to>
      <xdr:col>14</xdr:col>
      <xdr:colOff>358588</xdr:colOff>
      <xdr:row>36</xdr:row>
      <xdr:rowOff>67235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134468</xdr:colOff>
      <xdr:row>8</xdr:row>
      <xdr:rowOff>112059</xdr:rowOff>
    </xdr:from>
    <xdr:to>
      <xdr:col>3</xdr:col>
      <xdr:colOff>504263</xdr:colOff>
      <xdr:row>19</xdr:row>
      <xdr:rowOff>78443</xdr:rowOff>
    </xdr:to>
    <mc:AlternateContent xmlns:mc="http://schemas.openxmlformats.org/markup-compatibility/2006" xmlns:a14="http://schemas.microsoft.com/office/drawing/2010/main">
      <mc:Choice Requires="a14">
        <xdr:graphicFrame macro="">
          <xdr:nvGraphicFramePr>
            <xdr:cNvPr id="17" name="Month 2"/>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mlns="">
        <xdr:sp macro="" textlink="">
          <xdr:nvSpPr>
            <xdr:cNvPr id="0" name=""/>
            <xdr:cNvSpPr>
              <a:spLocks noTextEdit="1"/>
            </xdr:cNvSpPr>
          </xdr:nvSpPr>
          <xdr:spPr>
            <a:xfrm>
              <a:off x="134468" y="1848971"/>
              <a:ext cx="2185148" cy="20618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123265</xdr:colOff>
      <xdr:row>1</xdr:row>
      <xdr:rowOff>44826</xdr:rowOff>
    </xdr:from>
    <xdr:to>
      <xdr:col>3</xdr:col>
      <xdr:colOff>470648</xdr:colOff>
      <xdr:row>6</xdr:row>
      <xdr:rowOff>156884</xdr:rowOff>
    </xdr:to>
    <xdr:pic>
      <xdr:nvPicPr>
        <xdr:cNvPr id="18" name="Picture 17" descr="&lt;strong&gt;Skechers&lt;/strong&gt; - Wikipedia"/>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23265" y="448238"/>
          <a:ext cx="2162736" cy="1064558"/>
        </a:xfrm>
        <a:prstGeom prst="roundRect">
          <a:avLst/>
        </a:prstGeom>
        <a:solidFill>
          <a:schemeClr val="accent5">
            <a:lumMod val="40000"/>
            <a:lumOff val="60000"/>
          </a:schemeClr>
        </a:solidFill>
        <a:ln>
          <a:noFill/>
        </a:ln>
      </xdr:spPr>
    </xdr:pic>
    <xdr:clientData/>
  </xdr:twoCellAnchor>
  <xdr:twoCellAnchor editAs="oneCell">
    <xdr:from>
      <xdr:col>0</xdr:col>
      <xdr:colOff>112058</xdr:colOff>
      <xdr:row>20</xdr:row>
      <xdr:rowOff>112059</xdr:rowOff>
    </xdr:from>
    <xdr:to>
      <xdr:col>3</xdr:col>
      <xdr:colOff>481853</xdr:colOff>
      <xdr:row>27</xdr:row>
      <xdr:rowOff>22412</xdr:rowOff>
    </xdr:to>
    <mc:AlternateContent xmlns:mc="http://schemas.openxmlformats.org/markup-compatibility/2006" xmlns:a14="http://schemas.microsoft.com/office/drawing/2010/main">
      <mc:Choice Requires="a14">
        <xdr:graphicFrame macro="">
          <xdr:nvGraphicFramePr>
            <xdr:cNvPr id="31" name="Forecast Scenario 1"/>
            <xdr:cNvGraphicFramePr/>
          </xdr:nvGraphicFramePr>
          <xdr:xfrm>
            <a:off x="0" y="0"/>
            <a:ext cx="0" cy="0"/>
          </xdr:xfrm>
          <a:graphic>
            <a:graphicData uri="http://schemas.microsoft.com/office/drawing/2010/slicer">
              <sle:slicer xmlns:sle="http://schemas.microsoft.com/office/drawing/2010/slicer" name="Forecast Scenario 1"/>
            </a:graphicData>
          </a:graphic>
        </xdr:graphicFrame>
      </mc:Choice>
      <mc:Fallback xmlns="">
        <xdr:sp macro="" textlink="">
          <xdr:nvSpPr>
            <xdr:cNvPr id="0" name=""/>
            <xdr:cNvSpPr>
              <a:spLocks noTextEdit="1"/>
            </xdr:cNvSpPr>
          </xdr:nvSpPr>
          <xdr:spPr>
            <a:xfrm>
              <a:off x="112058" y="4134971"/>
              <a:ext cx="2185148" cy="12438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224117</xdr:colOff>
      <xdr:row>36</xdr:row>
      <xdr:rowOff>168087</xdr:rowOff>
    </xdr:from>
    <xdr:to>
      <xdr:col>14</xdr:col>
      <xdr:colOff>392206</xdr:colOff>
      <xdr:row>52</xdr:row>
      <xdr:rowOff>179292</xdr:rowOff>
    </xdr:to>
    <xdr:graphicFrame macro="">
      <xdr:nvGraphicFramePr>
        <xdr:cNvPr id="32" name="Chart 3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100853</xdr:colOff>
      <xdr:row>28</xdr:row>
      <xdr:rowOff>134470</xdr:rowOff>
    </xdr:from>
    <xdr:to>
      <xdr:col>3</xdr:col>
      <xdr:colOff>470648</xdr:colOff>
      <xdr:row>38</xdr:row>
      <xdr:rowOff>16113</xdr:rowOff>
    </xdr:to>
    <mc:AlternateContent xmlns:mc="http://schemas.openxmlformats.org/markup-compatibility/2006" xmlns:a14="http://schemas.microsoft.com/office/drawing/2010/main">
      <mc:Choice Requires="a14">
        <xdr:graphicFrame macro="">
          <xdr:nvGraphicFramePr>
            <xdr:cNvPr id="33" name="Product 2"/>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100853" y="5681382"/>
              <a:ext cx="2185148" cy="17866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537880</xdr:colOff>
      <xdr:row>20</xdr:row>
      <xdr:rowOff>112057</xdr:rowOff>
    </xdr:from>
    <xdr:to>
      <xdr:col>23</xdr:col>
      <xdr:colOff>481852</xdr:colOff>
      <xdr:row>37</xdr:row>
      <xdr:rowOff>44822</xdr:rowOff>
    </xdr:to>
    <xdr:graphicFrame macro="">
      <xdr:nvGraphicFramePr>
        <xdr:cNvPr id="34" name="Chart 3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582706</xdr:colOff>
      <xdr:row>37</xdr:row>
      <xdr:rowOff>168087</xdr:rowOff>
    </xdr:from>
    <xdr:to>
      <xdr:col>23</xdr:col>
      <xdr:colOff>493059</xdr:colOff>
      <xdr:row>52</xdr:row>
      <xdr:rowOff>190498</xdr:rowOff>
    </xdr:to>
    <xdr:graphicFrame macro="">
      <xdr:nvGraphicFramePr>
        <xdr:cNvPr id="35" name="Chart 3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112058</xdr:colOff>
      <xdr:row>39</xdr:row>
      <xdr:rowOff>100853</xdr:rowOff>
    </xdr:from>
    <xdr:to>
      <xdr:col>3</xdr:col>
      <xdr:colOff>481853</xdr:colOff>
      <xdr:row>53</xdr:row>
      <xdr:rowOff>56030</xdr:rowOff>
    </xdr:to>
    <xdr:sp macro="" textlink="">
      <xdr:nvSpPr>
        <xdr:cNvPr id="36" name="TextBox 35"/>
        <xdr:cNvSpPr txBox="1"/>
      </xdr:nvSpPr>
      <xdr:spPr>
        <a:xfrm>
          <a:off x="112058" y="7743265"/>
          <a:ext cx="2185148" cy="2622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Summary</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DELL" refreshedDate="45853.975515393518" createdVersion="6" refreshedVersion="6" minRefreshableVersion="3" recordCount="180">
  <cacheSource type="worksheet">
    <worksheetSource name="DataConsolidated"/>
  </cacheSource>
  <cacheFields count="13">
    <cacheField name="Month" numFmtId="0">
      <sharedItems count="12">
        <s v="January"/>
        <s v="February"/>
        <s v="March"/>
        <s v="April"/>
        <s v="May"/>
        <s v="June"/>
        <s v="July"/>
        <s v="August"/>
        <s v="September"/>
        <s v="October"/>
        <s v="November"/>
        <s v="December"/>
      </sharedItems>
    </cacheField>
    <cacheField name="Product" numFmtId="0">
      <sharedItems count="5">
        <s v="Sneakers"/>
        <s v="Sports Shoes"/>
        <s v="Formals &amp; Boots"/>
        <s v="Ladies Footwear"/>
        <s v="Casual Footwear"/>
      </sharedItems>
    </cacheField>
    <cacheField name="Scenario" numFmtId="0">
      <sharedItems count="3">
        <s v="Forecast (Base)"/>
        <s v="Overperformance"/>
        <s v="Underperformance"/>
      </sharedItems>
    </cacheField>
    <cacheField name="Units" numFmtId="3">
      <sharedItems containsSemiMixedTypes="0" containsString="0" containsNumber="1" minValue="608" maxValue="5460"/>
    </cacheField>
    <cacheField name="Selling Price" numFmtId="164">
      <sharedItems containsSemiMixedTypes="0" containsString="0" containsNumber="1" containsInteger="1" minValue="392" maxValue="3914"/>
    </cacheField>
    <cacheField name="Cost Price" numFmtId="164">
      <sharedItems containsSemiMixedTypes="0" containsString="0" containsNumber="1" minValue="237.5" maxValue="2884"/>
    </cacheField>
    <cacheField name="Revenue" numFmtId="164">
      <sharedItems containsSemiMixedTypes="0" containsString="0" containsNumber="1" minValue="633080" maxValue="8234459.9999999991"/>
    </cacheField>
    <cacheField name="COGS" numFmtId="164">
      <sharedItems containsSemiMixedTypes="0" containsString="0" containsNumber="1" minValue="654480" maxValue="4810162.4999999991"/>
    </cacheField>
    <cacheField name="Gross Profit" numFmtId="164">
      <sharedItems containsSemiMixedTypes="0" containsString="0" containsNumber="1" minValue="-32384" maxValue="3424297.5"/>
    </cacheField>
    <cacheField name="Margin %" numFmtId="10">
      <sharedItems containsSemiMixedTypes="0" containsString="0" containsNumber="1" minValue="-4.0816326530612242E-2" maxValue="0.6737637362637362"/>
    </cacheField>
    <cacheField name="Revenue Variance" numFmtId="164">
      <sharedItems containsSemiMixedTypes="0" containsString="0" containsNumber="1" minValue="-2003092" maxValue="3034459.9999999991"/>
    </cacheField>
    <cacheField name="Gross Profit Variance" numFmtId="164">
      <sharedItems containsSemiMixedTypes="0" containsString="0" containsNumber="1" minValue="-1019564" maxValue="2106406.25"/>
    </cacheField>
    <cacheField name="Margin % variance" numFmtId="10">
      <sharedItems containsSemiMixedTypes="0" containsString="0" containsNumber="1" minValue="-0.44081632653061226" maxValue="0.27376373626373618"/>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80">
  <r>
    <x v="0"/>
    <x v="0"/>
    <x v="0"/>
    <n v="1520"/>
    <n v="2500"/>
    <n v="1700"/>
    <n v="3800000"/>
    <n v="2584000"/>
    <n v="1216000"/>
    <n v="0.32"/>
    <n v="0"/>
    <n v="0"/>
    <n v="0"/>
  </r>
  <r>
    <x v="0"/>
    <x v="0"/>
    <x v="1"/>
    <n v="1995"/>
    <n v="2700"/>
    <n v="1650"/>
    <n v="5386500"/>
    <n v="3291750"/>
    <n v="2094750"/>
    <n v="0.3888888888888889"/>
    <n v="1586500"/>
    <n v="878750"/>
    <n v="6.8888888888888888E-2"/>
  </r>
  <r>
    <x v="0"/>
    <x v="0"/>
    <x v="2"/>
    <n v="1026"/>
    <n v="2277"/>
    <n v="1818"/>
    <n v="2336202"/>
    <n v="1865268"/>
    <n v="470934"/>
    <n v="0.20158102766798419"/>
    <n v="-1463798"/>
    <n v="-745066"/>
    <n v="-0.11841897233201581"/>
  </r>
  <r>
    <x v="1"/>
    <x v="0"/>
    <x v="0"/>
    <n v="1440"/>
    <n v="2500"/>
    <n v="1700"/>
    <n v="3600000"/>
    <n v="2448000"/>
    <n v="1152000"/>
    <n v="0.32"/>
    <n v="0"/>
    <n v="0"/>
    <n v="0"/>
  </r>
  <r>
    <x v="1"/>
    <x v="0"/>
    <x v="1"/>
    <n v="1980.0000000000002"/>
    <n v="2727"/>
    <n v="1625.25"/>
    <n v="5399460.0000000009"/>
    <n v="3217995.0000000005"/>
    <n v="2181465.0000000005"/>
    <n v="0.40401540154015403"/>
    <n v="1799460.0000000009"/>
    <n v="1029465.0000000005"/>
    <n v="8.4015401540154022E-2"/>
  </r>
  <r>
    <x v="1"/>
    <x v="0"/>
    <x v="2"/>
    <n v="950.4"/>
    <n v="2254"/>
    <n v="1836"/>
    <n v="2142201.6"/>
    <n v="1744934.4"/>
    <n v="397267.20000000019"/>
    <n v="0.1854480922803905"/>
    <n v="-1457798.4"/>
    <n v="-754732.79999999981"/>
    <n v="-0.13455190771960951"/>
  </r>
  <r>
    <x v="2"/>
    <x v="0"/>
    <x v="0"/>
    <n v="1680"/>
    <n v="2500"/>
    <n v="1700"/>
    <n v="4200000"/>
    <n v="2856000"/>
    <n v="1344000"/>
    <n v="0.32"/>
    <n v="0"/>
    <n v="0"/>
    <n v="0"/>
  </r>
  <r>
    <x v="2"/>
    <x v="0"/>
    <x v="1"/>
    <n v="2268"/>
    <n v="2727"/>
    <n v="1625.25"/>
    <n v="6184836"/>
    <n v="3686067"/>
    <n v="2498769"/>
    <n v="0.40401540154015403"/>
    <n v="1984836"/>
    <n v="1154769"/>
    <n v="8.4015401540154022E-2"/>
  </r>
  <r>
    <x v="2"/>
    <x v="0"/>
    <x v="2"/>
    <n v="1159.2"/>
    <n v="2277"/>
    <n v="1818"/>
    <n v="2639498.4"/>
    <n v="2107425.6"/>
    <n v="532072.79999999981"/>
    <n v="0.20158102766798414"/>
    <n v="-1560501.6"/>
    <n v="-811927.20000000019"/>
    <n v="-0.11841897233201587"/>
  </r>
  <r>
    <x v="3"/>
    <x v="0"/>
    <x v="0"/>
    <n v="1760.0000000000002"/>
    <n v="2500"/>
    <n v="1700"/>
    <n v="4400000.0000000009"/>
    <n v="2992000.0000000005"/>
    <n v="1408000.0000000005"/>
    <n v="0.32000000000000006"/>
    <n v="0"/>
    <n v="0"/>
    <n v="0"/>
  </r>
  <r>
    <x v="3"/>
    <x v="0"/>
    <x v="1"/>
    <n v="2420"/>
    <n v="2727"/>
    <n v="1625.25"/>
    <n v="6599340"/>
    <n v="3933105"/>
    <n v="2666235"/>
    <n v="0.40401540154015403"/>
    <n v="2199339.9999999991"/>
    <n v="1258234.9999999995"/>
    <n v="8.4015401540153967E-2"/>
  </r>
  <r>
    <x v="3"/>
    <x v="0"/>
    <x v="2"/>
    <n v="1254"/>
    <n v="2300"/>
    <n v="1800"/>
    <n v="2884200"/>
    <n v="2257200"/>
    <n v="627000"/>
    <n v="0.21739130434782608"/>
    <n v="-1515800.0000000009"/>
    <n v="-781000.00000000047"/>
    <n v="-0.10260869565217398"/>
  </r>
  <r>
    <x v="4"/>
    <x v="0"/>
    <x v="0"/>
    <n v="1920"/>
    <n v="2500"/>
    <n v="1700"/>
    <n v="4800000"/>
    <n v="3264000"/>
    <n v="1536000"/>
    <n v="0.32"/>
    <n v="0"/>
    <n v="0"/>
    <n v="0"/>
  </r>
  <r>
    <x v="4"/>
    <x v="0"/>
    <x v="1"/>
    <n v="2640"/>
    <n v="2727"/>
    <n v="1625.25"/>
    <n v="7199280"/>
    <n v="4290660"/>
    <n v="2908620"/>
    <n v="0.40401540154015403"/>
    <n v="2399280"/>
    <n v="1372620"/>
    <n v="8.4015401540154022E-2"/>
  </r>
  <r>
    <x v="4"/>
    <x v="0"/>
    <x v="2"/>
    <n v="1353.6"/>
    <n v="2277"/>
    <n v="1818"/>
    <n v="3082147.1999999997"/>
    <n v="2460844.7999999998"/>
    <n v="621302.39999999991"/>
    <n v="0.20158102766798416"/>
    <n v="-1717852.8000000003"/>
    <n v="-914697.60000000009"/>
    <n v="-0.11841897233201584"/>
  </r>
  <r>
    <x v="5"/>
    <x v="0"/>
    <x v="0"/>
    <n v="1839.9999999999998"/>
    <n v="2500"/>
    <n v="1700"/>
    <n v="4599999.9999999991"/>
    <n v="3127999.9999999995"/>
    <n v="1471999.9999999995"/>
    <n v="0.31999999999999995"/>
    <n v="0"/>
    <n v="0"/>
    <n v="0"/>
  </r>
  <r>
    <x v="5"/>
    <x v="0"/>
    <x v="1"/>
    <n v="2484"/>
    <n v="2727"/>
    <n v="1625.25"/>
    <n v="6773868"/>
    <n v="4037121"/>
    <n v="2736747"/>
    <n v="0.40401540154015403"/>
    <n v="2173868.0000000009"/>
    <n v="1264747.0000000005"/>
    <n v="8.4015401540154078E-2"/>
  </r>
  <r>
    <x v="5"/>
    <x v="0"/>
    <x v="2"/>
    <n v="1269.6000000000001"/>
    <n v="2277"/>
    <n v="1818"/>
    <n v="2890879.2"/>
    <n v="2308132.8000000003"/>
    <n v="582746.39999999991"/>
    <n v="0.20158102766798414"/>
    <n v="-1709120.7999999989"/>
    <n v="-889253.59999999963"/>
    <n v="-0.11841897233201581"/>
  </r>
  <r>
    <x v="6"/>
    <x v="0"/>
    <x v="0"/>
    <n v="1680"/>
    <n v="2500"/>
    <n v="1700"/>
    <n v="4200000"/>
    <n v="2856000"/>
    <n v="1344000"/>
    <n v="0.32"/>
    <n v="0"/>
    <n v="0"/>
    <n v="0"/>
  </r>
  <r>
    <x v="6"/>
    <x v="0"/>
    <x v="1"/>
    <n v="2226"/>
    <n v="2727"/>
    <n v="1625.25"/>
    <n v="6070302"/>
    <n v="3617806.5"/>
    <n v="2452495.5"/>
    <n v="0.40401540154015403"/>
    <n v="1870302"/>
    <n v="1108495.5"/>
    <n v="8.4015401540154022E-2"/>
  </r>
  <r>
    <x v="6"/>
    <x v="0"/>
    <x v="2"/>
    <n v="1197"/>
    <n v="2300"/>
    <n v="1800"/>
    <n v="2753100"/>
    <n v="2154600"/>
    <n v="598500"/>
    <n v="0.21739130434782608"/>
    <n v="-1446900"/>
    <n v="-745500"/>
    <n v="-0.10260869565217393"/>
  </r>
  <r>
    <x v="7"/>
    <x v="0"/>
    <x v="0"/>
    <n v="1760.0000000000002"/>
    <n v="2500"/>
    <n v="1700"/>
    <n v="4400000.0000000009"/>
    <n v="2992000.0000000005"/>
    <n v="1408000.0000000005"/>
    <n v="0.32000000000000006"/>
    <n v="0"/>
    <n v="0"/>
    <n v="0"/>
  </r>
  <r>
    <x v="7"/>
    <x v="0"/>
    <x v="1"/>
    <n v="2420"/>
    <n v="2727"/>
    <n v="1625.25"/>
    <n v="6599340"/>
    <n v="3933105"/>
    <n v="2666235"/>
    <n v="0.40401540154015403"/>
    <n v="2199339.9999999991"/>
    <n v="1258234.9999999995"/>
    <n v="8.4015401540153967E-2"/>
  </r>
  <r>
    <x v="7"/>
    <x v="0"/>
    <x v="2"/>
    <n v="1254"/>
    <n v="2300"/>
    <n v="1800"/>
    <n v="2884200"/>
    <n v="2257200"/>
    <n v="627000"/>
    <n v="0.21739130434782608"/>
    <n v="-1515800.0000000009"/>
    <n v="-781000.00000000047"/>
    <n v="-0.10260869565217398"/>
  </r>
  <r>
    <x v="8"/>
    <x v="0"/>
    <x v="0"/>
    <n v="1839.9999999999998"/>
    <n v="2500"/>
    <n v="1700"/>
    <n v="4599999.9999999991"/>
    <n v="3127999.9999999995"/>
    <n v="1471999.9999999995"/>
    <n v="0.31999999999999995"/>
    <n v="0"/>
    <n v="0"/>
    <n v="0"/>
  </r>
  <r>
    <x v="8"/>
    <x v="0"/>
    <x v="1"/>
    <n v="2415"/>
    <n v="2700"/>
    <n v="1650"/>
    <n v="6520500"/>
    <n v="3984750"/>
    <n v="2535750"/>
    <n v="0.3888888888888889"/>
    <n v="1920500.0000000009"/>
    <n v="1063750.0000000005"/>
    <n v="6.8888888888888944E-2"/>
  </r>
  <r>
    <x v="8"/>
    <x v="0"/>
    <x v="2"/>
    <n v="1324.8"/>
    <n v="2300"/>
    <n v="1800"/>
    <n v="3047040"/>
    <n v="2384640"/>
    <n v="662400"/>
    <n v="0.21739130434782608"/>
    <n v="-1552959.9999999991"/>
    <n v="-809599.99999999953"/>
    <n v="-0.10260869565217387"/>
  </r>
  <r>
    <x v="9"/>
    <x v="0"/>
    <x v="0"/>
    <n v="2080"/>
    <n v="2500"/>
    <n v="1700"/>
    <n v="5200000"/>
    <n v="3536000"/>
    <n v="1664000"/>
    <n v="0.32"/>
    <n v="0"/>
    <n v="0"/>
    <n v="0"/>
  </r>
  <r>
    <x v="9"/>
    <x v="0"/>
    <x v="1"/>
    <n v="2989.9999999999995"/>
    <n v="2754"/>
    <n v="1608.75"/>
    <n v="8234459.9999999991"/>
    <n v="4810162.4999999991"/>
    <n v="3424297.5"/>
    <n v="0.4158496732026144"/>
    <n v="3034459.9999999991"/>
    <n v="1760297.5"/>
    <n v="9.5849673202614394E-2"/>
  </r>
  <r>
    <x v="9"/>
    <x v="0"/>
    <x v="2"/>
    <n v="1404"/>
    <n v="2277"/>
    <n v="1818"/>
    <n v="3196908"/>
    <n v="2552472"/>
    <n v="644436"/>
    <n v="0.20158102766798419"/>
    <n v="-2003092"/>
    <n v="-1019564"/>
    <n v="-0.11841897233201581"/>
  </r>
  <r>
    <x v="10"/>
    <x v="0"/>
    <x v="0"/>
    <n v="2000"/>
    <n v="2500"/>
    <n v="1700"/>
    <n v="5000000"/>
    <n v="3400000"/>
    <n v="1600000"/>
    <n v="0.32"/>
    <n v="0"/>
    <n v="0"/>
    <n v="0"/>
  </r>
  <r>
    <x v="10"/>
    <x v="0"/>
    <x v="1"/>
    <n v="2800.0000000000005"/>
    <n v="2754"/>
    <n v="1608.75"/>
    <n v="7711200.0000000009"/>
    <n v="4504500.0000000009"/>
    <n v="3206700"/>
    <n v="0.41584967320261434"/>
    <n v="2711200.0000000009"/>
    <n v="1606700"/>
    <n v="9.5849673202614338E-2"/>
  </r>
  <r>
    <x v="10"/>
    <x v="0"/>
    <x v="2"/>
    <n v="1410"/>
    <n v="2277"/>
    <n v="1818"/>
    <n v="3210570"/>
    <n v="2563380"/>
    <n v="647190"/>
    <n v="0.20158102766798419"/>
    <n v="-1789430"/>
    <n v="-952810"/>
    <n v="-0.11841897233201581"/>
  </r>
  <r>
    <x v="11"/>
    <x v="0"/>
    <x v="0"/>
    <n v="1920"/>
    <n v="2500"/>
    <n v="1700"/>
    <n v="4800000"/>
    <n v="3264000"/>
    <n v="1536000"/>
    <n v="0.32"/>
    <n v="0"/>
    <n v="0"/>
    <n v="0"/>
  </r>
  <r>
    <x v="11"/>
    <x v="0"/>
    <x v="1"/>
    <n v="2592"/>
    <n v="2727"/>
    <n v="1625.25"/>
    <n v="7068384"/>
    <n v="4212648"/>
    <n v="2855736"/>
    <n v="0.40401540154015403"/>
    <n v="2268384"/>
    <n v="1319736"/>
    <n v="8.4015401540154022E-2"/>
  </r>
  <r>
    <x v="11"/>
    <x v="0"/>
    <x v="2"/>
    <n v="1267.2"/>
    <n v="2254"/>
    <n v="1836"/>
    <n v="2856268.8000000003"/>
    <n v="2326579.2000000002"/>
    <n v="529689.60000000009"/>
    <n v="0.18544809228039044"/>
    <n v="-1943731.1999999997"/>
    <n v="-1006310.3999999999"/>
    <n v="-0.13455190771960956"/>
  </r>
  <r>
    <x v="0"/>
    <x v="1"/>
    <x v="0"/>
    <n v="950"/>
    <n v="3500"/>
    <n v="2600"/>
    <n v="3325000"/>
    <n v="2470000"/>
    <n v="855000"/>
    <n v="0.25714285714285712"/>
    <n v="0"/>
    <n v="0"/>
    <n v="0"/>
  </r>
  <r>
    <x v="0"/>
    <x v="1"/>
    <x v="1"/>
    <n v="1420.25"/>
    <n v="3876"/>
    <n v="2437.5"/>
    <n v="5504889"/>
    <n v="3461859.375"/>
    <n v="2043029.625"/>
    <n v="0.37113003095975233"/>
    <n v="2179889"/>
    <n v="1188029.625"/>
    <n v="0.11398717381689522"/>
  </r>
  <r>
    <x v="0"/>
    <x v="1"/>
    <x v="2"/>
    <n v="608"/>
    <n v="3104"/>
    <n v="2884"/>
    <n v="1887232"/>
    <n v="1753472"/>
    <n v="133760"/>
    <n v="7.0876288659793812E-2"/>
    <n v="-1437768"/>
    <n v="-721240"/>
    <n v="-0.18626656848306331"/>
  </r>
  <r>
    <x v="1"/>
    <x v="1"/>
    <x v="0"/>
    <n v="900"/>
    <n v="3500"/>
    <n v="2600"/>
    <n v="3150000"/>
    <n v="2340000"/>
    <n v="810000"/>
    <n v="0.25714285714285712"/>
    <n v="0"/>
    <n v="0"/>
    <n v="0"/>
  </r>
  <r>
    <x v="1"/>
    <x v="1"/>
    <x v="1"/>
    <n v="1228.5"/>
    <n v="3800"/>
    <n v="2500"/>
    <n v="4668300"/>
    <n v="3071250"/>
    <n v="1597050"/>
    <n v="0.34210526315789475"/>
    <n v="1518300"/>
    <n v="787050"/>
    <n v="8.4962406015037628E-2"/>
  </r>
  <r>
    <x v="1"/>
    <x v="1"/>
    <x v="2"/>
    <n v="612"/>
    <n v="3136"/>
    <n v="2856"/>
    <n v="1919232"/>
    <n v="1747872"/>
    <n v="171360"/>
    <n v="8.9285714285714288E-2"/>
    <n v="-1230768"/>
    <n v="-638640"/>
    <n v="-0.16785714285714282"/>
  </r>
  <r>
    <x v="2"/>
    <x v="1"/>
    <x v="0"/>
    <n v="1050"/>
    <n v="3500"/>
    <n v="2600"/>
    <n v="3675000"/>
    <n v="2730000"/>
    <n v="945000"/>
    <n v="0.25714285714285712"/>
    <n v="0"/>
    <n v="0"/>
    <n v="0"/>
  </r>
  <r>
    <x v="2"/>
    <x v="1"/>
    <x v="1"/>
    <n v="1501.5000000000002"/>
    <n v="3838"/>
    <n v="2462.5"/>
    <n v="5762757.0000000009"/>
    <n v="3697443.7500000005"/>
    <n v="2065313.2500000005"/>
    <n v="0.35838978634705576"/>
    <n v="2087757.0000000009"/>
    <n v="1120313.2500000005"/>
    <n v="0.10124692920419864"/>
  </r>
  <r>
    <x v="2"/>
    <x v="1"/>
    <x v="2"/>
    <n v="756"/>
    <n v="3168"/>
    <n v="2828"/>
    <n v="2395008"/>
    <n v="2137968"/>
    <n v="257040"/>
    <n v="0.10732323232323232"/>
    <n v="-1279992"/>
    <n v="-687960"/>
    <n v="-0.1498196248196248"/>
  </r>
  <r>
    <x v="3"/>
    <x v="1"/>
    <x v="0"/>
    <n v="1100"/>
    <n v="3500"/>
    <n v="2600"/>
    <n v="3850000"/>
    <n v="2860000"/>
    <n v="990000"/>
    <n v="0.25714285714285712"/>
    <n v="0"/>
    <n v="0"/>
    <n v="0"/>
  </r>
  <r>
    <x v="3"/>
    <x v="1"/>
    <x v="1"/>
    <n v="1716.0000000000002"/>
    <n v="3914"/>
    <n v="2400"/>
    <n v="6716424.0000000009"/>
    <n v="4118400.0000000005"/>
    <n v="2598024.0000000005"/>
    <n v="0.3868165559529893"/>
    <n v="2866424.0000000009"/>
    <n v="1608024.0000000005"/>
    <n v="0.12967369881013219"/>
  </r>
  <r>
    <x v="3"/>
    <x v="1"/>
    <x v="2"/>
    <n v="809.60000000000014"/>
    <n v="3168"/>
    <n v="2828"/>
    <n v="2564812.8000000003"/>
    <n v="2289548.8000000003"/>
    <n v="275264"/>
    <n v="0.10732323232323231"/>
    <n v="-1285187.1999999997"/>
    <n v="-714736"/>
    <n v="-0.1498196248196248"/>
  </r>
  <r>
    <x v="4"/>
    <x v="1"/>
    <x v="0"/>
    <n v="1200"/>
    <n v="3500"/>
    <n v="2600"/>
    <n v="4200000"/>
    <n v="3120000"/>
    <n v="1080000"/>
    <n v="0.25714285714285712"/>
    <n v="0"/>
    <n v="0"/>
    <n v="0"/>
  </r>
  <r>
    <x v="4"/>
    <x v="1"/>
    <x v="1"/>
    <n v="1793.9999999999998"/>
    <n v="3876"/>
    <n v="2437.5"/>
    <n v="6953543.9999999991"/>
    <n v="4372874.9999999991"/>
    <n v="2580669"/>
    <n v="0.37113003095975239"/>
    <n v="2753543.9999999991"/>
    <n v="1500669"/>
    <n v="0.11398717381689527"/>
  </r>
  <r>
    <x v="4"/>
    <x v="1"/>
    <x v="2"/>
    <n v="864"/>
    <n v="3168"/>
    <n v="2828"/>
    <n v="2737152"/>
    <n v="2443392"/>
    <n v="293760"/>
    <n v="0.10732323232323232"/>
    <n v="-1462848"/>
    <n v="-786240"/>
    <n v="-0.1498196248196248"/>
  </r>
  <r>
    <x v="5"/>
    <x v="1"/>
    <x v="0"/>
    <n v="1150"/>
    <n v="3500"/>
    <n v="2600"/>
    <n v="4025000"/>
    <n v="2990000"/>
    <n v="1035000"/>
    <n v="0.25714285714285712"/>
    <n v="0"/>
    <n v="0"/>
    <n v="0"/>
  </r>
  <r>
    <x v="5"/>
    <x v="1"/>
    <x v="1"/>
    <n v="1433.25"/>
    <n v="3800"/>
    <n v="2500"/>
    <n v="5446350"/>
    <n v="3583125"/>
    <n v="1863225"/>
    <n v="0.34210526315789475"/>
    <n v="1421350"/>
    <n v="828225"/>
    <n v="8.4962406015037628E-2"/>
  </r>
  <r>
    <x v="5"/>
    <x v="1"/>
    <x v="2"/>
    <n v="809.59999999999991"/>
    <n v="3136"/>
    <n v="2856"/>
    <n v="2538905.5999999996"/>
    <n v="2312217.5999999996"/>
    <n v="226688"/>
    <n v="8.9285714285714302E-2"/>
    <n v="-1486094.4000000004"/>
    <n v="-808312"/>
    <n v="-0.16785714285714282"/>
  </r>
  <r>
    <x v="6"/>
    <x v="1"/>
    <x v="0"/>
    <n v="1050"/>
    <n v="3500"/>
    <n v="2600"/>
    <n v="3675000"/>
    <n v="2730000"/>
    <n v="945000"/>
    <n v="0.25714285714285712"/>
    <n v="0"/>
    <n v="0"/>
    <n v="0"/>
  </r>
  <r>
    <x v="6"/>
    <x v="1"/>
    <x v="1"/>
    <n v="1433.25"/>
    <n v="3800"/>
    <n v="2500"/>
    <n v="5446350"/>
    <n v="3583125"/>
    <n v="1863225"/>
    <n v="0.34210526315789475"/>
    <n v="1771350"/>
    <n v="918225"/>
    <n v="8.4962406015037628E-2"/>
  </r>
  <r>
    <x v="6"/>
    <x v="1"/>
    <x v="2"/>
    <n v="756"/>
    <n v="3168"/>
    <n v="2828"/>
    <n v="2395008"/>
    <n v="2137968"/>
    <n v="257040"/>
    <n v="0.10732323232323232"/>
    <n v="-1279992"/>
    <n v="-687960"/>
    <n v="-0.1498196248196248"/>
  </r>
  <r>
    <x v="7"/>
    <x v="1"/>
    <x v="0"/>
    <n v="1100"/>
    <n v="3500"/>
    <n v="2600"/>
    <n v="3850000"/>
    <n v="2860000"/>
    <n v="990000"/>
    <n v="0.25714285714285712"/>
    <n v="0"/>
    <n v="0"/>
    <n v="0"/>
  </r>
  <r>
    <x v="7"/>
    <x v="1"/>
    <x v="1"/>
    <n v="1544.4000000000003"/>
    <n v="3838"/>
    <n v="2462.5"/>
    <n v="5927407.2000000011"/>
    <n v="3803085.0000000009"/>
    <n v="2124322.2000000002"/>
    <n v="0.35838978634705571"/>
    <n v="2077407.2000000011"/>
    <n v="1134322.2000000002"/>
    <n v="0.10124692920419859"/>
  </r>
  <r>
    <x v="7"/>
    <x v="1"/>
    <x v="2"/>
    <n v="809.60000000000014"/>
    <n v="3168"/>
    <n v="2828"/>
    <n v="2564812.8000000003"/>
    <n v="2289548.8000000003"/>
    <n v="275264"/>
    <n v="0.10732323232323231"/>
    <n v="-1285187.1999999997"/>
    <n v="-714736"/>
    <n v="-0.1498196248196248"/>
  </r>
  <r>
    <x v="8"/>
    <x v="1"/>
    <x v="0"/>
    <n v="1150"/>
    <n v="3500"/>
    <n v="2600"/>
    <n v="4025000"/>
    <n v="2990000"/>
    <n v="1035000"/>
    <n v="0.25714285714285712"/>
    <n v="0"/>
    <n v="0"/>
    <n v="0"/>
  </r>
  <r>
    <x v="8"/>
    <x v="1"/>
    <x v="1"/>
    <n v="1569.7499999999998"/>
    <n v="3800"/>
    <n v="2500"/>
    <n v="5965049.9999999991"/>
    <n v="3924374.9999999995"/>
    <n v="2040674.9999999995"/>
    <n v="0.34210526315789469"/>
    <n v="1940049.9999999991"/>
    <n v="1005674.9999999995"/>
    <n v="8.4962406015037573E-2"/>
  </r>
  <r>
    <x v="8"/>
    <x v="1"/>
    <x v="2"/>
    <n v="864.79999999999984"/>
    <n v="3168"/>
    <n v="2828"/>
    <n v="2739686.3999999994"/>
    <n v="2445654.3999999994"/>
    <n v="294032"/>
    <n v="0.10732323232323235"/>
    <n v="-1285313.6000000006"/>
    <n v="-740968"/>
    <n v="-0.14981962481962477"/>
  </r>
  <r>
    <x v="9"/>
    <x v="1"/>
    <x v="0"/>
    <n v="1300"/>
    <n v="3500"/>
    <n v="2600"/>
    <n v="4550000"/>
    <n v="3380000"/>
    <n v="1170000"/>
    <n v="0.25714285714285712"/>
    <n v="0"/>
    <n v="0"/>
    <n v="0"/>
  </r>
  <r>
    <x v="9"/>
    <x v="1"/>
    <x v="1"/>
    <n v="1859.0000000000002"/>
    <n v="3838"/>
    <n v="2462.5"/>
    <n v="7134842.0000000009"/>
    <n v="4577787.5000000009"/>
    <n v="2557054.5"/>
    <n v="0.35838978634705571"/>
    <n v="2584842.0000000009"/>
    <n v="1387054.5"/>
    <n v="0.10124692920419859"/>
  </r>
  <r>
    <x v="9"/>
    <x v="1"/>
    <x v="2"/>
    <n v="915.2"/>
    <n v="3136"/>
    <n v="2856"/>
    <n v="2870067.2000000002"/>
    <n v="2613811.2000000002"/>
    <n v="256256"/>
    <n v="8.9285714285714274E-2"/>
    <n v="-1679932.7999999998"/>
    <n v="-913744"/>
    <n v="-0.16785714285714284"/>
  </r>
  <r>
    <x v="10"/>
    <x v="1"/>
    <x v="0"/>
    <n v="1250"/>
    <n v="3500"/>
    <n v="2600"/>
    <n v="4375000"/>
    <n v="3250000"/>
    <n v="1125000"/>
    <n v="0.25714285714285712"/>
    <n v="0"/>
    <n v="0"/>
    <n v="0"/>
  </r>
  <r>
    <x v="10"/>
    <x v="1"/>
    <x v="1"/>
    <n v="1787.5000000000002"/>
    <n v="3838"/>
    <n v="2462.5"/>
    <n v="6860425.0000000009"/>
    <n v="4401718.7500000009"/>
    <n v="2458706.25"/>
    <n v="0.35838978634705571"/>
    <n v="2485425.0000000009"/>
    <n v="1333706.25"/>
    <n v="0.10124692920419859"/>
  </r>
  <r>
    <x v="10"/>
    <x v="1"/>
    <x v="2"/>
    <n v="920"/>
    <n v="3168"/>
    <n v="2828"/>
    <n v="2914560"/>
    <n v="2601760"/>
    <n v="312800"/>
    <n v="0.10732323232323232"/>
    <n v="-1460440"/>
    <n v="-812200"/>
    <n v="-0.1498196248196248"/>
  </r>
  <r>
    <x v="11"/>
    <x v="1"/>
    <x v="0"/>
    <n v="1200"/>
    <n v="3500"/>
    <n v="2600"/>
    <n v="4200000"/>
    <n v="3120000"/>
    <n v="1080000"/>
    <n v="0.25714285714285712"/>
    <n v="0"/>
    <n v="0"/>
    <n v="0"/>
  </r>
  <r>
    <x v="11"/>
    <x v="1"/>
    <x v="1"/>
    <n v="1747.2000000000003"/>
    <n v="3876"/>
    <n v="2437.5"/>
    <n v="6772147.2000000011"/>
    <n v="4258800.0000000009"/>
    <n v="2513347.2000000002"/>
    <n v="0.37113003095975228"/>
    <n v="2572147.2000000011"/>
    <n v="1433347.2000000002"/>
    <n v="0.11398717381689516"/>
  </r>
  <r>
    <x v="11"/>
    <x v="1"/>
    <x v="2"/>
    <n v="816"/>
    <n v="3136"/>
    <n v="2856"/>
    <n v="2558976"/>
    <n v="2330496"/>
    <n v="228480"/>
    <n v="8.9285714285714288E-2"/>
    <n v="-1641024"/>
    <n v="-851520"/>
    <n v="-0.16785714285714282"/>
  </r>
  <r>
    <x v="0"/>
    <x v="2"/>
    <x v="0"/>
    <n v="1045"/>
    <n v="2600"/>
    <n v="1800"/>
    <n v="2717000"/>
    <n v="1881000"/>
    <n v="836000"/>
    <n v="0.30769230769230771"/>
    <n v="0"/>
    <n v="0"/>
    <n v="0"/>
  </r>
  <r>
    <x v="0"/>
    <x v="2"/>
    <x v="1"/>
    <n v="1330"/>
    <n v="3000"/>
    <n v="1700"/>
    <n v="3990000"/>
    <n v="2261000"/>
    <n v="1729000"/>
    <n v="0.43333333333333335"/>
    <n v="1273000"/>
    <n v="893000"/>
    <n v="0.12564102564102564"/>
  </r>
  <r>
    <x v="0"/>
    <x v="2"/>
    <x v="2"/>
    <n v="812.25"/>
    <n v="2300"/>
    <n v="2100"/>
    <n v="1868175"/>
    <n v="1705725"/>
    <n v="162450"/>
    <n v="8.6956521739130432E-2"/>
    <n v="-848825"/>
    <n v="-673550"/>
    <n v="-0.22073578595317728"/>
  </r>
  <r>
    <x v="1"/>
    <x v="2"/>
    <x v="0"/>
    <n v="990"/>
    <n v="2600"/>
    <n v="1800"/>
    <n v="2574000"/>
    <n v="1782000"/>
    <n v="792000"/>
    <n v="0.30769230769230771"/>
    <n v="0"/>
    <n v="0"/>
    <n v="0"/>
  </r>
  <r>
    <x v="1"/>
    <x v="2"/>
    <x v="1"/>
    <n v="1449"/>
    <n v="3060"/>
    <n v="1657.5"/>
    <n v="4433940"/>
    <n v="2401717.5"/>
    <n v="2032222.5"/>
    <n v="0.45833333333333331"/>
    <n v="1859940"/>
    <n v="1240222.5"/>
    <n v="0.15064102564102561"/>
  </r>
  <r>
    <x v="1"/>
    <x v="2"/>
    <x v="2"/>
    <n v="648"/>
    <n v="2231"/>
    <n v="2163"/>
    <n v="1445688"/>
    <n v="1401624"/>
    <n v="44064"/>
    <n v="3.0479605558045721E-2"/>
    <n v="-1128312"/>
    <n v="-747936"/>
    <n v="-0.27721270213426197"/>
  </r>
  <r>
    <x v="2"/>
    <x v="2"/>
    <x v="0"/>
    <n v="1155"/>
    <n v="2600"/>
    <n v="1800"/>
    <n v="3003000"/>
    <n v="2079000"/>
    <n v="924000"/>
    <n v="0.30769230769230771"/>
    <n v="0"/>
    <n v="0"/>
    <n v="0"/>
  </r>
  <r>
    <x v="2"/>
    <x v="2"/>
    <x v="1"/>
    <n v="1617.0000000000002"/>
    <n v="3030"/>
    <n v="1674.5"/>
    <n v="4899510.0000000009"/>
    <n v="2707666.5000000005"/>
    <n v="2191843.5000000005"/>
    <n v="0.44735973597359735"/>
    <n v="1896510.0000000009"/>
    <n v="1267843.5000000005"/>
    <n v="0.13966742828128964"/>
  </r>
  <r>
    <x v="2"/>
    <x v="2"/>
    <x v="2"/>
    <n v="803.25"/>
    <n v="2254"/>
    <n v="2142"/>
    <n v="1810525.5"/>
    <n v="1720561.5"/>
    <n v="89964"/>
    <n v="4.9689440993788817E-2"/>
    <n v="-1192474.5"/>
    <n v="-834036"/>
    <n v="-0.25800286669851891"/>
  </r>
  <r>
    <x v="3"/>
    <x v="2"/>
    <x v="0"/>
    <n v="1210"/>
    <n v="2600"/>
    <n v="1800"/>
    <n v="3146000"/>
    <n v="2178000"/>
    <n v="968000"/>
    <n v="0.30769230769230771"/>
    <n v="0"/>
    <n v="0"/>
    <n v="0"/>
  </r>
  <r>
    <x v="3"/>
    <x v="2"/>
    <x v="1"/>
    <n v="1540.0000000000002"/>
    <n v="3000"/>
    <n v="1700"/>
    <n v="4620000.0000000009"/>
    <n v="2618000.0000000005"/>
    <n v="2002000.0000000005"/>
    <n v="0.43333333333333335"/>
    <n v="1474000.0000000009"/>
    <n v="1034000.0000000005"/>
    <n v="0.12564102564102564"/>
  </r>
  <r>
    <x v="3"/>
    <x v="2"/>
    <x v="2"/>
    <n v="891.00000000000011"/>
    <n v="2277"/>
    <n v="2121"/>
    <n v="2028807.0000000002"/>
    <n v="1889811.0000000002"/>
    <n v="138996"/>
    <n v="6.8511198945981552E-2"/>
    <n v="-1117192.9999999998"/>
    <n v="-829004"/>
    <n v="-0.23918110874632614"/>
  </r>
  <r>
    <x v="4"/>
    <x v="2"/>
    <x v="0"/>
    <n v="1320"/>
    <n v="2600"/>
    <n v="1800"/>
    <n v="3432000"/>
    <n v="2376000"/>
    <n v="1056000"/>
    <n v="0.30769230769230771"/>
    <n v="0"/>
    <n v="0"/>
    <n v="0"/>
  </r>
  <r>
    <x v="4"/>
    <x v="2"/>
    <x v="1"/>
    <n v="1680"/>
    <n v="3000"/>
    <n v="1700"/>
    <n v="5040000"/>
    <n v="2856000"/>
    <n v="2184000"/>
    <n v="0.43333333333333335"/>
    <n v="1608000"/>
    <n v="1128000"/>
    <n v="0.12564102564102564"/>
  </r>
  <r>
    <x v="4"/>
    <x v="2"/>
    <x v="2"/>
    <n v="950.4"/>
    <n v="2254"/>
    <n v="2142"/>
    <n v="2142201.6"/>
    <n v="2035756.8"/>
    <n v="106444.80000000005"/>
    <n v="4.9689440993788837E-2"/>
    <n v="-1289798.3999999999"/>
    <n v="-949555.19999999995"/>
    <n v="-0.25800286669851885"/>
  </r>
  <r>
    <x v="5"/>
    <x v="2"/>
    <x v="0"/>
    <n v="1265"/>
    <n v="2600"/>
    <n v="1800"/>
    <n v="3289000"/>
    <n v="2277000"/>
    <n v="1012000"/>
    <n v="0.30769230769230771"/>
    <n v="0"/>
    <n v="0"/>
    <n v="0"/>
  </r>
  <r>
    <x v="5"/>
    <x v="2"/>
    <x v="1"/>
    <n v="1609.9999999999998"/>
    <n v="3000"/>
    <n v="1700"/>
    <n v="4829999.9999999991"/>
    <n v="2736999.9999999995"/>
    <n v="2092999.9999999995"/>
    <n v="0.43333333333333335"/>
    <n v="1540999.9999999991"/>
    <n v="1080999.9999999995"/>
    <n v="0.12564102564102564"/>
  </r>
  <r>
    <x v="5"/>
    <x v="2"/>
    <x v="2"/>
    <n v="931.5"/>
    <n v="2277"/>
    <n v="2121"/>
    <n v="2121025.5"/>
    <n v="1975711.5"/>
    <n v="145314"/>
    <n v="6.8511198945981552E-2"/>
    <n v="-1167974.5"/>
    <n v="-866686"/>
    <n v="-0.23918110874632614"/>
  </r>
  <r>
    <x v="6"/>
    <x v="2"/>
    <x v="0"/>
    <n v="1155"/>
    <n v="2600"/>
    <n v="1800"/>
    <n v="3003000"/>
    <n v="2079000"/>
    <n v="924000"/>
    <n v="0.30769230769230771"/>
    <n v="0"/>
    <n v="0"/>
    <n v="0"/>
  </r>
  <r>
    <x v="6"/>
    <x v="2"/>
    <x v="1"/>
    <n v="1617.0000000000002"/>
    <n v="3030"/>
    <n v="1674.5"/>
    <n v="4899510.0000000009"/>
    <n v="2707666.5000000005"/>
    <n v="2191843.5000000005"/>
    <n v="0.44735973597359735"/>
    <n v="1896510.0000000009"/>
    <n v="1267843.5000000005"/>
    <n v="0.13966742828128964"/>
  </r>
  <r>
    <x v="6"/>
    <x v="2"/>
    <x v="2"/>
    <n v="850.5"/>
    <n v="2277"/>
    <n v="2121"/>
    <n v="1936588.5"/>
    <n v="1803910.5"/>
    <n v="132678"/>
    <n v="6.8511198945981552E-2"/>
    <n v="-1066411.5"/>
    <n v="-791322"/>
    <n v="-0.23918110874632614"/>
  </r>
  <r>
    <x v="7"/>
    <x v="2"/>
    <x v="0"/>
    <n v="1210"/>
    <n v="2600"/>
    <n v="1800"/>
    <n v="3146000"/>
    <n v="2178000"/>
    <n v="968000"/>
    <n v="0.30769230769230771"/>
    <n v="0"/>
    <n v="0"/>
    <n v="0"/>
  </r>
  <r>
    <x v="7"/>
    <x v="2"/>
    <x v="1"/>
    <n v="1724.8000000000004"/>
    <n v="3060"/>
    <n v="1657.5"/>
    <n v="5277888.0000000009"/>
    <n v="2858856.0000000005"/>
    <n v="2419032.0000000005"/>
    <n v="0.45833333333333331"/>
    <n v="2131888.0000000009"/>
    <n v="1451032.0000000005"/>
    <n v="0.15064102564102561"/>
  </r>
  <r>
    <x v="7"/>
    <x v="2"/>
    <x v="2"/>
    <n v="940.50000000000011"/>
    <n v="2300"/>
    <n v="2100"/>
    <n v="2163150.0000000005"/>
    <n v="1975050.0000000002"/>
    <n v="188100.00000000023"/>
    <n v="8.695652173913053E-2"/>
    <n v="-982849.99999999953"/>
    <n v="-779899.99999999977"/>
    <n v="-0.22073578595317717"/>
  </r>
  <r>
    <x v="8"/>
    <x v="2"/>
    <x v="0"/>
    <n v="1265"/>
    <n v="2600"/>
    <n v="1800"/>
    <n v="3289000"/>
    <n v="2277000"/>
    <n v="1012000"/>
    <n v="0.30769230769230771"/>
    <n v="0"/>
    <n v="0"/>
    <n v="0"/>
  </r>
  <r>
    <x v="8"/>
    <x v="2"/>
    <x v="1"/>
    <n v="1771"/>
    <n v="3030"/>
    <n v="1674.5"/>
    <n v="5366130"/>
    <n v="2965539.5"/>
    <n v="2400590.5"/>
    <n v="0.44735973597359735"/>
    <n v="2077130"/>
    <n v="1388590.5"/>
    <n v="0.13966742828128964"/>
  </r>
  <r>
    <x v="8"/>
    <x v="2"/>
    <x v="2"/>
    <n v="962.55"/>
    <n v="2277"/>
    <n v="2121"/>
    <n v="2191726.35"/>
    <n v="2041568.5499999998"/>
    <n v="150157.80000000028"/>
    <n v="6.8511198945981677E-2"/>
    <n v="-1097273.6499999999"/>
    <n v="-861842.19999999972"/>
    <n v="-0.23918110874632603"/>
  </r>
  <r>
    <x v="9"/>
    <x v="2"/>
    <x v="0"/>
    <n v="1430"/>
    <n v="2600"/>
    <n v="1800"/>
    <n v="3718000"/>
    <n v="2574000"/>
    <n v="1144000"/>
    <n v="0.30769230769230771"/>
    <n v="0"/>
    <n v="0"/>
    <n v="0"/>
  </r>
  <r>
    <x v="9"/>
    <x v="2"/>
    <x v="1"/>
    <n v="2093"/>
    <n v="3060"/>
    <n v="1657.5"/>
    <n v="6404580"/>
    <n v="3469147.5"/>
    <n v="2935432.5"/>
    <n v="0.45833333333333331"/>
    <n v="2686580"/>
    <n v="1791432.5"/>
    <n v="0.15064102564102561"/>
  </r>
  <r>
    <x v="9"/>
    <x v="2"/>
    <x v="2"/>
    <n v="1076.4000000000001"/>
    <n v="2277"/>
    <n v="2121"/>
    <n v="2450962.8000000003"/>
    <n v="2283044.4000000004"/>
    <n v="167918.39999999991"/>
    <n v="6.8511198945981511E-2"/>
    <n v="-1267037.1999999997"/>
    <n v="-976081.60000000009"/>
    <n v="-0.2391811087463262"/>
  </r>
  <r>
    <x v="10"/>
    <x v="2"/>
    <x v="0"/>
    <n v="1375"/>
    <n v="2600"/>
    <n v="1800"/>
    <n v="3575000"/>
    <n v="2475000"/>
    <n v="1100000"/>
    <n v="0.30769230769230771"/>
    <n v="0"/>
    <n v="0"/>
    <n v="0"/>
  </r>
  <r>
    <x v="10"/>
    <x v="2"/>
    <x v="1"/>
    <n v="1960.0000000000002"/>
    <n v="3060"/>
    <n v="1657.5"/>
    <n v="5997600.0000000009"/>
    <n v="3248700.0000000005"/>
    <n v="2748900.0000000005"/>
    <n v="0.45833333333333331"/>
    <n v="2422600.0000000009"/>
    <n v="1648900.0000000005"/>
    <n v="0.15064102564102561"/>
  </r>
  <r>
    <x v="10"/>
    <x v="2"/>
    <x v="2"/>
    <n v="1068.75"/>
    <n v="2300"/>
    <n v="2100"/>
    <n v="2458125"/>
    <n v="2244375"/>
    <n v="213750"/>
    <n v="8.6956521739130432E-2"/>
    <n v="-1116875"/>
    <n v="-886250"/>
    <n v="-0.22073578595317728"/>
  </r>
  <r>
    <x v="11"/>
    <x v="2"/>
    <x v="0"/>
    <n v="1320"/>
    <n v="2600"/>
    <n v="1800"/>
    <n v="3432000"/>
    <n v="2376000"/>
    <n v="1056000"/>
    <n v="0.30769230769230771"/>
    <n v="0"/>
    <n v="0"/>
    <n v="0"/>
  </r>
  <r>
    <x v="11"/>
    <x v="2"/>
    <x v="1"/>
    <n v="1848.0000000000002"/>
    <n v="3030"/>
    <n v="1674.5"/>
    <n v="5599440.0000000009"/>
    <n v="3094476.0000000005"/>
    <n v="2504964.0000000005"/>
    <n v="0.44735973597359735"/>
    <n v="2167440.0000000009"/>
    <n v="1448964.0000000005"/>
    <n v="0.13966742828128964"/>
  </r>
  <r>
    <x v="11"/>
    <x v="2"/>
    <x v="2"/>
    <n v="972"/>
    <n v="2277"/>
    <n v="2121"/>
    <n v="2213244"/>
    <n v="2061612"/>
    <n v="151632"/>
    <n v="6.8511198945981552E-2"/>
    <n v="-1218756"/>
    <n v="-904368"/>
    <n v="-0.23918110874632614"/>
  </r>
  <r>
    <x v="0"/>
    <x v="3"/>
    <x v="0"/>
    <n v="1900"/>
    <n v="1200"/>
    <n v="700"/>
    <n v="2280000"/>
    <n v="1330000"/>
    <n v="950000"/>
    <n v="0.41666666666666669"/>
    <n v="0"/>
    <n v="0"/>
    <n v="0"/>
  </r>
  <r>
    <x v="0"/>
    <x v="3"/>
    <x v="1"/>
    <n v="2612.5"/>
    <n v="1414"/>
    <n v="640.25"/>
    <n v="3694075"/>
    <n v="1672653.125"/>
    <n v="2021421.875"/>
    <n v="0.54720650636492218"/>
    <n v="1414075"/>
    <n v="1071421.875"/>
    <n v="0.1305398396982555"/>
  </r>
  <r>
    <x v="0"/>
    <x v="3"/>
    <x v="2"/>
    <n v="1282.5"/>
    <n v="990"/>
    <n v="808"/>
    <n v="1269675"/>
    <n v="1036260"/>
    <n v="233415"/>
    <n v="0.18383838383838383"/>
    <n v="-1010325"/>
    <n v="-716585"/>
    <n v="-0.23282828282828286"/>
  </r>
  <r>
    <x v="1"/>
    <x v="3"/>
    <x v="0"/>
    <n v="1800"/>
    <n v="1200"/>
    <n v="700"/>
    <n v="2160000"/>
    <n v="1260000"/>
    <n v="900000"/>
    <n v="0.41666666666666669"/>
    <n v="0"/>
    <n v="0"/>
    <n v="0"/>
  </r>
  <r>
    <x v="1"/>
    <x v="3"/>
    <x v="1"/>
    <n v="2475"/>
    <n v="1414"/>
    <n v="640.25"/>
    <n v="3499650"/>
    <n v="1584618.75"/>
    <n v="1915031.25"/>
    <n v="0.54720650636492218"/>
    <n v="1339650"/>
    <n v="1015031.25"/>
    <n v="0.1305398396982555"/>
  </r>
  <r>
    <x v="1"/>
    <x v="3"/>
    <x v="2"/>
    <n v="1188"/>
    <n v="980"/>
    <n v="816"/>
    <n v="1164240"/>
    <n v="969408"/>
    <n v="194832"/>
    <n v="0.16734693877551021"/>
    <n v="-995760"/>
    <n v="-705168"/>
    <n v="-0.24931972789115647"/>
  </r>
  <r>
    <x v="2"/>
    <x v="3"/>
    <x v="0"/>
    <n v="2100"/>
    <n v="1200"/>
    <n v="700"/>
    <n v="2520000"/>
    <n v="1470000"/>
    <n v="1050000"/>
    <n v="0.41666666666666669"/>
    <n v="0"/>
    <n v="0"/>
    <n v="0"/>
  </r>
  <r>
    <x v="2"/>
    <x v="3"/>
    <x v="1"/>
    <n v="3018.7499999999995"/>
    <n v="1428"/>
    <n v="633.75"/>
    <n v="4310774.9999999991"/>
    <n v="1913132.8124999998"/>
    <n v="2397642.1874999991"/>
    <n v="0.55619747899159655"/>
    <n v="1790774.9999999991"/>
    <n v="1347642.1874999991"/>
    <n v="0.13953081232492986"/>
  </r>
  <r>
    <x v="2"/>
    <x v="3"/>
    <x v="2"/>
    <n v="1449"/>
    <n v="990"/>
    <n v="808"/>
    <n v="1434510"/>
    <n v="1170792"/>
    <n v="263718"/>
    <n v="0.18383838383838383"/>
    <n v="-1085490"/>
    <n v="-786282"/>
    <n v="-0.23282828282828286"/>
  </r>
  <r>
    <x v="3"/>
    <x v="3"/>
    <x v="0"/>
    <n v="2200"/>
    <n v="1200"/>
    <n v="700"/>
    <n v="2640000"/>
    <n v="1540000"/>
    <n v="1100000"/>
    <n v="0.41666666666666669"/>
    <n v="0"/>
    <n v="0"/>
    <n v="0"/>
  </r>
  <r>
    <x v="3"/>
    <x v="3"/>
    <x v="1"/>
    <n v="2887.5"/>
    <n v="1400"/>
    <n v="650"/>
    <n v="4042500"/>
    <n v="1876875"/>
    <n v="2165625"/>
    <n v="0.5357142857142857"/>
    <n v="1402500"/>
    <n v="1065625"/>
    <n v="0.11904761904761901"/>
  </r>
  <r>
    <x v="3"/>
    <x v="3"/>
    <x v="2"/>
    <n v="1551.0000000000002"/>
    <n v="990"/>
    <n v="808"/>
    <n v="1535490.0000000002"/>
    <n v="1253208.0000000002"/>
    <n v="282282"/>
    <n v="0.1838383838383838"/>
    <n v="-1104509.9999999998"/>
    <n v="-817718"/>
    <n v="-0.23282828282828288"/>
  </r>
  <r>
    <x v="4"/>
    <x v="3"/>
    <x v="0"/>
    <n v="2400"/>
    <n v="1200"/>
    <n v="700"/>
    <n v="2880000"/>
    <n v="1680000"/>
    <n v="1200000"/>
    <n v="0.41666666666666669"/>
    <n v="0"/>
    <n v="0"/>
    <n v="0"/>
  </r>
  <r>
    <x v="4"/>
    <x v="3"/>
    <x v="1"/>
    <n v="3150"/>
    <n v="1400"/>
    <n v="650"/>
    <n v="4410000"/>
    <n v="2047500"/>
    <n v="2362500"/>
    <n v="0.5357142857142857"/>
    <n v="1530000"/>
    <n v="1162500"/>
    <n v="0.11904761904761901"/>
  </r>
  <r>
    <x v="4"/>
    <x v="3"/>
    <x v="2"/>
    <n v="1638"/>
    <n v="990"/>
    <n v="808"/>
    <n v="1621620"/>
    <n v="1323504"/>
    <n v="298116"/>
    <n v="0.18383838383838383"/>
    <n v="-1258380"/>
    <n v="-901884"/>
    <n v="-0.23282828282828286"/>
  </r>
  <r>
    <x v="5"/>
    <x v="3"/>
    <x v="0"/>
    <n v="2300"/>
    <n v="1200"/>
    <n v="700"/>
    <n v="2760000"/>
    <n v="1610000"/>
    <n v="1150000"/>
    <n v="0.41666666666666669"/>
    <n v="0"/>
    <n v="0"/>
    <n v="0"/>
  </r>
  <r>
    <x v="5"/>
    <x v="3"/>
    <x v="1"/>
    <n v="3162.5000000000005"/>
    <n v="1414"/>
    <n v="640.25"/>
    <n v="4471775.0000000009"/>
    <n v="2024790.6250000002"/>
    <n v="2446984.3750000009"/>
    <n v="0.5472065063649223"/>
    <n v="1711775.0000000009"/>
    <n v="1296984.3750000009"/>
    <n v="0.13053983969825561"/>
  </r>
  <r>
    <x v="5"/>
    <x v="3"/>
    <x v="2"/>
    <n v="1552.4999999999998"/>
    <n v="990"/>
    <n v="808"/>
    <n v="1536974.9999999998"/>
    <n v="1254419.9999999998"/>
    <n v="282555"/>
    <n v="0.18383838383838386"/>
    <n v="-1223025.0000000002"/>
    <n v="-867445"/>
    <n v="-0.23282828282828283"/>
  </r>
  <r>
    <x v="6"/>
    <x v="3"/>
    <x v="0"/>
    <n v="2100"/>
    <n v="1200"/>
    <n v="700"/>
    <n v="2520000"/>
    <n v="1470000"/>
    <n v="1050000"/>
    <n v="0.41666666666666669"/>
    <n v="0"/>
    <n v="0"/>
    <n v="0"/>
  </r>
  <r>
    <x v="6"/>
    <x v="3"/>
    <x v="1"/>
    <n v="3018.7499999999995"/>
    <n v="1428"/>
    <n v="633.75"/>
    <n v="4310774.9999999991"/>
    <n v="1913132.8124999998"/>
    <n v="2397642.1874999991"/>
    <n v="0.55619747899159655"/>
    <n v="1790774.9999999991"/>
    <n v="1347642.1874999991"/>
    <n v="0.13953081232492986"/>
  </r>
  <r>
    <x v="6"/>
    <x v="3"/>
    <x v="2"/>
    <n v="1449"/>
    <n v="990"/>
    <n v="808"/>
    <n v="1434510"/>
    <n v="1170792"/>
    <n v="263718"/>
    <n v="0.18383838383838383"/>
    <n v="-1085490"/>
    <n v="-786282"/>
    <n v="-0.23282828282828286"/>
  </r>
  <r>
    <x v="7"/>
    <x v="3"/>
    <x v="0"/>
    <n v="2200"/>
    <n v="1200"/>
    <n v="700"/>
    <n v="2640000"/>
    <n v="1540000"/>
    <n v="1100000"/>
    <n v="0.41666666666666669"/>
    <n v="0"/>
    <n v="0"/>
    <n v="0"/>
  </r>
  <r>
    <x v="7"/>
    <x v="3"/>
    <x v="1"/>
    <n v="3300"/>
    <n v="1442"/>
    <n v="624"/>
    <n v="4758600"/>
    <n v="2059200"/>
    <n v="2699400"/>
    <n v="0.56726768377253811"/>
    <n v="2118600"/>
    <n v="1599400"/>
    <n v="0.15060101710587143"/>
  </r>
  <r>
    <x v="7"/>
    <x v="3"/>
    <x v="2"/>
    <n v="1551.0000000000002"/>
    <n v="990"/>
    <n v="808"/>
    <n v="1535490.0000000002"/>
    <n v="1253208.0000000002"/>
    <n v="282282"/>
    <n v="0.1838383838383838"/>
    <n v="-1104509.9999999998"/>
    <n v="-817718"/>
    <n v="-0.23282828282828288"/>
  </r>
  <r>
    <x v="8"/>
    <x v="3"/>
    <x v="0"/>
    <n v="2300"/>
    <n v="1200"/>
    <n v="700"/>
    <n v="2760000"/>
    <n v="1610000"/>
    <n v="1150000"/>
    <n v="0.41666666666666669"/>
    <n v="0"/>
    <n v="0"/>
    <n v="0"/>
  </r>
  <r>
    <x v="8"/>
    <x v="3"/>
    <x v="1"/>
    <n v="3306.2499999999995"/>
    <n v="1428"/>
    <n v="633.75"/>
    <n v="4721324.9999999991"/>
    <n v="2095335.9374999998"/>
    <n v="2625989.0624999991"/>
    <n v="0.55619747899159655"/>
    <n v="1961324.9999999991"/>
    <n v="1475989.0624999991"/>
    <n v="0.13953081232492986"/>
  </r>
  <r>
    <x v="8"/>
    <x v="3"/>
    <x v="2"/>
    <n v="1638.7499999999998"/>
    <n v="1000"/>
    <n v="800"/>
    <n v="1638749.9999999998"/>
    <n v="1310999.9999999998"/>
    <n v="327750"/>
    <n v="0.20000000000000004"/>
    <n v="-1121250.0000000002"/>
    <n v="-822250"/>
    <n v="-0.21666666666666665"/>
  </r>
  <r>
    <x v="9"/>
    <x v="3"/>
    <x v="0"/>
    <n v="2600"/>
    <n v="1200"/>
    <n v="700"/>
    <n v="3120000"/>
    <n v="1820000"/>
    <n v="1300000"/>
    <n v="0.41666666666666669"/>
    <n v="0"/>
    <n v="0"/>
    <n v="0"/>
  </r>
  <r>
    <x v="9"/>
    <x v="3"/>
    <x v="1"/>
    <n v="4062.5"/>
    <n v="1456"/>
    <n v="617.5"/>
    <n v="5915000"/>
    <n v="2508593.75"/>
    <n v="3406406.25"/>
    <n v="0.5758928571428571"/>
    <n v="2795000"/>
    <n v="2106406.25"/>
    <n v="0.15922619047619041"/>
  </r>
  <r>
    <x v="9"/>
    <x v="3"/>
    <x v="2"/>
    <n v="1716"/>
    <n v="980"/>
    <n v="816"/>
    <n v="1681680"/>
    <n v="1400256"/>
    <n v="281424"/>
    <n v="0.16734693877551021"/>
    <n v="-1438320"/>
    <n v="-1018576"/>
    <n v="-0.24931972789115647"/>
  </r>
  <r>
    <x v="10"/>
    <x v="3"/>
    <x v="0"/>
    <n v="2500"/>
    <n v="1200"/>
    <n v="700"/>
    <n v="3000000"/>
    <n v="1750000"/>
    <n v="1250000"/>
    <n v="0.41666666666666669"/>
    <n v="0"/>
    <n v="0"/>
    <n v="0"/>
  </r>
  <r>
    <x v="10"/>
    <x v="3"/>
    <x v="1"/>
    <n v="3750"/>
    <n v="1442"/>
    <n v="624"/>
    <n v="5407500"/>
    <n v="2340000"/>
    <n v="3067500"/>
    <n v="0.56726768377253811"/>
    <n v="2407500"/>
    <n v="1817500"/>
    <n v="0.15060101710587143"/>
  </r>
  <r>
    <x v="10"/>
    <x v="3"/>
    <x v="2"/>
    <n v="1743.7499999999998"/>
    <n v="990"/>
    <n v="808"/>
    <n v="1726312.4999999998"/>
    <n v="1408949.9999999998"/>
    <n v="317362.5"/>
    <n v="0.18383838383838386"/>
    <n v="-1273687.5000000002"/>
    <n v="-932637.5"/>
    <n v="-0.23282828282828283"/>
  </r>
  <r>
    <x v="11"/>
    <x v="3"/>
    <x v="0"/>
    <n v="2400"/>
    <n v="1200"/>
    <n v="700"/>
    <n v="2880000"/>
    <n v="1680000"/>
    <n v="1200000"/>
    <n v="0.41666666666666669"/>
    <n v="0"/>
    <n v="0"/>
    <n v="0"/>
  </r>
  <r>
    <x v="11"/>
    <x v="3"/>
    <x v="1"/>
    <n v="3300.0000000000005"/>
    <n v="1414"/>
    <n v="640.25"/>
    <n v="4666200.0000000009"/>
    <n v="2112825.0000000005"/>
    <n v="2553375.0000000005"/>
    <n v="0.54720650636492218"/>
    <n v="1786200.0000000009"/>
    <n v="1353375.0000000005"/>
    <n v="0.1305398396982555"/>
  </r>
  <r>
    <x v="11"/>
    <x v="3"/>
    <x v="2"/>
    <n v="1530"/>
    <n v="980"/>
    <n v="816"/>
    <n v="1499400"/>
    <n v="1248480"/>
    <n v="250920"/>
    <n v="0.16734693877551021"/>
    <n v="-1380600"/>
    <n v="-949080"/>
    <n v="-0.24931972789115647"/>
  </r>
  <r>
    <x v="0"/>
    <x v="4"/>
    <x v="0"/>
    <n v="2660"/>
    <n v="500"/>
    <n v="300"/>
    <n v="1330000"/>
    <n v="798000"/>
    <n v="532000"/>
    <n v="0.4"/>
    <n v="0"/>
    <n v="0"/>
    <n v="0"/>
  </r>
  <r>
    <x v="0"/>
    <x v="4"/>
    <x v="1"/>
    <n v="3990"/>
    <n v="721"/>
    <n v="240"/>
    <n v="2876790"/>
    <n v="957600"/>
    <n v="1919190"/>
    <n v="0.66712898751733707"/>
    <n v="1546790"/>
    <n v="1387190"/>
    <n v="0.26712898751733705"/>
  </r>
  <r>
    <x v="0"/>
    <x v="4"/>
    <x v="2"/>
    <n v="1615"/>
    <n v="392"/>
    <n v="408"/>
    <n v="633080"/>
    <n v="658920"/>
    <n v="-25840"/>
    <n v="-4.0816326530612242E-2"/>
    <n v="-696920"/>
    <n v="-557840"/>
    <n v="-0.44081632653061226"/>
  </r>
  <r>
    <x v="1"/>
    <x v="4"/>
    <x v="0"/>
    <n v="2520"/>
    <n v="500"/>
    <n v="300"/>
    <n v="1260000"/>
    <n v="756000"/>
    <n v="504000"/>
    <n v="0.4"/>
    <n v="0"/>
    <n v="0"/>
    <n v="0"/>
  </r>
  <r>
    <x v="1"/>
    <x v="4"/>
    <x v="1"/>
    <n v="3402"/>
    <n v="707"/>
    <n v="246.25"/>
    <n v="2405214"/>
    <n v="837742.5"/>
    <n v="1567471.5"/>
    <n v="0.65169731258840169"/>
    <n v="1145214"/>
    <n v="1063471.5"/>
    <n v="0.25169731258840167"/>
  </r>
  <r>
    <x v="1"/>
    <x v="4"/>
    <x v="2"/>
    <n v="1620"/>
    <n v="396"/>
    <n v="404"/>
    <n v="641520"/>
    <n v="654480"/>
    <n v="-12960"/>
    <n v="-2.0202020202020204E-2"/>
    <n v="-618480"/>
    <n v="-516960"/>
    <n v="-0.42020202020202024"/>
  </r>
  <r>
    <x v="2"/>
    <x v="4"/>
    <x v="0"/>
    <n v="2940"/>
    <n v="500"/>
    <n v="300"/>
    <n v="1470000"/>
    <n v="882000"/>
    <n v="588000"/>
    <n v="0.4"/>
    <n v="0"/>
    <n v="0"/>
    <n v="0"/>
  </r>
  <r>
    <x v="2"/>
    <x v="4"/>
    <x v="1"/>
    <n v="4042.5000000000005"/>
    <n v="707"/>
    <n v="246.25"/>
    <n v="2858047.5000000005"/>
    <n v="995465.62500000012"/>
    <n v="1862581.8750000005"/>
    <n v="0.6516973125884018"/>
    <n v="1388047.5000000005"/>
    <n v="1274581.8750000005"/>
    <n v="0.25169731258840178"/>
  </r>
  <r>
    <x v="2"/>
    <x v="4"/>
    <x v="2"/>
    <n v="1890"/>
    <n v="396"/>
    <n v="404"/>
    <n v="748440"/>
    <n v="763560"/>
    <n v="-15120"/>
    <n v="-2.0202020202020204E-2"/>
    <n v="-721560"/>
    <n v="-603120"/>
    <n v="-0.42020202020202024"/>
  </r>
  <r>
    <x v="3"/>
    <x v="4"/>
    <x v="0"/>
    <n v="3080.0000000000005"/>
    <n v="500"/>
    <n v="300"/>
    <n v="1540000.0000000002"/>
    <n v="924000.00000000012"/>
    <n v="616000.00000000012"/>
    <n v="0.4"/>
    <n v="0"/>
    <n v="0"/>
    <n v="0"/>
  </r>
  <r>
    <x v="3"/>
    <x v="4"/>
    <x v="1"/>
    <n v="4812.5000000000009"/>
    <n v="728"/>
    <n v="237.5"/>
    <n v="3503500.0000000005"/>
    <n v="1142968.7500000002"/>
    <n v="2360531.25"/>
    <n v="0.6737637362637362"/>
    <n v="1963500.0000000002"/>
    <n v="1744531.25"/>
    <n v="0.27376373626373618"/>
  </r>
  <r>
    <x v="3"/>
    <x v="4"/>
    <x v="2"/>
    <n v="2045.9999999999998"/>
    <n v="396"/>
    <n v="404"/>
    <n v="810215.99999999988"/>
    <n v="826583.99999999988"/>
    <n v="-16368"/>
    <n v="-2.0202020202020204E-2"/>
    <n v="-729784.00000000035"/>
    <n v="-632368.00000000012"/>
    <n v="-0.42020202020202024"/>
  </r>
  <r>
    <x v="4"/>
    <x v="4"/>
    <x v="0"/>
    <n v="3360"/>
    <n v="500"/>
    <n v="300"/>
    <n v="1680000"/>
    <n v="1008000"/>
    <n v="672000"/>
    <n v="0.4"/>
    <n v="0"/>
    <n v="0"/>
    <n v="0"/>
  </r>
  <r>
    <x v="4"/>
    <x v="4"/>
    <x v="1"/>
    <n v="5040"/>
    <n v="721"/>
    <n v="240"/>
    <n v="3633840"/>
    <n v="1209600"/>
    <n v="2424240"/>
    <n v="0.66712898751733707"/>
    <n v="1953840"/>
    <n v="1752240"/>
    <n v="0.26712898751733705"/>
  </r>
  <r>
    <x v="4"/>
    <x v="4"/>
    <x v="2"/>
    <n v="2160"/>
    <n v="396"/>
    <n v="404"/>
    <n v="855360"/>
    <n v="872640"/>
    <n v="-17280"/>
    <n v="-2.0202020202020204E-2"/>
    <n v="-824640"/>
    <n v="-689280"/>
    <n v="-0.42020202020202024"/>
  </r>
  <r>
    <x v="5"/>
    <x v="4"/>
    <x v="0"/>
    <n v="3219.9999999999995"/>
    <n v="500"/>
    <n v="300"/>
    <n v="1609999.9999999998"/>
    <n v="965999.99999999988"/>
    <n v="643999.99999999988"/>
    <n v="0.39999999999999997"/>
    <n v="0"/>
    <n v="0"/>
    <n v="0"/>
  </r>
  <r>
    <x v="5"/>
    <x v="4"/>
    <x v="1"/>
    <n v="4749.4999999999991"/>
    <n v="721"/>
    <n v="240"/>
    <n v="3424389.4999999995"/>
    <n v="1139879.9999999998"/>
    <n v="2284509.5"/>
    <n v="0.66712898751733707"/>
    <n v="1814389.4999999998"/>
    <n v="1640509.5"/>
    <n v="0.2671289875173371"/>
  </r>
  <r>
    <x v="5"/>
    <x v="4"/>
    <x v="2"/>
    <n v="2024"/>
    <n v="392"/>
    <n v="408"/>
    <n v="793408"/>
    <n v="825792"/>
    <n v="-32384"/>
    <n v="-4.0816326530612242E-2"/>
    <n v="-816591.99999999977"/>
    <n v="-676383.99999999988"/>
    <n v="-0.4408163265306122"/>
  </r>
  <r>
    <x v="6"/>
    <x v="4"/>
    <x v="0"/>
    <n v="2940"/>
    <n v="500"/>
    <n v="300"/>
    <n v="1470000"/>
    <n v="882000"/>
    <n v="588000"/>
    <n v="0.4"/>
    <n v="0"/>
    <n v="0"/>
    <n v="0"/>
  </r>
  <r>
    <x v="6"/>
    <x v="4"/>
    <x v="1"/>
    <n v="4042.5000000000005"/>
    <n v="707"/>
    <n v="246.25"/>
    <n v="2858047.5000000005"/>
    <n v="995465.62500000012"/>
    <n v="1862581.8750000005"/>
    <n v="0.6516973125884018"/>
    <n v="1388047.5000000005"/>
    <n v="1274581.8750000005"/>
    <n v="0.25169731258840178"/>
  </r>
  <r>
    <x v="6"/>
    <x v="4"/>
    <x v="2"/>
    <n v="1974"/>
    <n v="396"/>
    <n v="404"/>
    <n v="781704"/>
    <n v="797496"/>
    <n v="-15792"/>
    <n v="-2.0202020202020204E-2"/>
    <n v="-688296"/>
    <n v="-603792"/>
    <n v="-0.42020202020202024"/>
  </r>
  <r>
    <x v="7"/>
    <x v="4"/>
    <x v="0"/>
    <n v="3080.0000000000005"/>
    <n v="500"/>
    <n v="300"/>
    <n v="1540000.0000000002"/>
    <n v="924000.00000000012"/>
    <n v="616000.00000000012"/>
    <n v="0.4"/>
    <n v="0"/>
    <n v="0"/>
    <n v="0"/>
  </r>
  <r>
    <x v="7"/>
    <x v="4"/>
    <x v="1"/>
    <n v="4235.0000000000009"/>
    <n v="707"/>
    <n v="246.25"/>
    <n v="2994145.0000000005"/>
    <n v="1042868.7500000002"/>
    <n v="1951276.2500000002"/>
    <n v="0.65169731258840169"/>
    <n v="1454145.0000000002"/>
    <n v="1335276.25"/>
    <n v="0.25169731258840167"/>
  </r>
  <r>
    <x v="7"/>
    <x v="4"/>
    <x v="2"/>
    <n v="2090"/>
    <n v="400"/>
    <n v="400"/>
    <n v="836000"/>
    <n v="836000"/>
    <n v="0"/>
    <n v="0"/>
    <n v="-704000.00000000023"/>
    <n v="-616000.00000000012"/>
    <n v="-0.4"/>
  </r>
  <r>
    <x v="8"/>
    <x v="4"/>
    <x v="0"/>
    <n v="3219.9999999999995"/>
    <n v="500"/>
    <n v="300"/>
    <n v="1609999.9999999998"/>
    <n v="965999.99999999988"/>
    <n v="643999.99999999988"/>
    <n v="0.39999999999999997"/>
    <n v="0"/>
    <n v="0"/>
    <n v="0"/>
  </r>
  <r>
    <x v="8"/>
    <x v="4"/>
    <x v="1"/>
    <n v="4347"/>
    <n v="707"/>
    <n v="246.25"/>
    <n v="3073329"/>
    <n v="1070448.75"/>
    <n v="2002880.25"/>
    <n v="0.65169731258840169"/>
    <n v="1463329.0000000002"/>
    <n v="1358880.25"/>
    <n v="0.25169731258840172"/>
  </r>
  <r>
    <x v="8"/>
    <x v="4"/>
    <x v="2"/>
    <n v="2185"/>
    <n v="400"/>
    <n v="400"/>
    <n v="874000"/>
    <n v="874000"/>
    <n v="0"/>
    <n v="0"/>
    <n v="-735999.99999999977"/>
    <n v="-643999.99999999988"/>
    <n v="-0.39999999999999997"/>
  </r>
  <r>
    <x v="9"/>
    <x v="4"/>
    <x v="0"/>
    <n v="3640"/>
    <n v="500"/>
    <n v="300"/>
    <n v="1820000"/>
    <n v="1092000"/>
    <n v="728000"/>
    <n v="0.4"/>
    <n v="0"/>
    <n v="0"/>
    <n v="0"/>
  </r>
  <r>
    <x v="9"/>
    <x v="4"/>
    <x v="1"/>
    <n v="5460"/>
    <n v="721"/>
    <n v="240"/>
    <n v="3936660"/>
    <n v="1310400"/>
    <n v="2626260"/>
    <n v="0.66712898751733707"/>
    <n v="2116660"/>
    <n v="1898260"/>
    <n v="0.26712898751733705"/>
  </r>
  <r>
    <x v="9"/>
    <x v="4"/>
    <x v="2"/>
    <n v="2340"/>
    <n v="396"/>
    <n v="404"/>
    <n v="926640"/>
    <n v="945360"/>
    <n v="-18720"/>
    <n v="-2.0202020202020204E-2"/>
    <n v="-893360"/>
    <n v="-746720"/>
    <n v="-0.42020202020202024"/>
  </r>
  <r>
    <x v="10"/>
    <x v="4"/>
    <x v="0"/>
    <n v="3500"/>
    <n v="500"/>
    <n v="300"/>
    <n v="1750000"/>
    <n v="1050000"/>
    <n v="700000"/>
    <n v="0.4"/>
    <n v="0"/>
    <n v="0"/>
    <n v="0"/>
  </r>
  <r>
    <x v="10"/>
    <x v="4"/>
    <x v="1"/>
    <n v="5162.5"/>
    <n v="721"/>
    <n v="240"/>
    <n v="3722162.5"/>
    <n v="1239000"/>
    <n v="2483162.5"/>
    <n v="0.66712898751733707"/>
    <n v="1972162.5"/>
    <n v="1783162.5"/>
    <n v="0.26712898751733705"/>
  </r>
  <r>
    <x v="10"/>
    <x v="4"/>
    <x v="2"/>
    <n v="2350"/>
    <n v="396"/>
    <n v="404"/>
    <n v="930600"/>
    <n v="949400"/>
    <n v="-18800"/>
    <n v="-2.0202020202020204E-2"/>
    <n v="-819400"/>
    <n v="-718800"/>
    <n v="-0.42020202020202024"/>
  </r>
  <r>
    <x v="11"/>
    <x v="4"/>
    <x v="0"/>
    <n v="3360"/>
    <n v="500"/>
    <n v="300"/>
    <n v="1680000"/>
    <n v="1008000"/>
    <n v="672000"/>
    <n v="0.4"/>
    <n v="0"/>
    <n v="0"/>
    <n v="0"/>
  </r>
  <r>
    <x v="11"/>
    <x v="4"/>
    <x v="1"/>
    <n v="4620"/>
    <n v="707"/>
    <n v="246.25"/>
    <n v="3266340"/>
    <n v="1137675"/>
    <n v="2128665"/>
    <n v="0.65169731258840169"/>
    <n v="1586340"/>
    <n v="1456665"/>
    <n v="0.25169731258840167"/>
  </r>
  <r>
    <x v="11"/>
    <x v="4"/>
    <x v="2"/>
    <n v="2208"/>
    <n v="396"/>
    <n v="404"/>
    <n v="874368"/>
    <n v="892032"/>
    <n v="-17664"/>
    <n v="-2.0202020202020204E-2"/>
    <n v="-805632"/>
    <n v="-689664"/>
    <n v="-0.4202020202020202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Revenu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9:D23"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dataField="1" numFmtId="164" showAll="0"/>
    <pivotField numFmtId="164" showAll="0"/>
    <pivotField numFmtId="164" showAll="0"/>
    <pivotField numFmtId="10" showAll="0"/>
    <pivotField numFmtId="164" showAll="0" defaultSubtotal="0"/>
    <pivotField numFmtId="164" showAll="0" defaultSubtotal="0"/>
    <pivotField numFmtId="10" showAll="0" defaultSubtotal="0"/>
  </pivotFields>
  <rowFields count="1">
    <field x="0"/>
  </rowFields>
  <rowItems count="13">
    <i>
      <x/>
    </i>
    <i>
      <x v="1"/>
    </i>
    <i>
      <x v="2"/>
    </i>
    <i>
      <x v="3"/>
    </i>
    <i>
      <x v="4"/>
    </i>
    <i>
      <x v="5"/>
    </i>
    <i>
      <x v="6"/>
    </i>
    <i>
      <x v="7"/>
    </i>
    <i>
      <x v="8"/>
    </i>
    <i>
      <x v="9"/>
    </i>
    <i>
      <x v="10"/>
    </i>
    <i>
      <x v="11"/>
    </i>
    <i t="grand">
      <x/>
    </i>
  </rowItems>
  <colFields count="1">
    <field x="2"/>
  </colFields>
  <colItems count="3">
    <i>
      <x/>
    </i>
    <i>
      <x v="1"/>
    </i>
    <i>
      <x v="2"/>
    </i>
  </colItems>
  <dataFields count="1">
    <dataField name="Sum of Revenue" fld="6" baseField="0" baseItem="0" numFmtId="164"/>
  </dataFields>
  <formats count="337">
    <format dxfId="681">
      <pivotArea outline="0" collapsedLevelsAreSubtotals="1" fieldPosition="0"/>
    </format>
    <format dxfId="682">
      <pivotArea outline="0" collapsedLevelsAreSubtotals="1" fieldPosition="0"/>
    </format>
    <format dxfId="683">
      <pivotArea outline="0" collapsedLevelsAreSubtotals="1" fieldPosition="0"/>
    </format>
    <format dxfId="684">
      <pivotArea field="0" type="button" dataOnly="0" labelOnly="1" outline="0" axis="axisRow" fieldPosition="0"/>
    </format>
    <format dxfId="685">
      <pivotArea dataOnly="0" labelOnly="1" fieldPosition="0">
        <references count="1">
          <reference field="2" count="0"/>
        </references>
      </pivotArea>
    </format>
    <format dxfId="686">
      <pivotArea dataOnly="0" labelOnly="1" grandCol="1" outline="0" fieldPosition="0"/>
    </format>
    <format dxfId="687">
      <pivotArea grandRow="1" outline="0" collapsedLevelsAreSubtotals="1" fieldPosition="0"/>
    </format>
    <format dxfId="688">
      <pivotArea dataOnly="0" labelOnly="1" grandRow="1" outline="0" fieldPosition="0"/>
    </format>
    <format dxfId="689">
      <pivotArea collapsedLevelsAreSubtotals="1" fieldPosition="0">
        <references count="2">
          <reference field="0" count="0"/>
          <reference field="2" count="1" selected="0">
            <x v="0"/>
          </reference>
        </references>
      </pivotArea>
    </format>
    <format dxfId="690">
      <pivotArea collapsedLevelsAreSubtotals="1" fieldPosition="0">
        <references count="2">
          <reference field="0" count="0"/>
          <reference field="2" count="1" selected="0">
            <x v="1"/>
          </reference>
        </references>
      </pivotArea>
    </format>
    <format dxfId="691">
      <pivotArea collapsedLevelsAreSubtotals="1" fieldPosition="0">
        <references count="2">
          <reference field="0" count="0"/>
          <reference field="2" count="1" selected="0">
            <x v="2"/>
          </reference>
        </references>
      </pivotArea>
    </format>
    <format dxfId="692">
      <pivotArea field="0" grandCol="1" collapsedLevelsAreSubtotals="1" axis="axisRow" fieldPosition="0">
        <references count="1">
          <reference field="0" count="0"/>
        </references>
      </pivotArea>
    </format>
    <format dxfId="693">
      <pivotArea dataOnly="0" labelOnly="1" grandRow="1" outline="0" fieldPosition="0"/>
    </format>
    <format dxfId="694">
      <pivotArea type="all" dataOnly="0" outline="0" fieldPosition="0"/>
    </format>
    <format dxfId="695">
      <pivotArea outline="0" collapsedLevelsAreSubtotals="1" fieldPosition="0"/>
    </format>
    <format dxfId="696">
      <pivotArea type="origin" dataOnly="0" labelOnly="1" outline="0" fieldPosition="0"/>
    </format>
    <format dxfId="697">
      <pivotArea field="2" type="button" dataOnly="0" labelOnly="1" outline="0" axis="axisCol" fieldPosition="0"/>
    </format>
    <format dxfId="698">
      <pivotArea type="topRight" dataOnly="0" labelOnly="1" outline="0" fieldPosition="0"/>
    </format>
    <format dxfId="699">
      <pivotArea field="0" type="button" dataOnly="0" labelOnly="1" outline="0" axis="axisRow" fieldPosition="0"/>
    </format>
    <format dxfId="700">
      <pivotArea dataOnly="0" labelOnly="1" fieldPosition="0">
        <references count="1">
          <reference field="0" count="0"/>
        </references>
      </pivotArea>
    </format>
    <format dxfId="701">
      <pivotArea dataOnly="0" labelOnly="1" grandRow="1" outline="0" fieldPosition="0"/>
    </format>
    <format dxfId="702">
      <pivotArea dataOnly="0" labelOnly="1" fieldPosition="0">
        <references count="1">
          <reference field="2" count="0"/>
        </references>
      </pivotArea>
    </format>
    <format dxfId="703">
      <pivotArea dataOnly="0" labelOnly="1" grandCol="1" outline="0" fieldPosition="0"/>
    </format>
    <format dxfId="704">
      <pivotArea type="all" dataOnly="0" outline="0" fieldPosition="0"/>
    </format>
    <format dxfId="705">
      <pivotArea outline="0" collapsedLevelsAreSubtotals="1" fieldPosition="0"/>
    </format>
    <format dxfId="706">
      <pivotArea type="origin" dataOnly="0" labelOnly="1" outline="0" fieldPosition="0"/>
    </format>
    <format dxfId="707">
      <pivotArea field="2" type="button" dataOnly="0" labelOnly="1" outline="0" axis="axisCol" fieldPosition="0"/>
    </format>
    <format dxfId="708">
      <pivotArea type="topRight" dataOnly="0" labelOnly="1" outline="0" fieldPosition="0"/>
    </format>
    <format dxfId="709">
      <pivotArea field="0" type="button" dataOnly="0" labelOnly="1" outline="0" axis="axisRow" fieldPosition="0"/>
    </format>
    <format dxfId="710">
      <pivotArea dataOnly="0" labelOnly="1" fieldPosition="0">
        <references count="1">
          <reference field="0" count="0"/>
        </references>
      </pivotArea>
    </format>
    <format dxfId="711">
      <pivotArea dataOnly="0" labelOnly="1" grandRow="1" outline="0" fieldPosition="0"/>
    </format>
    <format dxfId="712">
      <pivotArea dataOnly="0" labelOnly="1" fieldPosition="0">
        <references count="1">
          <reference field="2" count="0"/>
        </references>
      </pivotArea>
    </format>
    <format dxfId="713">
      <pivotArea dataOnly="0" labelOnly="1" grandCol="1" outline="0" fieldPosition="0"/>
    </format>
    <format dxfId="714">
      <pivotArea type="all" dataOnly="0" outline="0" fieldPosition="0"/>
    </format>
    <format dxfId="715">
      <pivotArea outline="0" collapsedLevelsAreSubtotals="1" fieldPosition="0"/>
    </format>
    <format dxfId="716">
      <pivotArea type="origin" dataOnly="0" labelOnly="1" outline="0" fieldPosition="0"/>
    </format>
    <format dxfId="717">
      <pivotArea field="2" type="button" dataOnly="0" labelOnly="1" outline="0" axis="axisCol" fieldPosition="0"/>
    </format>
    <format dxfId="718">
      <pivotArea type="topRight" dataOnly="0" labelOnly="1" outline="0" fieldPosition="0"/>
    </format>
    <format dxfId="719">
      <pivotArea field="0" type="button" dataOnly="0" labelOnly="1" outline="0" axis="axisRow" fieldPosition="0"/>
    </format>
    <format dxfId="720">
      <pivotArea dataOnly="0" labelOnly="1" fieldPosition="0">
        <references count="1">
          <reference field="0" count="0"/>
        </references>
      </pivotArea>
    </format>
    <format dxfId="721">
      <pivotArea dataOnly="0" labelOnly="1" grandRow="1" outline="0" fieldPosition="0"/>
    </format>
    <format dxfId="722">
      <pivotArea dataOnly="0" labelOnly="1" fieldPosition="0">
        <references count="1">
          <reference field="2" count="0"/>
        </references>
      </pivotArea>
    </format>
    <format dxfId="723">
      <pivotArea dataOnly="0" labelOnly="1" grandCol="1" outline="0" fieldPosition="0"/>
    </format>
    <format dxfId="724">
      <pivotArea type="all" dataOnly="0" outline="0" fieldPosition="0"/>
    </format>
    <format dxfId="725">
      <pivotArea outline="0" collapsedLevelsAreSubtotals="1" fieldPosition="0"/>
    </format>
    <format dxfId="726">
      <pivotArea type="origin" dataOnly="0" labelOnly="1" outline="0" fieldPosition="0"/>
    </format>
    <format dxfId="727">
      <pivotArea field="2" type="button" dataOnly="0" labelOnly="1" outline="0" axis="axisCol" fieldPosition="0"/>
    </format>
    <format dxfId="728">
      <pivotArea type="topRight" dataOnly="0" labelOnly="1" outline="0" fieldPosition="0"/>
    </format>
    <format dxfId="729">
      <pivotArea field="0" type="button" dataOnly="0" labelOnly="1" outline="0" axis="axisRow" fieldPosition="0"/>
    </format>
    <format dxfId="730">
      <pivotArea dataOnly="0" labelOnly="1" fieldPosition="0">
        <references count="1">
          <reference field="0" count="0"/>
        </references>
      </pivotArea>
    </format>
    <format dxfId="731">
      <pivotArea dataOnly="0" labelOnly="1" grandRow="1" outline="0" fieldPosition="0"/>
    </format>
    <format dxfId="732">
      <pivotArea dataOnly="0" labelOnly="1" fieldPosition="0">
        <references count="1">
          <reference field="2" count="0"/>
        </references>
      </pivotArea>
    </format>
    <format dxfId="733">
      <pivotArea dataOnly="0" labelOnly="1" grandCol="1" outline="0" fieldPosition="0"/>
    </format>
    <format dxfId="734">
      <pivotArea type="all" dataOnly="0" outline="0" fieldPosition="0"/>
    </format>
    <format dxfId="735">
      <pivotArea outline="0" collapsedLevelsAreSubtotals="1" fieldPosition="0"/>
    </format>
    <format dxfId="736">
      <pivotArea type="origin" dataOnly="0" labelOnly="1" outline="0" fieldPosition="0"/>
    </format>
    <format dxfId="737">
      <pivotArea field="2" type="button" dataOnly="0" labelOnly="1" outline="0" axis="axisCol" fieldPosition="0"/>
    </format>
    <format dxfId="738">
      <pivotArea type="topRight" dataOnly="0" labelOnly="1" outline="0" fieldPosition="0"/>
    </format>
    <format dxfId="739">
      <pivotArea field="0" type="button" dataOnly="0" labelOnly="1" outline="0" axis="axisRow" fieldPosition="0"/>
    </format>
    <format dxfId="740">
      <pivotArea dataOnly="0" labelOnly="1" fieldPosition="0">
        <references count="1">
          <reference field="0" count="0"/>
        </references>
      </pivotArea>
    </format>
    <format dxfId="741">
      <pivotArea dataOnly="0" labelOnly="1" grandRow="1" outline="0" fieldPosition="0"/>
    </format>
    <format dxfId="742">
      <pivotArea dataOnly="0" labelOnly="1" fieldPosition="0">
        <references count="1">
          <reference field="2" count="0"/>
        </references>
      </pivotArea>
    </format>
    <format dxfId="743">
      <pivotArea dataOnly="0" labelOnly="1" grandCol="1" outline="0" fieldPosition="0"/>
    </format>
    <format dxfId="744">
      <pivotArea type="all" dataOnly="0" outline="0" fieldPosition="0"/>
    </format>
    <format dxfId="745">
      <pivotArea outline="0" collapsedLevelsAreSubtotals="1" fieldPosition="0"/>
    </format>
    <format dxfId="746">
      <pivotArea type="origin" dataOnly="0" labelOnly="1" outline="0" fieldPosition="0"/>
    </format>
    <format dxfId="747">
      <pivotArea field="2" type="button" dataOnly="0" labelOnly="1" outline="0" axis="axisCol" fieldPosition="0"/>
    </format>
    <format dxfId="748">
      <pivotArea type="topRight" dataOnly="0" labelOnly="1" outline="0" fieldPosition="0"/>
    </format>
    <format dxfId="749">
      <pivotArea field="0" type="button" dataOnly="0" labelOnly="1" outline="0" axis="axisRow" fieldPosition="0"/>
    </format>
    <format dxfId="750">
      <pivotArea dataOnly="0" labelOnly="1" fieldPosition="0">
        <references count="1">
          <reference field="0" count="0"/>
        </references>
      </pivotArea>
    </format>
    <format dxfId="751">
      <pivotArea dataOnly="0" labelOnly="1" grandRow="1" outline="0" fieldPosition="0"/>
    </format>
    <format dxfId="752">
      <pivotArea dataOnly="0" labelOnly="1" fieldPosition="0">
        <references count="1">
          <reference field="2" count="0"/>
        </references>
      </pivotArea>
    </format>
    <format dxfId="753">
      <pivotArea dataOnly="0" labelOnly="1" grandCol="1" outline="0" fieldPosition="0"/>
    </format>
    <format dxfId="754">
      <pivotArea type="all" dataOnly="0" outline="0" fieldPosition="0"/>
    </format>
    <format dxfId="755">
      <pivotArea outline="0" collapsedLevelsAreSubtotals="1" fieldPosition="0"/>
    </format>
    <format dxfId="756">
      <pivotArea type="origin" dataOnly="0" labelOnly="1" outline="0" fieldPosition="0"/>
    </format>
    <format dxfId="757">
      <pivotArea field="2" type="button" dataOnly="0" labelOnly="1" outline="0" axis="axisCol" fieldPosition="0"/>
    </format>
    <format dxfId="758">
      <pivotArea type="topRight" dataOnly="0" labelOnly="1" outline="0" fieldPosition="0"/>
    </format>
    <format dxfId="759">
      <pivotArea field="0" type="button" dataOnly="0" labelOnly="1" outline="0" axis="axisRow" fieldPosition="0"/>
    </format>
    <format dxfId="760">
      <pivotArea dataOnly="0" labelOnly="1" fieldPosition="0">
        <references count="1">
          <reference field="0" count="0"/>
        </references>
      </pivotArea>
    </format>
    <format dxfId="761">
      <pivotArea dataOnly="0" labelOnly="1" grandRow="1" outline="0" fieldPosition="0"/>
    </format>
    <format dxfId="762">
      <pivotArea dataOnly="0" labelOnly="1" fieldPosition="0">
        <references count="1">
          <reference field="2" count="0"/>
        </references>
      </pivotArea>
    </format>
    <format dxfId="763">
      <pivotArea dataOnly="0" labelOnly="1" grandCol="1" outline="0" fieldPosition="0"/>
    </format>
    <format dxfId="764">
      <pivotArea type="all" dataOnly="0" outline="0" fieldPosition="0"/>
    </format>
    <format dxfId="765">
      <pivotArea type="all" dataOnly="0" outline="0" fieldPosition="0"/>
    </format>
    <format dxfId="766">
      <pivotArea type="all" dataOnly="0" outline="0" fieldPosition="0"/>
    </format>
    <format dxfId="767">
      <pivotArea type="origin" dataOnly="0" labelOnly="1" outline="0" fieldPosition="0"/>
    </format>
    <format dxfId="768">
      <pivotArea field="2" type="button" dataOnly="0" labelOnly="1" outline="0" axis="axisCol" fieldPosition="0"/>
    </format>
    <format dxfId="769">
      <pivotArea type="origin" dataOnly="0" labelOnly="1" outline="0" fieldPosition="0"/>
    </format>
    <format dxfId="770">
      <pivotArea field="2" type="button" dataOnly="0" labelOnly="1" outline="0" axis="axisCol" fieldPosition="0"/>
    </format>
    <format dxfId="771">
      <pivotArea type="all" dataOnly="0" outline="0" fieldPosition="0"/>
    </format>
    <format dxfId="772">
      <pivotArea outline="0" collapsedLevelsAreSubtotals="1" fieldPosition="0"/>
    </format>
    <format dxfId="773">
      <pivotArea type="origin" dataOnly="0" labelOnly="1" outline="0" fieldPosition="0"/>
    </format>
    <format dxfId="774">
      <pivotArea field="2" type="button" dataOnly="0" labelOnly="1" outline="0" axis="axisCol" fieldPosition="0"/>
    </format>
    <format dxfId="775">
      <pivotArea type="topRight" dataOnly="0" labelOnly="1" outline="0" fieldPosition="0"/>
    </format>
    <format dxfId="776">
      <pivotArea field="0" type="button" dataOnly="0" labelOnly="1" outline="0" axis="axisRow" fieldPosition="0"/>
    </format>
    <format dxfId="777">
      <pivotArea dataOnly="0" labelOnly="1" fieldPosition="0">
        <references count="1">
          <reference field="0" count="0"/>
        </references>
      </pivotArea>
    </format>
    <format dxfId="778">
      <pivotArea dataOnly="0" labelOnly="1" grandRow="1" outline="0" fieldPosition="0"/>
    </format>
    <format dxfId="779">
      <pivotArea dataOnly="0" labelOnly="1" fieldPosition="0">
        <references count="1">
          <reference field="2" count="0"/>
        </references>
      </pivotArea>
    </format>
    <format dxfId="780">
      <pivotArea dataOnly="0" labelOnly="1" grandCol="1" outline="0" fieldPosition="0"/>
    </format>
    <format dxfId="781">
      <pivotArea type="all" dataOnly="0" outline="0" fieldPosition="0"/>
    </format>
    <format dxfId="782">
      <pivotArea outline="0" collapsedLevelsAreSubtotals="1" fieldPosition="0"/>
    </format>
    <format dxfId="783">
      <pivotArea type="origin" dataOnly="0" labelOnly="1" outline="0" fieldPosition="0"/>
    </format>
    <format dxfId="784">
      <pivotArea field="2" type="button" dataOnly="0" labelOnly="1" outline="0" axis="axisCol" fieldPosition="0"/>
    </format>
    <format dxfId="785">
      <pivotArea type="topRight" dataOnly="0" labelOnly="1" outline="0" fieldPosition="0"/>
    </format>
    <format dxfId="786">
      <pivotArea field="0" type="button" dataOnly="0" labelOnly="1" outline="0" axis="axisRow" fieldPosition="0"/>
    </format>
    <format dxfId="787">
      <pivotArea dataOnly="0" labelOnly="1" fieldPosition="0">
        <references count="1">
          <reference field="0" count="0"/>
        </references>
      </pivotArea>
    </format>
    <format dxfId="788">
      <pivotArea dataOnly="0" labelOnly="1" grandRow="1" outline="0" fieldPosition="0"/>
    </format>
    <format dxfId="789">
      <pivotArea dataOnly="0" labelOnly="1" fieldPosition="0">
        <references count="1">
          <reference field="2" count="0"/>
        </references>
      </pivotArea>
    </format>
    <format dxfId="790">
      <pivotArea dataOnly="0" labelOnly="1" grandCol="1" outline="0" fieldPosition="0"/>
    </format>
    <format dxfId="791">
      <pivotArea type="all" dataOnly="0" outline="0" fieldPosition="0"/>
    </format>
    <format dxfId="792">
      <pivotArea outline="0" collapsedLevelsAreSubtotals="1" fieldPosition="0"/>
    </format>
    <format dxfId="793">
      <pivotArea type="origin" dataOnly="0" labelOnly="1" outline="0" fieldPosition="0"/>
    </format>
    <format dxfId="794">
      <pivotArea field="2" type="button" dataOnly="0" labelOnly="1" outline="0" axis="axisCol" fieldPosition="0"/>
    </format>
    <format dxfId="795">
      <pivotArea type="topRight" dataOnly="0" labelOnly="1" outline="0" fieldPosition="0"/>
    </format>
    <format dxfId="796">
      <pivotArea field="0" type="button" dataOnly="0" labelOnly="1" outline="0" axis="axisRow" fieldPosition="0"/>
    </format>
    <format dxfId="797">
      <pivotArea dataOnly="0" labelOnly="1" fieldPosition="0">
        <references count="1">
          <reference field="0" count="0"/>
        </references>
      </pivotArea>
    </format>
    <format dxfId="798">
      <pivotArea dataOnly="0" labelOnly="1" grandRow="1" outline="0" fieldPosition="0"/>
    </format>
    <format dxfId="799">
      <pivotArea dataOnly="0" labelOnly="1" fieldPosition="0">
        <references count="1">
          <reference field="2" count="0"/>
        </references>
      </pivotArea>
    </format>
    <format dxfId="800">
      <pivotArea dataOnly="0" labelOnly="1" grandCol="1" outline="0" fieldPosition="0"/>
    </format>
    <format dxfId="801">
      <pivotArea type="all" dataOnly="0" outline="0" fieldPosition="0"/>
    </format>
    <format dxfId="802">
      <pivotArea outline="0" collapsedLevelsAreSubtotals="1" fieldPosition="0"/>
    </format>
    <format dxfId="803">
      <pivotArea type="origin" dataOnly="0" labelOnly="1" outline="0" fieldPosition="0"/>
    </format>
    <format dxfId="804">
      <pivotArea field="2" type="button" dataOnly="0" labelOnly="1" outline="0" axis="axisCol" fieldPosition="0"/>
    </format>
    <format dxfId="805">
      <pivotArea type="topRight" dataOnly="0" labelOnly="1" outline="0" fieldPosition="0"/>
    </format>
    <format dxfId="806">
      <pivotArea field="0" type="button" dataOnly="0" labelOnly="1" outline="0" axis="axisRow" fieldPosition="0"/>
    </format>
    <format dxfId="807">
      <pivotArea dataOnly="0" labelOnly="1" fieldPosition="0">
        <references count="1">
          <reference field="0" count="0"/>
        </references>
      </pivotArea>
    </format>
    <format dxfId="808">
      <pivotArea dataOnly="0" labelOnly="1" grandRow="1" outline="0" fieldPosition="0"/>
    </format>
    <format dxfId="809">
      <pivotArea dataOnly="0" labelOnly="1" fieldPosition="0">
        <references count="1">
          <reference field="2" count="0"/>
        </references>
      </pivotArea>
    </format>
    <format dxfId="810">
      <pivotArea dataOnly="0" labelOnly="1" grandCol="1" outline="0" fieldPosition="0"/>
    </format>
    <format dxfId="811">
      <pivotArea type="all" dataOnly="0" outline="0" fieldPosition="0"/>
    </format>
    <format dxfId="812">
      <pivotArea outline="0" collapsedLevelsAreSubtotals="1" fieldPosition="0"/>
    </format>
    <format dxfId="813">
      <pivotArea type="origin" dataOnly="0" labelOnly="1" outline="0" fieldPosition="0"/>
    </format>
    <format dxfId="814">
      <pivotArea field="2" type="button" dataOnly="0" labelOnly="1" outline="0" axis="axisCol" fieldPosition="0"/>
    </format>
    <format dxfId="815">
      <pivotArea type="topRight" dataOnly="0" labelOnly="1" outline="0" fieldPosition="0"/>
    </format>
    <format dxfId="816">
      <pivotArea field="0" type="button" dataOnly="0" labelOnly="1" outline="0" axis="axisRow" fieldPosition="0"/>
    </format>
    <format dxfId="817">
      <pivotArea dataOnly="0" labelOnly="1" fieldPosition="0">
        <references count="1">
          <reference field="0" count="0"/>
        </references>
      </pivotArea>
    </format>
    <format dxfId="818">
      <pivotArea dataOnly="0" labelOnly="1" grandRow="1" outline="0" fieldPosition="0"/>
    </format>
    <format dxfId="819">
      <pivotArea dataOnly="0" labelOnly="1" fieldPosition="0">
        <references count="1">
          <reference field="2" count="0"/>
        </references>
      </pivotArea>
    </format>
    <format dxfId="820">
      <pivotArea dataOnly="0" labelOnly="1" grandCol="1" outline="0" fieldPosition="0"/>
    </format>
    <format dxfId="821">
      <pivotArea type="all" dataOnly="0" outline="0" fieldPosition="0"/>
    </format>
    <format dxfId="822">
      <pivotArea outline="0" collapsedLevelsAreSubtotals="1" fieldPosition="0"/>
    </format>
    <format dxfId="823">
      <pivotArea type="origin" dataOnly="0" labelOnly="1" outline="0" fieldPosition="0"/>
    </format>
    <format dxfId="824">
      <pivotArea field="2" type="button" dataOnly="0" labelOnly="1" outline="0" axis="axisCol" fieldPosition="0"/>
    </format>
    <format dxfId="825">
      <pivotArea type="topRight" dataOnly="0" labelOnly="1" outline="0" fieldPosition="0"/>
    </format>
    <format dxfId="826">
      <pivotArea field="0" type="button" dataOnly="0" labelOnly="1" outline="0" axis="axisRow" fieldPosition="0"/>
    </format>
    <format dxfId="827">
      <pivotArea dataOnly="0" labelOnly="1" fieldPosition="0">
        <references count="1">
          <reference field="0" count="0"/>
        </references>
      </pivotArea>
    </format>
    <format dxfId="828">
      <pivotArea dataOnly="0" labelOnly="1" grandRow="1" outline="0" fieldPosition="0"/>
    </format>
    <format dxfId="829">
      <pivotArea dataOnly="0" labelOnly="1" fieldPosition="0">
        <references count="1">
          <reference field="2" count="0"/>
        </references>
      </pivotArea>
    </format>
    <format dxfId="830">
      <pivotArea dataOnly="0" labelOnly="1" grandCol="1" outline="0" fieldPosition="0"/>
    </format>
    <format dxfId="831">
      <pivotArea type="all" dataOnly="0" outline="0" fieldPosition="0"/>
    </format>
    <format dxfId="832">
      <pivotArea outline="0" collapsedLevelsAreSubtotals="1" fieldPosition="0"/>
    </format>
    <format dxfId="833">
      <pivotArea type="origin" dataOnly="0" labelOnly="1" outline="0" fieldPosition="0"/>
    </format>
    <format dxfId="834">
      <pivotArea field="2" type="button" dataOnly="0" labelOnly="1" outline="0" axis="axisCol" fieldPosition="0"/>
    </format>
    <format dxfId="835">
      <pivotArea type="topRight" dataOnly="0" labelOnly="1" outline="0" fieldPosition="0"/>
    </format>
    <format dxfId="836">
      <pivotArea field="0" type="button" dataOnly="0" labelOnly="1" outline="0" axis="axisRow" fieldPosition="0"/>
    </format>
    <format dxfId="837">
      <pivotArea dataOnly="0" labelOnly="1" fieldPosition="0">
        <references count="1">
          <reference field="0" count="0"/>
        </references>
      </pivotArea>
    </format>
    <format dxfId="838">
      <pivotArea dataOnly="0" labelOnly="1" grandRow="1" outline="0" fieldPosition="0"/>
    </format>
    <format dxfId="839">
      <pivotArea dataOnly="0" labelOnly="1" fieldPosition="0">
        <references count="1">
          <reference field="2" count="0"/>
        </references>
      </pivotArea>
    </format>
    <format dxfId="840">
      <pivotArea dataOnly="0" labelOnly="1" grandCol="1" outline="0" fieldPosition="0"/>
    </format>
    <format dxfId="841">
      <pivotArea type="all" dataOnly="0" outline="0" fieldPosition="0"/>
    </format>
    <format dxfId="842">
      <pivotArea outline="0" collapsedLevelsAreSubtotals="1" fieldPosition="0"/>
    </format>
    <format dxfId="843">
      <pivotArea type="origin" dataOnly="0" labelOnly="1" outline="0" fieldPosition="0"/>
    </format>
    <format dxfId="844">
      <pivotArea field="2" type="button" dataOnly="0" labelOnly="1" outline="0" axis="axisCol" fieldPosition="0"/>
    </format>
    <format dxfId="845">
      <pivotArea type="topRight" dataOnly="0" labelOnly="1" outline="0" fieldPosition="0"/>
    </format>
    <format dxfId="846">
      <pivotArea field="0" type="button" dataOnly="0" labelOnly="1" outline="0" axis="axisRow" fieldPosition="0"/>
    </format>
    <format dxfId="847">
      <pivotArea dataOnly="0" labelOnly="1" fieldPosition="0">
        <references count="1">
          <reference field="0" count="0"/>
        </references>
      </pivotArea>
    </format>
    <format dxfId="848">
      <pivotArea dataOnly="0" labelOnly="1" grandRow="1" outline="0" fieldPosition="0"/>
    </format>
    <format dxfId="849">
      <pivotArea dataOnly="0" labelOnly="1" fieldPosition="0">
        <references count="1">
          <reference field="2" count="0"/>
        </references>
      </pivotArea>
    </format>
    <format dxfId="850">
      <pivotArea dataOnly="0" labelOnly="1" grandCol="1" outline="0" fieldPosition="0"/>
    </format>
    <format dxfId="851">
      <pivotArea type="all" dataOnly="0" outline="0" fieldPosition="0"/>
    </format>
    <format dxfId="852">
      <pivotArea outline="0" collapsedLevelsAreSubtotals="1" fieldPosition="0"/>
    </format>
    <format dxfId="853">
      <pivotArea type="origin" dataOnly="0" labelOnly="1" outline="0" fieldPosition="0"/>
    </format>
    <format dxfId="854">
      <pivotArea field="2" type="button" dataOnly="0" labelOnly="1" outline="0" axis="axisCol" fieldPosition="0"/>
    </format>
    <format dxfId="855">
      <pivotArea type="topRight" dataOnly="0" labelOnly="1" outline="0" fieldPosition="0"/>
    </format>
    <format dxfId="856">
      <pivotArea field="0" type="button" dataOnly="0" labelOnly="1" outline="0" axis="axisRow" fieldPosition="0"/>
    </format>
    <format dxfId="857">
      <pivotArea dataOnly="0" labelOnly="1" fieldPosition="0">
        <references count="1">
          <reference field="0" count="0"/>
        </references>
      </pivotArea>
    </format>
    <format dxfId="858">
      <pivotArea dataOnly="0" labelOnly="1" grandRow="1" outline="0" fieldPosition="0"/>
    </format>
    <format dxfId="859">
      <pivotArea dataOnly="0" labelOnly="1" fieldPosition="0">
        <references count="1">
          <reference field="2" count="0"/>
        </references>
      </pivotArea>
    </format>
    <format dxfId="860">
      <pivotArea dataOnly="0" labelOnly="1" grandCol="1" outline="0" fieldPosition="0"/>
    </format>
    <format dxfId="861">
      <pivotArea type="all" dataOnly="0" outline="0" fieldPosition="0"/>
    </format>
    <format dxfId="862">
      <pivotArea outline="0" collapsedLevelsAreSubtotals="1" fieldPosition="0"/>
    </format>
    <format dxfId="863">
      <pivotArea type="origin" dataOnly="0" labelOnly="1" outline="0" fieldPosition="0"/>
    </format>
    <format dxfId="864">
      <pivotArea field="2" type="button" dataOnly="0" labelOnly="1" outline="0" axis="axisCol" fieldPosition="0"/>
    </format>
    <format dxfId="865">
      <pivotArea type="topRight" dataOnly="0" labelOnly="1" outline="0" fieldPosition="0"/>
    </format>
    <format dxfId="866">
      <pivotArea field="0" type="button" dataOnly="0" labelOnly="1" outline="0" axis="axisRow" fieldPosition="0"/>
    </format>
    <format dxfId="867">
      <pivotArea dataOnly="0" labelOnly="1" fieldPosition="0">
        <references count="1">
          <reference field="0" count="0"/>
        </references>
      </pivotArea>
    </format>
    <format dxfId="868">
      <pivotArea dataOnly="0" labelOnly="1" grandRow="1" outline="0" fieldPosition="0"/>
    </format>
    <format dxfId="869">
      <pivotArea dataOnly="0" labelOnly="1" fieldPosition="0">
        <references count="1">
          <reference field="2" count="0"/>
        </references>
      </pivotArea>
    </format>
    <format dxfId="870">
      <pivotArea dataOnly="0" labelOnly="1" grandCol="1" outline="0" fieldPosition="0"/>
    </format>
    <format dxfId="871">
      <pivotArea type="all" dataOnly="0" outline="0" fieldPosition="0"/>
    </format>
    <format dxfId="872">
      <pivotArea outline="0" collapsedLevelsAreSubtotals="1" fieldPosition="0"/>
    </format>
    <format dxfId="873">
      <pivotArea type="origin" dataOnly="0" labelOnly="1" outline="0" fieldPosition="0"/>
    </format>
    <format dxfId="874">
      <pivotArea field="2" type="button" dataOnly="0" labelOnly="1" outline="0" axis="axisCol" fieldPosition="0"/>
    </format>
    <format dxfId="875">
      <pivotArea type="topRight" dataOnly="0" labelOnly="1" outline="0" fieldPosition="0"/>
    </format>
    <format dxfId="876">
      <pivotArea field="0" type="button" dataOnly="0" labelOnly="1" outline="0" axis="axisRow" fieldPosition="0"/>
    </format>
    <format dxfId="877">
      <pivotArea dataOnly="0" labelOnly="1" fieldPosition="0">
        <references count="1">
          <reference field="0" count="0"/>
        </references>
      </pivotArea>
    </format>
    <format dxfId="878">
      <pivotArea dataOnly="0" labelOnly="1" grandRow="1" outline="0" fieldPosition="0"/>
    </format>
    <format dxfId="879">
      <pivotArea dataOnly="0" labelOnly="1" fieldPosition="0">
        <references count="1">
          <reference field="2" count="0"/>
        </references>
      </pivotArea>
    </format>
    <format dxfId="880">
      <pivotArea dataOnly="0" labelOnly="1" grandCol="1" outline="0" fieldPosition="0"/>
    </format>
    <format dxfId="881">
      <pivotArea type="all" dataOnly="0" outline="0" fieldPosition="0"/>
    </format>
    <format dxfId="882">
      <pivotArea outline="0" collapsedLevelsAreSubtotals="1" fieldPosition="0"/>
    </format>
    <format dxfId="883">
      <pivotArea type="origin" dataOnly="0" labelOnly="1" outline="0" fieldPosition="0"/>
    </format>
    <format dxfId="884">
      <pivotArea field="2" type="button" dataOnly="0" labelOnly="1" outline="0" axis="axisCol" fieldPosition="0"/>
    </format>
    <format dxfId="885">
      <pivotArea type="topRight" dataOnly="0" labelOnly="1" outline="0" fieldPosition="0"/>
    </format>
    <format dxfId="886">
      <pivotArea field="0" type="button" dataOnly="0" labelOnly="1" outline="0" axis="axisRow" fieldPosition="0"/>
    </format>
    <format dxfId="887">
      <pivotArea dataOnly="0" labelOnly="1" fieldPosition="0">
        <references count="1">
          <reference field="0" count="0"/>
        </references>
      </pivotArea>
    </format>
    <format dxfId="888">
      <pivotArea dataOnly="0" labelOnly="1" grandRow="1" outline="0" fieldPosition="0"/>
    </format>
    <format dxfId="889">
      <pivotArea dataOnly="0" labelOnly="1" fieldPosition="0">
        <references count="1">
          <reference field="2" count="0"/>
        </references>
      </pivotArea>
    </format>
    <format dxfId="890">
      <pivotArea dataOnly="0" labelOnly="1" grandCol="1" outline="0" fieldPosition="0"/>
    </format>
    <format dxfId="891">
      <pivotArea type="origin" dataOnly="0" labelOnly="1" outline="0" fieldPosition="0"/>
    </format>
    <format dxfId="892">
      <pivotArea field="2" type="button" dataOnly="0" labelOnly="1" outline="0" axis="axisCol" fieldPosition="0"/>
    </format>
    <format dxfId="893">
      <pivotArea type="topRight" dataOnly="0" labelOnly="1" outline="0" fieldPosition="0"/>
    </format>
    <format dxfId="894">
      <pivotArea field="0" type="button" dataOnly="0" labelOnly="1" outline="0" axis="axisRow" fieldPosition="0"/>
    </format>
    <format dxfId="895">
      <pivotArea dataOnly="0" labelOnly="1" fieldPosition="0">
        <references count="1">
          <reference field="2" count="0"/>
        </references>
      </pivotArea>
    </format>
    <format dxfId="896">
      <pivotArea dataOnly="0" labelOnly="1" grandCol="1" outline="0" fieldPosition="0"/>
    </format>
    <format dxfId="897">
      <pivotArea type="origin" dataOnly="0" labelOnly="1" outline="0" fieldPosition="0"/>
    </format>
    <format dxfId="898">
      <pivotArea field="2" type="button" dataOnly="0" labelOnly="1" outline="0" axis="axisCol" fieldPosition="0"/>
    </format>
    <format dxfId="899">
      <pivotArea type="topRight" dataOnly="0" labelOnly="1" outline="0" fieldPosition="0"/>
    </format>
    <format dxfId="900">
      <pivotArea field="0" type="button" dataOnly="0" labelOnly="1" outline="0" axis="axisRow" fieldPosition="0"/>
    </format>
    <format dxfId="901">
      <pivotArea dataOnly="0" labelOnly="1" fieldPosition="0">
        <references count="1">
          <reference field="2" count="0"/>
        </references>
      </pivotArea>
    </format>
    <format dxfId="902">
      <pivotArea dataOnly="0" labelOnly="1" grandCol="1" outline="0" fieldPosition="0"/>
    </format>
    <format dxfId="903">
      <pivotArea type="origin" dataOnly="0" labelOnly="1" outline="0" fieldPosition="0"/>
    </format>
    <format dxfId="904">
      <pivotArea field="2" type="button" dataOnly="0" labelOnly="1" outline="0" axis="axisCol" fieldPosition="0"/>
    </format>
    <format dxfId="905">
      <pivotArea type="topRight" dataOnly="0" labelOnly="1" outline="0" fieldPosition="0"/>
    </format>
    <format dxfId="906">
      <pivotArea field="0" type="button" dataOnly="0" labelOnly="1" outline="0" axis="axisRow" fieldPosition="0"/>
    </format>
    <format dxfId="907">
      <pivotArea dataOnly="0" labelOnly="1" fieldPosition="0">
        <references count="1">
          <reference field="2" count="0"/>
        </references>
      </pivotArea>
    </format>
    <format dxfId="908">
      <pivotArea dataOnly="0" labelOnly="1" grandCol="1" outline="0" fieldPosition="0"/>
    </format>
    <format dxfId="909">
      <pivotArea dataOnly="0" grandRow="1" fieldPosition="0"/>
    </format>
    <format dxfId="910">
      <pivotArea dataOnly="0" grandRow="1" fieldPosition="0"/>
    </format>
    <format dxfId="911">
      <pivotArea type="all" dataOnly="0" outline="0" fieldPosition="0"/>
    </format>
    <format dxfId="912">
      <pivotArea outline="0" collapsedLevelsAreSubtotals="1" fieldPosition="0"/>
    </format>
    <format dxfId="913">
      <pivotArea type="origin" dataOnly="0" labelOnly="1" outline="0" fieldPosition="0"/>
    </format>
    <format dxfId="914">
      <pivotArea field="2" type="button" dataOnly="0" labelOnly="1" outline="0" axis="axisCol" fieldPosition="0"/>
    </format>
    <format dxfId="915">
      <pivotArea type="topRight" dataOnly="0" labelOnly="1" outline="0" fieldPosition="0"/>
    </format>
    <format dxfId="916">
      <pivotArea field="0" type="button" dataOnly="0" labelOnly="1" outline="0" axis="axisRow" fieldPosition="0"/>
    </format>
    <format dxfId="917">
      <pivotArea dataOnly="0" labelOnly="1" fieldPosition="0">
        <references count="1">
          <reference field="0" count="0"/>
        </references>
      </pivotArea>
    </format>
    <format dxfId="918">
      <pivotArea dataOnly="0" labelOnly="1" grandRow="1" outline="0" fieldPosition="0"/>
    </format>
    <format dxfId="919">
      <pivotArea dataOnly="0" labelOnly="1" fieldPosition="0">
        <references count="1">
          <reference field="2" count="0"/>
        </references>
      </pivotArea>
    </format>
    <format dxfId="920">
      <pivotArea dataOnly="0" labelOnly="1" grandCol="1" outline="0" fieldPosition="0"/>
    </format>
    <format dxfId="921">
      <pivotArea type="all" dataOnly="0" outline="0" fieldPosition="0"/>
    </format>
    <format dxfId="922">
      <pivotArea outline="0" collapsedLevelsAreSubtotals="1" fieldPosition="0"/>
    </format>
    <format dxfId="923">
      <pivotArea type="origin" dataOnly="0" labelOnly="1" outline="0" fieldPosition="0"/>
    </format>
    <format dxfId="924">
      <pivotArea field="2" type="button" dataOnly="0" labelOnly="1" outline="0" axis="axisCol" fieldPosition="0"/>
    </format>
    <format dxfId="925">
      <pivotArea type="topRight" dataOnly="0" labelOnly="1" outline="0" fieldPosition="0"/>
    </format>
    <format dxfId="926">
      <pivotArea field="0" type="button" dataOnly="0" labelOnly="1" outline="0" axis="axisRow" fieldPosition="0"/>
    </format>
    <format dxfId="927">
      <pivotArea dataOnly="0" labelOnly="1" fieldPosition="0">
        <references count="1">
          <reference field="0" count="0"/>
        </references>
      </pivotArea>
    </format>
    <format dxfId="928">
      <pivotArea dataOnly="0" labelOnly="1" grandRow="1" outline="0" fieldPosition="0"/>
    </format>
    <format dxfId="929">
      <pivotArea dataOnly="0" labelOnly="1" fieldPosition="0">
        <references count="1">
          <reference field="2" count="0"/>
        </references>
      </pivotArea>
    </format>
    <format dxfId="930">
      <pivotArea dataOnly="0" labelOnly="1" grandCol="1" outline="0" fieldPosition="0"/>
    </format>
    <format dxfId="931">
      <pivotArea type="all" dataOnly="0" outline="0" fieldPosition="0"/>
    </format>
    <format dxfId="932">
      <pivotArea outline="0" collapsedLevelsAreSubtotals="1" fieldPosition="0"/>
    </format>
    <format dxfId="933">
      <pivotArea type="origin" dataOnly="0" labelOnly="1" outline="0" fieldPosition="0"/>
    </format>
    <format dxfId="934">
      <pivotArea field="2" type="button" dataOnly="0" labelOnly="1" outline="0" axis="axisCol" fieldPosition="0"/>
    </format>
    <format dxfId="935">
      <pivotArea type="topRight" dataOnly="0" labelOnly="1" outline="0" fieldPosition="0"/>
    </format>
    <format dxfId="936">
      <pivotArea field="0" type="button" dataOnly="0" labelOnly="1" outline="0" axis="axisRow" fieldPosition="0"/>
    </format>
    <format dxfId="937">
      <pivotArea dataOnly="0" labelOnly="1" fieldPosition="0">
        <references count="1">
          <reference field="0" count="0"/>
        </references>
      </pivotArea>
    </format>
    <format dxfId="938">
      <pivotArea dataOnly="0" labelOnly="1" grandRow="1" outline="0" fieldPosition="0"/>
    </format>
    <format dxfId="939">
      <pivotArea dataOnly="0" labelOnly="1" fieldPosition="0">
        <references count="1">
          <reference field="2" count="0"/>
        </references>
      </pivotArea>
    </format>
    <format dxfId="940">
      <pivotArea dataOnly="0" labelOnly="1" grandCol="1" outline="0" fieldPosition="0"/>
    </format>
    <format dxfId="941">
      <pivotArea type="all" dataOnly="0" outline="0" fieldPosition="0"/>
    </format>
    <format dxfId="942">
      <pivotArea outline="0" collapsedLevelsAreSubtotals="1" fieldPosition="0"/>
    </format>
    <format dxfId="943">
      <pivotArea type="origin" dataOnly="0" labelOnly="1" outline="0" fieldPosition="0"/>
    </format>
    <format dxfId="944">
      <pivotArea field="2" type="button" dataOnly="0" labelOnly="1" outline="0" axis="axisCol" fieldPosition="0"/>
    </format>
    <format dxfId="945">
      <pivotArea type="topRight" dataOnly="0" labelOnly="1" outline="0" fieldPosition="0"/>
    </format>
    <format dxfId="946">
      <pivotArea field="0" type="button" dataOnly="0" labelOnly="1" outline="0" axis="axisRow" fieldPosition="0"/>
    </format>
    <format dxfId="947">
      <pivotArea dataOnly="0" labelOnly="1" fieldPosition="0">
        <references count="1">
          <reference field="0" count="0"/>
        </references>
      </pivotArea>
    </format>
    <format dxfId="948">
      <pivotArea dataOnly="0" labelOnly="1" grandRow="1" outline="0" fieldPosition="0"/>
    </format>
    <format dxfId="949">
      <pivotArea dataOnly="0" labelOnly="1" fieldPosition="0">
        <references count="1">
          <reference field="2" count="0"/>
        </references>
      </pivotArea>
    </format>
    <format dxfId="950">
      <pivotArea dataOnly="0" labelOnly="1" grandCol="1" outline="0" fieldPosition="0"/>
    </format>
    <format dxfId="951">
      <pivotArea type="all" dataOnly="0" outline="0" fieldPosition="0"/>
    </format>
    <format dxfId="952">
      <pivotArea outline="0" collapsedLevelsAreSubtotals="1" fieldPosition="0"/>
    </format>
    <format dxfId="953">
      <pivotArea type="origin" dataOnly="0" labelOnly="1" outline="0" fieldPosition="0"/>
    </format>
    <format dxfId="954">
      <pivotArea field="2" type="button" dataOnly="0" labelOnly="1" outline="0" axis="axisCol" fieldPosition="0"/>
    </format>
    <format dxfId="955">
      <pivotArea type="topRight" dataOnly="0" labelOnly="1" outline="0" fieldPosition="0"/>
    </format>
    <format dxfId="956">
      <pivotArea field="0" type="button" dataOnly="0" labelOnly="1" outline="0" axis="axisRow" fieldPosition="0"/>
    </format>
    <format dxfId="957">
      <pivotArea dataOnly="0" labelOnly="1" fieldPosition="0">
        <references count="1">
          <reference field="0" count="0"/>
        </references>
      </pivotArea>
    </format>
    <format dxfId="958">
      <pivotArea dataOnly="0" labelOnly="1" grandRow="1" outline="0" fieldPosition="0"/>
    </format>
    <format dxfId="959">
      <pivotArea dataOnly="0" labelOnly="1" fieldPosition="0">
        <references count="1">
          <reference field="2" count="0"/>
        </references>
      </pivotArea>
    </format>
    <format dxfId="960">
      <pivotArea dataOnly="0" labelOnly="1" grandCol="1" outline="0" fieldPosition="0"/>
    </format>
    <format dxfId="961">
      <pivotArea type="all" dataOnly="0" outline="0" fieldPosition="0"/>
    </format>
    <format dxfId="962">
      <pivotArea outline="0" collapsedLevelsAreSubtotals="1" fieldPosition="0"/>
    </format>
    <format dxfId="963">
      <pivotArea type="origin" dataOnly="0" labelOnly="1" outline="0" fieldPosition="0"/>
    </format>
    <format dxfId="964">
      <pivotArea field="2" type="button" dataOnly="0" labelOnly="1" outline="0" axis="axisCol" fieldPosition="0"/>
    </format>
    <format dxfId="965">
      <pivotArea type="topRight" dataOnly="0" labelOnly="1" outline="0" fieldPosition="0"/>
    </format>
    <format dxfId="966">
      <pivotArea field="0" type="button" dataOnly="0" labelOnly="1" outline="0" axis="axisRow" fieldPosition="0"/>
    </format>
    <format dxfId="967">
      <pivotArea dataOnly="0" labelOnly="1" fieldPosition="0">
        <references count="1">
          <reference field="0" count="0"/>
        </references>
      </pivotArea>
    </format>
    <format dxfId="968">
      <pivotArea dataOnly="0" labelOnly="1" grandRow="1" outline="0" fieldPosition="0"/>
    </format>
    <format dxfId="969">
      <pivotArea dataOnly="0" labelOnly="1" fieldPosition="0">
        <references count="1">
          <reference field="2" count="0"/>
        </references>
      </pivotArea>
    </format>
    <format dxfId="970">
      <pivotArea dataOnly="0" labelOnly="1" grandCol="1" outline="0" fieldPosition="0"/>
    </format>
    <format dxfId="971">
      <pivotArea type="origin" dataOnly="0" labelOnly="1" outline="0" fieldPosition="0"/>
    </format>
    <format dxfId="972">
      <pivotArea field="2" type="button" dataOnly="0" labelOnly="1" outline="0" axis="axisCol" fieldPosition="0"/>
    </format>
    <format dxfId="973">
      <pivotArea type="topRight" dataOnly="0" labelOnly="1" outline="0" fieldPosition="0"/>
    </format>
    <format dxfId="974">
      <pivotArea field="0" type="button" dataOnly="0" labelOnly="1" outline="0" axis="axisRow" fieldPosition="0"/>
    </format>
    <format dxfId="975">
      <pivotArea dataOnly="0" labelOnly="1" fieldPosition="0">
        <references count="1">
          <reference field="2" count="0"/>
        </references>
      </pivotArea>
    </format>
    <format dxfId="976">
      <pivotArea dataOnly="0" labelOnly="1" grandCol="1" outline="0" fieldPosition="0"/>
    </format>
    <format dxfId="977">
      <pivotArea collapsedLevelsAreSubtotals="1" fieldPosition="0">
        <references count="1">
          <reference field="0" count="0"/>
        </references>
      </pivotArea>
    </format>
    <format dxfId="978">
      <pivotArea dataOnly="0" labelOnly="1" fieldPosition="0">
        <references count="1">
          <reference field="0" count="0"/>
        </references>
      </pivotArea>
    </format>
    <format dxfId="979">
      <pivotArea dataOnly="0" grandRow="1" axis="axisRow" fieldPosition="0"/>
    </format>
    <format dxfId="980">
      <pivotArea dataOnly="0" grandRow="1" axis="axisRow" fieldPosition="0"/>
    </format>
    <format dxfId="981">
      <pivotArea dataOnly="0" grandRow="1" axis="axisRow" fieldPosition="0"/>
    </format>
    <format dxfId="982">
      <pivotArea collapsedLevelsAreSubtotals="1" fieldPosition="0">
        <references count="2">
          <reference field="0" count="0"/>
          <reference field="2" count="1" selected="0">
            <x v="0"/>
          </reference>
        </references>
      </pivotArea>
    </format>
    <format dxfId="983">
      <pivotArea collapsedLevelsAreSubtotals="1" fieldPosition="0">
        <references count="2">
          <reference field="0" count="0"/>
          <reference field="2" count="1" selected="0">
            <x v="1"/>
          </reference>
        </references>
      </pivotArea>
    </format>
    <format dxfId="984">
      <pivotArea collapsedLevelsAreSubtotals="1" fieldPosition="0">
        <references count="2">
          <reference field="0" count="0"/>
          <reference field="2" count="1" selected="0">
            <x v="2"/>
          </reference>
        </references>
      </pivotArea>
    </format>
    <format dxfId="985">
      <pivotArea type="all" dataOnly="0" outline="0" fieldPosition="0"/>
    </format>
    <format dxfId="986">
      <pivotArea type="origin" dataOnly="0" labelOnly="1" outline="0" fieldPosition="0"/>
    </format>
    <format dxfId="987">
      <pivotArea field="2" type="button" dataOnly="0" labelOnly="1" outline="0" axis="axisCol" fieldPosition="0"/>
    </format>
    <format dxfId="988">
      <pivotArea type="topRight" dataOnly="0" labelOnly="1" outline="0" fieldPosition="0"/>
    </format>
    <format dxfId="989">
      <pivotArea field="0" type="button" dataOnly="0" labelOnly="1" outline="0" axis="axisRow" fieldPosition="0"/>
    </format>
    <format dxfId="990">
      <pivotArea dataOnly="0" labelOnly="1" fieldPosition="0">
        <references count="1">
          <reference field="2" count="0"/>
        </references>
      </pivotArea>
    </format>
    <format dxfId="991">
      <pivotArea dataOnly="0" labelOnly="1" grandCol="1" outline="0" fieldPosition="0"/>
    </format>
    <format dxfId="992">
      <pivotArea collapsedLevelsAreSubtotals="1" fieldPosition="0">
        <references count="1">
          <reference field="0" count="0"/>
        </references>
      </pivotArea>
    </format>
    <format dxfId="993">
      <pivotArea collapsedLevelsAreSubtotals="1" fieldPosition="0">
        <references count="1">
          <reference field="0" count="0"/>
        </references>
      </pivotArea>
    </format>
    <format dxfId="994">
      <pivotArea collapsedLevelsAreSubtotals="1" fieldPosition="0">
        <references count="1">
          <reference field="0" count="0"/>
        </references>
      </pivotArea>
    </format>
    <format dxfId="995">
      <pivotArea collapsedLevelsAreSubtotals="1" fieldPosition="0">
        <references count="1">
          <reference field="0" count="0"/>
        </references>
      </pivotArea>
    </format>
    <format dxfId="996">
      <pivotArea collapsedLevelsAreSubtotals="1" fieldPosition="0">
        <references count="1">
          <reference field="0" count="0"/>
        </references>
      </pivotArea>
    </format>
    <format dxfId="997">
      <pivotArea collapsedLevelsAreSubtotals="1" fieldPosition="0">
        <references count="1">
          <reference field="0" count="0"/>
        </references>
      </pivotArea>
    </format>
    <format dxfId="998">
      <pivotArea collapsedLevelsAreSubtotals="1" fieldPosition="0">
        <references count="1">
          <reference field="0" count="0"/>
        </references>
      </pivotArea>
    </format>
    <format dxfId="999">
      <pivotArea collapsedLevelsAreSubtotals="1" fieldPosition="0">
        <references count="1">
          <reference field="0" count="0"/>
        </references>
      </pivotArea>
    </format>
    <format dxfId="1000">
      <pivotArea type="all" dataOnly="0" outline="0" fieldPosition="0"/>
    </format>
    <format dxfId="1001">
      <pivotArea outline="0" collapsedLevelsAreSubtotals="1" fieldPosition="0"/>
    </format>
    <format dxfId="1002">
      <pivotArea type="origin" dataOnly="0" labelOnly="1" outline="0" fieldPosition="0"/>
    </format>
    <format dxfId="1003">
      <pivotArea field="2" type="button" dataOnly="0" labelOnly="1" outline="0" axis="axisCol" fieldPosition="0"/>
    </format>
    <format dxfId="1004">
      <pivotArea type="topRight" dataOnly="0" labelOnly="1" outline="0" fieldPosition="0"/>
    </format>
    <format dxfId="1005">
      <pivotArea field="0" type="button" dataOnly="0" labelOnly="1" outline="0" axis="axisRow" fieldPosition="0"/>
    </format>
    <format dxfId="1006">
      <pivotArea dataOnly="0" labelOnly="1" fieldPosition="0">
        <references count="1">
          <reference field="0" count="0"/>
        </references>
      </pivotArea>
    </format>
    <format dxfId="1007">
      <pivotArea dataOnly="0" labelOnly="1" grandRow="1" outline="0" fieldPosition="0"/>
    </format>
    <format dxfId="1008">
      <pivotArea dataOnly="0" labelOnly="1" fieldPosition="0">
        <references count="1">
          <reference field="2" count="0"/>
        </references>
      </pivotArea>
    </format>
    <format dxfId="1009">
      <pivotArea type="all" dataOnly="0" outline="0" fieldPosition="0"/>
    </format>
    <format dxfId="1010">
      <pivotArea outline="0" collapsedLevelsAreSubtotals="1" fieldPosition="0"/>
    </format>
    <format dxfId="1011">
      <pivotArea type="origin" dataOnly="0" labelOnly="1" outline="0" fieldPosition="0"/>
    </format>
    <format dxfId="1012">
      <pivotArea field="2" type="button" dataOnly="0" labelOnly="1" outline="0" axis="axisCol" fieldPosition="0"/>
    </format>
    <format dxfId="1013">
      <pivotArea type="topRight" dataOnly="0" labelOnly="1" outline="0" fieldPosition="0"/>
    </format>
    <format dxfId="1014">
      <pivotArea field="0" type="button" dataOnly="0" labelOnly="1" outline="0" axis="axisRow" fieldPosition="0"/>
    </format>
    <format dxfId="1015">
      <pivotArea dataOnly="0" labelOnly="1" fieldPosition="0">
        <references count="1">
          <reference field="0" count="0"/>
        </references>
      </pivotArea>
    </format>
    <format dxfId="1016">
      <pivotArea dataOnly="0" labelOnly="1" grandRow="1" outline="0" fieldPosition="0"/>
    </format>
    <format dxfId="1017">
      <pivotArea dataOnly="0" labelOnly="1" fieldPosition="0">
        <references count="1">
          <reference field="2" count="0"/>
        </references>
      </pivotArea>
    </format>
  </formats>
  <chartFormats count="7">
    <chartFormat chart="0" format="6" series="1">
      <pivotArea type="data" outline="0" fieldPosition="0">
        <references count="2">
          <reference field="4294967294" count="1" selected="0">
            <x v="0"/>
          </reference>
          <reference field="2" count="1" selected="0">
            <x v="0"/>
          </reference>
        </references>
      </pivotArea>
    </chartFormat>
    <chartFormat chart="0" format="7" series="1">
      <pivotArea type="data" outline="0" fieldPosition="0">
        <references count="2">
          <reference field="4294967294" count="1" selected="0">
            <x v="0"/>
          </reference>
          <reference field="2" count="1" selected="0">
            <x v="1"/>
          </reference>
        </references>
      </pivotArea>
    </chartFormat>
    <chartFormat chart="0" format="8" series="1">
      <pivotArea type="data" outline="0" fieldPosition="0">
        <references count="2">
          <reference field="4294967294" count="1" selected="0">
            <x v="0"/>
          </reference>
          <reference field="2" count="1" selected="0">
            <x v="2"/>
          </reference>
        </references>
      </pivotArea>
    </chartFormat>
    <chartFormat chart="0" format="9" series="1">
      <pivotArea type="data" outline="0" fieldPosition="0">
        <references count="1">
          <reference field="4294967294" count="1" selected="0">
            <x v="0"/>
          </reference>
        </references>
      </pivotArea>
    </chartFormat>
    <chartFormat chart="2" format="16" series="1">
      <pivotArea type="data" outline="0" fieldPosition="0">
        <references count="2">
          <reference field="4294967294" count="1" selected="0">
            <x v="0"/>
          </reference>
          <reference field="2" count="1" selected="0">
            <x v="0"/>
          </reference>
        </references>
      </pivotArea>
    </chartFormat>
    <chartFormat chart="2" format="17" series="1">
      <pivotArea type="data" outline="0" fieldPosition="0">
        <references count="2">
          <reference field="4294967294" count="1" selected="0">
            <x v="0"/>
          </reference>
          <reference field="2" count="1" selected="0">
            <x v="1"/>
          </reference>
        </references>
      </pivotArea>
    </chartFormat>
    <chartFormat chart="2" format="1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Gross Profit Varianc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9">
  <location ref="A63:D70"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dataField="1" numFmtId="164" showAll="0"/>
    <pivotField numFmtId="10" showAll="0"/>
  </pivotFields>
  <rowFields count="1">
    <field x="1"/>
  </rowFields>
  <rowItems count="6">
    <i>
      <x/>
    </i>
    <i>
      <x v="1"/>
    </i>
    <i>
      <x v="2"/>
    </i>
    <i>
      <x v="3"/>
    </i>
    <i>
      <x v="4"/>
    </i>
    <i t="grand">
      <x/>
    </i>
  </rowItems>
  <colFields count="1">
    <field x="2"/>
  </colFields>
  <colItems count="3">
    <i>
      <x/>
    </i>
    <i>
      <x v="1"/>
    </i>
    <i>
      <x v="2"/>
    </i>
  </colItems>
  <dataFields count="1">
    <dataField name="Sum Gross Profit Variance" fld="11" baseField="0" baseItem="0" numFmtId="164"/>
  </dataFields>
  <formats count="51">
    <format dxfId="630">
      <pivotArea dataOnly="0" grandRow="1" fieldPosition="0"/>
    </format>
    <format dxfId="631">
      <pivotArea dataOnly="0" grandRow="1" fieldPosition="0"/>
    </format>
    <format dxfId="632">
      <pivotArea dataOnly="0" grandRow="1" fieldPosition="0"/>
    </format>
    <format dxfId="633">
      <pivotArea type="origin" dataOnly="0" labelOnly="1" outline="0" fieldPosition="0"/>
    </format>
    <format dxfId="634">
      <pivotArea field="2" type="button" dataOnly="0" labelOnly="1" outline="0" axis="axisCol" fieldPosition="0"/>
    </format>
    <format dxfId="635">
      <pivotArea type="topRight" dataOnly="0" labelOnly="1" outline="0" fieldPosition="0"/>
    </format>
    <format dxfId="636">
      <pivotArea field="0" type="button" dataOnly="0" labelOnly="1" outline="0"/>
    </format>
    <format dxfId="637">
      <pivotArea dataOnly="0" labelOnly="1" fieldPosition="0">
        <references count="1">
          <reference field="2" count="0"/>
        </references>
      </pivotArea>
    </format>
    <format dxfId="638">
      <pivotArea type="origin" dataOnly="0" labelOnly="1" outline="0" fieldPosition="0"/>
    </format>
    <format dxfId="639">
      <pivotArea field="2" type="button" dataOnly="0" labelOnly="1" outline="0" axis="axisCol" fieldPosition="0"/>
    </format>
    <format dxfId="640">
      <pivotArea type="topRight" dataOnly="0" labelOnly="1" outline="0" fieldPosition="0"/>
    </format>
    <format dxfId="641">
      <pivotArea field="0" type="button" dataOnly="0" labelOnly="1" outline="0"/>
    </format>
    <format dxfId="642">
      <pivotArea dataOnly="0" labelOnly="1" fieldPosition="0">
        <references count="1">
          <reference field="2" count="0"/>
        </references>
      </pivotArea>
    </format>
    <format dxfId="643">
      <pivotArea outline="0" collapsedLevelsAreSubtotals="1" fieldPosition="0"/>
    </format>
    <format dxfId="644">
      <pivotArea outline="0" collapsedLevelsAreSubtotals="1" fieldPosition="0"/>
    </format>
    <format dxfId="645">
      <pivotArea outline="0" collapsedLevelsAreSubtotals="1" fieldPosition="0"/>
    </format>
    <format dxfId="646">
      <pivotArea type="origin" dataOnly="0" labelOnly="1" outline="0" fieldPosition="0"/>
    </format>
    <format dxfId="647">
      <pivotArea field="2" type="button" dataOnly="0" labelOnly="1" outline="0" axis="axisCol" fieldPosition="0"/>
    </format>
    <format dxfId="648">
      <pivotArea type="topRight" dataOnly="0" labelOnly="1" outline="0" fieldPosition="0"/>
    </format>
    <format dxfId="649">
      <pivotArea field="1" type="button" dataOnly="0" labelOnly="1" outline="0" axis="axisRow" fieldPosition="0"/>
    </format>
    <format dxfId="650">
      <pivotArea dataOnly="0" labelOnly="1" fieldPosition="0">
        <references count="1">
          <reference field="2" count="0"/>
        </references>
      </pivotArea>
    </format>
    <format dxfId="651">
      <pivotArea type="origin" dataOnly="0" labelOnly="1" outline="0" fieldPosition="0"/>
    </format>
    <format dxfId="652">
      <pivotArea field="2" type="button" dataOnly="0" labelOnly="1" outline="0" axis="axisCol" fieldPosition="0"/>
    </format>
    <format dxfId="653">
      <pivotArea type="topRight" dataOnly="0" labelOnly="1" outline="0" fieldPosition="0"/>
    </format>
    <format dxfId="654">
      <pivotArea field="1" type="button" dataOnly="0" labelOnly="1" outline="0" axis="axisRow" fieldPosition="0"/>
    </format>
    <format dxfId="655">
      <pivotArea dataOnly="0" labelOnly="1" fieldPosition="0">
        <references count="1">
          <reference field="2" count="0"/>
        </references>
      </pivotArea>
    </format>
    <format dxfId="656">
      <pivotArea collapsedLevelsAreSubtotals="1" fieldPosition="0">
        <references count="1">
          <reference field="1" count="0"/>
        </references>
      </pivotArea>
    </format>
    <format dxfId="657">
      <pivotArea dataOnly="0" labelOnly="1" fieldPosition="0">
        <references count="1">
          <reference field="1" count="0"/>
        </references>
      </pivotArea>
    </format>
    <format dxfId="658">
      <pivotArea collapsedLevelsAreSubtotals="1" fieldPosition="0">
        <references count="1">
          <reference field="1" count="0"/>
        </references>
      </pivotArea>
    </format>
    <format dxfId="659">
      <pivotArea dataOnly="0" labelOnly="1" fieldPosition="0">
        <references count="1">
          <reference field="1" count="0"/>
        </references>
      </pivotArea>
    </format>
    <format dxfId="660">
      <pivotArea collapsedLevelsAreSubtotals="1" fieldPosition="0">
        <references count="2">
          <reference field="1" count="0"/>
          <reference field="2" count="1" selected="0">
            <x v="1"/>
          </reference>
        </references>
      </pivotArea>
    </format>
    <format dxfId="661">
      <pivotArea collapsedLevelsAreSubtotals="1" fieldPosition="0">
        <references count="2">
          <reference field="1" count="0"/>
          <reference field="2" count="1" selected="0">
            <x v="2"/>
          </reference>
        </references>
      </pivotArea>
    </format>
    <format dxfId="662">
      <pivotArea dataOnly="0" grandRow="1" fieldPosition="0"/>
    </format>
    <format dxfId="663">
      <pivotArea type="all" dataOnly="0" outline="0" fieldPosition="0"/>
    </format>
    <format dxfId="664">
      <pivotArea outline="0" collapsedLevelsAreSubtotals="1" fieldPosition="0"/>
    </format>
    <format dxfId="665">
      <pivotArea type="origin" dataOnly="0" labelOnly="1" outline="0" fieldPosition="0"/>
    </format>
    <format dxfId="666">
      <pivotArea field="2" type="button" dataOnly="0" labelOnly="1" outline="0" axis="axisCol" fieldPosition="0"/>
    </format>
    <format dxfId="667">
      <pivotArea type="topRight" dataOnly="0" labelOnly="1" outline="0" fieldPosition="0"/>
    </format>
    <format dxfId="668">
      <pivotArea field="1" type="button" dataOnly="0" labelOnly="1" outline="0" axis="axisRow" fieldPosition="0"/>
    </format>
    <format dxfId="669">
      <pivotArea dataOnly="0" labelOnly="1" fieldPosition="0">
        <references count="1">
          <reference field="1" count="0"/>
        </references>
      </pivotArea>
    </format>
    <format dxfId="670">
      <pivotArea dataOnly="0" labelOnly="1" grandRow="1" outline="0" fieldPosition="0"/>
    </format>
    <format dxfId="671">
      <pivotArea dataOnly="0" labelOnly="1" fieldPosition="0">
        <references count="1">
          <reference field="2" count="0"/>
        </references>
      </pivotArea>
    </format>
    <format dxfId="672">
      <pivotArea type="all" dataOnly="0" outline="0" fieldPosition="0"/>
    </format>
    <format dxfId="673">
      <pivotArea outline="0" collapsedLevelsAreSubtotals="1" fieldPosition="0"/>
    </format>
    <format dxfId="674">
      <pivotArea type="origin" dataOnly="0" labelOnly="1" outline="0" fieldPosition="0"/>
    </format>
    <format dxfId="675">
      <pivotArea field="2" type="button" dataOnly="0" labelOnly="1" outline="0" axis="axisCol" fieldPosition="0"/>
    </format>
    <format dxfId="676">
      <pivotArea type="topRight" dataOnly="0" labelOnly="1" outline="0" fieldPosition="0"/>
    </format>
    <format dxfId="677">
      <pivotArea field="1" type="button" dataOnly="0" labelOnly="1" outline="0" axis="axisRow" fieldPosition="0"/>
    </format>
    <format dxfId="678">
      <pivotArea dataOnly="0" labelOnly="1" fieldPosition="0">
        <references count="1">
          <reference field="1" count="0"/>
        </references>
      </pivotArea>
    </format>
    <format dxfId="679">
      <pivotArea dataOnly="0" labelOnly="1" grandRow="1" outline="0" fieldPosition="0"/>
    </format>
    <format dxfId="680">
      <pivotArea dataOnly="0" labelOnly="1" fieldPosition="0">
        <references count="1">
          <reference field="2" count="0"/>
        </references>
      </pivotArea>
    </format>
  </formats>
  <chartFormats count="6">
    <chartFormat chart="3" format="2" series="1">
      <pivotArea type="data" outline="0" fieldPosition="0">
        <references count="2">
          <reference field="4294967294" count="1" selected="0">
            <x v="0"/>
          </reference>
          <reference field="2" count="1" selected="0">
            <x v="1"/>
          </reference>
        </references>
      </pivotArea>
    </chartFormat>
    <chartFormat chart="3" format="3" series="1">
      <pivotArea type="data" outline="0" fieldPosition="0">
        <references count="2">
          <reference field="4294967294" count="1" selected="0">
            <x v="0"/>
          </reference>
          <reference field="2" count="1" selected="0">
            <x v="2"/>
          </reference>
        </references>
      </pivotArea>
    </chartFormat>
    <chartFormat chart="8" format="6" series="1">
      <pivotArea type="data" outline="0" fieldPosition="0">
        <references count="2">
          <reference field="4294967294" count="1" selected="0">
            <x v="0"/>
          </reference>
          <reference field="2" count="1" selected="0">
            <x v="1"/>
          </reference>
        </references>
      </pivotArea>
    </chartFormat>
    <chartFormat chart="8" format="7" series="1">
      <pivotArea type="data" outline="0" fieldPosition="0">
        <references count="2">
          <reference field="4294967294" count="1" selected="0">
            <x v="0"/>
          </reference>
          <reference field="2" count="1" selected="0">
            <x v="2"/>
          </reference>
        </references>
      </pivotArea>
    </chartFormat>
    <chartFormat chart="8" format="8" series="1">
      <pivotArea type="data" outline="0" fieldPosition="0">
        <references count="2">
          <reference field="4294967294" count="1" selected="0">
            <x v="0"/>
          </reference>
          <reference field="2" count="1" selected="0">
            <x v="0"/>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Margin by Product"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5">
  <location ref="A36:B42" firstHeaderRow="1" firstDataRow="1"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showAll="0">
      <items count="4">
        <item x="0"/>
        <item x="1"/>
        <item x="2"/>
        <item t="default"/>
      </items>
    </pivotField>
    <pivotField numFmtId="3" showAll="0"/>
    <pivotField numFmtId="164" showAll="0"/>
    <pivotField numFmtId="164" showAll="0"/>
    <pivotField numFmtId="164" showAll="0"/>
    <pivotField numFmtId="164" showAll="0"/>
    <pivotField numFmtId="164" showAll="0"/>
    <pivotField dataField="1"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Items count="1">
    <i/>
  </colItems>
  <dataFields count="1">
    <dataField name="Average of Margin %" fld="9" subtotal="average" baseField="1" baseItem="0" numFmtId="10"/>
  </dataFields>
  <formats count="227">
    <format dxfId="403">
      <pivotArea outline="0" collapsedLevelsAreSubtotals="1" fieldPosition="0"/>
    </format>
    <format dxfId="404">
      <pivotArea type="all" dataOnly="0" outline="0" fieldPosition="0"/>
    </format>
    <format dxfId="405">
      <pivotArea outline="0" collapsedLevelsAreSubtotals="1" fieldPosition="0"/>
    </format>
    <format dxfId="406">
      <pivotArea field="1" type="button" dataOnly="0" labelOnly="1" outline="0" axis="axisRow" fieldPosition="0"/>
    </format>
    <format dxfId="407">
      <pivotArea dataOnly="0" labelOnly="1" outline="0" axis="axisValues" fieldPosition="0"/>
    </format>
    <format dxfId="408">
      <pivotArea dataOnly="0" labelOnly="1" fieldPosition="0">
        <references count="1">
          <reference field="1" count="0"/>
        </references>
      </pivotArea>
    </format>
    <format dxfId="409">
      <pivotArea dataOnly="0" labelOnly="1" grandRow="1" outline="0" fieldPosition="0"/>
    </format>
    <format dxfId="410">
      <pivotArea dataOnly="0" labelOnly="1" outline="0" axis="axisValues" fieldPosition="0"/>
    </format>
    <format dxfId="411">
      <pivotArea dataOnly="0" labelOnly="1" fieldPosition="0">
        <references count="1">
          <reference field="1" count="0"/>
        </references>
      </pivotArea>
    </format>
    <format dxfId="412">
      <pivotArea dataOnly="0" labelOnly="1" fieldPosition="0">
        <references count="1">
          <reference field="1" count="0"/>
        </references>
      </pivotArea>
    </format>
    <format dxfId="413">
      <pivotArea dataOnly="0" labelOnly="1" grandRow="1" outline="0" fieldPosition="0"/>
    </format>
    <format dxfId="414">
      <pivotArea type="all" dataOnly="0" outline="0" fieldPosition="0"/>
    </format>
    <format dxfId="415">
      <pivotArea outline="0" collapsedLevelsAreSubtotals="1" fieldPosition="0"/>
    </format>
    <format dxfId="416">
      <pivotArea field="1" type="button" dataOnly="0" labelOnly="1" outline="0" axis="axisRow" fieldPosition="0"/>
    </format>
    <format dxfId="417">
      <pivotArea dataOnly="0" labelOnly="1" outline="0" axis="axisValues" fieldPosition="0"/>
    </format>
    <format dxfId="418">
      <pivotArea dataOnly="0" labelOnly="1" fieldPosition="0">
        <references count="1">
          <reference field="1" count="0"/>
        </references>
      </pivotArea>
    </format>
    <format dxfId="419">
      <pivotArea dataOnly="0" labelOnly="1" grandRow="1" outline="0" fieldPosition="0"/>
    </format>
    <format dxfId="420">
      <pivotArea dataOnly="0" labelOnly="1" outline="0" axis="axisValues" fieldPosition="0"/>
    </format>
    <format dxfId="421">
      <pivotArea type="all" dataOnly="0" outline="0" fieldPosition="0"/>
    </format>
    <format dxfId="422">
      <pivotArea outline="0" collapsedLevelsAreSubtotals="1" fieldPosition="0"/>
    </format>
    <format dxfId="423">
      <pivotArea field="1" type="button" dataOnly="0" labelOnly="1" outline="0" axis="axisRow" fieldPosition="0"/>
    </format>
    <format dxfId="424">
      <pivotArea dataOnly="0" labelOnly="1" outline="0" axis="axisValues" fieldPosition="0"/>
    </format>
    <format dxfId="425">
      <pivotArea dataOnly="0" labelOnly="1" fieldPosition="0">
        <references count="1">
          <reference field="1" count="0"/>
        </references>
      </pivotArea>
    </format>
    <format dxfId="426">
      <pivotArea dataOnly="0" labelOnly="1" grandRow="1" outline="0" fieldPosition="0"/>
    </format>
    <format dxfId="427">
      <pivotArea dataOnly="0" labelOnly="1" outline="0" axis="axisValues" fieldPosition="0"/>
    </format>
    <format dxfId="428">
      <pivotArea type="all" dataOnly="0" outline="0" fieldPosition="0"/>
    </format>
    <format dxfId="429">
      <pivotArea outline="0" collapsedLevelsAreSubtotals="1" fieldPosition="0"/>
    </format>
    <format dxfId="430">
      <pivotArea field="1" type="button" dataOnly="0" labelOnly="1" outline="0" axis="axisRow" fieldPosition="0"/>
    </format>
    <format dxfId="431">
      <pivotArea dataOnly="0" labelOnly="1" outline="0" axis="axisValues" fieldPosition="0"/>
    </format>
    <format dxfId="432">
      <pivotArea dataOnly="0" labelOnly="1" fieldPosition="0">
        <references count="1">
          <reference field="1" count="0"/>
        </references>
      </pivotArea>
    </format>
    <format dxfId="433">
      <pivotArea dataOnly="0" labelOnly="1" grandRow="1" outline="0" fieldPosition="0"/>
    </format>
    <format dxfId="434">
      <pivotArea dataOnly="0" labelOnly="1" outline="0" axis="axisValues" fieldPosition="0"/>
    </format>
    <format dxfId="435">
      <pivotArea type="all" dataOnly="0" outline="0" fieldPosition="0"/>
    </format>
    <format dxfId="436">
      <pivotArea outline="0" collapsedLevelsAreSubtotals="1" fieldPosition="0"/>
    </format>
    <format dxfId="437">
      <pivotArea field="1" type="button" dataOnly="0" labelOnly="1" outline="0" axis="axisRow" fieldPosition="0"/>
    </format>
    <format dxfId="438">
      <pivotArea dataOnly="0" labelOnly="1" outline="0" axis="axisValues" fieldPosition="0"/>
    </format>
    <format dxfId="439">
      <pivotArea dataOnly="0" labelOnly="1" fieldPosition="0">
        <references count="1">
          <reference field="1" count="0"/>
        </references>
      </pivotArea>
    </format>
    <format dxfId="440">
      <pivotArea dataOnly="0" labelOnly="1" grandRow="1" outline="0" fieldPosition="0"/>
    </format>
    <format dxfId="441">
      <pivotArea dataOnly="0" labelOnly="1" outline="0" axis="axisValues" fieldPosition="0"/>
    </format>
    <format dxfId="442">
      <pivotArea type="all" dataOnly="0" outline="0" fieldPosition="0"/>
    </format>
    <format dxfId="443">
      <pivotArea outline="0" collapsedLevelsAreSubtotals="1" fieldPosition="0"/>
    </format>
    <format dxfId="444">
      <pivotArea field="1" type="button" dataOnly="0" labelOnly="1" outline="0" axis="axisRow" fieldPosition="0"/>
    </format>
    <format dxfId="445">
      <pivotArea dataOnly="0" labelOnly="1" outline="0" axis="axisValues" fieldPosition="0"/>
    </format>
    <format dxfId="446">
      <pivotArea dataOnly="0" labelOnly="1" fieldPosition="0">
        <references count="1">
          <reference field="1" count="0"/>
        </references>
      </pivotArea>
    </format>
    <format dxfId="447">
      <pivotArea dataOnly="0" labelOnly="1" grandRow="1" outline="0" fieldPosition="0"/>
    </format>
    <format dxfId="448">
      <pivotArea dataOnly="0" labelOnly="1" outline="0" axis="axisValues" fieldPosition="0"/>
    </format>
    <format dxfId="449">
      <pivotArea type="all" dataOnly="0" outline="0" fieldPosition="0"/>
    </format>
    <format dxfId="450">
      <pivotArea outline="0" collapsedLevelsAreSubtotals="1" fieldPosition="0"/>
    </format>
    <format dxfId="451">
      <pivotArea field="1" type="button" dataOnly="0" labelOnly="1" outline="0" axis="axisRow" fieldPosition="0"/>
    </format>
    <format dxfId="452">
      <pivotArea dataOnly="0" labelOnly="1" outline="0" axis="axisValues" fieldPosition="0"/>
    </format>
    <format dxfId="453">
      <pivotArea dataOnly="0" labelOnly="1" fieldPosition="0">
        <references count="1">
          <reference field="1" count="0"/>
        </references>
      </pivotArea>
    </format>
    <format dxfId="454">
      <pivotArea dataOnly="0" labelOnly="1" grandRow="1" outline="0" fieldPosition="0"/>
    </format>
    <format dxfId="455">
      <pivotArea dataOnly="0" labelOnly="1" outline="0" axis="axisValues" fieldPosition="0"/>
    </format>
    <format dxfId="456">
      <pivotArea type="all" dataOnly="0" outline="0" fieldPosition="0"/>
    </format>
    <format dxfId="457">
      <pivotArea outline="0" collapsedLevelsAreSubtotals="1" fieldPosition="0"/>
    </format>
    <format dxfId="458">
      <pivotArea field="1" type="button" dataOnly="0" labelOnly="1" outline="0" axis="axisRow" fieldPosition="0"/>
    </format>
    <format dxfId="459">
      <pivotArea dataOnly="0" labelOnly="1" outline="0" axis="axisValues" fieldPosition="0"/>
    </format>
    <format dxfId="460">
      <pivotArea dataOnly="0" labelOnly="1" fieldPosition="0">
        <references count="1">
          <reference field="1" count="0"/>
        </references>
      </pivotArea>
    </format>
    <format dxfId="461">
      <pivotArea dataOnly="0" labelOnly="1" grandRow="1" outline="0" fieldPosition="0"/>
    </format>
    <format dxfId="462">
      <pivotArea dataOnly="0" labelOnly="1" outline="0" axis="axisValues" fieldPosition="0"/>
    </format>
    <format dxfId="463">
      <pivotArea type="all" dataOnly="0" outline="0" fieldPosition="0"/>
    </format>
    <format dxfId="464">
      <pivotArea outline="0" collapsedLevelsAreSubtotals="1" fieldPosition="0"/>
    </format>
    <format dxfId="465">
      <pivotArea field="1" type="button" dataOnly="0" labelOnly="1" outline="0" axis="axisRow" fieldPosition="0"/>
    </format>
    <format dxfId="466">
      <pivotArea dataOnly="0" labelOnly="1" outline="0" axis="axisValues" fieldPosition="0"/>
    </format>
    <format dxfId="467">
      <pivotArea dataOnly="0" labelOnly="1" fieldPosition="0">
        <references count="1">
          <reference field="1" count="0"/>
        </references>
      </pivotArea>
    </format>
    <format dxfId="468">
      <pivotArea dataOnly="0" labelOnly="1" grandRow="1" outline="0" fieldPosition="0"/>
    </format>
    <format dxfId="469">
      <pivotArea dataOnly="0" labelOnly="1" outline="0" axis="axisValues" fieldPosition="0"/>
    </format>
    <format dxfId="470">
      <pivotArea type="all" dataOnly="0" outline="0" fieldPosition="0"/>
    </format>
    <format dxfId="471">
      <pivotArea outline="0" collapsedLevelsAreSubtotals="1" fieldPosition="0"/>
    </format>
    <format dxfId="472">
      <pivotArea field="1" type="button" dataOnly="0" labelOnly="1" outline="0" axis="axisRow" fieldPosition="0"/>
    </format>
    <format dxfId="473">
      <pivotArea dataOnly="0" labelOnly="1" outline="0" axis="axisValues" fieldPosition="0"/>
    </format>
    <format dxfId="474">
      <pivotArea dataOnly="0" labelOnly="1" fieldPosition="0">
        <references count="1">
          <reference field="1" count="0"/>
        </references>
      </pivotArea>
    </format>
    <format dxfId="475">
      <pivotArea dataOnly="0" labelOnly="1" grandRow="1" outline="0" fieldPosition="0"/>
    </format>
    <format dxfId="476">
      <pivotArea dataOnly="0" labelOnly="1" outline="0" axis="axisValues" fieldPosition="0"/>
    </format>
    <format dxfId="477">
      <pivotArea type="all" dataOnly="0" outline="0" fieldPosition="0"/>
    </format>
    <format dxfId="478">
      <pivotArea outline="0" collapsedLevelsAreSubtotals="1" fieldPosition="0"/>
    </format>
    <format dxfId="479">
      <pivotArea field="1" type="button" dataOnly="0" labelOnly="1" outline="0" axis="axisRow" fieldPosition="0"/>
    </format>
    <format dxfId="480">
      <pivotArea dataOnly="0" labelOnly="1" outline="0" axis="axisValues" fieldPosition="0"/>
    </format>
    <format dxfId="481">
      <pivotArea dataOnly="0" labelOnly="1" fieldPosition="0">
        <references count="1">
          <reference field="1" count="0"/>
        </references>
      </pivotArea>
    </format>
    <format dxfId="482">
      <pivotArea dataOnly="0" labelOnly="1" grandRow="1" outline="0" fieldPosition="0"/>
    </format>
    <format dxfId="483">
      <pivotArea dataOnly="0" labelOnly="1" outline="0" axis="axisValues" fieldPosition="0"/>
    </format>
    <format dxfId="484">
      <pivotArea type="all" dataOnly="0" outline="0" fieldPosition="0"/>
    </format>
    <format dxfId="485">
      <pivotArea outline="0" collapsedLevelsAreSubtotals="1" fieldPosition="0"/>
    </format>
    <format dxfId="486">
      <pivotArea field="1" type="button" dataOnly="0" labelOnly="1" outline="0" axis="axisRow" fieldPosition="0"/>
    </format>
    <format dxfId="487">
      <pivotArea dataOnly="0" labelOnly="1" outline="0" axis="axisValues" fieldPosition="0"/>
    </format>
    <format dxfId="488">
      <pivotArea dataOnly="0" labelOnly="1" fieldPosition="0">
        <references count="1">
          <reference field="1" count="0"/>
        </references>
      </pivotArea>
    </format>
    <format dxfId="489">
      <pivotArea dataOnly="0" labelOnly="1" grandRow="1" outline="0" fieldPosition="0"/>
    </format>
    <format dxfId="490">
      <pivotArea dataOnly="0" labelOnly="1" outline="0" axis="axisValues" fieldPosition="0"/>
    </format>
    <format dxfId="491">
      <pivotArea type="all" dataOnly="0" outline="0" fieldPosition="0"/>
    </format>
    <format dxfId="492">
      <pivotArea outline="0" collapsedLevelsAreSubtotals="1" fieldPosition="0"/>
    </format>
    <format dxfId="493">
      <pivotArea field="1" type="button" dataOnly="0" labelOnly="1" outline="0" axis="axisRow" fieldPosition="0"/>
    </format>
    <format dxfId="494">
      <pivotArea dataOnly="0" labelOnly="1" outline="0" axis="axisValues" fieldPosition="0"/>
    </format>
    <format dxfId="495">
      <pivotArea dataOnly="0" labelOnly="1" fieldPosition="0">
        <references count="1">
          <reference field="1" count="0"/>
        </references>
      </pivotArea>
    </format>
    <format dxfId="496">
      <pivotArea dataOnly="0" labelOnly="1" grandRow="1" outline="0" fieldPosition="0"/>
    </format>
    <format dxfId="497">
      <pivotArea dataOnly="0" labelOnly="1" outline="0" axis="axisValues" fieldPosition="0"/>
    </format>
    <format dxfId="498">
      <pivotArea type="all" dataOnly="0" outline="0" fieldPosition="0"/>
    </format>
    <format dxfId="499">
      <pivotArea outline="0" collapsedLevelsAreSubtotals="1" fieldPosition="0"/>
    </format>
    <format dxfId="500">
      <pivotArea field="1" type="button" dataOnly="0" labelOnly="1" outline="0" axis="axisRow" fieldPosition="0"/>
    </format>
    <format dxfId="501">
      <pivotArea dataOnly="0" labelOnly="1" outline="0" axis="axisValues" fieldPosition="0"/>
    </format>
    <format dxfId="502">
      <pivotArea dataOnly="0" labelOnly="1" fieldPosition="0">
        <references count="1">
          <reference field="1" count="0"/>
        </references>
      </pivotArea>
    </format>
    <format dxfId="503">
      <pivotArea dataOnly="0" labelOnly="1" grandRow="1" outline="0" fieldPosition="0"/>
    </format>
    <format dxfId="504">
      <pivotArea dataOnly="0" labelOnly="1" outline="0" axis="axisValues" fieldPosition="0"/>
    </format>
    <format dxfId="505">
      <pivotArea type="all" dataOnly="0" outline="0" fieldPosition="0"/>
    </format>
    <format dxfId="506">
      <pivotArea outline="0" collapsedLevelsAreSubtotals="1" fieldPosition="0"/>
    </format>
    <format dxfId="507">
      <pivotArea field="1" type="button" dataOnly="0" labelOnly="1" outline="0" axis="axisRow" fieldPosition="0"/>
    </format>
    <format dxfId="508">
      <pivotArea dataOnly="0" labelOnly="1" outline="0" axis="axisValues" fieldPosition="0"/>
    </format>
    <format dxfId="509">
      <pivotArea dataOnly="0" labelOnly="1" fieldPosition="0">
        <references count="1">
          <reference field="1" count="0"/>
        </references>
      </pivotArea>
    </format>
    <format dxfId="510">
      <pivotArea dataOnly="0" labelOnly="1" grandRow="1" outline="0" fieldPosition="0"/>
    </format>
    <format dxfId="511">
      <pivotArea dataOnly="0" labelOnly="1" outline="0" axis="axisValues" fieldPosition="0"/>
    </format>
    <format dxfId="512">
      <pivotArea type="all" dataOnly="0" outline="0" fieldPosition="0"/>
    </format>
    <format dxfId="513">
      <pivotArea outline="0" collapsedLevelsAreSubtotals="1" fieldPosition="0"/>
    </format>
    <format dxfId="514">
      <pivotArea field="1" type="button" dataOnly="0" labelOnly="1" outline="0" axis="axisRow" fieldPosition="0"/>
    </format>
    <format dxfId="515">
      <pivotArea dataOnly="0" labelOnly="1" outline="0" axis="axisValues" fieldPosition="0"/>
    </format>
    <format dxfId="516">
      <pivotArea dataOnly="0" labelOnly="1" fieldPosition="0">
        <references count="1">
          <reference field="1" count="0"/>
        </references>
      </pivotArea>
    </format>
    <format dxfId="517">
      <pivotArea dataOnly="0" labelOnly="1" grandRow="1" outline="0" fieldPosition="0"/>
    </format>
    <format dxfId="518">
      <pivotArea dataOnly="0" labelOnly="1" outline="0" axis="axisValues" fieldPosition="0"/>
    </format>
    <format dxfId="519">
      <pivotArea type="all" dataOnly="0" outline="0" fieldPosition="0"/>
    </format>
    <format dxfId="520">
      <pivotArea outline="0" collapsedLevelsAreSubtotals="1" fieldPosition="0"/>
    </format>
    <format dxfId="521">
      <pivotArea field="1" type="button" dataOnly="0" labelOnly="1" outline="0" axis="axisRow" fieldPosition="0"/>
    </format>
    <format dxfId="522">
      <pivotArea dataOnly="0" labelOnly="1" outline="0" axis="axisValues" fieldPosition="0"/>
    </format>
    <format dxfId="523">
      <pivotArea dataOnly="0" labelOnly="1" fieldPosition="0">
        <references count="1">
          <reference field="1" count="0"/>
        </references>
      </pivotArea>
    </format>
    <format dxfId="524">
      <pivotArea dataOnly="0" labelOnly="1" grandRow="1" outline="0" fieldPosition="0"/>
    </format>
    <format dxfId="525">
      <pivotArea dataOnly="0" labelOnly="1" outline="0" axis="axisValues" fieldPosition="0"/>
    </format>
    <format dxfId="526">
      <pivotArea type="all" dataOnly="0" outline="0" fieldPosition="0"/>
    </format>
    <format dxfId="527">
      <pivotArea outline="0" collapsedLevelsAreSubtotals="1" fieldPosition="0"/>
    </format>
    <format dxfId="528">
      <pivotArea field="1" type="button" dataOnly="0" labelOnly="1" outline="0" axis="axisRow" fieldPosition="0"/>
    </format>
    <format dxfId="529">
      <pivotArea dataOnly="0" labelOnly="1" outline="0" axis="axisValues" fieldPosition="0"/>
    </format>
    <format dxfId="530">
      <pivotArea dataOnly="0" labelOnly="1" fieldPosition="0">
        <references count="1">
          <reference field="1" count="0"/>
        </references>
      </pivotArea>
    </format>
    <format dxfId="531">
      <pivotArea dataOnly="0" labelOnly="1" grandRow="1" outline="0" fieldPosition="0"/>
    </format>
    <format dxfId="532">
      <pivotArea dataOnly="0" labelOnly="1" outline="0" axis="axisValues" fieldPosition="0"/>
    </format>
    <format dxfId="533">
      <pivotArea type="all" dataOnly="0" outline="0" fieldPosition="0"/>
    </format>
    <format dxfId="534">
      <pivotArea outline="0" collapsedLevelsAreSubtotals="1" fieldPosition="0"/>
    </format>
    <format dxfId="535">
      <pivotArea field="1" type="button" dataOnly="0" labelOnly="1" outline="0" axis="axisRow" fieldPosition="0"/>
    </format>
    <format dxfId="536">
      <pivotArea dataOnly="0" labelOnly="1" outline="0" axis="axisValues" fieldPosition="0"/>
    </format>
    <format dxfId="537">
      <pivotArea dataOnly="0" labelOnly="1" fieldPosition="0">
        <references count="1">
          <reference field="1" count="0"/>
        </references>
      </pivotArea>
    </format>
    <format dxfId="538">
      <pivotArea dataOnly="0" labelOnly="1" grandRow="1" outline="0" fieldPosition="0"/>
    </format>
    <format dxfId="539">
      <pivotArea dataOnly="0" labelOnly="1" outline="0" axis="axisValues" fieldPosition="0"/>
    </format>
    <format dxfId="540">
      <pivotArea type="all" dataOnly="0" outline="0" fieldPosition="0"/>
    </format>
    <format dxfId="541">
      <pivotArea outline="0" collapsedLevelsAreSubtotals="1" fieldPosition="0"/>
    </format>
    <format dxfId="542">
      <pivotArea field="1" type="button" dataOnly="0" labelOnly="1" outline="0" axis="axisRow" fieldPosition="0"/>
    </format>
    <format dxfId="543">
      <pivotArea dataOnly="0" labelOnly="1" outline="0" axis="axisValues" fieldPosition="0"/>
    </format>
    <format dxfId="544">
      <pivotArea dataOnly="0" labelOnly="1" fieldPosition="0">
        <references count="1">
          <reference field="1" count="0"/>
        </references>
      </pivotArea>
    </format>
    <format dxfId="545">
      <pivotArea dataOnly="0" labelOnly="1" grandRow="1" outline="0" fieldPosition="0"/>
    </format>
    <format dxfId="546">
      <pivotArea dataOnly="0" labelOnly="1" outline="0" axis="axisValues" fieldPosition="0"/>
    </format>
    <format dxfId="547">
      <pivotArea type="all" dataOnly="0" outline="0" fieldPosition="0"/>
    </format>
    <format dxfId="548">
      <pivotArea outline="0" collapsedLevelsAreSubtotals="1" fieldPosition="0"/>
    </format>
    <format dxfId="549">
      <pivotArea field="1" type="button" dataOnly="0" labelOnly="1" outline="0" axis="axisRow" fieldPosition="0"/>
    </format>
    <format dxfId="550">
      <pivotArea dataOnly="0" labelOnly="1" outline="0" axis="axisValues" fieldPosition="0"/>
    </format>
    <format dxfId="551">
      <pivotArea dataOnly="0" labelOnly="1" fieldPosition="0">
        <references count="1">
          <reference field="1" count="0"/>
        </references>
      </pivotArea>
    </format>
    <format dxfId="552">
      <pivotArea dataOnly="0" labelOnly="1" grandRow="1" outline="0" fieldPosition="0"/>
    </format>
    <format dxfId="553">
      <pivotArea dataOnly="0" labelOnly="1" outline="0" axis="axisValues" fieldPosition="0"/>
    </format>
    <format dxfId="554">
      <pivotArea type="all" dataOnly="0" outline="0" fieldPosition="0"/>
    </format>
    <format dxfId="555">
      <pivotArea outline="0" collapsedLevelsAreSubtotals="1" fieldPosition="0"/>
    </format>
    <format dxfId="556">
      <pivotArea field="1" type="button" dataOnly="0" labelOnly="1" outline="0" axis="axisRow" fieldPosition="0"/>
    </format>
    <format dxfId="557">
      <pivotArea dataOnly="0" labelOnly="1" outline="0" axis="axisValues" fieldPosition="0"/>
    </format>
    <format dxfId="558">
      <pivotArea dataOnly="0" labelOnly="1" fieldPosition="0">
        <references count="1">
          <reference field="1" count="0"/>
        </references>
      </pivotArea>
    </format>
    <format dxfId="559">
      <pivotArea dataOnly="0" labelOnly="1" grandRow="1" outline="0" fieldPosition="0"/>
    </format>
    <format dxfId="560">
      <pivotArea dataOnly="0" labelOnly="1" outline="0" axis="axisValues" fieldPosition="0"/>
    </format>
    <format dxfId="561">
      <pivotArea type="all" dataOnly="0" outline="0" fieldPosition="0"/>
    </format>
    <format dxfId="562">
      <pivotArea outline="0" collapsedLevelsAreSubtotals="1" fieldPosition="0"/>
    </format>
    <format dxfId="563">
      <pivotArea field="1" type="button" dataOnly="0" labelOnly="1" outline="0" axis="axisRow" fieldPosition="0"/>
    </format>
    <format dxfId="564">
      <pivotArea dataOnly="0" labelOnly="1" outline="0" axis="axisValues" fieldPosition="0"/>
    </format>
    <format dxfId="565">
      <pivotArea dataOnly="0" labelOnly="1" fieldPosition="0">
        <references count="1">
          <reference field="1" count="0"/>
        </references>
      </pivotArea>
    </format>
    <format dxfId="566">
      <pivotArea dataOnly="0" labelOnly="1" grandRow="1" outline="0" fieldPosition="0"/>
    </format>
    <format dxfId="567">
      <pivotArea dataOnly="0" labelOnly="1" outline="0" axis="axisValues" fieldPosition="0"/>
    </format>
    <format dxfId="568">
      <pivotArea type="all" dataOnly="0" outline="0" fieldPosition="0"/>
    </format>
    <format dxfId="569">
      <pivotArea outline="0" collapsedLevelsAreSubtotals="1" fieldPosition="0"/>
    </format>
    <format dxfId="570">
      <pivotArea field="1" type="button" dataOnly="0" labelOnly="1" outline="0" axis="axisRow" fieldPosition="0"/>
    </format>
    <format dxfId="571">
      <pivotArea dataOnly="0" labelOnly="1" outline="0" axis="axisValues" fieldPosition="0"/>
    </format>
    <format dxfId="572">
      <pivotArea dataOnly="0" labelOnly="1" fieldPosition="0">
        <references count="1">
          <reference field="1" count="0"/>
        </references>
      </pivotArea>
    </format>
    <format dxfId="573">
      <pivotArea dataOnly="0" labelOnly="1" grandRow="1" outline="0" fieldPosition="0"/>
    </format>
    <format dxfId="574">
      <pivotArea dataOnly="0" labelOnly="1" outline="0" axis="axisValues" fieldPosition="0"/>
    </format>
    <format dxfId="575">
      <pivotArea type="all" dataOnly="0" outline="0" fieldPosition="0"/>
    </format>
    <format dxfId="576">
      <pivotArea outline="0" collapsedLevelsAreSubtotals="1" fieldPosition="0"/>
    </format>
    <format dxfId="577">
      <pivotArea field="1" type="button" dataOnly="0" labelOnly="1" outline="0" axis="axisRow" fieldPosition="0"/>
    </format>
    <format dxfId="578">
      <pivotArea dataOnly="0" labelOnly="1" outline="0" axis="axisValues" fieldPosition="0"/>
    </format>
    <format dxfId="579">
      <pivotArea dataOnly="0" labelOnly="1" fieldPosition="0">
        <references count="1">
          <reference field="1" count="0"/>
        </references>
      </pivotArea>
    </format>
    <format dxfId="580">
      <pivotArea dataOnly="0" labelOnly="1" grandRow="1" outline="0" fieldPosition="0"/>
    </format>
    <format dxfId="581">
      <pivotArea dataOnly="0" labelOnly="1" outline="0" axis="axisValues" fieldPosition="0"/>
    </format>
    <format dxfId="582">
      <pivotArea type="all" dataOnly="0" outline="0" fieldPosition="0"/>
    </format>
    <format dxfId="583">
      <pivotArea outline="0" collapsedLevelsAreSubtotals="1" fieldPosition="0"/>
    </format>
    <format dxfId="584">
      <pivotArea field="1" type="button" dataOnly="0" labelOnly="1" outline="0" axis="axisRow" fieldPosition="0"/>
    </format>
    <format dxfId="585">
      <pivotArea dataOnly="0" labelOnly="1" outline="0" axis="axisValues" fieldPosition="0"/>
    </format>
    <format dxfId="586">
      <pivotArea dataOnly="0" labelOnly="1" fieldPosition="0">
        <references count="1">
          <reference field="1" count="0"/>
        </references>
      </pivotArea>
    </format>
    <format dxfId="587">
      <pivotArea dataOnly="0" labelOnly="1" grandRow="1" outline="0" fieldPosition="0"/>
    </format>
    <format dxfId="588">
      <pivotArea dataOnly="0" labelOnly="1" outline="0" axis="axisValues" fieldPosition="0"/>
    </format>
    <format dxfId="589">
      <pivotArea type="all" dataOnly="0" outline="0" fieldPosition="0"/>
    </format>
    <format dxfId="590">
      <pivotArea outline="0" collapsedLevelsAreSubtotals="1" fieldPosition="0"/>
    </format>
    <format dxfId="591">
      <pivotArea field="1" type="button" dataOnly="0" labelOnly="1" outline="0" axis="axisRow" fieldPosition="0"/>
    </format>
    <format dxfId="592">
      <pivotArea dataOnly="0" labelOnly="1" outline="0" axis="axisValues" fieldPosition="0"/>
    </format>
    <format dxfId="593">
      <pivotArea dataOnly="0" labelOnly="1" fieldPosition="0">
        <references count="1">
          <reference field="1" count="0"/>
        </references>
      </pivotArea>
    </format>
    <format dxfId="594">
      <pivotArea dataOnly="0" labelOnly="1" grandRow="1" outline="0" fieldPosition="0"/>
    </format>
    <format dxfId="595">
      <pivotArea dataOnly="0" labelOnly="1" outline="0" axis="axisValues" fieldPosition="0"/>
    </format>
    <format dxfId="596">
      <pivotArea field="1" type="button" dataOnly="0" labelOnly="1" outline="0" axis="axisRow" fieldPosition="0"/>
    </format>
    <format dxfId="597">
      <pivotArea dataOnly="0" labelOnly="1" outline="0" axis="axisValues" fieldPosition="0"/>
    </format>
    <format dxfId="598">
      <pivotArea dataOnly="0" labelOnly="1" outline="0" axis="axisValues" fieldPosition="0"/>
    </format>
    <format dxfId="599">
      <pivotArea field="1" type="button" dataOnly="0" labelOnly="1" outline="0" axis="axisRow" fieldPosition="0"/>
    </format>
    <format dxfId="600">
      <pivotArea dataOnly="0" labelOnly="1" outline="0" axis="axisValues" fieldPosition="0"/>
    </format>
    <format dxfId="601">
      <pivotArea dataOnly="0" labelOnly="1" outline="0" axis="axisValues" fieldPosition="0"/>
    </format>
    <format dxfId="602">
      <pivotArea collapsedLevelsAreSubtotals="1" fieldPosition="0">
        <references count="1">
          <reference field="1" count="0"/>
        </references>
      </pivotArea>
    </format>
    <format dxfId="603">
      <pivotArea dataOnly="0" labelOnly="1" fieldPosition="0">
        <references count="1">
          <reference field="1" count="0"/>
        </references>
      </pivotArea>
    </format>
    <format dxfId="604">
      <pivotArea dataOnly="0" grandRow="1" fieldPosition="0"/>
    </format>
    <format dxfId="605">
      <pivotArea type="all" dataOnly="0" outline="0" fieldPosition="0"/>
    </format>
    <format dxfId="606">
      <pivotArea outline="0" collapsedLevelsAreSubtotals="1" fieldPosition="0"/>
    </format>
    <format dxfId="607">
      <pivotArea field="1" type="button" dataOnly="0" labelOnly="1" outline="0" axis="axisRow" fieldPosition="0"/>
    </format>
    <format dxfId="608">
      <pivotArea dataOnly="0" labelOnly="1" outline="0" axis="axisValues" fieldPosition="0"/>
    </format>
    <format dxfId="609">
      <pivotArea dataOnly="0" labelOnly="1" fieldPosition="0">
        <references count="1">
          <reference field="1" count="0"/>
        </references>
      </pivotArea>
    </format>
    <format dxfId="610">
      <pivotArea dataOnly="0" labelOnly="1" grandRow="1" outline="0" fieldPosition="0"/>
    </format>
    <format dxfId="611">
      <pivotArea dataOnly="0" labelOnly="1" outline="0" axis="axisValues" fieldPosition="0"/>
    </format>
    <format dxfId="612">
      <pivotArea field="1" type="button" dataOnly="0" labelOnly="1" outline="0" axis="axisRow" fieldPosition="0"/>
    </format>
    <format dxfId="613">
      <pivotArea dataOnly="0" labelOnly="1" outline="0" axis="axisValues" fieldPosition="0"/>
    </format>
    <format dxfId="614">
      <pivotArea dataOnly="0" labelOnly="1" outline="0" axis="axisValues" fieldPosition="0"/>
    </format>
    <format dxfId="615">
      <pivotArea collapsedLevelsAreSubtotals="1" fieldPosition="0">
        <references count="1">
          <reference field="1" count="0"/>
        </references>
      </pivotArea>
    </format>
    <format dxfId="616">
      <pivotArea type="all" dataOnly="0" outline="0" fieldPosition="0"/>
    </format>
    <format dxfId="617">
      <pivotArea outline="0" collapsedLevelsAreSubtotals="1" fieldPosition="0"/>
    </format>
    <format dxfId="618">
      <pivotArea field="1" type="button" dataOnly="0" labelOnly="1" outline="0" axis="axisRow" fieldPosition="0"/>
    </format>
    <format dxfId="619">
      <pivotArea dataOnly="0" labelOnly="1" outline="0" axis="axisValues" fieldPosition="0"/>
    </format>
    <format dxfId="620">
      <pivotArea dataOnly="0" labelOnly="1" fieldPosition="0">
        <references count="1">
          <reference field="1" count="0"/>
        </references>
      </pivotArea>
    </format>
    <format dxfId="621">
      <pivotArea dataOnly="0" labelOnly="1" grandRow="1" outline="0" fieldPosition="0"/>
    </format>
    <format dxfId="622">
      <pivotArea dataOnly="0" labelOnly="1" outline="0" axis="axisValues" fieldPosition="0"/>
    </format>
    <format dxfId="623">
      <pivotArea type="all" dataOnly="0" outline="0" fieldPosition="0"/>
    </format>
    <format dxfId="624">
      <pivotArea outline="0" collapsedLevelsAreSubtotals="1" fieldPosition="0"/>
    </format>
    <format dxfId="625">
      <pivotArea field="1" type="button" dataOnly="0" labelOnly="1" outline="0" axis="axisRow" fieldPosition="0"/>
    </format>
    <format dxfId="626">
      <pivotArea dataOnly="0" labelOnly="1" outline="0" axis="axisValues" fieldPosition="0"/>
    </format>
    <format dxfId="627">
      <pivotArea dataOnly="0" labelOnly="1" fieldPosition="0">
        <references count="1">
          <reference field="1" count="0"/>
        </references>
      </pivotArea>
    </format>
    <format dxfId="628">
      <pivotArea dataOnly="0" labelOnly="1" grandRow="1" outline="0" fieldPosition="0"/>
    </format>
    <format dxfId="629">
      <pivotArea dataOnly="0" labelOnly="1" outline="0" axis="axisValues" fieldPosition="0"/>
    </format>
  </formats>
  <chartFormats count="5">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1" count="1" selected="0">
            <x v="3"/>
          </reference>
        </references>
      </pivotArea>
    </chartFormat>
    <chartFormat chart="4" format="8">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Revenue Varianc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10">
  <location ref="A46:D60" firstHeaderRow="1" firstDataRow="2" firstDataCol="1"/>
  <pivotFields count="13">
    <pivotField axis="axisRow" showAll="0">
      <items count="13">
        <item x="0"/>
        <item x="1"/>
        <item x="2"/>
        <item x="3"/>
        <item x="4"/>
        <item x="5"/>
        <item x="6"/>
        <item x="7"/>
        <item x="8"/>
        <item x="9"/>
        <item x="10"/>
        <item x="11"/>
        <item t="default"/>
      </items>
    </pivotField>
    <pivotField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dataField="1" numFmtId="164" showAll="0"/>
    <pivotField numFmtId="164" showAll="0"/>
    <pivotField numFmtId="10" showAll="0"/>
  </pivotFields>
  <rowFields count="1">
    <field x="0"/>
  </rowFields>
  <rowItems count="13">
    <i>
      <x/>
    </i>
    <i>
      <x v="1"/>
    </i>
    <i>
      <x v="2"/>
    </i>
    <i>
      <x v="3"/>
    </i>
    <i>
      <x v="4"/>
    </i>
    <i>
      <x v="5"/>
    </i>
    <i>
      <x v="6"/>
    </i>
    <i>
      <x v="7"/>
    </i>
    <i>
      <x v="8"/>
    </i>
    <i>
      <x v="9"/>
    </i>
    <i>
      <x v="10"/>
    </i>
    <i>
      <x v="11"/>
    </i>
    <i t="grand">
      <x/>
    </i>
  </rowItems>
  <colFields count="1">
    <field x="2"/>
  </colFields>
  <colItems count="3">
    <i>
      <x/>
    </i>
    <i>
      <x v="1"/>
    </i>
    <i>
      <x v="2"/>
    </i>
  </colItems>
  <dataFields count="1">
    <dataField name="Sum of Revenue Variance" fld="10" baseField="0" baseItem="0" numFmtId="164"/>
  </dataFields>
  <formats count="54">
    <format dxfId="349">
      <pivotArea outline="0" collapsedLevelsAreSubtotals="1" fieldPosition="0"/>
    </format>
    <format dxfId="350">
      <pivotArea type="all" dataOnly="0" outline="0" fieldPosition="0"/>
    </format>
    <format dxfId="351">
      <pivotArea type="origin" dataOnly="0" labelOnly="1" outline="0" fieldPosition="0"/>
    </format>
    <format dxfId="352">
      <pivotArea field="2" type="button" dataOnly="0" labelOnly="1" outline="0" axis="axisCol" fieldPosition="0"/>
    </format>
    <format dxfId="353">
      <pivotArea type="topRight" dataOnly="0" labelOnly="1" outline="0" fieldPosition="0"/>
    </format>
    <format dxfId="354">
      <pivotArea field="0" type="button" dataOnly="0" labelOnly="1" outline="0" axis="axisRow" fieldPosition="0"/>
    </format>
    <format dxfId="355">
      <pivotArea dataOnly="0" labelOnly="1" fieldPosition="0">
        <references count="1">
          <reference field="2" count="0"/>
        </references>
      </pivotArea>
    </format>
    <format dxfId="356">
      <pivotArea dataOnly="0" labelOnly="1" grandCol="1" outline="0" fieldPosition="0"/>
    </format>
    <format dxfId="357">
      <pivotArea type="origin" dataOnly="0" labelOnly="1" outline="0" fieldPosition="0"/>
    </format>
    <format dxfId="358">
      <pivotArea field="2" type="button" dataOnly="0" labelOnly="1" outline="0" axis="axisCol" fieldPosition="0"/>
    </format>
    <format dxfId="359">
      <pivotArea type="topRight" dataOnly="0" labelOnly="1" outline="0" fieldPosition="0"/>
    </format>
    <format dxfId="360">
      <pivotArea field="0" type="button" dataOnly="0" labelOnly="1" outline="0" axis="axisRow" fieldPosition="0"/>
    </format>
    <format dxfId="361">
      <pivotArea dataOnly="0" labelOnly="1" fieldPosition="0">
        <references count="1">
          <reference field="2" count="0"/>
        </references>
      </pivotArea>
    </format>
    <format dxfId="362">
      <pivotArea dataOnly="0" labelOnly="1" grandCol="1" outline="0" fieldPosition="0"/>
    </format>
    <format dxfId="363">
      <pivotArea type="origin" dataOnly="0" labelOnly="1" outline="0" fieldPosition="0"/>
    </format>
    <format dxfId="364">
      <pivotArea field="2" type="button" dataOnly="0" labelOnly="1" outline="0" axis="axisCol" fieldPosition="0"/>
    </format>
    <format dxfId="365">
      <pivotArea type="topRight" dataOnly="0" labelOnly="1" outline="0" fieldPosition="0"/>
    </format>
    <format dxfId="366">
      <pivotArea field="0" type="button" dataOnly="0" labelOnly="1" outline="0" axis="axisRow" fieldPosition="0"/>
    </format>
    <format dxfId="367">
      <pivotArea dataOnly="0" labelOnly="1" fieldPosition="0">
        <references count="1">
          <reference field="2" count="0"/>
        </references>
      </pivotArea>
    </format>
    <format dxfId="368">
      <pivotArea dataOnly="0" labelOnly="1" grandCol="1" outline="0" fieldPosition="0"/>
    </format>
    <format dxfId="369">
      <pivotArea dataOnly="0" grandRow="1" fieldPosition="0"/>
    </format>
    <format dxfId="370">
      <pivotArea dataOnly="0" grandRow="1" fieldPosition="0"/>
    </format>
    <format dxfId="371">
      <pivotArea dataOnly="0" grandRow="1" fieldPosition="0"/>
    </format>
    <format dxfId="372">
      <pivotArea type="origin" dataOnly="0" labelOnly="1" outline="0" fieldPosition="0"/>
    </format>
    <format dxfId="373">
      <pivotArea field="2" type="button" dataOnly="0" labelOnly="1" outline="0" axis="axisCol" fieldPosition="0"/>
    </format>
    <format dxfId="374">
      <pivotArea type="topRight" dataOnly="0" labelOnly="1" outline="0" fieldPosition="0"/>
    </format>
    <format dxfId="375">
      <pivotArea field="0" type="button" dataOnly="0" labelOnly="1" outline="0" axis="axisRow" fieldPosition="0"/>
    </format>
    <format dxfId="376">
      <pivotArea dataOnly="0" labelOnly="1" fieldPosition="0">
        <references count="1">
          <reference field="2" count="0"/>
        </references>
      </pivotArea>
    </format>
    <format dxfId="377">
      <pivotArea dataOnly="0" labelOnly="1" grandCol="1" outline="0" fieldPosition="0"/>
    </format>
    <format dxfId="378">
      <pivotArea outline="0" collapsedLevelsAreSubtotals="1" fieldPosition="0"/>
    </format>
    <format dxfId="379">
      <pivotArea outline="0" collapsedLevelsAreSubtotals="1" fieldPosition="0"/>
    </format>
    <format dxfId="380">
      <pivotArea collapsedLevelsAreSubtotals="1" fieldPosition="0">
        <references count="2">
          <reference field="0" count="0"/>
          <reference field="2" count="1" selected="0">
            <x v="1"/>
          </reference>
        </references>
      </pivotArea>
    </format>
    <format dxfId="381">
      <pivotArea collapsedLevelsAreSubtotals="1" fieldPosition="0">
        <references count="2">
          <reference field="0" count="0"/>
          <reference field="2" count="1" selected="0">
            <x v="2"/>
          </reference>
        </references>
      </pivotArea>
    </format>
    <format dxfId="382">
      <pivotArea collapsedLevelsAreSubtotals="1" fieldPosition="0">
        <references count="1">
          <reference field="0" count="0"/>
        </references>
      </pivotArea>
    </format>
    <format dxfId="383">
      <pivotArea dataOnly="0" labelOnly="1" fieldPosition="0">
        <references count="1">
          <reference field="0" count="0"/>
        </references>
      </pivotArea>
    </format>
    <format dxfId="384">
      <pivotArea dataOnly="0" grandRow="1" fieldPosition="0"/>
    </format>
    <format dxfId="385">
      <pivotArea type="all" dataOnly="0" outline="0" fieldPosition="0"/>
    </format>
    <format dxfId="386">
      <pivotArea outline="0" collapsedLevelsAreSubtotals="1" fieldPosition="0"/>
    </format>
    <format dxfId="387">
      <pivotArea type="origin" dataOnly="0" labelOnly="1" outline="0" fieldPosition="0"/>
    </format>
    <format dxfId="388">
      <pivotArea field="2" type="button" dataOnly="0" labelOnly="1" outline="0" axis="axisCol" fieldPosition="0"/>
    </format>
    <format dxfId="389">
      <pivotArea type="topRight" dataOnly="0" labelOnly="1" outline="0" fieldPosition="0"/>
    </format>
    <format dxfId="390">
      <pivotArea field="0" type="button" dataOnly="0" labelOnly="1" outline="0" axis="axisRow" fieldPosition="0"/>
    </format>
    <format dxfId="391">
      <pivotArea dataOnly="0" labelOnly="1" fieldPosition="0">
        <references count="1">
          <reference field="0" count="0"/>
        </references>
      </pivotArea>
    </format>
    <format dxfId="392">
      <pivotArea dataOnly="0" labelOnly="1" grandRow="1" outline="0" fieldPosition="0"/>
    </format>
    <format dxfId="393">
      <pivotArea dataOnly="0" labelOnly="1" fieldPosition="0">
        <references count="1">
          <reference field="2" count="0"/>
        </references>
      </pivotArea>
    </format>
    <format dxfId="394">
      <pivotArea type="all" dataOnly="0" outline="0" fieldPosition="0"/>
    </format>
    <format dxfId="395">
      <pivotArea outline="0" collapsedLevelsAreSubtotals="1" fieldPosition="0"/>
    </format>
    <format dxfId="396">
      <pivotArea type="origin" dataOnly="0" labelOnly="1" outline="0" fieldPosition="0"/>
    </format>
    <format dxfId="397">
      <pivotArea field="2" type="button" dataOnly="0" labelOnly="1" outline="0" axis="axisCol" fieldPosition="0"/>
    </format>
    <format dxfId="398">
      <pivotArea type="topRight" dataOnly="0" labelOnly="1" outline="0" fieldPosition="0"/>
    </format>
    <format dxfId="399">
      <pivotArea field="0" type="button" dataOnly="0" labelOnly="1" outline="0" axis="axisRow" fieldPosition="0"/>
    </format>
    <format dxfId="400">
      <pivotArea dataOnly="0" labelOnly="1" fieldPosition="0">
        <references count="1">
          <reference field="0" count="0"/>
        </references>
      </pivotArea>
    </format>
    <format dxfId="401">
      <pivotArea dataOnly="0" labelOnly="1" grandRow="1" outline="0" fieldPosition="0"/>
    </format>
    <format dxfId="402">
      <pivotArea dataOnly="0" labelOnly="1" fieldPosition="0">
        <references count="1">
          <reference field="2" count="0"/>
        </references>
      </pivotArea>
    </format>
  </formats>
  <chartFormats count="6">
    <chartFormat chart="7" format="13" series="1">
      <pivotArea type="data" outline="0" fieldPosition="0">
        <references count="2">
          <reference field="4294967294" count="1" selected="0">
            <x v="0"/>
          </reference>
          <reference field="2" count="1" selected="0">
            <x v="1"/>
          </reference>
        </references>
      </pivotArea>
    </chartFormat>
    <chartFormat chart="7" format="14" series="1">
      <pivotArea type="data" outline="0" fieldPosition="0">
        <references count="2">
          <reference field="4294967294" count="1" selected="0">
            <x v="0"/>
          </reference>
          <reference field="2" count="1" selected="0">
            <x v="2"/>
          </reference>
        </references>
      </pivotArea>
    </chartFormat>
    <chartFormat chart="9" format="19" series="1">
      <pivotArea type="data" outline="0" fieldPosition="0">
        <references count="2">
          <reference field="4294967294" count="1" selected="0">
            <x v="0"/>
          </reference>
          <reference field="2" count="1" selected="0">
            <x v="2"/>
          </reference>
        </references>
      </pivotArea>
    </chartFormat>
    <chartFormat chart="9" format="20" series="1">
      <pivotArea type="data" outline="0" fieldPosition="0">
        <references count="2">
          <reference field="4294967294" count="1" selected="0">
            <x v="0"/>
          </reference>
          <reference field="2" count="1" selected="0">
            <x v="1"/>
          </reference>
        </references>
      </pivotArea>
    </chartFormat>
    <chartFormat chart="9" format="21" series="1">
      <pivotArea type="data" outline="0" fieldPosition="0">
        <references count="2">
          <reference field="4294967294" count="1" selected="0">
            <x v="0"/>
          </reference>
          <reference field="2" count="1" selected="0">
            <x v="0"/>
          </reference>
        </references>
      </pivotArea>
    </chartFormat>
    <chartFormat chart="7" format="15"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Gross Profit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4">
  <location ref="A26:D33"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dataField="1" numFmtId="164" showAll="0"/>
    <pivotField numFmtId="10" showAll="0"/>
    <pivotField numFmtId="164" showAll="0" defaultSubtotal="0"/>
    <pivotField numFmtId="164" showAll="0" defaultSubtotal="0"/>
    <pivotField numFmtId="10" showAll="0" defaultSubtotal="0"/>
  </pivotFields>
  <rowFields count="1">
    <field x="1"/>
  </rowFields>
  <rowItems count="6">
    <i>
      <x/>
    </i>
    <i>
      <x v="1"/>
    </i>
    <i>
      <x v="2"/>
    </i>
    <i>
      <x v="3"/>
    </i>
    <i>
      <x v="4"/>
    </i>
    <i t="grand">
      <x/>
    </i>
  </rowItems>
  <colFields count="1">
    <field x="2"/>
  </colFields>
  <colItems count="3">
    <i>
      <x/>
    </i>
    <i>
      <x v="1"/>
    </i>
    <i>
      <x v="2"/>
    </i>
  </colItems>
  <dataFields count="1">
    <dataField name="Sum of Gross Profit" fld="8" baseField="0" baseItem="0" numFmtId="164"/>
  </dataFields>
  <formats count="306">
    <format dxfId="43">
      <pivotArea outline="0" collapsedLevelsAreSubtotals="1" fieldPosition="0"/>
    </format>
    <format dxfId="44">
      <pivotArea outline="0" collapsedLevelsAreSubtotals="1" fieldPosition="0"/>
    </format>
    <format dxfId="45">
      <pivotArea outline="0" collapsedLevelsAreSubtotals="1" fieldPosition="0"/>
    </format>
    <format dxfId="46">
      <pivotArea outline="0" collapsedLevelsAreSubtotals="1" fieldPosition="0"/>
    </format>
    <format dxfId="47">
      <pivotArea field="1" type="button" dataOnly="0" labelOnly="1" outline="0" axis="axisRow" fieldPosition="0"/>
    </format>
    <format dxfId="48">
      <pivotArea dataOnly="0" labelOnly="1" fieldPosition="0">
        <references count="1">
          <reference field="1" count="0"/>
        </references>
      </pivotArea>
    </format>
    <format dxfId="49">
      <pivotArea dataOnly="0" labelOnly="1" grandRow="1" outline="0" fieldPosition="0"/>
    </format>
    <format dxfId="50">
      <pivotArea dataOnly="0" labelOnly="1" fieldPosition="0">
        <references count="1">
          <reference field="2" count="0"/>
        </references>
      </pivotArea>
    </format>
    <format dxfId="51">
      <pivotArea dataOnly="0" labelOnly="1" grandCol="1" outline="0" fieldPosition="0"/>
    </format>
    <format dxfId="52">
      <pivotArea dataOnly="0" labelOnly="1" fieldPosition="0">
        <references count="1">
          <reference field="1" count="0"/>
        </references>
      </pivotArea>
    </format>
    <format dxfId="53">
      <pivotArea dataOnly="0" labelOnly="1" grandRow="1" outline="0" fieldPosition="0"/>
    </format>
    <format dxfId="54">
      <pivotArea type="all" dataOnly="0" outline="0" fieldPosition="0"/>
    </format>
    <format dxfId="55">
      <pivotArea outline="0" collapsedLevelsAreSubtotals="1" fieldPosition="0"/>
    </format>
    <format dxfId="56">
      <pivotArea type="origin" dataOnly="0" labelOnly="1" outline="0" fieldPosition="0"/>
    </format>
    <format dxfId="57">
      <pivotArea field="2" type="button" dataOnly="0" labelOnly="1" outline="0" axis="axisCol" fieldPosition="0"/>
    </format>
    <format dxfId="58">
      <pivotArea type="topRight" dataOnly="0" labelOnly="1" outline="0" fieldPosition="0"/>
    </format>
    <format dxfId="59">
      <pivotArea field="1" type="button" dataOnly="0" labelOnly="1" outline="0" axis="axisRow" fieldPosition="0"/>
    </format>
    <format dxfId="60">
      <pivotArea dataOnly="0" labelOnly="1" fieldPosition="0">
        <references count="1">
          <reference field="1" count="0"/>
        </references>
      </pivotArea>
    </format>
    <format dxfId="61">
      <pivotArea dataOnly="0" labelOnly="1" grandRow="1" outline="0" fieldPosition="0"/>
    </format>
    <format dxfId="62">
      <pivotArea dataOnly="0" labelOnly="1" fieldPosition="0">
        <references count="1">
          <reference field="2" count="0"/>
        </references>
      </pivotArea>
    </format>
    <format dxfId="63">
      <pivotArea dataOnly="0" labelOnly="1" grandCol="1" outline="0" fieldPosition="0"/>
    </format>
    <format dxfId="64">
      <pivotArea type="all" dataOnly="0" outline="0" fieldPosition="0"/>
    </format>
    <format dxfId="65">
      <pivotArea outline="0" collapsedLevelsAreSubtotals="1" fieldPosition="0"/>
    </format>
    <format dxfId="66">
      <pivotArea type="origin" dataOnly="0" labelOnly="1" outline="0" fieldPosition="0"/>
    </format>
    <format dxfId="67">
      <pivotArea field="2" type="button" dataOnly="0" labelOnly="1" outline="0" axis="axisCol" fieldPosition="0"/>
    </format>
    <format dxfId="68">
      <pivotArea type="topRight" dataOnly="0" labelOnly="1" outline="0" fieldPosition="0"/>
    </format>
    <format dxfId="69">
      <pivotArea field="1" type="button" dataOnly="0" labelOnly="1" outline="0" axis="axisRow" fieldPosition="0"/>
    </format>
    <format dxfId="70">
      <pivotArea dataOnly="0" labelOnly="1" fieldPosition="0">
        <references count="1">
          <reference field="1" count="0"/>
        </references>
      </pivotArea>
    </format>
    <format dxfId="71">
      <pivotArea dataOnly="0" labelOnly="1" grandRow="1" outline="0" fieldPosition="0"/>
    </format>
    <format dxfId="72">
      <pivotArea dataOnly="0" labelOnly="1" fieldPosition="0">
        <references count="1">
          <reference field="2" count="0"/>
        </references>
      </pivotArea>
    </format>
    <format dxfId="73">
      <pivotArea dataOnly="0" labelOnly="1" grandCol="1" outline="0" fieldPosition="0"/>
    </format>
    <format dxfId="74">
      <pivotArea type="all" dataOnly="0" outline="0" fieldPosition="0"/>
    </format>
    <format dxfId="75">
      <pivotArea outline="0" collapsedLevelsAreSubtotals="1" fieldPosition="0"/>
    </format>
    <format dxfId="76">
      <pivotArea type="origin" dataOnly="0" labelOnly="1" outline="0" fieldPosition="0"/>
    </format>
    <format dxfId="77">
      <pivotArea field="2" type="button" dataOnly="0" labelOnly="1" outline="0" axis="axisCol" fieldPosition="0"/>
    </format>
    <format dxfId="78">
      <pivotArea type="topRight" dataOnly="0" labelOnly="1" outline="0" fieldPosition="0"/>
    </format>
    <format dxfId="79">
      <pivotArea field="1" type="button" dataOnly="0" labelOnly="1" outline="0" axis="axisRow" fieldPosition="0"/>
    </format>
    <format dxfId="80">
      <pivotArea dataOnly="0" labelOnly="1" fieldPosition="0">
        <references count="1">
          <reference field="1" count="0"/>
        </references>
      </pivotArea>
    </format>
    <format dxfId="81">
      <pivotArea dataOnly="0" labelOnly="1" grandRow="1" outline="0" fieldPosition="0"/>
    </format>
    <format dxfId="82">
      <pivotArea dataOnly="0" labelOnly="1" fieldPosition="0">
        <references count="1">
          <reference field="2" count="0"/>
        </references>
      </pivotArea>
    </format>
    <format dxfId="83">
      <pivotArea dataOnly="0" labelOnly="1" grandCol="1" outline="0" fieldPosition="0"/>
    </format>
    <format dxfId="84">
      <pivotArea type="all" dataOnly="0" outline="0" fieldPosition="0"/>
    </format>
    <format dxfId="85">
      <pivotArea outline="0" collapsedLevelsAreSubtotals="1" fieldPosition="0"/>
    </format>
    <format dxfId="86">
      <pivotArea type="origin" dataOnly="0" labelOnly="1" outline="0" fieldPosition="0"/>
    </format>
    <format dxfId="87">
      <pivotArea field="2" type="button" dataOnly="0" labelOnly="1" outline="0" axis="axisCol" fieldPosition="0"/>
    </format>
    <format dxfId="88">
      <pivotArea type="topRight" dataOnly="0" labelOnly="1" outline="0" fieldPosition="0"/>
    </format>
    <format dxfId="89">
      <pivotArea field="1" type="button" dataOnly="0" labelOnly="1" outline="0" axis="axisRow" fieldPosition="0"/>
    </format>
    <format dxfId="90">
      <pivotArea dataOnly="0" labelOnly="1" fieldPosition="0">
        <references count="1">
          <reference field="1" count="0"/>
        </references>
      </pivotArea>
    </format>
    <format dxfId="91">
      <pivotArea dataOnly="0" labelOnly="1" grandRow="1" outline="0" fieldPosition="0"/>
    </format>
    <format dxfId="92">
      <pivotArea dataOnly="0" labelOnly="1" fieldPosition="0">
        <references count="1">
          <reference field="2" count="0"/>
        </references>
      </pivotArea>
    </format>
    <format dxfId="93">
      <pivotArea dataOnly="0" labelOnly="1" grandCol="1" outline="0" fieldPosition="0"/>
    </format>
    <format dxfId="94">
      <pivotArea type="all" dataOnly="0" outline="0" fieldPosition="0"/>
    </format>
    <format dxfId="95">
      <pivotArea outline="0" collapsedLevelsAreSubtotals="1" fieldPosition="0"/>
    </format>
    <format dxfId="96">
      <pivotArea type="origin" dataOnly="0" labelOnly="1" outline="0" fieldPosition="0"/>
    </format>
    <format dxfId="97">
      <pivotArea field="2" type="button" dataOnly="0" labelOnly="1" outline="0" axis="axisCol" fieldPosition="0"/>
    </format>
    <format dxfId="98">
      <pivotArea type="topRight" dataOnly="0" labelOnly="1" outline="0" fieldPosition="0"/>
    </format>
    <format dxfId="99">
      <pivotArea field="1" type="button" dataOnly="0" labelOnly="1" outline="0" axis="axisRow" fieldPosition="0"/>
    </format>
    <format dxfId="100">
      <pivotArea dataOnly="0" labelOnly="1" fieldPosition="0">
        <references count="1">
          <reference field="1" count="0"/>
        </references>
      </pivotArea>
    </format>
    <format dxfId="101">
      <pivotArea dataOnly="0" labelOnly="1" grandRow="1" outline="0" fieldPosition="0"/>
    </format>
    <format dxfId="102">
      <pivotArea dataOnly="0" labelOnly="1" fieldPosition="0">
        <references count="1">
          <reference field="2" count="0"/>
        </references>
      </pivotArea>
    </format>
    <format dxfId="103">
      <pivotArea dataOnly="0" labelOnly="1" grandCol="1" outline="0" fieldPosition="0"/>
    </format>
    <format dxfId="104">
      <pivotArea type="all" dataOnly="0" outline="0" fieldPosition="0"/>
    </format>
    <format dxfId="105">
      <pivotArea outline="0" collapsedLevelsAreSubtotals="1" fieldPosition="0"/>
    </format>
    <format dxfId="106">
      <pivotArea type="origin" dataOnly="0" labelOnly="1" outline="0" fieldPosition="0"/>
    </format>
    <format dxfId="107">
      <pivotArea field="2" type="button" dataOnly="0" labelOnly="1" outline="0" axis="axisCol" fieldPosition="0"/>
    </format>
    <format dxfId="108">
      <pivotArea type="topRight" dataOnly="0" labelOnly="1" outline="0" fieldPosition="0"/>
    </format>
    <format dxfId="109">
      <pivotArea field="1" type="button" dataOnly="0" labelOnly="1" outline="0" axis="axisRow" fieldPosition="0"/>
    </format>
    <format dxfId="110">
      <pivotArea dataOnly="0" labelOnly="1" fieldPosition="0">
        <references count="1">
          <reference field="1" count="0"/>
        </references>
      </pivotArea>
    </format>
    <format dxfId="111">
      <pivotArea dataOnly="0" labelOnly="1" grandRow="1" outline="0" fieldPosition="0"/>
    </format>
    <format dxfId="112">
      <pivotArea dataOnly="0" labelOnly="1" fieldPosition="0">
        <references count="1">
          <reference field="2" count="0"/>
        </references>
      </pivotArea>
    </format>
    <format dxfId="113">
      <pivotArea dataOnly="0" labelOnly="1" grandCol="1" outline="0" fieldPosition="0"/>
    </format>
    <format dxfId="114">
      <pivotArea type="all" dataOnly="0" outline="0" fieldPosition="0"/>
    </format>
    <format dxfId="115">
      <pivotArea outline="0" collapsedLevelsAreSubtotals="1" fieldPosition="0"/>
    </format>
    <format dxfId="116">
      <pivotArea type="origin" dataOnly="0" labelOnly="1" outline="0" fieldPosition="0"/>
    </format>
    <format dxfId="117">
      <pivotArea field="2" type="button" dataOnly="0" labelOnly="1" outline="0" axis="axisCol" fieldPosition="0"/>
    </format>
    <format dxfId="118">
      <pivotArea type="topRight" dataOnly="0" labelOnly="1" outline="0" fieldPosition="0"/>
    </format>
    <format dxfId="119">
      <pivotArea field="1" type="button" dataOnly="0" labelOnly="1" outline="0" axis="axisRow" fieldPosition="0"/>
    </format>
    <format dxfId="120">
      <pivotArea dataOnly="0" labelOnly="1" fieldPosition="0">
        <references count="1">
          <reference field="1" count="0"/>
        </references>
      </pivotArea>
    </format>
    <format dxfId="121">
      <pivotArea dataOnly="0" labelOnly="1" grandRow="1" outline="0" fieldPosition="0"/>
    </format>
    <format dxfId="122">
      <pivotArea dataOnly="0" labelOnly="1" fieldPosition="0">
        <references count="1">
          <reference field="2" count="0"/>
        </references>
      </pivotArea>
    </format>
    <format dxfId="123">
      <pivotArea dataOnly="0" labelOnly="1" grandCol="1" outline="0" fieldPosition="0"/>
    </format>
    <format dxfId="124">
      <pivotArea type="all" dataOnly="0" outline="0" fieldPosition="0"/>
    </format>
    <format dxfId="125">
      <pivotArea type="all" dataOnly="0" outline="0" fieldPosition="0"/>
    </format>
    <format dxfId="126">
      <pivotArea outline="0" collapsedLevelsAreSubtotals="1" fieldPosition="0"/>
    </format>
    <format dxfId="127">
      <pivotArea type="origin" dataOnly="0" labelOnly="1" outline="0" fieldPosition="0"/>
    </format>
    <format dxfId="128">
      <pivotArea field="2" type="button" dataOnly="0" labelOnly="1" outline="0" axis="axisCol" fieldPosition="0"/>
    </format>
    <format dxfId="129">
      <pivotArea type="topRight" dataOnly="0" labelOnly="1" outline="0" fieldPosition="0"/>
    </format>
    <format dxfId="130">
      <pivotArea field="1" type="button" dataOnly="0" labelOnly="1" outline="0" axis="axisRow" fieldPosition="0"/>
    </format>
    <format dxfId="131">
      <pivotArea dataOnly="0" labelOnly="1" fieldPosition="0">
        <references count="1">
          <reference field="1" count="0"/>
        </references>
      </pivotArea>
    </format>
    <format dxfId="132">
      <pivotArea dataOnly="0" labelOnly="1" grandRow="1" outline="0" fieldPosition="0"/>
    </format>
    <format dxfId="133">
      <pivotArea dataOnly="0" labelOnly="1" fieldPosition="0">
        <references count="1">
          <reference field="2" count="0"/>
        </references>
      </pivotArea>
    </format>
    <format dxfId="134">
      <pivotArea dataOnly="0" labelOnly="1" grandCol="1" outline="0" fieldPosition="0"/>
    </format>
    <format dxfId="135">
      <pivotArea type="all" dataOnly="0" outline="0" fieldPosition="0"/>
    </format>
    <format dxfId="136">
      <pivotArea outline="0" collapsedLevelsAreSubtotals="1" fieldPosition="0"/>
    </format>
    <format dxfId="137">
      <pivotArea type="origin" dataOnly="0" labelOnly="1" outline="0" fieldPosition="0"/>
    </format>
    <format dxfId="138">
      <pivotArea field="2" type="button" dataOnly="0" labelOnly="1" outline="0" axis="axisCol" fieldPosition="0"/>
    </format>
    <format dxfId="139">
      <pivotArea type="topRight" dataOnly="0" labelOnly="1" outline="0" fieldPosition="0"/>
    </format>
    <format dxfId="140">
      <pivotArea field="1" type="button" dataOnly="0" labelOnly="1" outline="0" axis="axisRow" fieldPosition="0"/>
    </format>
    <format dxfId="141">
      <pivotArea dataOnly="0" labelOnly="1" fieldPosition="0">
        <references count="1">
          <reference field="1" count="0"/>
        </references>
      </pivotArea>
    </format>
    <format dxfId="142">
      <pivotArea dataOnly="0" labelOnly="1" grandRow="1" outline="0" fieldPosition="0"/>
    </format>
    <format dxfId="143">
      <pivotArea dataOnly="0" labelOnly="1" fieldPosition="0">
        <references count="1">
          <reference field="2" count="0"/>
        </references>
      </pivotArea>
    </format>
    <format dxfId="144">
      <pivotArea dataOnly="0" labelOnly="1" grandCol="1" outline="0" fieldPosition="0"/>
    </format>
    <format dxfId="145">
      <pivotArea type="all" dataOnly="0" outline="0" fieldPosition="0"/>
    </format>
    <format dxfId="146">
      <pivotArea outline="0" collapsedLevelsAreSubtotals="1" fieldPosition="0"/>
    </format>
    <format dxfId="147">
      <pivotArea type="origin" dataOnly="0" labelOnly="1" outline="0" fieldPosition="0"/>
    </format>
    <format dxfId="148">
      <pivotArea field="2" type="button" dataOnly="0" labelOnly="1" outline="0" axis="axisCol" fieldPosition="0"/>
    </format>
    <format dxfId="149">
      <pivotArea type="topRight" dataOnly="0" labelOnly="1" outline="0" fieldPosition="0"/>
    </format>
    <format dxfId="150">
      <pivotArea field="1" type="button" dataOnly="0" labelOnly="1" outline="0" axis="axisRow" fieldPosition="0"/>
    </format>
    <format dxfId="151">
      <pivotArea dataOnly="0" labelOnly="1" fieldPosition="0">
        <references count="1">
          <reference field="1" count="0"/>
        </references>
      </pivotArea>
    </format>
    <format dxfId="152">
      <pivotArea dataOnly="0" labelOnly="1" grandRow="1" outline="0" fieldPosition="0"/>
    </format>
    <format dxfId="153">
      <pivotArea dataOnly="0" labelOnly="1" fieldPosition="0">
        <references count="1">
          <reference field="2" count="0"/>
        </references>
      </pivotArea>
    </format>
    <format dxfId="154">
      <pivotArea dataOnly="0" labelOnly="1" grandCol="1" outline="0" fieldPosition="0"/>
    </format>
    <format dxfId="155">
      <pivotArea type="all" dataOnly="0" outline="0" fieldPosition="0"/>
    </format>
    <format dxfId="156">
      <pivotArea outline="0" collapsedLevelsAreSubtotals="1" fieldPosition="0"/>
    </format>
    <format dxfId="157">
      <pivotArea type="origin" dataOnly="0" labelOnly="1" outline="0" fieldPosition="0"/>
    </format>
    <format dxfId="158">
      <pivotArea field="2" type="button" dataOnly="0" labelOnly="1" outline="0" axis="axisCol" fieldPosition="0"/>
    </format>
    <format dxfId="159">
      <pivotArea type="topRight" dataOnly="0" labelOnly="1" outline="0" fieldPosition="0"/>
    </format>
    <format dxfId="160">
      <pivotArea field="1" type="button" dataOnly="0" labelOnly="1" outline="0" axis="axisRow" fieldPosition="0"/>
    </format>
    <format dxfId="161">
      <pivotArea dataOnly="0" labelOnly="1" fieldPosition="0">
        <references count="1">
          <reference field="1" count="0"/>
        </references>
      </pivotArea>
    </format>
    <format dxfId="162">
      <pivotArea dataOnly="0" labelOnly="1" grandRow="1" outline="0" fieldPosition="0"/>
    </format>
    <format dxfId="163">
      <pivotArea dataOnly="0" labelOnly="1" fieldPosition="0">
        <references count="1">
          <reference field="2" count="0"/>
        </references>
      </pivotArea>
    </format>
    <format dxfId="164">
      <pivotArea dataOnly="0" labelOnly="1" grandCol="1" outline="0" fieldPosition="0"/>
    </format>
    <format dxfId="165">
      <pivotArea type="all" dataOnly="0" outline="0" fieldPosition="0"/>
    </format>
    <format dxfId="166">
      <pivotArea outline="0" collapsedLevelsAreSubtotals="1" fieldPosition="0"/>
    </format>
    <format dxfId="167">
      <pivotArea type="origin" dataOnly="0" labelOnly="1" outline="0" fieldPosition="0"/>
    </format>
    <format dxfId="168">
      <pivotArea field="2" type="button" dataOnly="0" labelOnly="1" outline="0" axis="axisCol" fieldPosition="0"/>
    </format>
    <format dxfId="169">
      <pivotArea type="topRight" dataOnly="0" labelOnly="1" outline="0" fieldPosition="0"/>
    </format>
    <format dxfId="170">
      <pivotArea field="1" type="button" dataOnly="0" labelOnly="1" outline="0" axis="axisRow" fieldPosition="0"/>
    </format>
    <format dxfId="171">
      <pivotArea dataOnly="0" labelOnly="1" fieldPosition="0">
        <references count="1">
          <reference field="1" count="0"/>
        </references>
      </pivotArea>
    </format>
    <format dxfId="172">
      <pivotArea dataOnly="0" labelOnly="1" grandRow="1" outline="0" fieldPosition="0"/>
    </format>
    <format dxfId="173">
      <pivotArea dataOnly="0" labelOnly="1" fieldPosition="0">
        <references count="1">
          <reference field="2" count="0"/>
        </references>
      </pivotArea>
    </format>
    <format dxfId="174">
      <pivotArea dataOnly="0" labelOnly="1" grandCol="1" outline="0" fieldPosition="0"/>
    </format>
    <format dxfId="175">
      <pivotArea type="all" dataOnly="0" outline="0" fieldPosition="0"/>
    </format>
    <format dxfId="176">
      <pivotArea outline="0" collapsedLevelsAreSubtotals="1" fieldPosition="0"/>
    </format>
    <format dxfId="177">
      <pivotArea type="origin" dataOnly="0" labelOnly="1" outline="0" fieldPosition="0"/>
    </format>
    <format dxfId="178">
      <pivotArea field="2" type="button" dataOnly="0" labelOnly="1" outline="0" axis="axisCol" fieldPosition="0"/>
    </format>
    <format dxfId="179">
      <pivotArea type="topRight" dataOnly="0" labelOnly="1" outline="0" fieldPosition="0"/>
    </format>
    <format dxfId="180">
      <pivotArea field="1" type="button" dataOnly="0" labelOnly="1" outline="0" axis="axisRow" fieldPosition="0"/>
    </format>
    <format dxfId="181">
      <pivotArea dataOnly="0" labelOnly="1" fieldPosition="0">
        <references count="1">
          <reference field="1" count="0"/>
        </references>
      </pivotArea>
    </format>
    <format dxfId="182">
      <pivotArea dataOnly="0" labelOnly="1" grandRow="1" outline="0" fieldPosition="0"/>
    </format>
    <format dxfId="183">
      <pivotArea dataOnly="0" labelOnly="1" fieldPosition="0">
        <references count="1">
          <reference field="2" count="0"/>
        </references>
      </pivotArea>
    </format>
    <format dxfId="184">
      <pivotArea dataOnly="0" labelOnly="1" grandCol="1" outline="0" fieldPosition="0"/>
    </format>
    <format dxfId="185">
      <pivotArea type="all" dataOnly="0" outline="0" fieldPosition="0"/>
    </format>
    <format dxfId="186">
      <pivotArea outline="0" collapsedLevelsAreSubtotals="1" fieldPosition="0"/>
    </format>
    <format dxfId="187">
      <pivotArea type="origin" dataOnly="0" labelOnly="1" outline="0" fieldPosition="0"/>
    </format>
    <format dxfId="188">
      <pivotArea field="2" type="button" dataOnly="0" labelOnly="1" outline="0" axis="axisCol" fieldPosition="0"/>
    </format>
    <format dxfId="189">
      <pivotArea type="topRight" dataOnly="0" labelOnly="1" outline="0" fieldPosition="0"/>
    </format>
    <format dxfId="190">
      <pivotArea field="1" type="button" dataOnly="0" labelOnly="1" outline="0" axis="axisRow" fieldPosition="0"/>
    </format>
    <format dxfId="191">
      <pivotArea dataOnly="0" labelOnly="1" fieldPosition="0">
        <references count="1">
          <reference field="1" count="0"/>
        </references>
      </pivotArea>
    </format>
    <format dxfId="192">
      <pivotArea dataOnly="0" labelOnly="1" grandRow="1" outline="0" fieldPosition="0"/>
    </format>
    <format dxfId="193">
      <pivotArea dataOnly="0" labelOnly="1" fieldPosition="0">
        <references count="1">
          <reference field="2" count="0"/>
        </references>
      </pivotArea>
    </format>
    <format dxfId="194">
      <pivotArea dataOnly="0" labelOnly="1" grandCol="1" outline="0" fieldPosition="0"/>
    </format>
    <format dxfId="195">
      <pivotArea type="all" dataOnly="0" outline="0" fieldPosition="0"/>
    </format>
    <format dxfId="196">
      <pivotArea outline="0" collapsedLevelsAreSubtotals="1" fieldPosition="0"/>
    </format>
    <format dxfId="197">
      <pivotArea type="origin" dataOnly="0" labelOnly="1" outline="0" fieldPosition="0"/>
    </format>
    <format dxfId="198">
      <pivotArea field="2" type="button" dataOnly="0" labelOnly="1" outline="0" axis="axisCol" fieldPosition="0"/>
    </format>
    <format dxfId="199">
      <pivotArea type="topRight" dataOnly="0" labelOnly="1" outline="0" fieldPosition="0"/>
    </format>
    <format dxfId="200">
      <pivotArea field="1" type="button" dataOnly="0" labelOnly="1" outline="0" axis="axisRow" fieldPosition="0"/>
    </format>
    <format dxfId="201">
      <pivotArea dataOnly="0" labelOnly="1" fieldPosition="0">
        <references count="1">
          <reference field="1" count="0"/>
        </references>
      </pivotArea>
    </format>
    <format dxfId="202">
      <pivotArea dataOnly="0" labelOnly="1" grandRow="1" outline="0" fieldPosition="0"/>
    </format>
    <format dxfId="203">
      <pivotArea dataOnly="0" labelOnly="1" fieldPosition="0">
        <references count="1">
          <reference field="2" count="0"/>
        </references>
      </pivotArea>
    </format>
    <format dxfId="204">
      <pivotArea dataOnly="0" labelOnly="1" grandCol="1" outline="0" fieldPosition="0"/>
    </format>
    <format dxfId="205">
      <pivotArea type="all" dataOnly="0" outline="0" fieldPosition="0"/>
    </format>
    <format dxfId="206">
      <pivotArea outline="0" collapsedLevelsAreSubtotals="1" fieldPosition="0"/>
    </format>
    <format dxfId="207">
      <pivotArea type="origin" dataOnly="0" labelOnly="1" outline="0" fieldPosition="0"/>
    </format>
    <format dxfId="208">
      <pivotArea field="2" type="button" dataOnly="0" labelOnly="1" outline="0" axis="axisCol" fieldPosition="0"/>
    </format>
    <format dxfId="209">
      <pivotArea type="topRight" dataOnly="0" labelOnly="1" outline="0" fieldPosition="0"/>
    </format>
    <format dxfId="210">
      <pivotArea field="1" type="button" dataOnly="0" labelOnly="1" outline="0" axis="axisRow" fieldPosition="0"/>
    </format>
    <format dxfId="211">
      <pivotArea dataOnly="0" labelOnly="1" fieldPosition="0">
        <references count="1">
          <reference field="1" count="0"/>
        </references>
      </pivotArea>
    </format>
    <format dxfId="212">
      <pivotArea dataOnly="0" labelOnly="1" grandRow="1" outline="0" fieldPosition="0"/>
    </format>
    <format dxfId="213">
      <pivotArea dataOnly="0" labelOnly="1" fieldPosition="0">
        <references count="1">
          <reference field="2" count="0"/>
        </references>
      </pivotArea>
    </format>
    <format dxfId="214">
      <pivotArea dataOnly="0" labelOnly="1" grandCol="1" outline="0" fieldPosition="0"/>
    </format>
    <format dxfId="215">
      <pivotArea type="all" dataOnly="0" outline="0" fieldPosition="0"/>
    </format>
    <format dxfId="216">
      <pivotArea outline="0" collapsedLevelsAreSubtotals="1" fieldPosition="0"/>
    </format>
    <format dxfId="217">
      <pivotArea type="origin" dataOnly="0" labelOnly="1" outline="0" fieldPosition="0"/>
    </format>
    <format dxfId="218">
      <pivotArea field="2" type="button" dataOnly="0" labelOnly="1" outline="0" axis="axisCol" fieldPosition="0"/>
    </format>
    <format dxfId="219">
      <pivotArea type="topRight" dataOnly="0" labelOnly="1" outline="0" fieldPosition="0"/>
    </format>
    <format dxfId="220">
      <pivotArea field="1" type="button" dataOnly="0" labelOnly="1" outline="0" axis="axisRow" fieldPosition="0"/>
    </format>
    <format dxfId="221">
      <pivotArea dataOnly="0" labelOnly="1" fieldPosition="0">
        <references count="1">
          <reference field="1" count="0"/>
        </references>
      </pivotArea>
    </format>
    <format dxfId="222">
      <pivotArea dataOnly="0" labelOnly="1" grandRow="1" outline="0" fieldPosition="0"/>
    </format>
    <format dxfId="223">
      <pivotArea dataOnly="0" labelOnly="1" fieldPosition="0">
        <references count="1">
          <reference field="2" count="0"/>
        </references>
      </pivotArea>
    </format>
    <format dxfId="224">
      <pivotArea dataOnly="0" labelOnly="1" grandCol="1" outline="0" fieldPosition="0"/>
    </format>
    <format dxfId="225">
      <pivotArea type="all" dataOnly="0" outline="0" fieldPosition="0"/>
    </format>
    <format dxfId="226">
      <pivotArea outline="0" collapsedLevelsAreSubtotals="1" fieldPosition="0"/>
    </format>
    <format dxfId="227">
      <pivotArea type="origin" dataOnly="0" labelOnly="1" outline="0" fieldPosition="0"/>
    </format>
    <format dxfId="228">
      <pivotArea field="2" type="button" dataOnly="0" labelOnly="1" outline="0" axis="axisCol" fieldPosition="0"/>
    </format>
    <format dxfId="229">
      <pivotArea type="topRight" dataOnly="0" labelOnly="1" outline="0" fieldPosition="0"/>
    </format>
    <format dxfId="230">
      <pivotArea field="1" type="button" dataOnly="0" labelOnly="1" outline="0" axis="axisRow" fieldPosition="0"/>
    </format>
    <format dxfId="231">
      <pivotArea dataOnly="0" labelOnly="1" fieldPosition="0">
        <references count="1">
          <reference field="1" count="0"/>
        </references>
      </pivotArea>
    </format>
    <format dxfId="232">
      <pivotArea dataOnly="0" labelOnly="1" grandRow="1" outline="0" fieldPosition="0"/>
    </format>
    <format dxfId="233">
      <pivotArea dataOnly="0" labelOnly="1" fieldPosition="0">
        <references count="1">
          <reference field="2" count="0"/>
        </references>
      </pivotArea>
    </format>
    <format dxfId="234">
      <pivotArea dataOnly="0" labelOnly="1" grandCol="1" outline="0" fieldPosition="0"/>
    </format>
    <format dxfId="235">
      <pivotArea type="all" dataOnly="0" outline="0" fieldPosition="0"/>
    </format>
    <format dxfId="236">
      <pivotArea outline="0" collapsedLevelsAreSubtotals="1" fieldPosition="0"/>
    </format>
    <format dxfId="237">
      <pivotArea type="origin" dataOnly="0" labelOnly="1" outline="0" fieldPosition="0"/>
    </format>
    <format dxfId="238">
      <pivotArea field="2" type="button" dataOnly="0" labelOnly="1" outline="0" axis="axisCol" fieldPosition="0"/>
    </format>
    <format dxfId="239">
      <pivotArea type="topRight" dataOnly="0" labelOnly="1" outline="0" fieldPosition="0"/>
    </format>
    <format dxfId="240">
      <pivotArea field="1" type="button" dataOnly="0" labelOnly="1" outline="0" axis="axisRow" fieldPosition="0"/>
    </format>
    <format dxfId="241">
      <pivotArea dataOnly="0" labelOnly="1" fieldPosition="0">
        <references count="1">
          <reference field="1" count="0"/>
        </references>
      </pivotArea>
    </format>
    <format dxfId="242">
      <pivotArea dataOnly="0" labelOnly="1" grandRow="1" outline="0" fieldPosition="0"/>
    </format>
    <format dxfId="243">
      <pivotArea dataOnly="0" labelOnly="1" fieldPosition="0">
        <references count="1">
          <reference field="2" count="0"/>
        </references>
      </pivotArea>
    </format>
    <format dxfId="244">
      <pivotArea dataOnly="0" labelOnly="1" grandCol="1" outline="0" fieldPosition="0"/>
    </format>
    <format dxfId="245">
      <pivotArea type="all" dataOnly="0" outline="0" fieldPosition="0"/>
    </format>
    <format dxfId="246">
      <pivotArea outline="0" collapsedLevelsAreSubtotals="1" fieldPosition="0"/>
    </format>
    <format dxfId="247">
      <pivotArea type="origin" dataOnly="0" labelOnly="1" outline="0" fieldPosition="0"/>
    </format>
    <format dxfId="248">
      <pivotArea field="2" type="button" dataOnly="0" labelOnly="1" outline="0" axis="axisCol" fieldPosition="0"/>
    </format>
    <format dxfId="249">
      <pivotArea type="topRight" dataOnly="0" labelOnly="1" outline="0" fieldPosition="0"/>
    </format>
    <format dxfId="250">
      <pivotArea field="1" type="button" dataOnly="0" labelOnly="1" outline="0" axis="axisRow" fieldPosition="0"/>
    </format>
    <format dxfId="251">
      <pivotArea dataOnly="0" labelOnly="1" fieldPosition="0">
        <references count="1">
          <reference field="1" count="0"/>
        </references>
      </pivotArea>
    </format>
    <format dxfId="252">
      <pivotArea dataOnly="0" labelOnly="1" grandRow="1" outline="0" fieldPosition="0"/>
    </format>
    <format dxfId="253">
      <pivotArea dataOnly="0" labelOnly="1" fieldPosition="0">
        <references count="1">
          <reference field="2" count="0"/>
        </references>
      </pivotArea>
    </format>
    <format dxfId="254">
      <pivotArea dataOnly="0" labelOnly="1" grandCol="1" outline="0" fieldPosition="0"/>
    </format>
    <format dxfId="255">
      <pivotArea type="all" dataOnly="0" outline="0" fieldPosition="0"/>
    </format>
    <format dxfId="256">
      <pivotArea outline="0" collapsedLevelsAreSubtotals="1" fieldPosition="0"/>
    </format>
    <format dxfId="257">
      <pivotArea type="origin" dataOnly="0" labelOnly="1" outline="0" fieldPosition="0"/>
    </format>
    <format dxfId="258">
      <pivotArea field="2" type="button" dataOnly="0" labelOnly="1" outline="0" axis="axisCol" fieldPosition="0"/>
    </format>
    <format dxfId="259">
      <pivotArea type="topRight" dataOnly="0" labelOnly="1" outline="0" fieldPosition="0"/>
    </format>
    <format dxfId="260">
      <pivotArea field="1" type="button" dataOnly="0" labelOnly="1" outline="0" axis="axisRow" fieldPosition="0"/>
    </format>
    <format dxfId="261">
      <pivotArea dataOnly="0" labelOnly="1" fieldPosition="0">
        <references count="1">
          <reference field="1" count="0"/>
        </references>
      </pivotArea>
    </format>
    <format dxfId="262">
      <pivotArea dataOnly="0" labelOnly="1" grandRow="1" outline="0" fieldPosition="0"/>
    </format>
    <format dxfId="263">
      <pivotArea dataOnly="0" labelOnly="1" fieldPosition="0">
        <references count="1">
          <reference field="2" count="0"/>
        </references>
      </pivotArea>
    </format>
    <format dxfId="264">
      <pivotArea dataOnly="0" labelOnly="1" grandCol="1" outline="0" fieldPosition="0"/>
    </format>
    <format dxfId="265">
      <pivotArea type="all" dataOnly="0" outline="0" fieldPosition="0"/>
    </format>
    <format dxfId="266">
      <pivotArea outline="0" collapsedLevelsAreSubtotals="1" fieldPosition="0"/>
    </format>
    <format dxfId="267">
      <pivotArea type="origin" dataOnly="0" labelOnly="1" outline="0" fieldPosition="0"/>
    </format>
    <format dxfId="268">
      <pivotArea field="2" type="button" dataOnly="0" labelOnly="1" outline="0" axis="axisCol" fieldPosition="0"/>
    </format>
    <format dxfId="269">
      <pivotArea type="topRight" dataOnly="0" labelOnly="1" outline="0" fieldPosition="0"/>
    </format>
    <format dxfId="270">
      <pivotArea field="1" type="button" dataOnly="0" labelOnly="1" outline="0" axis="axisRow" fieldPosition="0"/>
    </format>
    <format dxfId="271">
      <pivotArea dataOnly="0" labelOnly="1" fieldPosition="0">
        <references count="1">
          <reference field="1" count="0"/>
        </references>
      </pivotArea>
    </format>
    <format dxfId="272">
      <pivotArea dataOnly="0" labelOnly="1" grandRow="1" outline="0" fieldPosition="0"/>
    </format>
    <format dxfId="273">
      <pivotArea dataOnly="0" labelOnly="1" fieldPosition="0">
        <references count="1">
          <reference field="2" count="0"/>
        </references>
      </pivotArea>
    </format>
    <format dxfId="274">
      <pivotArea dataOnly="0" labelOnly="1" grandCol="1" outline="0" fieldPosition="0"/>
    </format>
    <format dxfId="275">
      <pivotArea type="all" dataOnly="0" outline="0" fieldPosition="0"/>
    </format>
    <format dxfId="276">
      <pivotArea outline="0" collapsedLevelsAreSubtotals="1" fieldPosition="0"/>
    </format>
    <format dxfId="277">
      <pivotArea type="origin" dataOnly="0" labelOnly="1" outline="0" fieldPosition="0"/>
    </format>
    <format dxfId="278">
      <pivotArea field="2" type="button" dataOnly="0" labelOnly="1" outline="0" axis="axisCol" fieldPosition="0"/>
    </format>
    <format dxfId="279">
      <pivotArea type="topRight" dataOnly="0" labelOnly="1" outline="0" fieldPosition="0"/>
    </format>
    <format dxfId="280">
      <pivotArea field="1" type="button" dataOnly="0" labelOnly="1" outline="0" axis="axisRow" fieldPosition="0"/>
    </format>
    <format dxfId="281">
      <pivotArea dataOnly="0" labelOnly="1" fieldPosition="0">
        <references count="1">
          <reference field="1" count="0"/>
        </references>
      </pivotArea>
    </format>
    <format dxfId="282">
      <pivotArea dataOnly="0" labelOnly="1" grandRow="1" outline="0" fieldPosition="0"/>
    </format>
    <format dxfId="283">
      <pivotArea dataOnly="0" labelOnly="1" fieldPosition="0">
        <references count="1">
          <reference field="2" count="0"/>
        </references>
      </pivotArea>
    </format>
    <format dxfId="284">
      <pivotArea dataOnly="0" labelOnly="1" grandCol="1" outline="0" fieldPosition="0"/>
    </format>
    <format dxfId="285">
      <pivotArea type="all" dataOnly="0" outline="0" fieldPosition="0"/>
    </format>
    <format dxfId="286">
      <pivotArea outline="0" collapsedLevelsAreSubtotals="1" fieldPosition="0"/>
    </format>
    <format dxfId="287">
      <pivotArea type="origin" dataOnly="0" labelOnly="1" outline="0" fieldPosition="0"/>
    </format>
    <format dxfId="288">
      <pivotArea field="2" type="button" dataOnly="0" labelOnly="1" outline="0" axis="axisCol" fieldPosition="0"/>
    </format>
    <format dxfId="289">
      <pivotArea type="topRight" dataOnly="0" labelOnly="1" outline="0" fieldPosition="0"/>
    </format>
    <format dxfId="290">
      <pivotArea field="1" type="button" dataOnly="0" labelOnly="1" outline="0" axis="axisRow" fieldPosition="0"/>
    </format>
    <format dxfId="291">
      <pivotArea dataOnly="0" labelOnly="1" fieldPosition="0">
        <references count="1">
          <reference field="1" count="0"/>
        </references>
      </pivotArea>
    </format>
    <format dxfId="292">
      <pivotArea dataOnly="0" labelOnly="1" grandRow="1" outline="0" fieldPosition="0"/>
    </format>
    <format dxfId="293">
      <pivotArea dataOnly="0" labelOnly="1" fieldPosition="0">
        <references count="1">
          <reference field="2" count="0"/>
        </references>
      </pivotArea>
    </format>
    <format dxfId="294">
      <pivotArea dataOnly="0" labelOnly="1" grandCol="1" outline="0" fieldPosition="0"/>
    </format>
    <format dxfId="295">
      <pivotArea type="all" dataOnly="0" outline="0" fieldPosition="0"/>
    </format>
    <format dxfId="296">
      <pivotArea outline="0" collapsedLevelsAreSubtotals="1" fieldPosition="0"/>
    </format>
    <format dxfId="297">
      <pivotArea type="origin" dataOnly="0" labelOnly="1" outline="0" fieldPosition="0"/>
    </format>
    <format dxfId="298">
      <pivotArea field="2" type="button" dataOnly="0" labelOnly="1" outline="0" axis="axisCol" fieldPosition="0"/>
    </format>
    <format dxfId="299">
      <pivotArea type="topRight" dataOnly="0" labelOnly="1" outline="0" fieldPosition="0"/>
    </format>
    <format dxfId="300">
      <pivotArea field="1" type="button" dataOnly="0" labelOnly="1" outline="0" axis="axisRow" fieldPosition="0"/>
    </format>
    <format dxfId="301">
      <pivotArea dataOnly="0" labelOnly="1" fieldPosition="0">
        <references count="1">
          <reference field="1" count="0"/>
        </references>
      </pivotArea>
    </format>
    <format dxfId="302">
      <pivotArea dataOnly="0" labelOnly="1" grandRow="1" outline="0" fieldPosition="0"/>
    </format>
    <format dxfId="303">
      <pivotArea dataOnly="0" labelOnly="1" fieldPosition="0">
        <references count="1">
          <reference field="2" count="0"/>
        </references>
      </pivotArea>
    </format>
    <format dxfId="304">
      <pivotArea dataOnly="0" labelOnly="1" grandCol="1" outline="0" fieldPosition="0"/>
    </format>
    <format dxfId="305">
      <pivotArea type="origin" dataOnly="0" labelOnly="1" outline="0" fieldPosition="0"/>
    </format>
    <format dxfId="306">
      <pivotArea field="2" type="button" dataOnly="0" labelOnly="1" outline="0" axis="axisCol" fieldPosition="0"/>
    </format>
    <format dxfId="307">
      <pivotArea type="topRight" dataOnly="0" labelOnly="1" outline="0" fieldPosition="0"/>
    </format>
    <format dxfId="308">
      <pivotArea field="1" type="button" dataOnly="0" labelOnly="1" outline="0" axis="axisRow" fieldPosition="0"/>
    </format>
    <format dxfId="309">
      <pivotArea dataOnly="0" labelOnly="1" fieldPosition="0">
        <references count="1">
          <reference field="2" count="0"/>
        </references>
      </pivotArea>
    </format>
    <format dxfId="310">
      <pivotArea dataOnly="0" labelOnly="1" grandCol="1" outline="0" fieldPosition="0"/>
    </format>
    <format dxfId="311">
      <pivotArea type="origin" dataOnly="0" labelOnly="1" outline="0" fieldPosition="0"/>
    </format>
    <format dxfId="312">
      <pivotArea field="2" type="button" dataOnly="0" labelOnly="1" outline="0" axis="axisCol" fieldPosition="0"/>
    </format>
    <format dxfId="313">
      <pivotArea type="topRight" dataOnly="0" labelOnly="1" outline="0" fieldPosition="0"/>
    </format>
    <format dxfId="314">
      <pivotArea field="1" type="button" dataOnly="0" labelOnly="1" outline="0" axis="axisRow" fieldPosition="0"/>
    </format>
    <format dxfId="315">
      <pivotArea dataOnly="0" labelOnly="1" fieldPosition="0">
        <references count="1">
          <reference field="2" count="0"/>
        </references>
      </pivotArea>
    </format>
    <format dxfId="316">
      <pivotArea dataOnly="0" labelOnly="1" grandCol="1" outline="0" fieldPosition="0"/>
    </format>
    <format dxfId="317">
      <pivotArea dataOnly="0" grandRow="1" fieldPosition="0"/>
    </format>
    <format dxfId="318">
      <pivotArea collapsedLevelsAreSubtotals="1" fieldPosition="0">
        <references count="1">
          <reference field="1" count="0"/>
        </references>
      </pivotArea>
    </format>
    <format dxfId="319">
      <pivotArea dataOnly="0" labelOnly="1" fieldPosition="0">
        <references count="1">
          <reference field="1" count="0"/>
        </references>
      </pivotArea>
    </format>
    <format dxfId="320">
      <pivotArea collapsedLevelsAreSubtotals="1" fieldPosition="0">
        <references count="2">
          <reference field="1" count="0"/>
          <reference field="2" count="1" selected="0">
            <x v="0"/>
          </reference>
        </references>
      </pivotArea>
    </format>
    <format dxfId="321">
      <pivotArea collapsedLevelsAreSubtotals="1" fieldPosition="0">
        <references count="2">
          <reference field="1" count="0"/>
          <reference field="2" count="1" selected="0">
            <x v="1"/>
          </reference>
        </references>
      </pivotArea>
    </format>
    <format dxfId="322">
      <pivotArea collapsedLevelsAreSubtotals="1" fieldPosition="0">
        <references count="2">
          <reference field="1" count="0"/>
          <reference field="2" count="1" selected="0">
            <x v="2"/>
          </reference>
        </references>
      </pivotArea>
    </format>
    <format dxfId="323">
      <pivotArea type="all" dataOnly="0" outline="0" fieldPosition="0"/>
    </format>
    <format dxfId="324">
      <pivotArea type="origin" dataOnly="0" labelOnly="1" outline="0" fieldPosition="0"/>
    </format>
    <format dxfId="325">
      <pivotArea field="2" type="button" dataOnly="0" labelOnly="1" outline="0" axis="axisCol" fieldPosition="0"/>
    </format>
    <format dxfId="326">
      <pivotArea type="topRight" dataOnly="0" labelOnly="1" outline="0" fieldPosition="0"/>
    </format>
    <format dxfId="327">
      <pivotArea field="1" type="button" dataOnly="0" labelOnly="1" outline="0" axis="axisRow" fieldPosition="0"/>
    </format>
    <format dxfId="328">
      <pivotArea dataOnly="0" labelOnly="1" fieldPosition="0">
        <references count="1">
          <reference field="2" count="0"/>
        </references>
      </pivotArea>
    </format>
    <format dxfId="329">
      <pivotArea dataOnly="0" labelOnly="1" grandCol="1" outline="0" fieldPosition="0"/>
    </format>
    <format dxfId="330">
      <pivotArea collapsedLevelsAreSubtotals="1" fieldPosition="0">
        <references count="1">
          <reference field="1" count="0"/>
        </references>
      </pivotArea>
    </format>
    <format dxfId="331">
      <pivotArea type="all" dataOnly="0" outline="0" fieldPosition="0"/>
    </format>
    <format dxfId="332">
      <pivotArea outline="0" collapsedLevelsAreSubtotals="1" fieldPosition="0"/>
    </format>
    <format dxfId="333">
      <pivotArea type="origin" dataOnly="0" labelOnly="1" outline="0" fieldPosition="0"/>
    </format>
    <format dxfId="334">
      <pivotArea field="2" type="button" dataOnly="0" labelOnly="1" outline="0" axis="axisCol" fieldPosition="0"/>
    </format>
    <format dxfId="335">
      <pivotArea type="topRight" dataOnly="0" labelOnly="1" outline="0" fieldPosition="0"/>
    </format>
    <format dxfId="336">
      <pivotArea field="1" type="button" dataOnly="0" labelOnly="1" outline="0" axis="axisRow" fieldPosition="0"/>
    </format>
    <format dxfId="337">
      <pivotArea dataOnly="0" labelOnly="1" fieldPosition="0">
        <references count="1">
          <reference field="1" count="0"/>
        </references>
      </pivotArea>
    </format>
    <format dxfId="338">
      <pivotArea dataOnly="0" labelOnly="1" grandRow="1" outline="0" fieldPosition="0"/>
    </format>
    <format dxfId="339">
      <pivotArea dataOnly="0" labelOnly="1" fieldPosition="0">
        <references count="1">
          <reference field="2" count="0"/>
        </references>
      </pivotArea>
    </format>
    <format dxfId="340">
      <pivotArea type="all" dataOnly="0" outline="0" fieldPosition="0"/>
    </format>
    <format dxfId="341">
      <pivotArea outline="0" collapsedLevelsAreSubtotals="1" fieldPosition="0"/>
    </format>
    <format dxfId="342">
      <pivotArea type="origin" dataOnly="0" labelOnly="1" outline="0" fieldPosition="0"/>
    </format>
    <format dxfId="343">
      <pivotArea field="2" type="button" dataOnly="0" labelOnly="1" outline="0" axis="axisCol" fieldPosition="0"/>
    </format>
    <format dxfId="344">
      <pivotArea type="topRight" dataOnly="0" labelOnly="1" outline="0" fieldPosition="0"/>
    </format>
    <format dxfId="345">
      <pivotArea field="1" type="button" dataOnly="0" labelOnly="1" outline="0" axis="axisRow" fieldPosition="0"/>
    </format>
    <format dxfId="346">
      <pivotArea dataOnly="0" labelOnly="1" fieldPosition="0">
        <references count="1">
          <reference field="1" count="0"/>
        </references>
      </pivotArea>
    </format>
    <format dxfId="347">
      <pivotArea dataOnly="0" labelOnly="1" grandRow="1" outline="0" fieldPosition="0"/>
    </format>
    <format dxfId="348">
      <pivotArea dataOnly="0" labelOnly="1" fieldPosition="0">
        <references count="1">
          <reference field="2" count="0"/>
        </references>
      </pivotArea>
    </format>
  </formats>
  <chartFormats count="22">
    <chartFormat chart="1" format="15" series="1">
      <pivotArea type="data" outline="0" fieldPosition="0">
        <references count="2">
          <reference field="4294967294" count="1" selected="0">
            <x v="0"/>
          </reference>
          <reference field="2" count="1" selected="0">
            <x v="0"/>
          </reference>
        </references>
      </pivotArea>
    </chartFormat>
    <chartFormat chart="1" format="16" series="1">
      <pivotArea type="data" outline="0" fieldPosition="0">
        <references count="2">
          <reference field="4294967294" count="1" selected="0">
            <x v="0"/>
          </reference>
          <reference field="2" count="1" selected="0">
            <x v="1"/>
          </reference>
        </references>
      </pivotArea>
    </chartFormat>
    <chartFormat chart="1" format="17" series="1">
      <pivotArea type="data" outline="0" fieldPosition="0">
        <references count="2">
          <reference field="4294967294" count="1" selected="0">
            <x v="0"/>
          </reference>
          <reference field="2" count="1" selected="0">
            <x v="2"/>
          </reference>
        </references>
      </pivotArea>
    </chartFormat>
    <chartFormat chart="1" format="18">
      <pivotArea type="data" outline="0" fieldPosition="0">
        <references count="3">
          <reference field="4294967294" count="1" selected="0">
            <x v="0"/>
          </reference>
          <reference field="1" count="1" selected="0">
            <x v="0"/>
          </reference>
          <reference field="2" count="1" selected="0">
            <x v="2"/>
          </reference>
        </references>
      </pivotArea>
    </chartFormat>
    <chartFormat chart="1" format="19">
      <pivotArea type="data" outline="0" fieldPosition="0">
        <references count="3">
          <reference field="4294967294" count="1" selected="0">
            <x v="0"/>
          </reference>
          <reference field="1" count="1" selected="0">
            <x v="3"/>
          </reference>
          <reference field="2" count="1" selected="0">
            <x v="2"/>
          </reference>
        </references>
      </pivotArea>
    </chartFormat>
    <chartFormat chart="1" format="20">
      <pivotArea type="data" outline="0" fieldPosition="0">
        <references count="3">
          <reference field="4294967294" count="1" selected="0">
            <x v="0"/>
          </reference>
          <reference field="1" count="1" selected="0">
            <x v="4"/>
          </reference>
          <reference field="2" count="1" selected="0">
            <x v="0"/>
          </reference>
        </references>
      </pivotArea>
    </chartFormat>
    <chartFormat chart="1" format="21">
      <pivotArea type="data" outline="0" fieldPosition="0">
        <references count="3">
          <reference field="4294967294" count="1" selected="0">
            <x v="0"/>
          </reference>
          <reference field="1" count="1" selected="0">
            <x v="3"/>
          </reference>
          <reference field="2" count="1" selected="0">
            <x v="0"/>
          </reference>
        </references>
      </pivotArea>
    </chartFormat>
    <chartFormat chart="1" format="22">
      <pivotArea type="data" outline="0" fieldPosition="0">
        <references count="3">
          <reference field="4294967294" count="1" selected="0">
            <x v="0"/>
          </reference>
          <reference field="1" count="1" selected="0">
            <x v="2"/>
          </reference>
          <reference field="2" count="1" selected="0">
            <x v="0"/>
          </reference>
        </references>
      </pivotArea>
    </chartFormat>
    <chartFormat chart="1" format="23">
      <pivotArea type="data" outline="0" fieldPosition="0">
        <references count="3">
          <reference field="4294967294" count="1" selected="0">
            <x v="0"/>
          </reference>
          <reference field="1" count="1" selected="0">
            <x v="1"/>
          </reference>
          <reference field="2" count="1" selected="0">
            <x v="0"/>
          </reference>
        </references>
      </pivotArea>
    </chartFormat>
    <chartFormat chart="1" format="24">
      <pivotArea type="data" outline="0" fieldPosition="0">
        <references count="3">
          <reference field="4294967294" count="1" selected="0">
            <x v="0"/>
          </reference>
          <reference field="1" count="1" selected="0">
            <x v="0"/>
          </reference>
          <reference field="2" count="1" selected="0">
            <x v="0"/>
          </reference>
        </references>
      </pivotArea>
    </chartFormat>
    <chartFormat chart="1" format="25">
      <pivotArea type="data" outline="0" fieldPosition="0">
        <references count="3">
          <reference field="4294967294" count="1" selected="0">
            <x v="0"/>
          </reference>
          <reference field="1" count="1" selected="0">
            <x v="1"/>
          </reference>
          <reference field="2" count="1" selected="0">
            <x v="2"/>
          </reference>
        </references>
      </pivotArea>
    </chartFormat>
    <chartFormat chart="1" format="26">
      <pivotArea type="data" outline="0" fieldPosition="0">
        <references count="3">
          <reference field="4294967294" count="1" selected="0">
            <x v="0"/>
          </reference>
          <reference field="1" count="1" selected="0">
            <x v="2"/>
          </reference>
          <reference field="2" count="1" selected="0">
            <x v="2"/>
          </reference>
        </references>
      </pivotArea>
    </chartFormat>
    <chartFormat chart="1" format="27" series="1">
      <pivotArea type="data" outline="0" fieldPosition="0">
        <references count="1">
          <reference field="4294967294" count="1" selected="0">
            <x v="0"/>
          </reference>
        </references>
      </pivotArea>
    </chartFormat>
    <chartFormat chart="3" format="52" series="1">
      <pivotArea type="data" outline="0" fieldPosition="0">
        <references count="2">
          <reference field="4294967294" count="1" selected="0">
            <x v="0"/>
          </reference>
          <reference field="2" count="1" selected="0">
            <x v="0"/>
          </reference>
        </references>
      </pivotArea>
    </chartFormat>
    <chartFormat chart="3" format="53" series="1">
      <pivotArea type="data" outline="0" fieldPosition="0">
        <references count="2">
          <reference field="4294967294" count="1" selected="0">
            <x v="0"/>
          </reference>
          <reference field="2" count="1" selected="0">
            <x v="1"/>
          </reference>
        </references>
      </pivotArea>
    </chartFormat>
    <chartFormat chart="3" format="54" series="1">
      <pivotArea type="data" outline="0" fieldPosition="0">
        <references count="2">
          <reference field="4294967294" count="1" selected="0">
            <x v="0"/>
          </reference>
          <reference field="2" count="1" selected="0">
            <x v="2"/>
          </reference>
        </references>
      </pivotArea>
    </chartFormat>
    <chartFormat chart="3" format="55">
      <pivotArea type="data" outline="0" fieldPosition="0">
        <references count="3">
          <reference field="4294967294" count="1" selected="0">
            <x v="0"/>
          </reference>
          <reference field="1" count="1" selected="0">
            <x v="4"/>
          </reference>
          <reference field="2" count="1" selected="0">
            <x v="2"/>
          </reference>
        </references>
      </pivotArea>
    </chartFormat>
    <chartFormat chart="3" format="56">
      <pivotArea type="data" outline="0" fieldPosition="0">
        <references count="3">
          <reference field="4294967294" count="1" selected="0">
            <x v="0"/>
          </reference>
          <reference field="1" count="1" selected="0">
            <x v="4"/>
          </reference>
          <reference field="2" count="1" selected="0">
            <x v="0"/>
          </reference>
        </references>
      </pivotArea>
    </chartFormat>
    <chartFormat chart="3" format="57">
      <pivotArea type="data" outline="0" fieldPosition="0">
        <references count="3">
          <reference field="4294967294" count="1" selected="0">
            <x v="0"/>
          </reference>
          <reference field="1" count="1" selected="0">
            <x v="3"/>
          </reference>
          <reference field="2" count="1" selected="0">
            <x v="2"/>
          </reference>
        </references>
      </pivotArea>
    </chartFormat>
    <chartFormat chart="3" format="58">
      <pivotArea type="data" outline="0" fieldPosition="0">
        <references count="3">
          <reference field="4294967294" count="1" selected="0">
            <x v="0"/>
          </reference>
          <reference field="1" count="1" selected="0">
            <x v="0"/>
          </reference>
          <reference field="2" count="1" selected="0">
            <x v="2"/>
          </reference>
        </references>
      </pivotArea>
    </chartFormat>
    <chartFormat chart="3" format="59">
      <pivotArea type="data" outline="0" fieldPosition="0">
        <references count="3">
          <reference field="4294967294" count="1" selected="0">
            <x v="0"/>
          </reference>
          <reference field="1" count="1" selected="0">
            <x v="1"/>
          </reference>
          <reference field="2" count="1" selected="0">
            <x v="2"/>
          </reference>
        </references>
      </pivotArea>
    </chartFormat>
    <chartFormat chart="3" format="60">
      <pivotArea type="data" outline="0" fieldPosition="0">
        <references count="3">
          <reference field="4294967294" count="1" selected="0">
            <x v="0"/>
          </reference>
          <reference field="1"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Margin % Variance by Scenario" cacheId="0" applyNumberFormats="0" applyBorderFormats="0" applyFontFormats="0" applyPatternFormats="0" applyAlignmentFormats="0" applyWidthHeightFormats="1" dataCaption="Values" updatedVersion="6" minRefreshableVersion="3" useAutoFormatting="1" colGrandTotals="0" itemPrintTitles="1" createdVersion="6" indent="0" outline="1" outlineData="1" multipleFieldFilters="0" chartFormat="3">
  <location ref="A73:D80" firstHeaderRow="1" firstDataRow="2" firstDataCol="1"/>
  <pivotFields count="13">
    <pivotField showAll="0">
      <items count="13">
        <item x="0"/>
        <item x="1"/>
        <item x="2"/>
        <item x="3"/>
        <item x="4"/>
        <item x="5"/>
        <item x="6"/>
        <item x="7"/>
        <item x="8"/>
        <item x="9"/>
        <item x="10"/>
        <item x="11"/>
        <item t="default"/>
      </items>
    </pivotField>
    <pivotField axis="axisRow" showAll="0">
      <items count="6">
        <item x="4"/>
        <item x="2"/>
        <item x="3"/>
        <item x="0"/>
        <item x="1"/>
        <item t="default"/>
      </items>
    </pivotField>
    <pivotField axis="axisCol" showAll="0">
      <items count="4">
        <item x="0"/>
        <item x="1"/>
        <item x="2"/>
        <item t="default"/>
      </items>
    </pivotField>
    <pivotField numFmtId="3" showAll="0"/>
    <pivotField numFmtId="164" showAll="0"/>
    <pivotField numFmtId="164" showAll="0"/>
    <pivotField numFmtId="164" showAll="0"/>
    <pivotField numFmtId="164" showAll="0"/>
    <pivotField numFmtId="164" showAll="0"/>
    <pivotField numFmtId="10" showAll="0"/>
    <pivotField numFmtId="164" showAll="0"/>
    <pivotField numFmtId="164" showAll="0"/>
    <pivotField dataField="1" numFmtId="10" showAll="0"/>
  </pivotFields>
  <rowFields count="1">
    <field x="1"/>
  </rowFields>
  <rowItems count="6">
    <i>
      <x/>
    </i>
    <i>
      <x v="1"/>
    </i>
    <i>
      <x v="2"/>
    </i>
    <i>
      <x v="3"/>
    </i>
    <i>
      <x v="4"/>
    </i>
    <i t="grand">
      <x/>
    </i>
  </rowItems>
  <colFields count="1">
    <field x="2"/>
  </colFields>
  <colItems count="3">
    <i>
      <x/>
    </i>
    <i>
      <x v="1"/>
    </i>
    <i>
      <x v="2"/>
    </i>
  </colItems>
  <dataFields count="1">
    <dataField name="Avg. Margin % Variance" fld="12" subtotal="average" baseField="1" baseItem="0" numFmtId="10"/>
  </dataFields>
  <formats count="43">
    <format dxfId="0">
      <pivotArea type="all" dataOnly="0" outline="0" fieldPosition="0"/>
    </format>
    <format dxfId="1">
      <pivotArea type="origin" dataOnly="0" labelOnly="1" outline="0" fieldPosition="0"/>
    </format>
    <format dxfId="2">
      <pivotArea field="2" type="button" dataOnly="0" labelOnly="1" outline="0" axis="axisCol" fieldPosition="0"/>
    </format>
    <format dxfId="3">
      <pivotArea type="topRight" dataOnly="0" labelOnly="1" outline="0" fieldPosition="0"/>
    </format>
    <format dxfId="4">
      <pivotArea field="1" type="button" dataOnly="0" labelOnly="1" outline="0" axis="axisRow" fieldPosition="0"/>
    </format>
    <format dxfId="5">
      <pivotArea dataOnly="0" labelOnly="1" fieldPosition="0">
        <references count="1">
          <reference field="2" count="0"/>
        </references>
      </pivotArea>
    </format>
    <format dxfId="6">
      <pivotArea dataOnly="0" labelOnly="1" grandCol="1" outline="0" fieldPosition="0"/>
    </format>
    <format dxfId="7">
      <pivotArea type="origin" dataOnly="0" labelOnly="1" outline="0" fieldPosition="0"/>
    </format>
    <format dxfId="8">
      <pivotArea field="2" type="button" dataOnly="0" labelOnly="1" outline="0" axis="axisCol" fieldPosition="0"/>
    </format>
    <format dxfId="9">
      <pivotArea type="topRight" dataOnly="0" labelOnly="1" outline="0" fieldPosition="0"/>
    </format>
    <format dxfId="10">
      <pivotArea field="1" type="button" dataOnly="0" labelOnly="1" outline="0" axis="axisRow" fieldPosition="0"/>
    </format>
    <format dxfId="11">
      <pivotArea dataOnly="0" labelOnly="1" fieldPosition="0">
        <references count="1">
          <reference field="2" count="0"/>
        </references>
      </pivotArea>
    </format>
    <format dxfId="12">
      <pivotArea dataOnly="0" labelOnly="1" grandCol="1" outline="0" fieldPosition="0"/>
    </format>
    <format dxfId="13">
      <pivotArea collapsedLevelsAreSubtotals="1" fieldPosition="0">
        <references count="1">
          <reference field="1" count="0"/>
        </references>
      </pivotArea>
    </format>
    <format dxfId="14">
      <pivotArea dataOnly="0" labelOnly="1" fieldPosition="0">
        <references count="1">
          <reference field="1" count="0"/>
        </references>
      </pivotArea>
    </format>
    <format dxfId="15">
      <pivotArea dataOnly="0" grandRow="1" fieldPosition="0"/>
    </format>
    <format dxfId="16">
      <pivotArea dataOnly="0" grandRow="1" fieldPosition="0"/>
    </format>
    <format dxfId="17">
      <pivotArea dataOnly="0" grandRow="1" fieldPosition="0"/>
    </format>
    <format dxfId="18">
      <pivotArea collapsedLevelsAreSubtotals="1" fieldPosition="0">
        <references count="2">
          <reference field="1" count="0"/>
          <reference field="2" count="1" selected="0">
            <x v="1"/>
          </reference>
        </references>
      </pivotArea>
    </format>
    <format dxfId="19">
      <pivotArea collapsedLevelsAreSubtotals="1" fieldPosition="0">
        <references count="2">
          <reference field="1" count="0"/>
          <reference field="2" count="1" selected="0">
            <x v="2"/>
          </reference>
        </references>
      </pivotArea>
    </format>
    <format dxfId="20">
      <pivotArea collapsedLevelsAreSubtotals="1" fieldPosition="0">
        <references count="1">
          <reference field="1" count="0"/>
        </references>
      </pivotArea>
    </format>
    <format dxfId="21">
      <pivotArea dataOnly="0" labelOnly="1" fieldPosition="0">
        <references count="1">
          <reference field="1" count="0"/>
        </references>
      </pivotArea>
    </format>
    <format dxfId="22">
      <pivotArea collapsedLevelsAreSubtotals="1" fieldPosition="0">
        <references count="1">
          <reference field="1" count="0"/>
        </references>
      </pivotArea>
    </format>
    <format dxfId="23">
      <pivotArea dataOnly="0" labelOnly="1" fieldPosition="0">
        <references count="1">
          <reference field="1" count="0"/>
        </references>
      </pivotArea>
    </format>
    <format dxfId="24">
      <pivotArea dataOnly="0" grandRow="1" fieldPosition="0"/>
    </format>
    <format dxfId="25">
      <pivotArea type="all" dataOnly="0" outline="0" fieldPosition="0"/>
    </format>
    <format dxfId="26">
      <pivotArea outline="0" collapsedLevelsAreSubtotals="1" fieldPosition="0"/>
    </format>
    <format dxfId="27">
      <pivotArea type="origin" dataOnly="0" labelOnly="1" outline="0" fieldPosition="0"/>
    </format>
    <format dxfId="28">
      <pivotArea field="2" type="button" dataOnly="0" labelOnly="1" outline="0" axis="axisCol" fieldPosition="0"/>
    </format>
    <format dxfId="29">
      <pivotArea type="topRight" dataOnly="0" labelOnly="1" outline="0" fieldPosition="0"/>
    </format>
    <format dxfId="30">
      <pivotArea field="1" type="button" dataOnly="0" labelOnly="1" outline="0" axis="axisRow" fieldPosition="0"/>
    </format>
    <format dxfId="31">
      <pivotArea dataOnly="0" labelOnly="1" fieldPosition="0">
        <references count="1">
          <reference field="1" count="0"/>
        </references>
      </pivotArea>
    </format>
    <format dxfId="32">
      <pivotArea dataOnly="0" labelOnly="1" grandRow="1" outline="0" fieldPosition="0"/>
    </format>
    <format dxfId="33">
      <pivotArea dataOnly="0" labelOnly="1" fieldPosition="0">
        <references count="1">
          <reference field="2" count="0"/>
        </references>
      </pivotArea>
    </format>
    <format dxfId="34">
      <pivotArea type="all" dataOnly="0" outline="0" fieldPosition="0"/>
    </format>
    <format dxfId="35">
      <pivotArea outline="0" collapsedLevelsAreSubtotals="1" fieldPosition="0"/>
    </format>
    <format dxfId="36">
      <pivotArea type="origin" dataOnly="0" labelOnly="1" outline="0" fieldPosition="0"/>
    </format>
    <format dxfId="37">
      <pivotArea field="2" type="button" dataOnly="0" labelOnly="1" outline="0" axis="axisCol" fieldPosition="0"/>
    </format>
    <format dxfId="38">
      <pivotArea type="topRight" dataOnly="0" labelOnly="1" outline="0" fieldPosition="0"/>
    </format>
    <format dxfId="39">
      <pivotArea field="1" type="button" dataOnly="0" labelOnly="1" outline="0" axis="axisRow" fieldPosition="0"/>
    </format>
    <format dxfId="40">
      <pivotArea dataOnly="0" labelOnly="1" fieldPosition="0">
        <references count="1">
          <reference field="1" count="0"/>
        </references>
      </pivotArea>
    </format>
    <format dxfId="41">
      <pivotArea dataOnly="0" labelOnly="1" grandRow="1" outline="0" fieldPosition="0"/>
    </format>
    <format dxfId="42">
      <pivotArea dataOnly="0" labelOnly="1" fieldPosition="0">
        <references count="1">
          <reference field="2" count="0"/>
        </references>
      </pivotArea>
    </format>
  </formats>
  <chartFormats count="8">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2"/>
          </reference>
        </references>
      </pivotArea>
    </chartFormat>
    <chartFormat chart="1" format="4" series="1">
      <pivotArea type="data" outline="0" fieldPosition="0">
        <references count="2">
          <reference field="4294967294" count="1" selected="0">
            <x v="0"/>
          </reference>
          <reference field="2" count="1" selected="0">
            <x v="1"/>
          </reference>
        </references>
      </pivotArea>
    </chartFormat>
    <chartFormat chart="1" format="5" series="1">
      <pivotArea type="data" outline="0" fieldPosition="0">
        <references count="2">
          <reference field="4294967294" count="1" selected="0">
            <x v="0"/>
          </reference>
          <reference field="2" count="1" selected="0">
            <x v="2"/>
          </reference>
        </references>
      </pivotArea>
    </chartFormat>
    <chartFormat chart="2" format="6" series="1">
      <pivotArea type="data" outline="0" fieldPosition="0">
        <references count="2">
          <reference field="4294967294" count="1" selected="0">
            <x v="0"/>
          </reference>
          <reference field="2" count="1" selected="0">
            <x v="1"/>
          </reference>
        </references>
      </pivotArea>
    </chartFormat>
    <chartFormat chart="2" format="7" series="1">
      <pivotArea type="data" outline="0" fieldPosition="0">
        <references count="2">
          <reference field="4294967294" count="1" selected="0">
            <x v="0"/>
          </reference>
          <reference field="2" count="1" selected="0">
            <x v="2"/>
          </reference>
        </references>
      </pivotArea>
    </chartFormat>
    <chartFormat chart="2" format="8"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nth" sourceName="Month">
  <pivotTables>
    <pivotTable tabId="8" name="Revenue by Scenario"/>
    <pivotTable tabId="8" name="Gross Profit by Scenario"/>
    <pivotTable tabId="8" name="Margin by Product"/>
    <pivotTable tabId="8" name="Margin % Variance by Scenario"/>
    <pivotTable tabId="8" name="Gross Profit Variance by Scenario"/>
    <pivotTable tabId="8" name="Revenue Variance by Scenario"/>
  </pivotTables>
  <data>
    <tabular pivotCacheId="1">
      <items count="12">
        <i x="0" s="1"/>
        <i x="1" s="1"/>
        <i x="2" s="1"/>
        <i x="3" s="1"/>
        <i x="4" s="1"/>
        <i x="5" s="1"/>
        <i x="6" s="1"/>
        <i x="7" s="1"/>
        <i x="8" s="1"/>
        <i x="9" s="1"/>
        <i x="10" s="1"/>
        <i x="1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 sourceName="Product">
  <pivotTables>
    <pivotTable tabId="8" name="Revenue by Scenario"/>
    <pivotTable tabId="8" name="Gross Profit by Scenario"/>
    <pivotTable tabId="8" name="Margin by Product"/>
    <pivotTable tabId="8" name="Margin % Variance by Scenario"/>
    <pivotTable tabId="8" name="Gross Profit Variance by Scenario"/>
    <pivotTable tabId="8" name="Revenue Variance by Scenario"/>
  </pivotTables>
  <data>
    <tabular pivotCacheId="1">
      <items count="5">
        <i x="4" s="1"/>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cenario" sourceName="Scenario">
  <pivotTables>
    <pivotTable tabId="8" name="Revenue by Scenario"/>
    <pivotTable tabId="8" name="Gross Profit by Scenario"/>
    <pivotTable tabId="8" name="Margin by Product"/>
    <pivotTable tabId="8" name="Margin % Variance by Scenario"/>
    <pivotTable tabId="8" name="Gross Profit Variance by Scenario"/>
    <pivotTable tabId="8" name="Revenue Variance by Scenario"/>
  </pivotTables>
  <data>
    <tabular pivotCacheId="1">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nth" cache="Slicer_Month" caption="Month" style="SlicerStyleDark5" rowHeight="241300"/>
  <slicer name="Month 1" cache="Slicer_Month" caption="Month" startItem="2" rowHeight="241300"/>
  <slicer name="Product" cache="Slicer_Product" caption="Product" style="SlicerStyleDark5" rowHeight="241300"/>
  <slicer name="Product 1" cache="Slicer_Product" caption="Product" rowHeight="241300"/>
  <slicer name="Forecast Scenario" cache="Slicer_Scenario" caption="Forecast Scenario" style="SlicerStyleDark5" rowHeight="241300"/>
  <slicer name="Scenario" cache="Slicer_Scenario" caption="Scenari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Month 2" cache="Slicer_Month" caption="Month" columnCount="2" style="Slicer Style 1" rowHeight="241300"/>
  <slicer name="Product 2" cache="Slicer_Product" caption="Product" style="Slicer Style 1" rowHeight="241300"/>
  <slicer name="Forecast Scenario 1" cache="Slicer_Scenario" caption="Forecast Scenario" style="Slicer Style 1" rowHeight="241300"/>
</slicers>
</file>

<file path=xl/tables/table1.xml><?xml version="1.0" encoding="utf-8"?>
<table xmlns="http://schemas.openxmlformats.org/spreadsheetml/2006/main" id="3" name="tblForecast" displayName="tblForecast" ref="A3:J75" totalsRowShown="0" headerRowDxfId="1140" dataDxfId="1139" tableBorderDxfId="1138" totalsRowBorderDxfId="1137">
  <autoFilter ref="A3:J75"/>
  <tableColumns count="10">
    <tableColumn id="1" name="Month" dataDxfId="1136"/>
    <tableColumn id="2" name="Product" dataDxfId="1135"/>
    <tableColumn id="3" name="Units Sold" dataDxfId="1134"/>
    <tableColumn id="4" name="Selling Price" dataDxfId="1133"/>
    <tableColumn id="5" name="Cost Price" dataDxfId="1132"/>
    <tableColumn id="6" name="Revenue" dataDxfId="1131"/>
    <tableColumn id="7" name="COGS" dataDxfId="1130"/>
    <tableColumn id="8" name="Gross Profit" dataDxfId="1129"/>
    <tableColumn id="9" name="Margin %" dataDxfId="1128"/>
    <tableColumn id="10" name="Seasonality Multiplier" dataDxfId="1127"/>
  </tableColumns>
  <tableStyleInfo showFirstColumn="0" showLastColumn="0" showRowStripes="1" showColumnStripes="0"/>
</table>
</file>

<file path=xl/tables/table2.xml><?xml version="1.0" encoding="utf-8"?>
<table xmlns="http://schemas.openxmlformats.org/spreadsheetml/2006/main" id="4" name="tblOver" displayName="tblOver" ref="A3:L75" totalsRowShown="0" headerRowDxfId="1126" dataDxfId="1125" tableBorderDxfId="1124">
  <autoFilter ref="A3:L75"/>
  <tableColumns count="12">
    <tableColumn id="1" name="Month" dataDxfId="1123" totalsRowDxfId="1122"/>
    <tableColumn id="2" name="Product" dataDxfId="1121" totalsRowDxfId="1120"/>
    <tableColumn id="3" name="Units Sold (Over)" dataDxfId="1119">
      <calculatedColumnFormula>tblForecast3[[#This Row],[Units Sold]]*(1+tblOver[[#This Row],[%age (Units)]])</calculatedColumnFormula>
    </tableColumn>
    <tableColumn id="4" name="Selling Price Per Unit" dataDxfId="1118">
      <calculatedColumnFormula>tblForecast3[[#This Row],[Selling Price]]*(1+tblOver[[#This Row],[%age (S.P.)]])</calculatedColumnFormula>
    </tableColumn>
    <tableColumn id="5" name="Cost Price Per Unit" dataDxfId="1117">
      <calculatedColumnFormula>tblForecast3[[#This Row],[Cost Price]]*(1+tblOver[[#This Row],[%age (C.P)]])</calculatedColumnFormula>
    </tableColumn>
    <tableColumn id="6" name="Revenue" dataDxfId="1116" totalsRowDxfId="1115"/>
    <tableColumn id="7" name="COGS" dataDxfId="1114" totalsRowDxfId="1113"/>
    <tableColumn id="8" name="Gross Profit" dataDxfId="1112" totalsRowDxfId="1111"/>
    <tableColumn id="9" name="Margin %" dataDxfId="1110" totalsRowDxfId="1109"/>
    <tableColumn id="10" name="%age (S.P.)" dataDxfId="1108" totalsRowDxfId="1107"/>
    <tableColumn id="11" name="%age (C.P)" dataDxfId="1106" totalsRowDxfId="1105"/>
    <tableColumn id="12" name="%age (Units)" dataDxfId="1104"/>
  </tableColumns>
  <tableStyleInfo showFirstColumn="0" showLastColumn="0" showRowStripes="1" showColumnStripes="0"/>
</table>
</file>

<file path=xl/tables/table3.xml><?xml version="1.0" encoding="utf-8"?>
<table xmlns="http://schemas.openxmlformats.org/spreadsheetml/2006/main" id="5" name="tblUnder" displayName="tblUnder" ref="A3:L75" totalsRowShown="0" headerRowDxfId="1103" dataDxfId="1101" headerRowBorderDxfId="1102" tableBorderDxfId="1100" totalsRowBorderDxfId="1099">
  <autoFilter ref="A3:L75"/>
  <tableColumns count="12">
    <tableColumn id="1" name="Month" dataDxfId="1098"/>
    <tableColumn id="2" name="Product" dataDxfId="1097"/>
    <tableColumn id="3" name="Units Sold (Under)" dataDxfId="1096">
      <calculatedColumnFormula>tblForecast8[[#This Row],[Units Sold]]*(1-tblUnder[[#This Row],[%age (Units)]])</calculatedColumnFormula>
    </tableColumn>
    <tableColumn id="4" name="Selling Price Per Unit" dataDxfId="1095"/>
    <tableColumn id="5" name="Cost Price Per Unit" dataDxfId="1094"/>
    <tableColumn id="6" name="Revenue" dataDxfId="1093"/>
    <tableColumn id="7" name="COGS" dataDxfId="1092"/>
    <tableColumn id="8" name="Gross Profit" dataDxfId="1091"/>
    <tableColumn id="9" name="Margin %" dataDxfId="1090"/>
    <tableColumn id="10" name=" %age (S.P.)" dataDxfId="1089"/>
    <tableColumn id="11" name="%age (C.P.)" dataDxfId="1088"/>
    <tableColumn id="12" name="%age (Units)" dataDxfId="1087"/>
  </tableColumns>
  <tableStyleInfo showFirstColumn="0" showLastColumn="0" showRowStripes="1" showColumnStripes="0"/>
</table>
</file>

<file path=xl/tables/table4.xml><?xml version="1.0" encoding="utf-8"?>
<table xmlns="http://schemas.openxmlformats.org/spreadsheetml/2006/main" id="6" name="DataConsolidated" displayName="DataConsolidated" ref="A3:M183" totalsRowShown="0" headerRowDxfId="1080" dataDxfId="1079">
  <autoFilter ref="A3:M183"/>
  <tableColumns count="13">
    <tableColumn id="1" name="Month" dataDxfId="1078"/>
    <tableColumn id="2" name="Product" dataDxfId="1077"/>
    <tableColumn id="3" name="Scenario" dataDxfId="1076"/>
    <tableColumn id="4" name="Units" dataDxfId="1075"/>
    <tableColumn id="5" name="Selling Price" dataDxfId="1074"/>
    <tableColumn id="6" name="Cost Price" dataDxfId="1073"/>
    <tableColumn id="7" name="Revenue" dataDxfId="1072">
      <calculatedColumnFormula>D4*E4</calculatedColumnFormula>
    </tableColumn>
    <tableColumn id="8" name="COGS" dataDxfId="1071">
      <calculatedColumnFormula>D4*F4</calculatedColumnFormula>
    </tableColumn>
    <tableColumn id="9" name="Gross Profit" dataDxfId="1070">
      <calculatedColumnFormula>G4-H4</calculatedColumnFormula>
    </tableColumn>
    <tableColumn id="10" name="Margin %" dataDxfId="1069">
      <calculatedColumnFormula>IF(G4=0,0,I4/G4)</calculatedColumnFormula>
    </tableColumn>
    <tableColumn id="11" name="Revenue Variance" dataDxfId="1068">
      <calculatedColumnFormula array="1">IF(DataConsolidated[[#This Row],[Scenario]]="Forecast (Base)", 0, DataConsolidated[[#This Row],[Revenue]] - INDEX(DataConsolidated[Revenue], MATCH(1, (DataConsolidated[Month]=DataConsolidated[[#This Row],[Month]]) * (DataConsolidated[Product]=DataConsolidated[[#This Row],[Product]]) * (DataConsolidated[Scenario]="Forecast (Base)"), 0)))</calculatedColumnFormula>
    </tableColumn>
    <tableColumn id="12" name="Gross Profit Variance" dataDxfId="1067">
      <calculatedColumnFormula array="1">IF(DataConsolidated[[#This Row],[Scenario]]="Forecast (Base)", 0, DataConsolidated[[#This Row],[Gross Profit]] -
  INDEX(DataConsolidated[Gross Profit], MATCH(1, (DataConsolidated[Month]=DataConsolidated[[#This Row],[Month]]) * (DataConsolidated[Product]=DataConsolidated[[#This Row],[Product]]) * (DataConsolidated[Scenario]="Forecast (Base)"), 0)))</calculatedColumnFormula>
    </tableColumn>
    <tableColumn id="13" name="Margin % variance" dataDxfId="1066">
      <calculatedColumnFormula array="1">IF(DataConsolidated[[#This Row],[Scenario]]="Forecast (Base)", 0, DataConsolidated[[#This Row],[Margin %]] -
  INDEX(DataConsolidated[Margin %], MATCH(1, (DataConsolidated[Month]=DataConsolidated[[#This Row],[Month]]) * (DataConsolidated[Product]=DataConsolidated[[#This Row],[Product]]) * (DataConsolidated[Scenario]="Forecast (Base)"), 0)))</calculatedColumnFormula>
    </tableColumn>
  </tableColumns>
  <tableStyleInfo showFirstColumn="0" showLastColumn="0" showRowStripes="1" showColumnStripes="0"/>
</table>
</file>

<file path=xl/tables/table5.xml><?xml version="1.0" encoding="utf-8"?>
<table xmlns="http://schemas.openxmlformats.org/spreadsheetml/2006/main" id="2" name="tblForecast3" displayName="tblForecast3" ref="A3:J75" totalsRowShown="0" headerRowDxfId="1063" dataDxfId="1062" tableBorderDxfId="1061" totalsRowBorderDxfId="1060">
  <autoFilter ref="A3:J75"/>
  <tableColumns count="10">
    <tableColumn id="1" name="Month" dataDxfId="1059"/>
    <tableColumn id="2" name="Product" dataDxfId="1058"/>
    <tableColumn id="3" name="Units Sold" dataDxfId="1057"/>
    <tableColumn id="4" name="Selling Price" dataDxfId="1056"/>
    <tableColumn id="5" name="Cost Price" dataDxfId="1055"/>
    <tableColumn id="6" name="Revenue" dataDxfId="1054"/>
    <tableColumn id="7" name="COGS" dataDxfId="1053"/>
    <tableColumn id="8" name="Gross Profit" dataDxfId="1052"/>
    <tableColumn id="9" name="Margin %" dataDxfId="1051"/>
    <tableColumn id="10" name="Seasonality Multiplier" dataDxfId="1050"/>
  </tableColumns>
  <tableStyleInfo showFirstColumn="0" showLastColumn="0" showRowStripes="1" showColumnStripes="0"/>
</table>
</file>

<file path=xl/tables/table6.xml><?xml version="1.0" encoding="utf-8"?>
<table xmlns="http://schemas.openxmlformats.org/spreadsheetml/2006/main" id="1" name="tblForecast2" displayName="tblForecast2" ref="A3:J64" totalsRowShown="0" headerRowDxfId="1047" dataDxfId="1046" tableBorderDxfId="1045" totalsRowBorderDxfId="1044">
  <autoFilter ref="A3:J64"/>
  <tableColumns count="10">
    <tableColumn id="1" name="Month" dataDxfId="1043"/>
    <tableColumn id="2" name="Product" dataDxfId="1042"/>
    <tableColumn id="3" name="Units Sold" dataDxfId="1041"/>
    <tableColumn id="4" name="Selling Price" dataDxfId="1040"/>
    <tableColumn id="5" name="Cost Price" dataDxfId="1039"/>
    <tableColumn id="6" name="Revenue" dataDxfId="1038"/>
    <tableColumn id="7" name="COGS" dataDxfId="1037"/>
    <tableColumn id="8" name="Gross Profit" dataDxfId="1036"/>
    <tableColumn id="9" name="Margin %" dataDxfId="1035"/>
    <tableColumn id="10" name="Seasonality Multiplier" dataDxfId="1034"/>
  </tableColumns>
  <tableStyleInfo showFirstColumn="0" showLastColumn="0" showRowStripes="1" showColumnStripes="0"/>
</table>
</file>

<file path=xl/tables/table7.xml><?xml version="1.0" encoding="utf-8"?>
<table xmlns="http://schemas.openxmlformats.org/spreadsheetml/2006/main" id="7" name="tblForecast8" displayName="tblForecast8" ref="A3:J75" totalsRowShown="0" headerRowDxfId="1031" dataDxfId="1030" tableBorderDxfId="1029" totalsRowBorderDxfId="1028">
  <autoFilter ref="A3:J75"/>
  <tableColumns count="10">
    <tableColumn id="1" name="Month" dataDxfId="1027"/>
    <tableColumn id="2" name="Product" dataDxfId="1026"/>
    <tableColumn id="3" name="Units Sold" dataDxfId="1025"/>
    <tableColumn id="4" name="Selling Price" dataDxfId="1024"/>
    <tableColumn id="5" name="Cost Price" dataDxfId="1023"/>
    <tableColumn id="6" name="Revenue" dataDxfId="1022"/>
    <tableColumn id="7" name="COGS" dataDxfId="1021"/>
    <tableColumn id="8" name="Gross Profit" dataDxfId="1020"/>
    <tableColumn id="9" name="Margin %" dataDxfId="1019"/>
    <tableColumn id="10" name="Seasonality Multiplier" dataDxfId="1018"/>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rinterSettings" Target="../printerSettings/printerSettings7.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8.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J24"/>
  <sheetViews>
    <sheetView showGridLines="0" tabSelected="1" zoomScaleNormal="100" workbookViewId="0">
      <selection activeCell="G9" sqref="G9"/>
    </sheetView>
  </sheetViews>
  <sheetFormatPr defaultRowHeight="15" x14ac:dyDescent="0.25"/>
  <cols>
    <col min="1" max="1" width="1.85546875" style="1" customWidth="1"/>
    <col min="2" max="2" width="20.85546875" style="1" bestFit="1" customWidth="1"/>
    <col min="3" max="3" width="13.140625" style="1" customWidth="1"/>
    <col min="4" max="4" width="24" style="1" bestFit="1" customWidth="1"/>
    <col min="5" max="5" width="21.85546875" style="1" customWidth="1"/>
    <col min="6" max="6" width="22.85546875" style="1" bestFit="1" customWidth="1"/>
    <col min="7" max="7" width="9.140625" style="1"/>
    <col min="8" max="8" width="5.5703125" style="1" bestFit="1" customWidth="1"/>
    <col min="9" max="10" width="9.140625" style="1"/>
    <col min="11" max="11" width="6.28515625" style="1" bestFit="1" customWidth="1"/>
    <col min="12" max="16384" width="9.140625" style="1"/>
  </cols>
  <sheetData>
    <row r="2" spans="2:10" ht="21" x14ac:dyDescent="0.35">
      <c r="B2" s="225" t="s">
        <v>20</v>
      </c>
      <c r="C2" s="226"/>
      <c r="D2" s="226"/>
      <c r="E2" s="226"/>
      <c r="F2" s="227"/>
    </row>
    <row r="3" spans="2:10" x14ac:dyDescent="0.25">
      <c r="B3" s="71" t="s">
        <v>10</v>
      </c>
      <c r="C3" s="72" t="s">
        <v>0</v>
      </c>
      <c r="D3" s="72" t="s">
        <v>11</v>
      </c>
      <c r="E3" s="72" t="s">
        <v>12</v>
      </c>
      <c r="F3" s="73" t="s">
        <v>13</v>
      </c>
    </row>
    <row r="4" spans="2:10" x14ac:dyDescent="0.25">
      <c r="B4" s="144" t="s">
        <v>4</v>
      </c>
      <c r="C4" s="108" t="s">
        <v>7</v>
      </c>
      <c r="D4" s="69">
        <v>2700</v>
      </c>
      <c r="E4" s="69">
        <v>1650</v>
      </c>
      <c r="F4" s="66">
        <v>2000</v>
      </c>
      <c r="J4" s="248"/>
    </row>
    <row r="5" spans="2:10" x14ac:dyDescent="0.25">
      <c r="B5" s="144" t="s">
        <v>4</v>
      </c>
      <c r="C5" s="108" t="s">
        <v>9</v>
      </c>
      <c r="D5" s="69">
        <v>2500</v>
      </c>
      <c r="E5" s="69">
        <v>1700</v>
      </c>
      <c r="F5" s="66">
        <v>1600</v>
      </c>
    </row>
    <row r="6" spans="2:10" x14ac:dyDescent="0.25">
      <c r="B6" s="144" t="s">
        <v>4</v>
      </c>
      <c r="C6" s="108" t="s">
        <v>8</v>
      </c>
      <c r="D6" s="69">
        <v>2300</v>
      </c>
      <c r="E6" s="69">
        <v>1800</v>
      </c>
      <c r="F6" s="66">
        <v>1200</v>
      </c>
    </row>
    <row r="7" spans="2:10" x14ac:dyDescent="0.25">
      <c r="B7" s="144" t="s">
        <v>5</v>
      </c>
      <c r="C7" s="108" t="s">
        <v>7</v>
      </c>
      <c r="D7" s="69">
        <v>3800</v>
      </c>
      <c r="E7" s="69">
        <v>2500</v>
      </c>
      <c r="F7" s="66">
        <v>1300</v>
      </c>
    </row>
    <row r="8" spans="2:10" x14ac:dyDescent="0.25">
      <c r="B8" s="144" t="s">
        <v>5</v>
      </c>
      <c r="C8" s="108" t="s">
        <v>9</v>
      </c>
      <c r="D8" s="69">
        <v>3500</v>
      </c>
      <c r="E8" s="69">
        <v>2600</v>
      </c>
      <c r="F8" s="66">
        <v>1000</v>
      </c>
    </row>
    <row r="9" spans="2:10" x14ac:dyDescent="0.25">
      <c r="B9" s="144" t="s">
        <v>5</v>
      </c>
      <c r="C9" s="108" t="s">
        <v>8</v>
      </c>
      <c r="D9" s="69">
        <v>3200</v>
      </c>
      <c r="E9" s="69">
        <v>2800</v>
      </c>
      <c r="F9" s="67">
        <v>800</v>
      </c>
    </row>
    <row r="10" spans="2:10" x14ac:dyDescent="0.25">
      <c r="B10" s="144" t="s">
        <v>14</v>
      </c>
      <c r="C10" s="108" t="s">
        <v>7</v>
      </c>
      <c r="D10" s="69">
        <v>3000</v>
      </c>
      <c r="E10" s="69">
        <v>1700</v>
      </c>
      <c r="F10" s="66">
        <v>1400</v>
      </c>
    </row>
    <row r="11" spans="2:10" x14ac:dyDescent="0.25">
      <c r="B11" s="144" t="s">
        <v>14</v>
      </c>
      <c r="C11" s="108" t="s">
        <v>9</v>
      </c>
      <c r="D11" s="69">
        <v>2600</v>
      </c>
      <c r="E11" s="69">
        <v>1800</v>
      </c>
      <c r="F11" s="66">
        <v>1100</v>
      </c>
    </row>
    <row r="12" spans="2:10" x14ac:dyDescent="0.25">
      <c r="B12" s="144" t="s">
        <v>14</v>
      </c>
      <c r="C12" s="108" t="s">
        <v>8</v>
      </c>
      <c r="D12" s="69">
        <v>2300</v>
      </c>
      <c r="E12" s="69">
        <v>2100</v>
      </c>
      <c r="F12" s="67">
        <v>900</v>
      </c>
    </row>
    <row r="13" spans="2:10" x14ac:dyDescent="0.25">
      <c r="B13" s="144" t="s">
        <v>39</v>
      </c>
      <c r="C13" s="108" t="s">
        <v>7</v>
      </c>
      <c r="D13" s="69">
        <v>1400</v>
      </c>
      <c r="E13" s="69">
        <v>650</v>
      </c>
      <c r="F13" s="66">
        <v>2500</v>
      </c>
    </row>
    <row r="14" spans="2:10" x14ac:dyDescent="0.25">
      <c r="B14" s="144" t="s">
        <v>39</v>
      </c>
      <c r="C14" s="108" t="s">
        <v>9</v>
      </c>
      <c r="D14" s="69">
        <v>1200</v>
      </c>
      <c r="E14" s="69">
        <v>700</v>
      </c>
      <c r="F14" s="66">
        <v>2000</v>
      </c>
    </row>
    <row r="15" spans="2:10" x14ac:dyDescent="0.25">
      <c r="B15" s="144" t="s">
        <v>39</v>
      </c>
      <c r="C15" s="108" t="s">
        <v>8</v>
      </c>
      <c r="D15" s="69">
        <v>1000</v>
      </c>
      <c r="E15" s="69">
        <v>800</v>
      </c>
      <c r="F15" s="66">
        <v>1500</v>
      </c>
    </row>
    <row r="16" spans="2:10" x14ac:dyDescent="0.25">
      <c r="B16" s="144" t="s">
        <v>6</v>
      </c>
      <c r="C16" s="108" t="s">
        <v>7</v>
      </c>
      <c r="D16" s="69">
        <v>700</v>
      </c>
      <c r="E16" s="69">
        <v>250</v>
      </c>
      <c r="F16" s="66">
        <v>3500</v>
      </c>
    </row>
    <row r="17" spans="2:10" x14ac:dyDescent="0.25">
      <c r="B17" s="144" t="s">
        <v>6</v>
      </c>
      <c r="C17" s="108" t="s">
        <v>9</v>
      </c>
      <c r="D17" s="69">
        <v>500</v>
      </c>
      <c r="E17" s="69">
        <v>300</v>
      </c>
      <c r="F17" s="66">
        <v>2800</v>
      </c>
    </row>
    <row r="18" spans="2:10" x14ac:dyDescent="0.25">
      <c r="B18" s="145" t="s">
        <v>6</v>
      </c>
      <c r="C18" s="146" t="s">
        <v>8</v>
      </c>
      <c r="D18" s="70">
        <v>400</v>
      </c>
      <c r="E18" s="70">
        <v>400</v>
      </c>
      <c r="F18" s="68">
        <v>2000</v>
      </c>
    </row>
    <row r="20" spans="2:10" x14ac:dyDescent="0.25">
      <c r="B20" s="228" t="s">
        <v>15</v>
      </c>
      <c r="C20" s="228"/>
      <c r="D20" s="228"/>
      <c r="E20" s="228"/>
      <c r="F20" s="228"/>
      <c r="G20" s="2"/>
      <c r="H20" s="2"/>
      <c r="I20" s="2"/>
      <c r="J20" s="2"/>
    </row>
    <row r="21" spans="2:10" x14ac:dyDescent="0.25">
      <c r="B21" s="3" t="s">
        <v>0</v>
      </c>
      <c r="C21" s="229" t="s">
        <v>16</v>
      </c>
      <c r="D21" s="229"/>
      <c r="E21" s="229"/>
      <c r="F21" s="229"/>
    </row>
    <row r="22" spans="2:10" x14ac:dyDescent="0.25">
      <c r="B22" s="74" t="s">
        <v>7</v>
      </c>
      <c r="C22" s="230" t="s">
        <v>17</v>
      </c>
      <c r="D22" s="230"/>
      <c r="E22" s="230"/>
      <c r="F22" s="230"/>
    </row>
    <row r="23" spans="2:10" x14ac:dyDescent="0.25">
      <c r="B23" s="75" t="s">
        <v>9</v>
      </c>
      <c r="C23" s="231" t="s">
        <v>18</v>
      </c>
      <c r="D23" s="231"/>
      <c r="E23" s="231"/>
      <c r="F23" s="231"/>
    </row>
    <row r="24" spans="2:10" x14ac:dyDescent="0.25">
      <c r="B24" s="76" t="s">
        <v>8</v>
      </c>
      <c r="C24" s="224" t="s">
        <v>19</v>
      </c>
      <c r="D24" s="224"/>
      <c r="E24" s="224"/>
      <c r="F24" s="224"/>
    </row>
  </sheetData>
  <mergeCells count="6">
    <mergeCell ref="C24:F24"/>
    <mergeCell ref="B2:F2"/>
    <mergeCell ref="B20:F20"/>
    <mergeCell ref="C21:F21"/>
    <mergeCell ref="C22:F22"/>
    <mergeCell ref="C23:F23"/>
  </mergeCells>
  <conditionalFormatting sqref="F4:F18">
    <cfRule type="iconSet" priority="10">
      <iconSet iconSet="5Quarters">
        <cfvo type="percent" val="0"/>
        <cfvo type="percent" val="20"/>
        <cfvo type="percent" val="40"/>
        <cfvo type="percent" val="60"/>
        <cfvo type="percent" val="80"/>
      </iconSet>
    </cfRule>
  </conditionalFormatting>
  <pageMargins left="0.7" right="0.7" top="0.75" bottom="0.75" header="0.3" footer="0.3"/>
  <pageSetup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J77"/>
  <sheetViews>
    <sheetView showGridLines="0" zoomScaleNormal="100" workbookViewId="0">
      <pane ySplit="3" topLeftCell="A4" activePane="bottomLeft" state="frozen"/>
      <selection pane="bottomLeft" activeCell="J4" sqref="J4:J8"/>
    </sheetView>
  </sheetViews>
  <sheetFormatPr defaultRowHeight="15" x14ac:dyDescent="0.25"/>
  <cols>
    <col min="1" max="1" width="13.85546875" style="4" bestFit="1"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60" t="s">
        <v>0</v>
      </c>
      <c r="C1" s="60" t="s">
        <v>7</v>
      </c>
      <c r="E1" s="81"/>
    </row>
    <row r="2" spans="1:10" x14ac:dyDescent="0.25">
      <c r="A2" s="61"/>
      <c r="B2" s="61"/>
      <c r="C2" s="1"/>
      <c r="D2" s="62"/>
      <c r="E2" s="62"/>
      <c r="F2" s="62"/>
      <c r="G2" s="62"/>
      <c r="H2" s="62"/>
      <c r="I2" s="63"/>
      <c r="J2" s="64"/>
    </row>
    <row r="3" spans="1:10" x14ac:dyDescent="0.25">
      <c r="A3" s="77" t="s">
        <v>21</v>
      </c>
      <c r="B3" s="77" t="s">
        <v>1</v>
      </c>
      <c r="C3" s="249" t="s">
        <v>206</v>
      </c>
      <c r="D3" s="250" t="s">
        <v>2</v>
      </c>
      <c r="E3" s="250" t="s">
        <v>3</v>
      </c>
      <c r="F3" s="250" t="s">
        <v>23</v>
      </c>
      <c r="G3" s="250" t="s">
        <v>24</v>
      </c>
      <c r="H3" s="250" t="s">
        <v>25</v>
      </c>
      <c r="I3" s="251" t="s">
        <v>26</v>
      </c>
      <c r="J3" s="252" t="s">
        <v>43</v>
      </c>
    </row>
    <row r="4" spans="1:10" x14ac:dyDescent="0.25">
      <c r="A4" s="78" t="s">
        <v>29</v>
      </c>
      <c r="B4" s="65" t="s">
        <v>4</v>
      </c>
      <c r="C4" s="81">
        <f t="array" ref="C4">INDEX(Assumptions!$F$3:$F$18, MATCH(1, (Assumptions!$B$3:$B$18=Forecasting_2026!B4)*(Assumptions!$C$3:$C$18=Forecasting_2026!$C$1),0))*J4</f>
        <v>1900</v>
      </c>
      <c r="D4" s="82">
        <f t="array" ref="D4">INDEX(Assumptions!$D$3:$D$18, MATCH(1, (Assumptions!$B$3:$B$18=Forecasting_2026!B4)*(Assumptions!$C$3:$C$18=Forecasting_2026!$C$1),0))</f>
        <v>2700</v>
      </c>
      <c r="E4" s="82">
        <f t="array" ref="E4">INDEX(Assumptions!$E$3:$E$18, MATCH(1, (Assumptions!$B$3:$B$18=Forecasting_2026!B4)*(Assumptions!$C$3:$C$18=Forecasting_2026!$C$1),0))</f>
        <v>1650</v>
      </c>
      <c r="F4" s="82">
        <f>C4*D4</f>
        <v>5130000</v>
      </c>
      <c r="G4" s="82">
        <f>C4*E4</f>
        <v>3135000</v>
      </c>
      <c r="H4" s="82">
        <f>F4-G4</f>
        <v>1995000</v>
      </c>
      <c r="I4" s="83">
        <f>IF(F4=0, 0, H4/F4)</f>
        <v>0.3888888888888889</v>
      </c>
      <c r="J4" s="84">
        <f>VLOOKUP(A4,Seasonality!$B$4:$C$15,2,FALSE)</f>
        <v>0.95</v>
      </c>
    </row>
    <row r="5" spans="1:10" x14ac:dyDescent="0.25">
      <c r="A5" s="78" t="s">
        <v>29</v>
      </c>
      <c r="B5" s="65" t="s">
        <v>5</v>
      </c>
      <c r="C5" s="81">
        <f t="array" ref="C5">INDEX(Assumptions!$F$3:$F$18, MATCH(1, (Assumptions!$B$3:$B$18=Forecasting_2026!B5)*(Assumptions!$C$3:$C$18=Forecasting_2026!$C$1),0))*J5</f>
        <v>1235</v>
      </c>
      <c r="D5" s="82">
        <f t="array" ref="D5">INDEX(Assumptions!$D$3:$D$18, MATCH(1, (Assumptions!$B$3:$B$18=Forecasting_2026!B5)*(Assumptions!$C$3:$C$18=Forecasting_2026!$C$1),0))</f>
        <v>3800</v>
      </c>
      <c r="E5" s="82">
        <f t="array" ref="E5">INDEX(Assumptions!$E$3:$E$18, MATCH(1, (Assumptions!$B$3:$B$18=Forecasting_2026!B5)*(Assumptions!$C$3:$C$18=Forecasting_2026!$C$1),0))</f>
        <v>2500</v>
      </c>
      <c r="F5" s="82">
        <f t="shared" ref="F5:F74" si="0">C5*D5</f>
        <v>4693000</v>
      </c>
      <c r="G5" s="82">
        <f t="shared" ref="G5:G74" si="1">C5*E5</f>
        <v>3087500</v>
      </c>
      <c r="H5" s="82">
        <f t="shared" ref="H5:H74" si="2">F5-G5</f>
        <v>1605500</v>
      </c>
      <c r="I5" s="83">
        <f t="shared" ref="I5:I74" si="3">IF(F5=0, 0, H5/F5)</f>
        <v>0.34210526315789475</v>
      </c>
      <c r="J5" s="84">
        <f>VLOOKUP(A5,Seasonality!$B$4:$C$15,2,FALSE)</f>
        <v>0.95</v>
      </c>
    </row>
    <row r="6" spans="1:10" x14ac:dyDescent="0.25">
      <c r="A6" s="78" t="s">
        <v>29</v>
      </c>
      <c r="B6" s="65" t="s">
        <v>14</v>
      </c>
      <c r="C6" s="81">
        <f t="array" ref="C6">INDEX(Assumptions!$F$3:$F$18, MATCH(1, (Assumptions!$B$3:$B$18=Forecasting_2026!B6)*(Assumptions!$C$3:$C$18=Forecasting_2026!$C$1),0))*J6</f>
        <v>1330</v>
      </c>
      <c r="D6" s="82">
        <f t="array" ref="D6">INDEX(Assumptions!$D$3:$D$18, MATCH(1, (Assumptions!$B$3:$B$18=Forecasting_2026!B6)*(Assumptions!$C$3:$C$18=Forecasting_2026!$C$1),0))</f>
        <v>3000</v>
      </c>
      <c r="E6" s="82">
        <f t="array" ref="E6">INDEX(Assumptions!$E$3:$E$18, MATCH(1, (Assumptions!$B$3:$B$18=Forecasting_2026!B6)*(Assumptions!$C$3:$C$18=Forecasting_2026!$C$1),0))</f>
        <v>1700</v>
      </c>
      <c r="F6" s="82">
        <f t="shared" si="0"/>
        <v>3990000</v>
      </c>
      <c r="G6" s="82">
        <f t="shared" si="1"/>
        <v>2261000</v>
      </c>
      <c r="H6" s="82">
        <f t="shared" si="2"/>
        <v>1729000</v>
      </c>
      <c r="I6" s="83">
        <f t="shared" si="3"/>
        <v>0.43333333333333335</v>
      </c>
      <c r="J6" s="84">
        <f>VLOOKUP(A6,Seasonality!$B$4:$C$15,2,FALSE)</f>
        <v>0.95</v>
      </c>
    </row>
    <row r="7" spans="1:10" x14ac:dyDescent="0.25">
      <c r="A7" s="78" t="s">
        <v>29</v>
      </c>
      <c r="B7" s="65" t="s">
        <v>39</v>
      </c>
      <c r="C7" s="81">
        <f t="array" ref="C7">INDEX(Assumptions!$F$3:$F$18, MATCH(1, (Assumptions!$B$3:$B$18=Forecasting_2026!B7)*(Assumptions!$C$3:$C$18=Forecasting_2026!$C$1),0))*J7</f>
        <v>2375</v>
      </c>
      <c r="D7" s="82">
        <f t="array" ref="D7">INDEX(Assumptions!$D$3:$D$18, MATCH(1, (Assumptions!$B$3:$B$18=Forecasting_2026!B7)*(Assumptions!$C$3:$C$18=Forecasting_2026!$C$1),0))</f>
        <v>1400</v>
      </c>
      <c r="E7" s="82">
        <f t="array" ref="E7">INDEX(Assumptions!$E$3:$E$18, MATCH(1, (Assumptions!$B$3:$B$18=Forecasting_2026!B7)*(Assumptions!$C$3:$C$18=Forecasting_2026!$C$1),0))</f>
        <v>650</v>
      </c>
      <c r="F7" s="82">
        <f t="shared" si="0"/>
        <v>3325000</v>
      </c>
      <c r="G7" s="82">
        <f t="shared" si="1"/>
        <v>1543750</v>
      </c>
      <c r="H7" s="82">
        <f t="shared" si="2"/>
        <v>1781250</v>
      </c>
      <c r="I7" s="83">
        <f t="shared" si="3"/>
        <v>0.5357142857142857</v>
      </c>
      <c r="J7" s="84">
        <f>VLOOKUP(A7,Seasonality!$B$4:$C$15,2,FALSE)</f>
        <v>0.95</v>
      </c>
    </row>
    <row r="8" spans="1:10" x14ac:dyDescent="0.25">
      <c r="A8" s="78" t="s">
        <v>29</v>
      </c>
      <c r="B8" s="65" t="s">
        <v>6</v>
      </c>
      <c r="C8" s="81">
        <f t="array" ref="C8">INDEX(Assumptions!$F$3:$F$18, MATCH(1, (Assumptions!$B$3:$B$18=Forecasting_2026!B8)*(Assumptions!$C$3:$C$18=Forecasting_2026!$C$1),0))*J8</f>
        <v>3325</v>
      </c>
      <c r="D8" s="82">
        <f t="array" ref="D8">INDEX(Assumptions!$D$3:$D$18, MATCH(1, (Assumptions!$B$3:$B$18=Forecasting_2026!B8)*(Assumptions!$C$3:$C$18=Forecasting_2026!$C$1),0))</f>
        <v>700</v>
      </c>
      <c r="E8" s="82">
        <f t="array" ref="E8">INDEX(Assumptions!$E$3:$E$18, MATCH(1, (Assumptions!$B$3:$B$18=Forecasting_2026!B8)*(Assumptions!$C$3:$C$18=Forecasting_2026!$C$1),0))</f>
        <v>250</v>
      </c>
      <c r="F8" s="82">
        <f t="shared" si="0"/>
        <v>2327500</v>
      </c>
      <c r="G8" s="82">
        <f t="shared" si="1"/>
        <v>831250</v>
      </c>
      <c r="H8" s="82">
        <f t="shared" si="2"/>
        <v>1496250</v>
      </c>
      <c r="I8" s="83">
        <f t="shared" si="3"/>
        <v>0.6428571428571429</v>
      </c>
      <c r="J8" s="84">
        <f>VLOOKUP(A8,Seasonality!$B$4:$C$15,2,FALSE)</f>
        <v>0.95</v>
      </c>
    </row>
    <row r="9" spans="1:10" s="8" customFormat="1" ht="15.75" x14ac:dyDescent="0.25">
      <c r="A9" s="79" t="s">
        <v>40</v>
      </c>
      <c r="B9" s="80"/>
      <c r="C9" s="85">
        <f>SUM(C4:C8)</f>
        <v>10165</v>
      </c>
      <c r="D9" s="86"/>
      <c r="E9" s="86"/>
      <c r="F9" s="86">
        <f>SUM(F4:F8)</f>
        <v>19465500</v>
      </c>
      <c r="G9" s="86">
        <f>SUM(G4:G8)</f>
        <v>10858500</v>
      </c>
      <c r="H9" s="86">
        <f>SUM(H4:H8)</f>
        <v>8607000</v>
      </c>
      <c r="I9" s="87">
        <f>AVERAGE(I4:I8)</f>
        <v>0.4685797827903091</v>
      </c>
      <c r="J9" s="88"/>
    </row>
    <row r="10" spans="1:10" x14ac:dyDescent="0.25">
      <c r="A10" s="78" t="s">
        <v>30</v>
      </c>
      <c r="B10" s="65" t="s">
        <v>4</v>
      </c>
      <c r="C10" s="81">
        <f t="array" ref="C10">INDEX(Assumptions!$F$3:$F$18, MATCH(1, (Assumptions!$B$3:$B$18=Forecasting_2026!B10)*(Assumptions!$C$3:$C$18=Forecasting_2026!$C$1),0))*J10</f>
        <v>1800</v>
      </c>
      <c r="D10" s="82">
        <f t="array" ref="D10">INDEX(Assumptions!$D$3:$D$18, MATCH(1, (Assumptions!$B$3:$B$18=Forecasting_2026!B10)*(Assumptions!$C$3:$C$18=Forecasting_2026!$C$1),0))</f>
        <v>2700</v>
      </c>
      <c r="E10" s="82">
        <f t="array" ref="E10">INDEX(Assumptions!$E$3:$E$18, MATCH(1, (Assumptions!$B$3:$B$18=Forecasting_2026!B10)*(Assumptions!$C$3:$C$18=Forecasting_2026!$C$1),0))</f>
        <v>1650</v>
      </c>
      <c r="F10" s="82">
        <f t="shared" si="0"/>
        <v>4860000</v>
      </c>
      <c r="G10" s="82">
        <f t="shared" si="1"/>
        <v>2970000</v>
      </c>
      <c r="H10" s="82">
        <f t="shared" si="2"/>
        <v>1890000</v>
      </c>
      <c r="I10" s="83">
        <f t="shared" si="3"/>
        <v>0.3888888888888889</v>
      </c>
      <c r="J10" s="84">
        <f>VLOOKUP(A10,Seasonality!$B$4:$C$15,2,FALSE)</f>
        <v>0.9</v>
      </c>
    </row>
    <row r="11" spans="1:10" x14ac:dyDescent="0.25">
      <c r="A11" s="78" t="s">
        <v>30</v>
      </c>
      <c r="B11" s="65" t="s">
        <v>5</v>
      </c>
      <c r="C11" s="81">
        <f t="array" ref="C11">INDEX(Assumptions!$F$3:$F$18, MATCH(1, (Assumptions!$B$3:$B$18=Forecasting_2026!B11)*(Assumptions!$C$3:$C$18=Forecasting_2026!$C$1),0))*J11</f>
        <v>1170</v>
      </c>
      <c r="D11" s="82">
        <f t="array" ref="D11">INDEX(Assumptions!$D$3:$D$18, MATCH(1, (Assumptions!$B$3:$B$18=Forecasting_2026!B11)*(Assumptions!$C$3:$C$18=Forecasting_2026!$C$1),0))</f>
        <v>3800</v>
      </c>
      <c r="E11" s="82">
        <f t="array" ref="E11">INDEX(Assumptions!$E$3:$E$18, MATCH(1, (Assumptions!$B$3:$B$18=Forecasting_2026!B11)*(Assumptions!$C$3:$C$18=Forecasting_2026!$C$1),0))</f>
        <v>2500</v>
      </c>
      <c r="F11" s="82">
        <f t="shared" si="0"/>
        <v>4446000</v>
      </c>
      <c r="G11" s="82">
        <f t="shared" si="1"/>
        <v>2925000</v>
      </c>
      <c r="H11" s="82">
        <f t="shared" si="2"/>
        <v>1521000</v>
      </c>
      <c r="I11" s="83">
        <f t="shared" si="3"/>
        <v>0.34210526315789475</v>
      </c>
      <c r="J11" s="84">
        <f>VLOOKUP(A11,Seasonality!$B$4:$C$15,2,FALSE)</f>
        <v>0.9</v>
      </c>
    </row>
    <row r="12" spans="1:10" x14ac:dyDescent="0.25">
      <c r="A12" s="78" t="s">
        <v>30</v>
      </c>
      <c r="B12" s="65" t="s">
        <v>14</v>
      </c>
      <c r="C12" s="81">
        <f t="array" ref="C12">INDEX(Assumptions!$F$3:$F$18, MATCH(1, (Assumptions!$B$3:$B$18=Forecasting_2026!B12)*(Assumptions!$C$3:$C$18=Forecasting_2026!$C$1),0))*J12</f>
        <v>1260</v>
      </c>
      <c r="D12" s="82">
        <f t="array" ref="D12">INDEX(Assumptions!$D$3:$D$18, MATCH(1, (Assumptions!$B$3:$B$18=Forecasting_2026!B12)*(Assumptions!$C$3:$C$18=Forecasting_2026!$C$1),0))</f>
        <v>3000</v>
      </c>
      <c r="E12" s="82">
        <f t="array" ref="E12">INDEX(Assumptions!$E$3:$E$18, MATCH(1, (Assumptions!$B$3:$B$18=Forecasting_2026!B12)*(Assumptions!$C$3:$C$18=Forecasting_2026!$C$1),0))</f>
        <v>1700</v>
      </c>
      <c r="F12" s="82">
        <f t="shared" si="0"/>
        <v>3780000</v>
      </c>
      <c r="G12" s="82">
        <f t="shared" si="1"/>
        <v>2142000</v>
      </c>
      <c r="H12" s="82">
        <f t="shared" si="2"/>
        <v>1638000</v>
      </c>
      <c r="I12" s="83">
        <f t="shared" si="3"/>
        <v>0.43333333333333335</v>
      </c>
      <c r="J12" s="84">
        <f>VLOOKUP(A12,Seasonality!$B$4:$C$15,2,FALSE)</f>
        <v>0.9</v>
      </c>
    </row>
    <row r="13" spans="1:10" x14ac:dyDescent="0.25">
      <c r="A13" s="78" t="s">
        <v>30</v>
      </c>
      <c r="B13" s="65" t="s">
        <v>39</v>
      </c>
      <c r="C13" s="81">
        <f t="array" ref="C13">INDEX(Assumptions!$F$3:$F$18, MATCH(1, (Assumptions!$B$3:$B$18=Forecasting_2026!B13)*(Assumptions!$C$3:$C$18=Forecasting_2026!$C$1),0))*J13</f>
        <v>2250</v>
      </c>
      <c r="D13" s="82">
        <f t="array" ref="D13">INDEX(Assumptions!$D$3:$D$18, MATCH(1, (Assumptions!$B$3:$B$18=Forecasting_2026!B13)*(Assumptions!$C$3:$C$18=Forecasting_2026!$C$1),0))</f>
        <v>1400</v>
      </c>
      <c r="E13" s="82">
        <f t="array" ref="E13">INDEX(Assumptions!$E$3:$E$18, MATCH(1, (Assumptions!$B$3:$B$18=Forecasting_2026!B13)*(Assumptions!$C$3:$C$18=Forecasting_2026!$C$1),0))</f>
        <v>650</v>
      </c>
      <c r="F13" s="82">
        <f t="shared" si="0"/>
        <v>3150000</v>
      </c>
      <c r="G13" s="82">
        <f t="shared" si="1"/>
        <v>1462500</v>
      </c>
      <c r="H13" s="82">
        <f t="shared" si="2"/>
        <v>1687500</v>
      </c>
      <c r="I13" s="83">
        <f t="shared" si="3"/>
        <v>0.5357142857142857</v>
      </c>
      <c r="J13" s="84">
        <f>VLOOKUP(A13,Seasonality!$B$4:$C$15,2,FALSE)</f>
        <v>0.9</v>
      </c>
    </row>
    <row r="14" spans="1:10" x14ac:dyDescent="0.25">
      <c r="A14" s="78" t="s">
        <v>30</v>
      </c>
      <c r="B14" s="65" t="s">
        <v>6</v>
      </c>
      <c r="C14" s="81">
        <f t="array" ref="C14">INDEX(Assumptions!$F$3:$F$18, MATCH(1, (Assumptions!$B$3:$B$18=Forecasting_2026!B14)*(Assumptions!$C$3:$C$18=Forecasting_2026!$C$1),0))*J14</f>
        <v>3150</v>
      </c>
      <c r="D14" s="82">
        <f t="array" ref="D14">INDEX(Assumptions!$D$3:$D$18, MATCH(1, (Assumptions!$B$3:$B$18=Forecasting_2026!B14)*(Assumptions!$C$3:$C$18=Forecasting_2026!$C$1),0))</f>
        <v>700</v>
      </c>
      <c r="E14" s="82">
        <f t="array" ref="E14">INDEX(Assumptions!$E$3:$E$18, MATCH(1, (Assumptions!$B$3:$B$18=Forecasting_2026!B14)*(Assumptions!$C$3:$C$18=Forecasting_2026!$C$1),0))</f>
        <v>250</v>
      </c>
      <c r="F14" s="82">
        <f t="shared" si="0"/>
        <v>2205000</v>
      </c>
      <c r="G14" s="82">
        <f t="shared" si="1"/>
        <v>787500</v>
      </c>
      <c r="H14" s="82">
        <f t="shared" si="2"/>
        <v>1417500</v>
      </c>
      <c r="I14" s="83">
        <f t="shared" si="3"/>
        <v>0.6428571428571429</v>
      </c>
      <c r="J14" s="84">
        <f>VLOOKUP(A14,Seasonality!$B$4:$C$15,2,FALSE)</f>
        <v>0.9</v>
      </c>
    </row>
    <row r="15" spans="1:10" s="8" customFormat="1" ht="15.75" x14ac:dyDescent="0.25">
      <c r="A15" s="79" t="s">
        <v>40</v>
      </c>
      <c r="B15" s="80"/>
      <c r="C15" s="85">
        <f>SUM(C10:C14)</f>
        <v>9630</v>
      </c>
      <c r="D15" s="86"/>
      <c r="E15" s="86"/>
      <c r="F15" s="86">
        <f>SUM(F10:F14)</f>
        <v>18441000</v>
      </c>
      <c r="G15" s="86">
        <f>SUM(G10:G14)</f>
        <v>10287000</v>
      </c>
      <c r="H15" s="86">
        <f>SUM(H10:H14)</f>
        <v>8154000</v>
      </c>
      <c r="I15" s="87">
        <f>AVERAGE(I10:I14)</f>
        <v>0.4685797827903091</v>
      </c>
      <c r="J15" s="88"/>
    </row>
    <row r="16" spans="1:10" x14ac:dyDescent="0.25">
      <c r="A16" s="78" t="s">
        <v>31</v>
      </c>
      <c r="B16" s="65" t="s">
        <v>4</v>
      </c>
      <c r="C16" s="81">
        <f t="array" ref="C16">INDEX(Assumptions!$F$3:$F$18, MATCH(1, (Assumptions!$B$3:$B$18=Forecasting_2026!B16)*(Assumptions!$C$3:$C$18=Forecasting_2026!$C$1),0))*J16</f>
        <v>2100</v>
      </c>
      <c r="D16" s="82">
        <f t="array" ref="D16">INDEX(Assumptions!$D$3:$D$18, MATCH(1, (Assumptions!$B$3:$B$18=Forecasting_2026!B16)*(Assumptions!$C$3:$C$18=Forecasting_2026!$C$1),0))</f>
        <v>2700</v>
      </c>
      <c r="E16" s="82">
        <f t="array" ref="E16">INDEX(Assumptions!$E$3:$E$18, MATCH(1, (Assumptions!$B$3:$B$18=Forecasting_2026!B16)*(Assumptions!$C$3:$C$18=Forecasting_2026!$C$1),0))</f>
        <v>1650</v>
      </c>
      <c r="F16" s="82">
        <f t="shared" si="0"/>
        <v>5670000</v>
      </c>
      <c r="G16" s="82">
        <f t="shared" si="1"/>
        <v>3465000</v>
      </c>
      <c r="H16" s="82">
        <f t="shared" si="2"/>
        <v>2205000</v>
      </c>
      <c r="I16" s="83">
        <f t="shared" si="3"/>
        <v>0.3888888888888889</v>
      </c>
      <c r="J16" s="84">
        <f>VLOOKUP(A16,Seasonality!$B$4:$C$15,2,FALSE)</f>
        <v>1.05</v>
      </c>
    </row>
    <row r="17" spans="1:10" x14ac:dyDescent="0.25">
      <c r="A17" s="78" t="s">
        <v>31</v>
      </c>
      <c r="B17" s="65" t="s">
        <v>5</v>
      </c>
      <c r="C17" s="81">
        <f t="array" ref="C17">INDEX(Assumptions!$F$3:$F$18, MATCH(1, (Assumptions!$B$3:$B$18=Forecasting_2026!B17)*(Assumptions!$C$3:$C$18=Forecasting_2026!$C$1),0))*J17</f>
        <v>1365</v>
      </c>
      <c r="D17" s="82">
        <f t="array" ref="D17">INDEX(Assumptions!$D$3:$D$18, MATCH(1, (Assumptions!$B$3:$B$18=Forecasting_2026!B17)*(Assumptions!$C$3:$C$18=Forecasting_2026!$C$1),0))</f>
        <v>3800</v>
      </c>
      <c r="E17" s="82">
        <f t="array" ref="E17">INDEX(Assumptions!$E$3:$E$18, MATCH(1, (Assumptions!$B$3:$B$18=Forecasting_2026!B17)*(Assumptions!$C$3:$C$18=Forecasting_2026!$C$1),0))</f>
        <v>2500</v>
      </c>
      <c r="F17" s="82">
        <f t="shared" si="0"/>
        <v>5187000</v>
      </c>
      <c r="G17" s="82">
        <f t="shared" si="1"/>
        <v>3412500</v>
      </c>
      <c r="H17" s="82">
        <f t="shared" si="2"/>
        <v>1774500</v>
      </c>
      <c r="I17" s="83">
        <f t="shared" si="3"/>
        <v>0.34210526315789475</v>
      </c>
      <c r="J17" s="84">
        <f>VLOOKUP(A17,Seasonality!$B$4:$C$15,2,FALSE)</f>
        <v>1.05</v>
      </c>
    </row>
    <row r="18" spans="1:10" x14ac:dyDescent="0.25">
      <c r="A18" s="78" t="s">
        <v>31</v>
      </c>
      <c r="B18" s="65" t="s">
        <v>14</v>
      </c>
      <c r="C18" s="81">
        <f t="array" ref="C18">INDEX(Assumptions!$F$3:$F$18, MATCH(1, (Assumptions!$B$3:$B$18=Forecasting_2026!B18)*(Assumptions!$C$3:$C$18=Forecasting_2026!$C$1),0))*J18</f>
        <v>1470</v>
      </c>
      <c r="D18" s="82">
        <f t="array" ref="D18">INDEX(Assumptions!$D$3:$D$18, MATCH(1, (Assumptions!$B$3:$B$18=Forecasting_2026!B18)*(Assumptions!$C$3:$C$18=Forecasting_2026!$C$1),0))</f>
        <v>3000</v>
      </c>
      <c r="E18" s="82">
        <f t="array" ref="E18">INDEX(Assumptions!$E$3:$E$18, MATCH(1, (Assumptions!$B$3:$B$18=Forecasting_2026!B18)*(Assumptions!$C$3:$C$18=Forecasting_2026!$C$1),0))</f>
        <v>1700</v>
      </c>
      <c r="F18" s="82">
        <f t="shared" si="0"/>
        <v>4410000</v>
      </c>
      <c r="G18" s="82">
        <f t="shared" si="1"/>
        <v>2499000</v>
      </c>
      <c r="H18" s="82">
        <f t="shared" si="2"/>
        <v>1911000</v>
      </c>
      <c r="I18" s="83">
        <f t="shared" si="3"/>
        <v>0.43333333333333335</v>
      </c>
      <c r="J18" s="84">
        <f>VLOOKUP(A18,Seasonality!$B$4:$C$15,2,FALSE)</f>
        <v>1.05</v>
      </c>
    </row>
    <row r="19" spans="1:10" x14ac:dyDescent="0.25">
      <c r="A19" s="78" t="s">
        <v>31</v>
      </c>
      <c r="B19" s="65" t="s">
        <v>39</v>
      </c>
      <c r="C19" s="81">
        <f t="array" ref="C19">INDEX(Assumptions!$F$3:$F$18, MATCH(1, (Assumptions!$B$3:$B$18=Forecasting_2026!B19)*(Assumptions!$C$3:$C$18=Forecasting_2026!$C$1),0))*J19</f>
        <v>2625</v>
      </c>
      <c r="D19" s="82">
        <f t="array" ref="D19">INDEX(Assumptions!$D$3:$D$18, MATCH(1, (Assumptions!$B$3:$B$18=Forecasting_2026!B19)*(Assumptions!$C$3:$C$18=Forecasting_2026!$C$1),0))</f>
        <v>1400</v>
      </c>
      <c r="E19" s="82">
        <f t="array" ref="E19">INDEX(Assumptions!$E$3:$E$18, MATCH(1, (Assumptions!$B$3:$B$18=Forecasting_2026!B19)*(Assumptions!$C$3:$C$18=Forecasting_2026!$C$1),0))</f>
        <v>650</v>
      </c>
      <c r="F19" s="82">
        <f t="shared" si="0"/>
        <v>3675000</v>
      </c>
      <c r="G19" s="82">
        <f t="shared" si="1"/>
        <v>1706250</v>
      </c>
      <c r="H19" s="82">
        <f t="shared" si="2"/>
        <v>1968750</v>
      </c>
      <c r="I19" s="83">
        <f t="shared" si="3"/>
        <v>0.5357142857142857</v>
      </c>
      <c r="J19" s="84">
        <f>VLOOKUP(A19,Seasonality!$B$4:$C$15,2,FALSE)</f>
        <v>1.05</v>
      </c>
    </row>
    <row r="20" spans="1:10" x14ac:dyDescent="0.25">
      <c r="A20" s="78" t="s">
        <v>31</v>
      </c>
      <c r="B20" s="65" t="s">
        <v>6</v>
      </c>
      <c r="C20" s="81">
        <f t="array" ref="C20">INDEX(Assumptions!$F$3:$F$18, MATCH(1, (Assumptions!$B$3:$B$18=Forecasting_2026!B20)*(Assumptions!$C$3:$C$18=Forecasting_2026!$C$1),0))*J20</f>
        <v>3675</v>
      </c>
      <c r="D20" s="82">
        <f t="array" ref="D20">INDEX(Assumptions!$D$3:$D$18, MATCH(1, (Assumptions!$B$3:$B$18=Forecasting_2026!B20)*(Assumptions!$C$3:$C$18=Forecasting_2026!$C$1),0))</f>
        <v>700</v>
      </c>
      <c r="E20" s="82">
        <f t="array" ref="E20">INDEX(Assumptions!$E$3:$E$18, MATCH(1, (Assumptions!$B$3:$B$18=Forecasting_2026!B20)*(Assumptions!$C$3:$C$18=Forecasting_2026!$C$1),0))</f>
        <v>250</v>
      </c>
      <c r="F20" s="82">
        <f t="shared" si="0"/>
        <v>2572500</v>
      </c>
      <c r="G20" s="82">
        <f t="shared" si="1"/>
        <v>918750</v>
      </c>
      <c r="H20" s="82">
        <f t="shared" si="2"/>
        <v>1653750</v>
      </c>
      <c r="I20" s="83">
        <f t="shared" si="3"/>
        <v>0.6428571428571429</v>
      </c>
      <c r="J20" s="84">
        <f>VLOOKUP(A20,Seasonality!$B$4:$C$15,2,FALSE)</f>
        <v>1.05</v>
      </c>
    </row>
    <row r="21" spans="1:10" ht="15.75" x14ac:dyDescent="0.25">
      <c r="A21" s="79" t="s">
        <v>40</v>
      </c>
      <c r="B21" s="80"/>
      <c r="C21" s="85">
        <f>SUM(C16:C20)</f>
        <v>11235</v>
      </c>
      <c r="D21" s="86"/>
      <c r="E21" s="86"/>
      <c r="F21" s="86">
        <f>SUM(F16:F20)</f>
        <v>21514500</v>
      </c>
      <c r="G21" s="86">
        <f>SUM(G16:G20)</f>
        <v>12001500</v>
      </c>
      <c r="H21" s="86">
        <f>SUM(H16:H20)</f>
        <v>9513000</v>
      </c>
      <c r="I21" s="87">
        <f>AVERAGE(I16:I20)</f>
        <v>0.4685797827903091</v>
      </c>
      <c r="J21" s="88"/>
    </row>
    <row r="22" spans="1:10" x14ac:dyDescent="0.25">
      <c r="A22" s="78" t="s">
        <v>32</v>
      </c>
      <c r="B22" s="65" t="s">
        <v>4</v>
      </c>
      <c r="C22" s="81">
        <f t="array" ref="C22">INDEX(Assumptions!$F$3:$F$18, MATCH(1, (Assumptions!$B$3:$B$18=Forecasting_2026!B22)*(Assumptions!$C$3:$C$18=Forecasting_2026!$C$1),0))*J22</f>
        <v>2200</v>
      </c>
      <c r="D22" s="82">
        <f t="array" ref="D22">INDEX(Assumptions!$D$3:$D$18, MATCH(1, (Assumptions!$B$3:$B$18=Forecasting_2026!B22)*(Assumptions!$C$3:$C$18=Forecasting_2026!$C$1),0))</f>
        <v>2700</v>
      </c>
      <c r="E22" s="82">
        <f t="array" ref="E22">INDEX(Assumptions!$E$3:$E$18, MATCH(1, (Assumptions!$B$3:$B$18=Forecasting_2026!B22)*(Assumptions!$C$3:$C$18=Forecasting_2026!$C$1),0))</f>
        <v>1650</v>
      </c>
      <c r="F22" s="82">
        <f t="shared" si="0"/>
        <v>5940000</v>
      </c>
      <c r="G22" s="82">
        <f t="shared" si="1"/>
        <v>3630000</v>
      </c>
      <c r="H22" s="82">
        <f t="shared" si="2"/>
        <v>2310000</v>
      </c>
      <c r="I22" s="83">
        <f t="shared" si="3"/>
        <v>0.3888888888888889</v>
      </c>
      <c r="J22" s="84">
        <f>VLOOKUP(A22,Seasonality!$B$4:$C$15,2,FALSE)</f>
        <v>1.1000000000000001</v>
      </c>
    </row>
    <row r="23" spans="1:10" x14ac:dyDescent="0.25">
      <c r="A23" s="78" t="s">
        <v>32</v>
      </c>
      <c r="B23" s="65" t="s">
        <v>5</v>
      </c>
      <c r="C23" s="81">
        <f t="array" ref="C23">INDEX(Assumptions!$F$3:$F$18, MATCH(1, (Assumptions!$B$3:$B$18=Forecasting_2026!B23)*(Assumptions!$C$3:$C$18=Forecasting_2026!$C$1),0))*J23</f>
        <v>1430.0000000000002</v>
      </c>
      <c r="D23" s="82">
        <f t="array" ref="D23">INDEX(Assumptions!$D$3:$D$18, MATCH(1, (Assumptions!$B$3:$B$18=Forecasting_2026!B23)*(Assumptions!$C$3:$C$18=Forecasting_2026!$C$1),0))</f>
        <v>3800</v>
      </c>
      <c r="E23" s="82">
        <f t="array" ref="E23">INDEX(Assumptions!$E$3:$E$18, MATCH(1, (Assumptions!$B$3:$B$18=Forecasting_2026!B23)*(Assumptions!$C$3:$C$18=Forecasting_2026!$C$1),0))</f>
        <v>2500</v>
      </c>
      <c r="F23" s="82">
        <f t="shared" si="0"/>
        <v>5434000.0000000009</v>
      </c>
      <c r="G23" s="82">
        <f t="shared" si="1"/>
        <v>3575000.0000000005</v>
      </c>
      <c r="H23" s="82">
        <f t="shared" si="2"/>
        <v>1859000.0000000005</v>
      </c>
      <c r="I23" s="83">
        <f t="shared" si="3"/>
        <v>0.34210526315789475</v>
      </c>
      <c r="J23" s="84">
        <f>VLOOKUP(A23,Seasonality!$B$4:$C$15,2,FALSE)</f>
        <v>1.1000000000000001</v>
      </c>
    </row>
    <row r="24" spans="1:10" x14ac:dyDescent="0.25">
      <c r="A24" s="78" t="s">
        <v>32</v>
      </c>
      <c r="B24" s="65" t="s">
        <v>14</v>
      </c>
      <c r="C24" s="81">
        <f t="array" ref="C24">INDEX(Assumptions!$F$3:$F$18, MATCH(1, (Assumptions!$B$3:$B$18=Forecasting_2026!B24)*(Assumptions!$C$3:$C$18=Forecasting_2026!$C$1),0))*J24</f>
        <v>1540.0000000000002</v>
      </c>
      <c r="D24" s="82">
        <f t="array" ref="D24">INDEX(Assumptions!$D$3:$D$18, MATCH(1, (Assumptions!$B$3:$B$18=Forecasting_2026!B24)*(Assumptions!$C$3:$C$18=Forecasting_2026!$C$1),0))</f>
        <v>3000</v>
      </c>
      <c r="E24" s="82">
        <f t="array" ref="E24">INDEX(Assumptions!$E$3:$E$18, MATCH(1, (Assumptions!$B$3:$B$18=Forecasting_2026!B24)*(Assumptions!$C$3:$C$18=Forecasting_2026!$C$1),0))</f>
        <v>1700</v>
      </c>
      <c r="F24" s="82">
        <f t="shared" si="0"/>
        <v>4620000.0000000009</v>
      </c>
      <c r="G24" s="82">
        <f t="shared" si="1"/>
        <v>2618000.0000000005</v>
      </c>
      <c r="H24" s="82">
        <f t="shared" si="2"/>
        <v>2002000.0000000005</v>
      </c>
      <c r="I24" s="83">
        <f t="shared" si="3"/>
        <v>0.43333333333333335</v>
      </c>
      <c r="J24" s="84">
        <f>VLOOKUP(A24,Seasonality!$B$4:$C$15,2,FALSE)</f>
        <v>1.1000000000000001</v>
      </c>
    </row>
    <row r="25" spans="1:10" x14ac:dyDescent="0.25">
      <c r="A25" s="78" t="s">
        <v>32</v>
      </c>
      <c r="B25" s="65" t="s">
        <v>39</v>
      </c>
      <c r="C25" s="81">
        <f t="array" ref="C25">INDEX(Assumptions!$F$3:$F$18, MATCH(1, (Assumptions!$B$3:$B$18=Forecasting_2026!B25)*(Assumptions!$C$3:$C$18=Forecasting_2026!$C$1),0))*J25</f>
        <v>2750</v>
      </c>
      <c r="D25" s="82">
        <f t="array" ref="D25">INDEX(Assumptions!$D$3:$D$18, MATCH(1, (Assumptions!$B$3:$B$18=Forecasting_2026!B25)*(Assumptions!$C$3:$C$18=Forecasting_2026!$C$1),0))</f>
        <v>1400</v>
      </c>
      <c r="E25" s="82">
        <f t="array" ref="E25">INDEX(Assumptions!$E$3:$E$18, MATCH(1, (Assumptions!$B$3:$B$18=Forecasting_2026!B25)*(Assumptions!$C$3:$C$18=Forecasting_2026!$C$1),0))</f>
        <v>650</v>
      </c>
      <c r="F25" s="82">
        <f t="shared" si="0"/>
        <v>3850000</v>
      </c>
      <c r="G25" s="82">
        <f t="shared" si="1"/>
        <v>1787500</v>
      </c>
      <c r="H25" s="82">
        <f t="shared" si="2"/>
        <v>2062500</v>
      </c>
      <c r="I25" s="83">
        <f t="shared" si="3"/>
        <v>0.5357142857142857</v>
      </c>
      <c r="J25" s="84">
        <f>VLOOKUP(A25,Seasonality!$B$4:$C$15,2,FALSE)</f>
        <v>1.1000000000000001</v>
      </c>
    </row>
    <row r="26" spans="1:10" x14ac:dyDescent="0.25">
      <c r="A26" s="78" t="s">
        <v>32</v>
      </c>
      <c r="B26" s="65" t="s">
        <v>6</v>
      </c>
      <c r="C26" s="81">
        <f t="array" ref="C26">INDEX(Assumptions!$F$3:$F$18, MATCH(1, (Assumptions!$B$3:$B$18=Forecasting_2026!B26)*(Assumptions!$C$3:$C$18=Forecasting_2026!$C$1),0))*J26</f>
        <v>3850.0000000000005</v>
      </c>
      <c r="D26" s="82">
        <f t="array" ref="D26">INDEX(Assumptions!$D$3:$D$18, MATCH(1, (Assumptions!$B$3:$B$18=Forecasting_2026!B26)*(Assumptions!$C$3:$C$18=Forecasting_2026!$C$1),0))</f>
        <v>700</v>
      </c>
      <c r="E26" s="82">
        <f t="array" ref="E26">INDEX(Assumptions!$E$3:$E$18, MATCH(1, (Assumptions!$B$3:$B$18=Forecasting_2026!B26)*(Assumptions!$C$3:$C$18=Forecasting_2026!$C$1),0))</f>
        <v>250</v>
      </c>
      <c r="F26" s="82">
        <f t="shared" si="0"/>
        <v>2695000.0000000005</v>
      </c>
      <c r="G26" s="82">
        <f t="shared" si="1"/>
        <v>962500.00000000012</v>
      </c>
      <c r="H26" s="82">
        <f t="shared" si="2"/>
        <v>1732500.0000000005</v>
      </c>
      <c r="I26" s="83">
        <f t="shared" si="3"/>
        <v>0.6428571428571429</v>
      </c>
      <c r="J26" s="84">
        <f>VLOOKUP(A26,Seasonality!$B$4:$C$15,2,FALSE)</f>
        <v>1.1000000000000001</v>
      </c>
    </row>
    <row r="27" spans="1:10" ht="15.75" x14ac:dyDescent="0.25">
      <c r="A27" s="79" t="s">
        <v>40</v>
      </c>
      <c r="B27" s="80"/>
      <c r="C27" s="85">
        <f>SUM(C22:C26)</f>
        <v>11770</v>
      </c>
      <c r="D27" s="86"/>
      <c r="E27" s="86"/>
      <c r="F27" s="86">
        <f>SUM(F22:F26)</f>
        <v>22539000</v>
      </c>
      <c r="G27" s="86">
        <f>SUM(G22:G26)</f>
        <v>12573000</v>
      </c>
      <c r="H27" s="86">
        <f>SUM(H22:H26)</f>
        <v>9966000.0000000019</v>
      </c>
      <c r="I27" s="87">
        <f>AVERAGE(I22:I26)</f>
        <v>0.4685797827903091</v>
      </c>
      <c r="J27" s="88"/>
    </row>
    <row r="28" spans="1:10" x14ac:dyDescent="0.25">
      <c r="A28" s="78" t="s">
        <v>27</v>
      </c>
      <c r="B28" s="65" t="s">
        <v>4</v>
      </c>
      <c r="C28" s="81">
        <f t="array" ref="C28">INDEX(Assumptions!$F$3:$F$18, MATCH(1, (Assumptions!$B$3:$B$18=Forecasting_2026!B28)*(Assumptions!$C$3:$C$18=Forecasting_2026!$C$1),0))*J28</f>
        <v>2400</v>
      </c>
      <c r="D28" s="82">
        <f t="array" ref="D28">INDEX(Assumptions!$D$3:$D$18, MATCH(1, (Assumptions!$B$3:$B$18=Forecasting_2026!B28)*(Assumptions!$C$3:$C$18=Forecasting_2026!$C$1),0))</f>
        <v>2700</v>
      </c>
      <c r="E28" s="82">
        <f t="array" ref="E28">INDEX(Assumptions!$E$3:$E$18, MATCH(1, (Assumptions!$B$3:$B$18=Forecasting_2026!B28)*(Assumptions!$C$3:$C$18=Forecasting_2026!$C$1),0))</f>
        <v>1650</v>
      </c>
      <c r="F28" s="82">
        <f t="shared" si="0"/>
        <v>6480000</v>
      </c>
      <c r="G28" s="82">
        <f t="shared" si="1"/>
        <v>3960000</v>
      </c>
      <c r="H28" s="82">
        <f t="shared" si="2"/>
        <v>2520000</v>
      </c>
      <c r="I28" s="83">
        <f t="shared" si="3"/>
        <v>0.3888888888888889</v>
      </c>
      <c r="J28" s="84">
        <f>VLOOKUP(A28,Seasonality!$B$4:$C$15,2,FALSE)</f>
        <v>1.2</v>
      </c>
    </row>
    <row r="29" spans="1:10" x14ac:dyDescent="0.25">
      <c r="A29" s="78" t="s">
        <v>27</v>
      </c>
      <c r="B29" s="65" t="s">
        <v>5</v>
      </c>
      <c r="C29" s="81">
        <f t="array" ref="C29">INDEX(Assumptions!$F$3:$F$18, MATCH(1, (Assumptions!$B$3:$B$18=Forecasting_2026!B29)*(Assumptions!$C$3:$C$18=Forecasting_2026!$C$1),0))*J29</f>
        <v>1560</v>
      </c>
      <c r="D29" s="82">
        <f t="array" ref="D29">INDEX(Assumptions!$D$3:$D$18, MATCH(1, (Assumptions!$B$3:$B$18=Forecasting_2026!B29)*(Assumptions!$C$3:$C$18=Forecasting_2026!$C$1),0))</f>
        <v>3800</v>
      </c>
      <c r="E29" s="82">
        <f t="array" ref="E29">INDEX(Assumptions!$E$3:$E$18, MATCH(1, (Assumptions!$B$3:$B$18=Forecasting_2026!B29)*(Assumptions!$C$3:$C$18=Forecasting_2026!$C$1),0))</f>
        <v>2500</v>
      </c>
      <c r="F29" s="82">
        <f t="shared" si="0"/>
        <v>5928000</v>
      </c>
      <c r="G29" s="82">
        <f t="shared" si="1"/>
        <v>3900000</v>
      </c>
      <c r="H29" s="82">
        <f t="shared" si="2"/>
        <v>2028000</v>
      </c>
      <c r="I29" s="83">
        <f t="shared" si="3"/>
        <v>0.34210526315789475</v>
      </c>
      <c r="J29" s="84">
        <f>VLOOKUP(A29,Seasonality!$B$4:$C$15,2,FALSE)</f>
        <v>1.2</v>
      </c>
    </row>
    <row r="30" spans="1:10" x14ac:dyDescent="0.25">
      <c r="A30" s="78" t="s">
        <v>27</v>
      </c>
      <c r="B30" s="65" t="s">
        <v>14</v>
      </c>
      <c r="C30" s="81">
        <f t="array" ref="C30">INDEX(Assumptions!$F$3:$F$18, MATCH(1, (Assumptions!$B$3:$B$18=Forecasting_2026!B30)*(Assumptions!$C$3:$C$18=Forecasting_2026!$C$1),0))*J30</f>
        <v>1680</v>
      </c>
      <c r="D30" s="82">
        <f t="array" ref="D30">INDEX(Assumptions!$D$3:$D$18, MATCH(1, (Assumptions!$B$3:$B$18=Forecasting_2026!B30)*(Assumptions!$C$3:$C$18=Forecasting_2026!$C$1),0))</f>
        <v>3000</v>
      </c>
      <c r="E30" s="82">
        <f t="array" ref="E30">INDEX(Assumptions!$E$3:$E$18, MATCH(1, (Assumptions!$B$3:$B$18=Forecasting_2026!B30)*(Assumptions!$C$3:$C$18=Forecasting_2026!$C$1),0))</f>
        <v>1700</v>
      </c>
      <c r="F30" s="82">
        <f t="shared" si="0"/>
        <v>5040000</v>
      </c>
      <c r="G30" s="82">
        <f t="shared" si="1"/>
        <v>2856000</v>
      </c>
      <c r="H30" s="82">
        <f t="shared" si="2"/>
        <v>2184000</v>
      </c>
      <c r="I30" s="83">
        <f t="shared" si="3"/>
        <v>0.43333333333333335</v>
      </c>
      <c r="J30" s="84">
        <f>VLOOKUP(A30,Seasonality!$B$4:$C$15,2,FALSE)</f>
        <v>1.2</v>
      </c>
    </row>
    <row r="31" spans="1:10" x14ac:dyDescent="0.25">
      <c r="A31" s="78" t="s">
        <v>27</v>
      </c>
      <c r="B31" s="65" t="s">
        <v>39</v>
      </c>
      <c r="C31" s="81">
        <f t="array" ref="C31">INDEX(Assumptions!$F$3:$F$18, MATCH(1, (Assumptions!$B$3:$B$18=Forecasting_2026!B31)*(Assumptions!$C$3:$C$18=Forecasting_2026!$C$1),0))*J31</f>
        <v>3000</v>
      </c>
      <c r="D31" s="82">
        <f t="array" ref="D31">INDEX(Assumptions!$D$3:$D$18, MATCH(1, (Assumptions!$B$3:$B$18=Forecasting_2026!B31)*(Assumptions!$C$3:$C$18=Forecasting_2026!$C$1),0))</f>
        <v>1400</v>
      </c>
      <c r="E31" s="82">
        <f t="array" ref="E31">INDEX(Assumptions!$E$3:$E$18, MATCH(1, (Assumptions!$B$3:$B$18=Forecasting_2026!B31)*(Assumptions!$C$3:$C$18=Forecasting_2026!$C$1),0))</f>
        <v>650</v>
      </c>
      <c r="F31" s="82">
        <f t="shared" si="0"/>
        <v>4200000</v>
      </c>
      <c r="G31" s="82">
        <f t="shared" si="1"/>
        <v>1950000</v>
      </c>
      <c r="H31" s="82">
        <f t="shared" si="2"/>
        <v>2250000</v>
      </c>
      <c r="I31" s="83">
        <f t="shared" si="3"/>
        <v>0.5357142857142857</v>
      </c>
      <c r="J31" s="84">
        <f>VLOOKUP(A31,Seasonality!$B$4:$C$15,2,FALSE)</f>
        <v>1.2</v>
      </c>
    </row>
    <row r="32" spans="1:10" x14ac:dyDescent="0.25">
      <c r="A32" s="78" t="s">
        <v>27</v>
      </c>
      <c r="B32" s="65" t="s">
        <v>6</v>
      </c>
      <c r="C32" s="81">
        <f t="array" ref="C32">INDEX(Assumptions!$F$3:$F$18, MATCH(1, (Assumptions!$B$3:$B$18=Forecasting_2026!B32)*(Assumptions!$C$3:$C$18=Forecasting_2026!$C$1),0))*J32</f>
        <v>4200</v>
      </c>
      <c r="D32" s="82">
        <f t="array" ref="D32">INDEX(Assumptions!$D$3:$D$18, MATCH(1, (Assumptions!$B$3:$B$18=Forecasting_2026!B32)*(Assumptions!$C$3:$C$18=Forecasting_2026!$C$1),0))</f>
        <v>700</v>
      </c>
      <c r="E32" s="82">
        <f t="array" ref="E32">INDEX(Assumptions!$E$3:$E$18, MATCH(1, (Assumptions!$B$3:$B$18=Forecasting_2026!B32)*(Assumptions!$C$3:$C$18=Forecasting_2026!$C$1),0))</f>
        <v>250</v>
      </c>
      <c r="F32" s="82">
        <f t="shared" si="0"/>
        <v>2940000</v>
      </c>
      <c r="G32" s="82">
        <f t="shared" si="1"/>
        <v>1050000</v>
      </c>
      <c r="H32" s="82">
        <f t="shared" si="2"/>
        <v>1890000</v>
      </c>
      <c r="I32" s="83">
        <f t="shared" si="3"/>
        <v>0.6428571428571429</v>
      </c>
      <c r="J32" s="84">
        <f>VLOOKUP(A32,Seasonality!$B$4:$C$15,2,FALSE)</f>
        <v>1.2</v>
      </c>
    </row>
    <row r="33" spans="1:10" ht="15.75" x14ac:dyDescent="0.25">
      <c r="A33" s="79" t="s">
        <v>40</v>
      </c>
      <c r="B33" s="80"/>
      <c r="C33" s="85">
        <f t="shared" ref="C33:H33" si="4">SUM(C28:C32)</f>
        <v>12840</v>
      </c>
      <c r="D33" s="86"/>
      <c r="E33" s="86"/>
      <c r="F33" s="86">
        <f t="shared" si="4"/>
        <v>24588000</v>
      </c>
      <c r="G33" s="86">
        <f t="shared" si="4"/>
        <v>13716000</v>
      </c>
      <c r="H33" s="86">
        <f t="shared" si="4"/>
        <v>10872000</v>
      </c>
      <c r="I33" s="87">
        <f>AVERAGE(I28:I32)</f>
        <v>0.4685797827903091</v>
      </c>
      <c r="J33" s="88"/>
    </row>
    <row r="34" spans="1:10" x14ac:dyDescent="0.25">
      <c r="A34" s="78" t="s">
        <v>33</v>
      </c>
      <c r="B34" s="65" t="s">
        <v>4</v>
      </c>
      <c r="C34" s="81">
        <f t="array" ref="C34">INDEX(Assumptions!$F$3:$F$18, MATCH(1, (Assumptions!$B$3:$B$18=Forecasting_2026!B34)*(Assumptions!$C$3:$C$18=Forecasting_2026!$C$1),0))*J34</f>
        <v>2300</v>
      </c>
      <c r="D34" s="82">
        <f t="array" ref="D34">INDEX(Assumptions!$D$3:$D$18, MATCH(1, (Assumptions!$B$3:$B$18=Forecasting_2026!B34)*(Assumptions!$C$3:$C$18=Forecasting_2026!$C$1),0))</f>
        <v>2700</v>
      </c>
      <c r="E34" s="82">
        <f t="array" ref="E34">INDEX(Assumptions!$E$3:$E$18, MATCH(1, (Assumptions!$B$3:$B$18=Forecasting_2026!B34)*(Assumptions!$C$3:$C$18=Forecasting_2026!$C$1),0))</f>
        <v>1650</v>
      </c>
      <c r="F34" s="82">
        <f t="shared" si="0"/>
        <v>6210000</v>
      </c>
      <c r="G34" s="82">
        <f t="shared" si="1"/>
        <v>3795000</v>
      </c>
      <c r="H34" s="82">
        <f t="shared" si="2"/>
        <v>2415000</v>
      </c>
      <c r="I34" s="83">
        <f t="shared" si="3"/>
        <v>0.3888888888888889</v>
      </c>
      <c r="J34" s="84">
        <f>VLOOKUP(A34,Seasonality!$B$4:$C$15,2,FALSE)</f>
        <v>1.1499999999999999</v>
      </c>
    </row>
    <row r="35" spans="1:10" x14ac:dyDescent="0.25">
      <c r="A35" s="78" t="s">
        <v>33</v>
      </c>
      <c r="B35" s="65" t="s">
        <v>5</v>
      </c>
      <c r="C35" s="81">
        <f t="array" ref="C35">INDEX(Assumptions!$F$3:$F$18, MATCH(1, (Assumptions!$B$3:$B$18=Forecasting_2026!B35)*(Assumptions!$C$3:$C$18=Forecasting_2026!$C$1),0))*J35</f>
        <v>1494.9999999999998</v>
      </c>
      <c r="D35" s="82">
        <f t="array" ref="D35">INDEX(Assumptions!$D$3:$D$18, MATCH(1, (Assumptions!$B$3:$B$18=Forecasting_2026!B35)*(Assumptions!$C$3:$C$18=Forecasting_2026!$C$1),0))</f>
        <v>3800</v>
      </c>
      <c r="E35" s="82">
        <f t="array" ref="E35">INDEX(Assumptions!$E$3:$E$18, MATCH(1, (Assumptions!$B$3:$B$18=Forecasting_2026!B35)*(Assumptions!$C$3:$C$18=Forecasting_2026!$C$1),0))</f>
        <v>2500</v>
      </c>
      <c r="F35" s="82">
        <f t="shared" si="0"/>
        <v>5680999.9999999991</v>
      </c>
      <c r="G35" s="82">
        <f t="shared" si="1"/>
        <v>3737499.9999999995</v>
      </c>
      <c r="H35" s="82">
        <f t="shared" si="2"/>
        <v>1943499.9999999995</v>
      </c>
      <c r="I35" s="83">
        <f t="shared" si="3"/>
        <v>0.34210526315789469</v>
      </c>
      <c r="J35" s="84">
        <f>VLOOKUP(A35,Seasonality!$B$4:$C$15,2,FALSE)</f>
        <v>1.1499999999999999</v>
      </c>
    </row>
    <row r="36" spans="1:10" x14ac:dyDescent="0.25">
      <c r="A36" s="78" t="s">
        <v>33</v>
      </c>
      <c r="B36" s="65" t="s">
        <v>14</v>
      </c>
      <c r="C36" s="81">
        <f t="array" ref="C36">INDEX(Assumptions!$F$3:$F$18, MATCH(1, (Assumptions!$B$3:$B$18=Forecasting_2026!B36)*(Assumptions!$C$3:$C$18=Forecasting_2026!$C$1),0))*J36</f>
        <v>1609.9999999999998</v>
      </c>
      <c r="D36" s="82">
        <f t="array" ref="D36">INDEX(Assumptions!$D$3:$D$18, MATCH(1, (Assumptions!$B$3:$B$18=Forecasting_2026!B36)*(Assumptions!$C$3:$C$18=Forecasting_2026!$C$1),0))</f>
        <v>3000</v>
      </c>
      <c r="E36" s="82">
        <f t="array" ref="E36">INDEX(Assumptions!$E$3:$E$18, MATCH(1, (Assumptions!$B$3:$B$18=Forecasting_2026!B36)*(Assumptions!$C$3:$C$18=Forecasting_2026!$C$1),0))</f>
        <v>1700</v>
      </c>
      <c r="F36" s="82">
        <f t="shared" si="0"/>
        <v>4829999.9999999991</v>
      </c>
      <c r="G36" s="82">
        <f t="shared" si="1"/>
        <v>2736999.9999999995</v>
      </c>
      <c r="H36" s="82">
        <f t="shared" si="2"/>
        <v>2092999.9999999995</v>
      </c>
      <c r="I36" s="83">
        <f t="shared" si="3"/>
        <v>0.43333333333333335</v>
      </c>
      <c r="J36" s="84">
        <f>VLOOKUP(A36,Seasonality!$B$4:$C$15,2,FALSE)</f>
        <v>1.1499999999999999</v>
      </c>
    </row>
    <row r="37" spans="1:10" x14ac:dyDescent="0.25">
      <c r="A37" s="78" t="s">
        <v>33</v>
      </c>
      <c r="B37" s="65" t="s">
        <v>39</v>
      </c>
      <c r="C37" s="81">
        <f t="array" ref="C37">INDEX(Assumptions!$F$3:$F$18, MATCH(1, (Assumptions!$B$3:$B$18=Forecasting_2026!B37)*(Assumptions!$C$3:$C$18=Forecasting_2026!$C$1),0))*J37</f>
        <v>2875</v>
      </c>
      <c r="D37" s="82">
        <f t="array" ref="D37">INDEX(Assumptions!$D$3:$D$18, MATCH(1, (Assumptions!$B$3:$B$18=Forecasting_2026!B37)*(Assumptions!$C$3:$C$18=Forecasting_2026!$C$1),0))</f>
        <v>1400</v>
      </c>
      <c r="E37" s="82">
        <f t="array" ref="E37">INDEX(Assumptions!$E$3:$E$18, MATCH(1, (Assumptions!$B$3:$B$18=Forecasting_2026!B37)*(Assumptions!$C$3:$C$18=Forecasting_2026!$C$1),0))</f>
        <v>650</v>
      </c>
      <c r="F37" s="82">
        <f t="shared" si="0"/>
        <v>4025000</v>
      </c>
      <c r="G37" s="82">
        <f t="shared" si="1"/>
        <v>1868750</v>
      </c>
      <c r="H37" s="82">
        <f t="shared" si="2"/>
        <v>2156250</v>
      </c>
      <c r="I37" s="83">
        <f t="shared" si="3"/>
        <v>0.5357142857142857</v>
      </c>
      <c r="J37" s="84">
        <f>VLOOKUP(A37,Seasonality!$B$4:$C$15,2,FALSE)</f>
        <v>1.1499999999999999</v>
      </c>
    </row>
    <row r="38" spans="1:10" x14ac:dyDescent="0.25">
      <c r="A38" s="78" t="s">
        <v>33</v>
      </c>
      <c r="B38" s="65" t="s">
        <v>6</v>
      </c>
      <c r="C38" s="81">
        <f t="array" ref="C38">INDEX(Assumptions!$F$3:$F$18, MATCH(1, (Assumptions!$B$3:$B$18=Forecasting_2026!B38)*(Assumptions!$C$3:$C$18=Forecasting_2026!$C$1),0))*J38</f>
        <v>4024.9999999999995</v>
      </c>
      <c r="D38" s="82">
        <f t="array" ref="D38">INDEX(Assumptions!$D$3:$D$18, MATCH(1, (Assumptions!$B$3:$B$18=Forecasting_2026!B38)*(Assumptions!$C$3:$C$18=Forecasting_2026!$C$1),0))</f>
        <v>700</v>
      </c>
      <c r="E38" s="82">
        <f t="array" ref="E38">INDEX(Assumptions!$E$3:$E$18, MATCH(1, (Assumptions!$B$3:$B$18=Forecasting_2026!B38)*(Assumptions!$C$3:$C$18=Forecasting_2026!$C$1),0))</f>
        <v>250</v>
      </c>
      <c r="F38" s="82">
        <f t="shared" si="0"/>
        <v>2817499.9999999995</v>
      </c>
      <c r="G38" s="82">
        <f t="shared" si="1"/>
        <v>1006249.9999999999</v>
      </c>
      <c r="H38" s="82">
        <f t="shared" si="2"/>
        <v>1811249.9999999995</v>
      </c>
      <c r="I38" s="83">
        <f t="shared" si="3"/>
        <v>0.64285714285714279</v>
      </c>
      <c r="J38" s="84">
        <f>VLOOKUP(A38,Seasonality!$B$4:$C$15,2,FALSE)</f>
        <v>1.1499999999999999</v>
      </c>
    </row>
    <row r="39" spans="1:10" ht="15.75" x14ac:dyDescent="0.25">
      <c r="A39" s="79" t="s">
        <v>40</v>
      </c>
      <c r="B39" s="80"/>
      <c r="C39" s="85">
        <f t="shared" ref="C39:H39" si="5">SUM(C34:C38)</f>
        <v>12305</v>
      </c>
      <c r="D39" s="86"/>
      <c r="E39" s="86"/>
      <c r="F39" s="86">
        <f t="shared" si="5"/>
        <v>23563500</v>
      </c>
      <c r="G39" s="86">
        <f t="shared" si="5"/>
        <v>13144500</v>
      </c>
      <c r="H39" s="86">
        <f t="shared" si="5"/>
        <v>10419000</v>
      </c>
      <c r="I39" s="87">
        <f>AVERAGE(I34:I38)</f>
        <v>0.4685797827903091</v>
      </c>
      <c r="J39" s="88"/>
    </row>
    <row r="40" spans="1:10" x14ac:dyDescent="0.25">
      <c r="A40" s="78" t="s">
        <v>28</v>
      </c>
      <c r="B40" s="65" t="s">
        <v>4</v>
      </c>
      <c r="C40" s="81">
        <f t="array" ref="C40">INDEX(Assumptions!$F$3:$F$18, MATCH(1, (Assumptions!$B$3:$B$18=Forecasting_2026!B40)*(Assumptions!$C$3:$C$18=Forecasting_2026!$C$1),0))*J40</f>
        <v>2100</v>
      </c>
      <c r="D40" s="82">
        <f t="array" ref="D40">INDEX(Assumptions!$D$3:$D$18, MATCH(1, (Assumptions!$B$3:$B$18=Forecasting_2026!B40)*(Assumptions!$C$3:$C$18=Forecasting_2026!$C$1),0))</f>
        <v>2700</v>
      </c>
      <c r="E40" s="82">
        <f t="array" ref="E40">INDEX(Assumptions!$E$3:$E$18, MATCH(1, (Assumptions!$B$3:$B$18=Forecasting_2026!B40)*(Assumptions!$C$3:$C$18=Forecasting_2026!$C$1),0))</f>
        <v>1650</v>
      </c>
      <c r="F40" s="82">
        <f t="shared" si="0"/>
        <v>5670000</v>
      </c>
      <c r="G40" s="82">
        <f t="shared" si="1"/>
        <v>3465000</v>
      </c>
      <c r="H40" s="82">
        <f t="shared" si="2"/>
        <v>2205000</v>
      </c>
      <c r="I40" s="83">
        <f t="shared" si="3"/>
        <v>0.3888888888888889</v>
      </c>
      <c r="J40" s="84">
        <f>VLOOKUP(A40,Seasonality!$B$4:$C$15,2,FALSE)</f>
        <v>1.05</v>
      </c>
    </row>
    <row r="41" spans="1:10" x14ac:dyDescent="0.25">
      <c r="A41" s="78" t="s">
        <v>28</v>
      </c>
      <c r="B41" s="65" t="s">
        <v>5</v>
      </c>
      <c r="C41" s="81">
        <f t="array" ref="C41">INDEX(Assumptions!$F$3:$F$18, MATCH(1, (Assumptions!$B$3:$B$18=Forecasting_2026!B41)*(Assumptions!$C$3:$C$18=Forecasting_2026!$C$1),0))*J41</f>
        <v>1365</v>
      </c>
      <c r="D41" s="82">
        <f t="array" ref="D41">INDEX(Assumptions!$D$3:$D$18, MATCH(1, (Assumptions!$B$3:$B$18=Forecasting_2026!B41)*(Assumptions!$C$3:$C$18=Forecasting_2026!$C$1),0))</f>
        <v>3800</v>
      </c>
      <c r="E41" s="82">
        <f t="array" ref="E41">INDEX(Assumptions!$E$3:$E$18, MATCH(1, (Assumptions!$B$3:$B$18=Forecasting_2026!B41)*(Assumptions!$C$3:$C$18=Forecasting_2026!$C$1),0))</f>
        <v>2500</v>
      </c>
      <c r="F41" s="82">
        <f t="shared" si="0"/>
        <v>5187000</v>
      </c>
      <c r="G41" s="82">
        <f t="shared" si="1"/>
        <v>3412500</v>
      </c>
      <c r="H41" s="82">
        <f t="shared" si="2"/>
        <v>1774500</v>
      </c>
      <c r="I41" s="83">
        <f t="shared" si="3"/>
        <v>0.34210526315789475</v>
      </c>
      <c r="J41" s="84">
        <f>VLOOKUP(A41,Seasonality!$B$4:$C$15,2,FALSE)</f>
        <v>1.05</v>
      </c>
    </row>
    <row r="42" spans="1:10" x14ac:dyDescent="0.25">
      <c r="A42" s="78" t="s">
        <v>28</v>
      </c>
      <c r="B42" s="65" t="s">
        <v>14</v>
      </c>
      <c r="C42" s="81">
        <f t="array" ref="C42">INDEX(Assumptions!$F$3:$F$18, MATCH(1, (Assumptions!$B$3:$B$18=Forecasting_2026!B42)*(Assumptions!$C$3:$C$18=Forecasting_2026!$C$1),0))*J42</f>
        <v>1470</v>
      </c>
      <c r="D42" s="82">
        <f t="array" ref="D42">INDEX(Assumptions!$D$3:$D$18, MATCH(1, (Assumptions!$B$3:$B$18=Forecasting_2026!B42)*(Assumptions!$C$3:$C$18=Forecasting_2026!$C$1),0))</f>
        <v>3000</v>
      </c>
      <c r="E42" s="82">
        <f t="array" ref="E42">INDEX(Assumptions!$E$3:$E$18, MATCH(1, (Assumptions!$B$3:$B$18=Forecasting_2026!B42)*(Assumptions!$C$3:$C$18=Forecasting_2026!$C$1),0))</f>
        <v>1700</v>
      </c>
      <c r="F42" s="82">
        <f t="shared" si="0"/>
        <v>4410000</v>
      </c>
      <c r="G42" s="82">
        <f t="shared" si="1"/>
        <v>2499000</v>
      </c>
      <c r="H42" s="82">
        <f t="shared" si="2"/>
        <v>1911000</v>
      </c>
      <c r="I42" s="83">
        <f t="shared" si="3"/>
        <v>0.43333333333333335</v>
      </c>
      <c r="J42" s="84">
        <f>VLOOKUP(A42,Seasonality!$B$4:$C$15,2,FALSE)</f>
        <v>1.05</v>
      </c>
    </row>
    <row r="43" spans="1:10" x14ac:dyDescent="0.25">
      <c r="A43" s="78" t="s">
        <v>28</v>
      </c>
      <c r="B43" s="65" t="s">
        <v>39</v>
      </c>
      <c r="C43" s="81">
        <f t="array" ref="C43">INDEX(Assumptions!$F$3:$F$18, MATCH(1, (Assumptions!$B$3:$B$18=Forecasting_2026!B43)*(Assumptions!$C$3:$C$18=Forecasting_2026!$C$1),0))*J43</f>
        <v>2625</v>
      </c>
      <c r="D43" s="82">
        <f t="array" ref="D43">INDEX(Assumptions!$D$3:$D$18, MATCH(1, (Assumptions!$B$3:$B$18=Forecasting_2026!B43)*(Assumptions!$C$3:$C$18=Forecasting_2026!$C$1),0))</f>
        <v>1400</v>
      </c>
      <c r="E43" s="82">
        <f t="array" ref="E43">INDEX(Assumptions!$E$3:$E$18, MATCH(1, (Assumptions!$B$3:$B$18=Forecasting_2026!B43)*(Assumptions!$C$3:$C$18=Forecasting_2026!$C$1),0))</f>
        <v>650</v>
      </c>
      <c r="F43" s="82">
        <f t="shared" si="0"/>
        <v>3675000</v>
      </c>
      <c r="G43" s="82">
        <f t="shared" si="1"/>
        <v>1706250</v>
      </c>
      <c r="H43" s="82">
        <f t="shared" si="2"/>
        <v>1968750</v>
      </c>
      <c r="I43" s="83">
        <f t="shared" si="3"/>
        <v>0.5357142857142857</v>
      </c>
      <c r="J43" s="84">
        <f>VLOOKUP(A43,Seasonality!$B$4:$C$15,2,FALSE)</f>
        <v>1.05</v>
      </c>
    </row>
    <row r="44" spans="1:10" x14ac:dyDescent="0.25">
      <c r="A44" s="78" t="s">
        <v>28</v>
      </c>
      <c r="B44" s="65" t="s">
        <v>6</v>
      </c>
      <c r="C44" s="81">
        <f t="array" ref="C44">INDEX(Assumptions!$F$3:$F$18, MATCH(1, (Assumptions!$B$3:$B$18=Forecasting_2026!B44)*(Assumptions!$C$3:$C$18=Forecasting_2026!$C$1),0))*J44</f>
        <v>3675</v>
      </c>
      <c r="D44" s="82">
        <f t="array" ref="D44">INDEX(Assumptions!$D$3:$D$18, MATCH(1, (Assumptions!$B$3:$B$18=Forecasting_2026!B44)*(Assumptions!$C$3:$C$18=Forecasting_2026!$C$1),0))</f>
        <v>700</v>
      </c>
      <c r="E44" s="82">
        <f t="array" ref="E44">INDEX(Assumptions!$E$3:$E$18, MATCH(1, (Assumptions!$B$3:$B$18=Forecasting_2026!B44)*(Assumptions!$C$3:$C$18=Forecasting_2026!$C$1),0))</f>
        <v>250</v>
      </c>
      <c r="F44" s="82">
        <f t="shared" si="0"/>
        <v>2572500</v>
      </c>
      <c r="G44" s="82">
        <f t="shared" si="1"/>
        <v>918750</v>
      </c>
      <c r="H44" s="82">
        <f t="shared" si="2"/>
        <v>1653750</v>
      </c>
      <c r="I44" s="83">
        <f t="shared" si="3"/>
        <v>0.6428571428571429</v>
      </c>
      <c r="J44" s="84">
        <f>VLOOKUP(A44,Seasonality!$B$4:$C$15,2,FALSE)</f>
        <v>1.05</v>
      </c>
    </row>
    <row r="45" spans="1:10" ht="15.75" x14ac:dyDescent="0.25">
      <c r="A45" s="79" t="s">
        <v>40</v>
      </c>
      <c r="B45" s="80"/>
      <c r="C45" s="85">
        <f t="shared" ref="C45:H45" si="6">SUM(C40:C44)</f>
        <v>11235</v>
      </c>
      <c r="D45" s="86"/>
      <c r="E45" s="86"/>
      <c r="F45" s="86">
        <f t="shared" si="6"/>
        <v>21514500</v>
      </c>
      <c r="G45" s="86">
        <f t="shared" si="6"/>
        <v>12001500</v>
      </c>
      <c r="H45" s="86">
        <f t="shared" si="6"/>
        <v>9513000</v>
      </c>
      <c r="I45" s="87">
        <f>AVERAGE(I40:I44)</f>
        <v>0.4685797827903091</v>
      </c>
      <c r="J45" s="88"/>
    </row>
    <row r="46" spans="1:10" x14ac:dyDescent="0.25">
      <c r="A46" s="78" t="s">
        <v>34</v>
      </c>
      <c r="B46" s="65" t="s">
        <v>4</v>
      </c>
      <c r="C46" s="81">
        <f t="array" ref="C46">INDEX(Assumptions!$F$3:$F$18, MATCH(1, (Assumptions!$B$3:$B$18=Forecasting_2026!B46)*(Assumptions!$C$3:$C$18=Forecasting_2026!$C$1),0))*J46</f>
        <v>2200</v>
      </c>
      <c r="D46" s="82">
        <f t="array" ref="D46">INDEX(Assumptions!$D$3:$D$18, MATCH(1, (Assumptions!$B$3:$B$18=Forecasting_2026!B46)*(Assumptions!$C$3:$C$18=Forecasting_2026!$C$1),0))</f>
        <v>2700</v>
      </c>
      <c r="E46" s="82">
        <f t="array" ref="E46">INDEX(Assumptions!$E$3:$E$18, MATCH(1, (Assumptions!$B$3:$B$18=Forecasting_2026!B46)*(Assumptions!$C$3:$C$18=Forecasting_2026!$C$1),0))</f>
        <v>1650</v>
      </c>
      <c r="F46" s="82">
        <f t="shared" si="0"/>
        <v>5940000</v>
      </c>
      <c r="G46" s="82">
        <f t="shared" si="1"/>
        <v>3630000</v>
      </c>
      <c r="H46" s="82">
        <f t="shared" si="2"/>
        <v>2310000</v>
      </c>
      <c r="I46" s="83">
        <f t="shared" si="3"/>
        <v>0.3888888888888889</v>
      </c>
      <c r="J46" s="84">
        <f>VLOOKUP(A46,Seasonality!$B$4:$C$15,2,FALSE)</f>
        <v>1.1000000000000001</v>
      </c>
    </row>
    <row r="47" spans="1:10" x14ac:dyDescent="0.25">
      <c r="A47" s="78" t="s">
        <v>34</v>
      </c>
      <c r="B47" s="65" t="s">
        <v>5</v>
      </c>
      <c r="C47" s="81">
        <f t="array" ref="C47">INDEX(Assumptions!$F$3:$F$18, MATCH(1, (Assumptions!$B$3:$B$18=Forecasting_2026!B47)*(Assumptions!$C$3:$C$18=Forecasting_2026!$C$1),0))*J47</f>
        <v>1430.0000000000002</v>
      </c>
      <c r="D47" s="82">
        <f t="array" ref="D47">INDEX(Assumptions!$D$3:$D$18, MATCH(1, (Assumptions!$B$3:$B$18=Forecasting_2026!B47)*(Assumptions!$C$3:$C$18=Forecasting_2026!$C$1),0))</f>
        <v>3800</v>
      </c>
      <c r="E47" s="82">
        <f t="array" ref="E47">INDEX(Assumptions!$E$3:$E$18, MATCH(1, (Assumptions!$B$3:$B$18=Forecasting_2026!B47)*(Assumptions!$C$3:$C$18=Forecasting_2026!$C$1),0))</f>
        <v>2500</v>
      </c>
      <c r="F47" s="82">
        <f t="shared" si="0"/>
        <v>5434000.0000000009</v>
      </c>
      <c r="G47" s="82">
        <f t="shared" si="1"/>
        <v>3575000.0000000005</v>
      </c>
      <c r="H47" s="82">
        <f t="shared" si="2"/>
        <v>1859000.0000000005</v>
      </c>
      <c r="I47" s="83">
        <f t="shared" si="3"/>
        <v>0.34210526315789475</v>
      </c>
      <c r="J47" s="84">
        <f>VLOOKUP(A47,Seasonality!$B$4:$C$15,2,FALSE)</f>
        <v>1.1000000000000001</v>
      </c>
    </row>
    <row r="48" spans="1:10" x14ac:dyDescent="0.25">
      <c r="A48" s="78" t="s">
        <v>34</v>
      </c>
      <c r="B48" s="65" t="s">
        <v>14</v>
      </c>
      <c r="C48" s="81">
        <f t="array" ref="C48">INDEX(Assumptions!$F$3:$F$18, MATCH(1, (Assumptions!$B$3:$B$18=Forecasting_2026!B48)*(Assumptions!$C$3:$C$18=Forecasting_2026!$C$1),0))*J48</f>
        <v>1540.0000000000002</v>
      </c>
      <c r="D48" s="82">
        <f t="array" ref="D48">INDEX(Assumptions!$D$3:$D$18, MATCH(1, (Assumptions!$B$3:$B$18=Forecasting_2026!B48)*(Assumptions!$C$3:$C$18=Forecasting_2026!$C$1),0))</f>
        <v>3000</v>
      </c>
      <c r="E48" s="82">
        <f t="array" ref="E48">INDEX(Assumptions!$E$3:$E$18, MATCH(1, (Assumptions!$B$3:$B$18=Forecasting_2026!B48)*(Assumptions!$C$3:$C$18=Forecasting_2026!$C$1),0))</f>
        <v>1700</v>
      </c>
      <c r="F48" s="82">
        <f t="shared" si="0"/>
        <v>4620000.0000000009</v>
      </c>
      <c r="G48" s="82">
        <f t="shared" si="1"/>
        <v>2618000.0000000005</v>
      </c>
      <c r="H48" s="82">
        <f t="shared" si="2"/>
        <v>2002000.0000000005</v>
      </c>
      <c r="I48" s="83">
        <f t="shared" si="3"/>
        <v>0.43333333333333335</v>
      </c>
      <c r="J48" s="84">
        <f>VLOOKUP(A48,Seasonality!$B$4:$C$15,2,FALSE)</f>
        <v>1.1000000000000001</v>
      </c>
    </row>
    <row r="49" spans="1:10" x14ac:dyDescent="0.25">
      <c r="A49" s="78" t="s">
        <v>34</v>
      </c>
      <c r="B49" s="65" t="s">
        <v>39</v>
      </c>
      <c r="C49" s="81">
        <f t="array" ref="C49">INDEX(Assumptions!$F$3:$F$18, MATCH(1, (Assumptions!$B$3:$B$18=Forecasting_2026!B49)*(Assumptions!$C$3:$C$18=Forecasting_2026!$C$1),0))*J49</f>
        <v>2750</v>
      </c>
      <c r="D49" s="82">
        <f t="array" ref="D49">INDEX(Assumptions!$D$3:$D$18, MATCH(1, (Assumptions!$B$3:$B$18=Forecasting_2026!B49)*(Assumptions!$C$3:$C$18=Forecasting_2026!$C$1),0))</f>
        <v>1400</v>
      </c>
      <c r="E49" s="82">
        <f t="array" ref="E49">INDEX(Assumptions!$E$3:$E$18, MATCH(1, (Assumptions!$B$3:$B$18=Forecasting_2026!B49)*(Assumptions!$C$3:$C$18=Forecasting_2026!$C$1),0))</f>
        <v>650</v>
      </c>
      <c r="F49" s="82">
        <f t="shared" si="0"/>
        <v>3850000</v>
      </c>
      <c r="G49" s="82">
        <f t="shared" si="1"/>
        <v>1787500</v>
      </c>
      <c r="H49" s="82">
        <f t="shared" si="2"/>
        <v>2062500</v>
      </c>
      <c r="I49" s="83">
        <f t="shared" si="3"/>
        <v>0.5357142857142857</v>
      </c>
      <c r="J49" s="84">
        <f>VLOOKUP(A49,Seasonality!$B$4:$C$15,2,FALSE)</f>
        <v>1.1000000000000001</v>
      </c>
    </row>
    <row r="50" spans="1:10" x14ac:dyDescent="0.25">
      <c r="A50" s="78" t="s">
        <v>34</v>
      </c>
      <c r="B50" s="65" t="s">
        <v>6</v>
      </c>
      <c r="C50" s="81">
        <f t="array" ref="C50">INDEX(Assumptions!$F$3:$F$18, MATCH(1, (Assumptions!$B$3:$B$18=Forecasting_2026!B50)*(Assumptions!$C$3:$C$18=Forecasting_2026!$C$1),0))*J50</f>
        <v>3850.0000000000005</v>
      </c>
      <c r="D50" s="82">
        <f t="array" ref="D50">INDEX(Assumptions!$D$3:$D$18, MATCH(1, (Assumptions!$B$3:$B$18=Forecasting_2026!B50)*(Assumptions!$C$3:$C$18=Forecasting_2026!$C$1),0))</f>
        <v>700</v>
      </c>
      <c r="E50" s="82">
        <f t="array" ref="E50">INDEX(Assumptions!$E$3:$E$18, MATCH(1, (Assumptions!$B$3:$B$18=Forecasting_2026!B50)*(Assumptions!$C$3:$C$18=Forecasting_2026!$C$1),0))</f>
        <v>250</v>
      </c>
      <c r="F50" s="82">
        <f t="shared" si="0"/>
        <v>2695000.0000000005</v>
      </c>
      <c r="G50" s="82">
        <f t="shared" si="1"/>
        <v>962500.00000000012</v>
      </c>
      <c r="H50" s="82">
        <f t="shared" si="2"/>
        <v>1732500.0000000005</v>
      </c>
      <c r="I50" s="83">
        <f t="shared" si="3"/>
        <v>0.6428571428571429</v>
      </c>
      <c r="J50" s="84">
        <f>VLOOKUP(A50,Seasonality!$B$4:$C$15,2,FALSE)</f>
        <v>1.1000000000000001</v>
      </c>
    </row>
    <row r="51" spans="1:10" ht="15.75" x14ac:dyDescent="0.25">
      <c r="A51" s="79" t="s">
        <v>40</v>
      </c>
      <c r="B51" s="80"/>
      <c r="C51" s="85">
        <f t="shared" ref="C51:H51" si="7">SUM(C46:C50)</f>
        <v>11770</v>
      </c>
      <c r="D51" s="86"/>
      <c r="E51" s="86"/>
      <c r="F51" s="86">
        <f t="shared" si="7"/>
        <v>22539000</v>
      </c>
      <c r="G51" s="86">
        <f t="shared" si="7"/>
        <v>12573000</v>
      </c>
      <c r="H51" s="86">
        <f t="shared" si="7"/>
        <v>9966000.0000000019</v>
      </c>
      <c r="I51" s="87">
        <f>AVERAGE(I46:I50)</f>
        <v>0.4685797827903091</v>
      </c>
      <c r="J51" s="88"/>
    </row>
    <row r="52" spans="1:10" x14ac:dyDescent="0.25">
      <c r="A52" s="78" t="s">
        <v>35</v>
      </c>
      <c r="B52" s="65" t="s">
        <v>4</v>
      </c>
      <c r="C52" s="81">
        <f t="array" ref="C52">INDEX(Assumptions!$F$3:$F$18, MATCH(1, (Assumptions!$B$3:$B$18=Forecasting_2026!B52)*(Assumptions!$C$3:$C$18=Forecasting_2026!$C$1),0))*J52</f>
        <v>2300</v>
      </c>
      <c r="D52" s="82">
        <f t="array" ref="D52">INDEX(Assumptions!$D$3:$D$18, MATCH(1, (Assumptions!$B$3:$B$18=Forecasting_2026!B52)*(Assumptions!$C$3:$C$18=Forecasting_2026!$C$1),0))</f>
        <v>2700</v>
      </c>
      <c r="E52" s="82">
        <f t="array" ref="E52">INDEX(Assumptions!$E$3:$E$18, MATCH(1, (Assumptions!$B$3:$B$18=Forecasting_2026!B52)*(Assumptions!$C$3:$C$18=Forecasting_2026!$C$1),0))</f>
        <v>1650</v>
      </c>
      <c r="F52" s="82">
        <f t="shared" si="0"/>
        <v>6210000</v>
      </c>
      <c r="G52" s="82">
        <f t="shared" si="1"/>
        <v>3795000</v>
      </c>
      <c r="H52" s="82">
        <f t="shared" si="2"/>
        <v>2415000</v>
      </c>
      <c r="I52" s="83">
        <f t="shared" si="3"/>
        <v>0.3888888888888889</v>
      </c>
      <c r="J52" s="84">
        <f>VLOOKUP(A52,Seasonality!$B$4:$C$15,2,FALSE)</f>
        <v>1.1499999999999999</v>
      </c>
    </row>
    <row r="53" spans="1:10" x14ac:dyDescent="0.25">
      <c r="A53" s="78" t="s">
        <v>35</v>
      </c>
      <c r="B53" s="65" t="s">
        <v>5</v>
      </c>
      <c r="C53" s="81">
        <f t="array" ref="C53">INDEX(Assumptions!$F$3:$F$18, MATCH(1, (Assumptions!$B$3:$B$18=Forecasting_2026!B53)*(Assumptions!$C$3:$C$18=Forecasting_2026!$C$1),0))*J53</f>
        <v>1494.9999999999998</v>
      </c>
      <c r="D53" s="82">
        <f t="array" ref="D53">INDEX(Assumptions!$D$3:$D$18, MATCH(1, (Assumptions!$B$3:$B$18=Forecasting_2026!B53)*(Assumptions!$C$3:$C$18=Forecasting_2026!$C$1),0))</f>
        <v>3800</v>
      </c>
      <c r="E53" s="82">
        <f t="array" ref="E53">INDEX(Assumptions!$E$3:$E$18, MATCH(1, (Assumptions!$B$3:$B$18=Forecasting_2026!B53)*(Assumptions!$C$3:$C$18=Forecasting_2026!$C$1),0))</f>
        <v>2500</v>
      </c>
      <c r="F53" s="82">
        <f t="shared" si="0"/>
        <v>5680999.9999999991</v>
      </c>
      <c r="G53" s="82">
        <f t="shared" si="1"/>
        <v>3737499.9999999995</v>
      </c>
      <c r="H53" s="82">
        <f t="shared" si="2"/>
        <v>1943499.9999999995</v>
      </c>
      <c r="I53" s="83">
        <f t="shared" si="3"/>
        <v>0.34210526315789469</v>
      </c>
      <c r="J53" s="84">
        <f>VLOOKUP(A53,Seasonality!$B$4:$C$15,2,FALSE)</f>
        <v>1.1499999999999999</v>
      </c>
    </row>
    <row r="54" spans="1:10" x14ac:dyDescent="0.25">
      <c r="A54" s="78" t="s">
        <v>35</v>
      </c>
      <c r="B54" s="65" t="s">
        <v>14</v>
      </c>
      <c r="C54" s="81">
        <f t="array" ref="C54">INDEX(Assumptions!$F$3:$F$18, MATCH(1, (Assumptions!$B$3:$B$18=Forecasting_2026!B54)*(Assumptions!$C$3:$C$18=Forecasting_2026!$C$1),0))*J54</f>
        <v>1609.9999999999998</v>
      </c>
      <c r="D54" s="82">
        <f t="array" ref="D54">INDEX(Assumptions!$D$3:$D$18, MATCH(1, (Assumptions!$B$3:$B$18=Forecasting_2026!B54)*(Assumptions!$C$3:$C$18=Forecasting_2026!$C$1),0))</f>
        <v>3000</v>
      </c>
      <c r="E54" s="82">
        <f t="array" ref="E54">INDEX(Assumptions!$E$3:$E$18, MATCH(1, (Assumptions!$B$3:$B$18=Forecasting_2026!B54)*(Assumptions!$C$3:$C$18=Forecasting_2026!$C$1),0))</f>
        <v>1700</v>
      </c>
      <c r="F54" s="82">
        <f t="shared" si="0"/>
        <v>4829999.9999999991</v>
      </c>
      <c r="G54" s="82">
        <f t="shared" si="1"/>
        <v>2736999.9999999995</v>
      </c>
      <c r="H54" s="82">
        <f t="shared" si="2"/>
        <v>2092999.9999999995</v>
      </c>
      <c r="I54" s="83">
        <f t="shared" si="3"/>
        <v>0.43333333333333335</v>
      </c>
      <c r="J54" s="84">
        <f>VLOOKUP(A54,Seasonality!$B$4:$C$15,2,FALSE)</f>
        <v>1.1499999999999999</v>
      </c>
    </row>
    <row r="55" spans="1:10" x14ac:dyDescent="0.25">
      <c r="A55" s="78" t="s">
        <v>35</v>
      </c>
      <c r="B55" s="65" t="s">
        <v>39</v>
      </c>
      <c r="C55" s="81">
        <f t="array" ref="C55">INDEX(Assumptions!$F$3:$F$18, MATCH(1, (Assumptions!$B$3:$B$18=Forecasting_2026!B55)*(Assumptions!$C$3:$C$18=Forecasting_2026!$C$1),0))*J55</f>
        <v>2875</v>
      </c>
      <c r="D55" s="82">
        <f t="array" ref="D55">INDEX(Assumptions!$D$3:$D$18, MATCH(1, (Assumptions!$B$3:$B$18=Forecasting_2026!B55)*(Assumptions!$C$3:$C$18=Forecasting_2026!$C$1),0))</f>
        <v>1400</v>
      </c>
      <c r="E55" s="82">
        <f t="array" ref="E55">INDEX(Assumptions!$E$3:$E$18, MATCH(1, (Assumptions!$B$3:$B$18=Forecasting_2026!B55)*(Assumptions!$C$3:$C$18=Forecasting_2026!$C$1),0))</f>
        <v>650</v>
      </c>
      <c r="F55" s="82">
        <f t="shared" si="0"/>
        <v>4025000</v>
      </c>
      <c r="G55" s="82">
        <f t="shared" si="1"/>
        <v>1868750</v>
      </c>
      <c r="H55" s="82">
        <f t="shared" si="2"/>
        <v>2156250</v>
      </c>
      <c r="I55" s="83">
        <f t="shared" si="3"/>
        <v>0.5357142857142857</v>
      </c>
      <c r="J55" s="84">
        <f>VLOOKUP(A55,Seasonality!$B$4:$C$15,2,FALSE)</f>
        <v>1.1499999999999999</v>
      </c>
    </row>
    <row r="56" spans="1:10" x14ac:dyDescent="0.25">
      <c r="A56" s="78" t="s">
        <v>35</v>
      </c>
      <c r="B56" s="65" t="s">
        <v>6</v>
      </c>
      <c r="C56" s="81">
        <f t="array" ref="C56">INDEX(Assumptions!$F$3:$F$18, MATCH(1, (Assumptions!$B$3:$B$18=Forecasting_2026!B56)*(Assumptions!$C$3:$C$18=Forecasting_2026!$C$1),0))*J56</f>
        <v>4024.9999999999995</v>
      </c>
      <c r="D56" s="82">
        <f t="array" ref="D56">INDEX(Assumptions!$D$3:$D$18, MATCH(1, (Assumptions!$B$3:$B$18=Forecasting_2026!B56)*(Assumptions!$C$3:$C$18=Forecasting_2026!$C$1),0))</f>
        <v>700</v>
      </c>
      <c r="E56" s="82">
        <f t="array" ref="E56">INDEX(Assumptions!$E$3:$E$18, MATCH(1, (Assumptions!$B$3:$B$18=Forecasting_2026!B56)*(Assumptions!$C$3:$C$18=Forecasting_2026!$C$1),0))</f>
        <v>250</v>
      </c>
      <c r="F56" s="82">
        <f t="shared" si="0"/>
        <v>2817499.9999999995</v>
      </c>
      <c r="G56" s="82">
        <f t="shared" si="1"/>
        <v>1006249.9999999999</v>
      </c>
      <c r="H56" s="82">
        <f t="shared" si="2"/>
        <v>1811249.9999999995</v>
      </c>
      <c r="I56" s="83">
        <f t="shared" si="3"/>
        <v>0.64285714285714279</v>
      </c>
      <c r="J56" s="84">
        <f>VLOOKUP(A56,Seasonality!$B$4:$C$15,2,FALSE)</f>
        <v>1.1499999999999999</v>
      </c>
    </row>
    <row r="57" spans="1:10" ht="15.75" x14ac:dyDescent="0.25">
      <c r="A57" s="79" t="s">
        <v>40</v>
      </c>
      <c r="B57" s="80"/>
      <c r="C57" s="85">
        <f t="shared" ref="C57:H57" si="8">SUM(C52:C56)</f>
        <v>12305</v>
      </c>
      <c r="D57" s="86"/>
      <c r="E57" s="86"/>
      <c r="F57" s="86">
        <f t="shared" si="8"/>
        <v>23563500</v>
      </c>
      <c r="G57" s="86">
        <f t="shared" si="8"/>
        <v>13144500</v>
      </c>
      <c r="H57" s="86">
        <f t="shared" si="8"/>
        <v>10419000</v>
      </c>
      <c r="I57" s="87">
        <f>AVERAGE(I52:I56)</f>
        <v>0.4685797827903091</v>
      </c>
      <c r="J57" s="88"/>
    </row>
    <row r="58" spans="1:10" x14ac:dyDescent="0.25">
      <c r="A58" s="78" t="s">
        <v>36</v>
      </c>
      <c r="B58" s="65" t="s">
        <v>4</v>
      </c>
      <c r="C58" s="81">
        <f t="array" ref="C58">INDEX(Assumptions!$F$3:$F$18, MATCH(1, (Assumptions!$B$3:$B$18=Forecasting_2026!B58)*(Assumptions!$C$3:$C$18=Forecasting_2026!$C$1),0))*J58</f>
        <v>2600</v>
      </c>
      <c r="D58" s="82">
        <f t="array" ref="D58">INDEX(Assumptions!$D$3:$D$18, MATCH(1, (Assumptions!$B$3:$B$18=Forecasting_2026!B58)*(Assumptions!$C$3:$C$18=Forecasting_2026!$C$1),0))</f>
        <v>2700</v>
      </c>
      <c r="E58" s="82">
        <f t="array" ref="E58">INDEX(Assumptions!$E$3:$E$18, MATCH(1, (Assumptions!$B$3:$B$18=Forecasting_2026!B58)*(Assumptions!$C$3:$C$18=Forecasting_2026!$C$1),0))</f>
        <v>1650</v>
      </c>
      <c r="F58" s="82">
        <f t="shared" si="0"/>
        <v>7020000</v>
      </c>
      <c r="G58" s="82">
        <f t="shared" si="1"/>
        <v>4290000</v>
      </c>
      <c r="H58" s="82">
        <f t="shared" si="2"/>
        <v>2730000</v>
      </c>
      <c r="I58" s="83">
        <f t="shared" si="3"/>
        <v>0.3888888888888889</v>
      </c>
      <c r="J58" s="84">
        <f>VLOOKUP(A58,Seasonality!$B$4:$C$15,2,FALSE)</f>
        <v>1.3</v>
      </c>
    </row>
    <row r="59" spans="1:10" x14ac:dyDescent="0.25">
      <c r="A59" s="78" t="s">
        <v>36</v>
      </c>
      <c r="B59" s="65" t="s">
        <v>5</v>
      </c>
      <c r="C59" s="81">
        <f t="array" ref="C59">INDEX(Assumptions!$F$3:$F$18, MATCH(1, (Assumptions!$B$3:$B$18=Forecasting_2026!B59)*(Assumptions!$C$3:$C$18=Forecasting_2026!$C$1),0))*J59</f>
        <v>1690</v>
      </c>
      <c r="D59" s="82">
        <f t="array" ref="D59">INDEX(Assumptions!$D$3:$D$18, MATCH(1, (Assumptions!$B$3:$B$18=Forecasting_2026!B59)*(Assumptions!$C$3:$C$18=Forecasting_2026!$C$1),0))</f>
        <v>3800</v>
      </c>
      <c r="E59" s="82">
        <f t="array" ref="E59">INDEX(Assumptions!$E$3:$E$18, MATCH(1, (Assumptions!$B$3:$B$18=Forecasting_2026!B59)*(Assumptions!$C$3:$C$18=Forecasting_2026!$C$1),0))</f>
        <v>2500</v>
      </c>
      <c r="F59" s="82">
        <f t="shared" si="0"/>
        <v>6422000</v>
      </c>
      <c r="G59" s="82">
        <f t="shared" si="1"/>
        <v>4225000</v>
      </c>
      <c r="H59" s="82">
        <f t="shared" si="2"/>
        <v>2197000</v>
      </c>
      <c r="I59" s="83">
        <f t="shared" si="3"/>
        <v>0.34210526315789475</v>
      </c>
      <c r="J59" s="84">
        <f>VLOOKUP(A59,Seasonality!$B$4:$C$15,2,FALSE)</f>
        <v>1.3</v>
      </c>
    </row>
    <row r="60" spans="1:10" x14ac:dyDescent="0.25">
      <c r="A60" s="78" t="s">
        <v>36</v>
      </c>
      <c r="B60" s="65" t="s">
        <v>14</v>
      </c>
      <c r="C60" s="81">
        <f t="array" ref="C60">INDEX(Assumptions!$F$3:$F$18, MATCH(1, (Assumptions!$B$3:$B$18=Forecasting_2026!B60)*(Assumptions!$C$3:$C$18=Forecasting_2026!$C$1),0))*J60</f>
        <v>1820</v>
      </c>
      <c r="D60" s="82">
        <f t="array" ref="D60">INDEX(Assumptions!$D$3:$D$18, MATCH(1, (Assumptions!$B$3:$B$18=Forecasting_2026!B60)*(Assumptions!$C$3:$C$18=Forecasting_2026!$C$1),0))</f>
        <v>3000</v>
      </c>
      <c r="E60" s="82">
        <f t="array" ref="E60">INDEX(Assumptions!$E$3:$E$18, MATCH(1, (Assumptions!$B$3:$B$18=Forecasting_2026!B60)*(Assumptions!$C$3:$C$18=Forecasting_2026!$C$1),0))</f>
        <v>1700</v>
      </c>
      <c r="F60" s="82">
        <f t="shared" si="0"/>
        <v>5460000</v>
      </c>
      <c r="G60" s="82">
        <f t="shared" si="1"/>
        <v>3094000</v>
      </c>
      <c r="H60" s="82">
        <f t="shared" si="2"/>
        <v>2366000</v>
      </c>
      <c r="I60" s="83">
        <f t="shared" si="3"/>
        <v>0.43333333333333335</v>
      </c>
      <c r="J60" s="84">
        <f>VLOOKUP(A60,Seasonality!$B$4:$C$15,2,FALSE)</f>
        <v>1.3</v>
      </c>
    </row>
    <row r="61" spans="1:10" x14ac:dyDescent="0.25">
      <c r="A61" s="78" t="s">
        <v>36</v>
      </c>
      <c r="B61" s="65" t="s">
        <v>39</v>
      </c>
      <c r="C61" s="81">
        <f t="array" ref="C61">INDEX(Assumptions!$F$3:$F$18, MATCH(1, (Assumptions!$B$3:$B$18=Forecasting_2026!B61)*(Assumptions!$C$3:$C$18=Forecasting_2026!$C$1),0))*J61</f>
        <v>3250</v>
      </c>
      <c r="D61" s="82">
        <f t="array" ref="D61">INDEX(Assumptions!$D$3:$D$18, MATCH(1, (Assumptions!$B$3:$B$18=Forecasting_2026!B61)*(Assumptions!$C$3:$C$18=Forecasting_2026!$C$1),0))</f>
        <v>1400</v>
      </c>
      <c r="E61" s="82">
        <f t="array" ref="E61">INDEX(Assumptions!$E$3:$E$18, MATCH(1, (Assumptions!$B$3:$B$18=Forecasting_2026!B61)*(Assumptions!$C$3:$C$18=Forecasting_2026!$C$1),0))</f>
        <v>650</v>
      </c>
      <c r="F61" s="82">
        <f t="shared" si="0"/>
        <v>4550000</v>
      </c>
      <c r="G61" s="82">
        <f t="shared" si="1"/>
        <v>2112500</v>
      </c>
      <c r="H61" s="82">
        <f t="shared" si="2"/>
        <v>2437500</v>
      </c>
      <c r="I61" s="83">
        <f t="shared" si="3"/>
        <v>0.5357142857142857</v>
      </c>
      <c r="J61" s="84">
        <f>VLOOKUP(A61,Seasonality!$B$4:$C$15,2,FALSE)</f>
        <v>1.3</v>
      </c>
    </row>
    <row r="62" spans="1:10" x14ac:dyDescent="0.25">
      <c r="A62" s="78" t="s">
        <v>36</v>
      </c>
      <c r="B62" s="65" t="s">
        <v>6</v>
      </c>
      <c r="C62" s="81">
        <f t="array" ref="C62">INDEX(Assumptions!$F$3:$F$18, MATCH(1, (Assumptions!$B$3:$B$18=Forecasting_2026!B62)*(Assumptions!$C$3:$C$18=Forecasting_2026!$C$1),0))*J62</f>
        <v>4550</v>
      </c>
      <c r="D62" s="82">
        <f t="array" ref="D62">INDEX(Assumptions!$D$3:$D$18, MATCH(1, (Assumptions!$B$3:$B$18=Forecasting_2026!B62)*(Assumptions!$C$3:$C$18=Forecasting_2026!$C$1),0))</f>
        <v>700</v>
      </c>
      <c r="E62" s="82">
        <f t="array" ref="E62">INDEX(Assumptions!$E$3:$E$18, MATCH(1, (Assumptions!$B$3:$B$18=Forecasting_2026!B62)*(Assumptions!$C$3:$C$18=Forecasting_2026!$C$1),0))</f>
        <v>250</v>
      </c>
      <c r="F62" s="82">
        <f t="shared" si="0"/>
        <v>3185000</v>
      </c>
      <c r="G62" s="82">
        <f t="shared" si="1"/>
        <v>1137500</v>
      </c>
      <c r="H62" s="82">
        <f t="shared" si="2"/>
        <v>2047500</v>
      </c>
      <c r="I62" s="83">
        <f t="shared" si="3"/>
        <v>0.6428571428571429</v>
      </c>
      <c r="J62" s="84">
        <f>VLOOKUP(A62,Seasonality!$B$4:$C$15,2,FALSE)</f>
        <v>1.3</v>
      </c>
    </row>
    <row r="63" spans="1:10" ht="15.75" x14ac:dyDescent="0.25">
      <c r="A63" s="79" t="s">
        <v>40</v>
      </c>
      <c r="B63" s="80"/>
      <c r="C63" s="85">
        <f t="shared" ref="C63:H63" si="9">SUM(C58:C62)</f>
        <v>13910</v>
      </c>
      <c r="D63" s="86"/>
      <c r="E63" s="86"/>
      <c r="F63" s="86">
        <f t="shared" si="9"/>
        <v>26637000</v>
      </c>
      <c r="G63" s="86">
        <f t="shared" si="9"/>
        <v>14859000</v>
      </c>
      <c r="H63" s="86">
        <f t="shared" si="9"/>
        <v>11778000</v>
      </c>
      <c r="I63" s="87">
        <f>AVERAGE(I58:I62)</f>
        <v>0.4685797827903091</v>
      </c>
      <c r="J63" s="88"/>
    </row>
    <row r="64" spans="1:10" x14ac:dyDescent="0.25">
      <c r="A64" s="78" t="s">
        <v>37</v>
      </c>
      <c r="B64" s="65" t="s">
        <v>4</v>
      </c>
      <c r="C64" s="81">
        <f t="array" ref="C64">INDEX(Assumptions!$F$3:$F$18, MATCH(1, (Assumptions!$B$3:$B$18=Forecasting_2026!B64)*(Assumptions!$C$3:$C$18=Forecasting_2026!$C$1),0))*J64</f>
        <v>2500</v>
      </c>
      <c r="D64" s="82">
        <f t="array" ref="D64">INDEX(Assumptions!$D$3:$D$18, MATCH(1, (Assumptions!$B$3:$B$18=Forecasting_2026!B64)*(Assumptions!$C$3:$C$18=Forecasting_2026!$C$1),0))</f>
        <v>2700</v>
      </c>
      <c r="E64" s="82">
        <f t="array" ref="E64">INDEX(Assumptions!$E$3:$E$18, MATCH(1, (Assumptions!$B$3:$B$18=Forecasting_2026!B64)*(Assumptions!$C$3:$C$18=Forecasting_2026!$C$1),0))</f>
        <v>1650</v>
      </c>
      <c r="F64" s="82">
        <f t="shared" si="0"/>
        <v>6750000</v>
      </c>
      <c r="G64" s="82">
        <f t="shared" si="1"/>
        <v>4125000</v>
      </c>
      <c r="H64" s="82">
        <f t="shared" si="2"/>
        <v>2625000</v>
      </c>
      <c r="I64" s="83">
        <f t="shared" si="3"/>
        <v>0.3888888888888889</v>
      </c>
      <c r="J64" s="84">
        <f>VLOOKUP(A64,Seasonality!$B$4:$C$15,2,FALSE)</f>
        <v>1.25</v>
      </c>
    </row>
    <row r="65" spans="1:10" x14ac:dyDescent="0.25">
      <c r="A65" s="78" t="s">
        <v>37</v>
      </c>
      <c r="B65" s="65" t="s">
        <v>5</v>
      </c>
      <c r="C65" s="81">
        <f t="array" ref="C65">INDEX(Assumptions!$F$3:$F$18, MATCH(1, (Assumptions!$B$3:$B$18=Forecasting_2026!B65)*(Assumptions!$C$3:$C$18=Forecasting_2026!$C$1),0))*J65</f>
        <v>1625</v>
      </c>
      <c r="D65" s="82">
        <f t="array" ref="D65">INDEX(Assumptions!$D$3:$D$18, MATCH(1, (Assumptions!$B$3:$B$18=Forecasting_2026!B65)*(Assumptions!$C$3:$C$18=Forecasting_2026!$C$1),0))</f>
        <v>3800</v>
      </c>
      <c r="E65" s="82">
        <f t="array" ref="E65">INDEX(Assumptions!$E$3:$E$18, MATCH(1, (Assumptions!$B$3:$B$18=Forecasting_2026!B65)*(Assumptions!$C$3:$C$18=Forecasting_2026!$C$1),0))</f>
        <v>2500</v>
      </c>
      <c r="F65" s="82">
        <f t="shared" si="0"/>
        <v>6175000</v>
      </c>
      <c r="G65" s="82">
        <f t="shared" si="1"/>
        <v>4062500</v>
      </c>
      <c r="H65" s="82">
        <f t="shared" si="2"/>
        <v>2112500</v>
      </c>
      <c r="I65" s="83">
        <f t="shared" si="3"/>
        <v>0.34210526315789475</v>
      </c>
      <c r="J65" s="84">
        <f>VLOOKUP(A65,Seasonality!$B$4:$C$15,2,FALSE)</f>
        <v>1.25</v>
      </c>
    </row>
    <row r="66" spans="1:10" x14ac:dyDescent="0.25">
      <c r="A66" s="78" t="s">
        <v>37</v>
      </c>
      <c r="B66" s="65" t="s">
        <v>14</v>
      </c>
      <c r="C66" s="81">
        <f t="array" ref="C66">INDEX(Assumptions!$F$3:$F$18, MATCH(1, (Assumptions!$B$3:$B$18=Forecasting_2026!B66)*(Assumptions!$C$3:$C$18=Forecasting_2026!$C$1),0))*J66</f>
        <v>1750</v>
      </c>
      <c r="D66" s="82">
        <f t="array" ref="D66">INDEX(Assumptions!$D$3:$D$18, MATCH(1, (Assumptions!$B$3:$B$18=Forecasting_2026!B66)*(Assumptions!$C$3:$C$18=Forecasting_2026!$C$1),0))</f>
        <v>3000</v>
      </c>
      <c r="E66" s="82">
        <f t="array" ref="E66">INDEX(Assumptions!$E$3:$E$18, MATCH(1, (Assumptions!$B$3:$B$18=Forecasting_2026!B66)*(Assumptions!$C$3:$C$18=Forecasting_2026!$C$1),0))</f>
        <v>1700</v>
      </c>
      <c r="F66" s="82">
        <f t="shared" si="0"/>
        <v>5250000</v>
      </c>
      <c r="G66" s="82">
        <f t="shared" si="1"/>
        <v>2975000</v>
      </c>
      <c r="H66" s="82">
        <f t="shared" si="2"/>
        <v>2275000</v>
      </c>
      <c r="I66" s="83">
        <f t="shared" si="3"/>
        <v>0.43333333333333335</v>
      </c>
      <c r="J66" s="84">
        <f>VLOOKUP(A66,Seasonality!$B$4:$C$15,2,FALSE)</f>
        <v>1.25</v>
      </c>
    </row>
    <row r="67" spans="1:10" x14ac:dyDescent="0.25">
      <c r="A67" s="78" t="s">
        <v>37</v>
      </c>
      <c r="B67" s="65" t="s">
        <v>39</v>
      </c>
      <c r="C67" s="81">
        <f t="array" ref="C67">INDEX(Assumptions!$F$3:$F$18, MATCH(1, (Assumptions!$B$3:$B$18=Forecasting_2026!B67)*(Assumptions!$C$3:$C$18=Forecasting_2026!$C$1),0))*J67</f>
        <v>3125</v>
      </c>
      <c r="D67" s="82">
        <f t="array" ref="D67">INDEX(Assumptions!$D$3:$D$18, MATCH(1, (Assumptions!$B$3:$B$18=Forecasting_2026!B67)*(Assumptions!$C$3:$C$18=Forecasting_2026!$C$1),0))</f>
        <v>1400</v>
      </c>
      <c r="E67" s="82">
        <f t="array" ref="E67">INDEX(Assumptions!$E$3:$E$18, MATCH(1, (Assumptions!$B$3:$B$18=Forecasting_2026!B67)*(Assumptions!$C$3:$C$18=Forecasting_2026!$C$1),0))</f>
        <v>650</v>
      </c>
      <c r="F67" s="82">
        <f t="shared" si="0"/>
        <v>4375000</v>
      </c>
      <c r="G67" s="82">
        <f t="shared" si="1"/>
        <v>2031250</v>
      </c>
      <c r="H67" s="82">
        <f t="shared" si="2"/>
        <v>2343750</v>
      </c>
      <c r="I67" s="83">
        <f t="shared" si="3"/>
        <v>0.5357142857142857</v>
      </c>
      <c r="J67" s="84">
        <f>VLOOKUP(A67,Seasonality!$B$4:$C$15,2,FALSE)</f>
        <v>1.25</v>
      </c>
    </row>
    <row r="68" spans="1:10" x14ac:dyDescent="0.25">
      <c r="A68" s="78" t="s">
        <v>37</v>
      </c>
      <c r="B68" s="65" t="s">
        <v>6</v>
      </c>
      <c r="C68" s="81">
        <f t="array" ref="C68">INDEX(Assumptions!$F$3:$F$18, MATCH(1, (Assumptions!$B$3:$B$18=Forecasting_2026!B68)*(Assumptions!$C$3:$C$18=Forecasting_2026!$C$1),0))*J68</f>
        <v>4375</v>
      </c>
      <c r="D68" s="82">
        <f t="array" ref="D68">INDEX(Assumptions!$D$3:$D$18, MATCH(1, (Assumptions!$B$3:$B$18=Forecasting_2026!B68)*(Assumptions!$C$3:$C$18=Forecasting_2026!$C$1),0))</f>
        <v>700</v>
      </c>
      <c r="E68" s="82">
        <f t="array" ref="E68">INDEX(Assumptions!$E$3:$E$18, MATCH(1, (Assumptions!$B$3:$B$18=Forecasting_2026!B68)*(Assumptions!$C$3:$C$18=Forecasting_2026!$C$1),0))</f>
        <v>250</v>
      </c>
      <c r="F68" s="82">
        <f t="shared" si="0"/>
        <v>3062500</v>
      </c>
      <c r="G68" s="82">
        <f t="shared" si="1"/>
        <v>1093750</v>
      </c>
      <c r="H68" s="82">
        <f t="shared" si="2"/>
        <v>1968750</v>
      </c>
      <c r="I68" s="83">
        <f t="shared" si="3"/>
        <v>0.6428571428571429</v>
      </c>
      <c r="J68" s="84">
        <f>VLOOKUP(A68,Seasonality!$B$4:$C$15,2,FALSE)</f>
        <v>1.25</v>
      </c>
    </row>
    <row r="69" spans="1:10" ht="15.75" x14ac:dyDescent="0.25">
      <c r="A69" s="79" t="s">
        <v>40</v>
      </c>
      <c r="B69" s="80"/>
      <c r="C69" s="85">
        <f t="shared" ref="C69:H69" si="10">SUM(C64:C68)</f>
        <v>13375</v>
      </c>
      <c r="D69" s="86"/>
      <c r="E69" s="86"/>
      <c r="F69" s="86">
        <f t="shared" si="10"/>
        <v>25612500</v>
      </c>
      <c r="G69" s="86">
        <f t="shared" si="10"/>
        <v>14287500</v>
      </c>
      <c r="H69" s="86">
        <f t="shared" si="10"/>
        <v>11325000</v>
      </c>
      <c r="I69" s="87">
        <f>AVERAGE(I64:I68)</f>
        <v>0.4685797827903091</v>
      </c>
      <c r="J69" s="88"/>
    </row>
    <row r="70" spans="1:10" x14ac:dyDescent="0.25">
      <c r="A70" s="78" t="s">
        <v>38</v>
      </c>
      <c r="B70" s="65" t="s">
        <v>4</v>
      </c>
      <c r="C70" s="81">
        <f t="array" ref="C70">INDEX(Assumptions!$F$3:$F$18, MATCH(1, (Assumptions!$B$3:$B$18=Forecasting_2026!B70)*(Assumptions!$C$3:$C$18=Forecasting_2026!$C$1),0))*J70</f>
        <v>2400</v>
      </c>
      <c r="D70" s="82">
        <f t="array" ref="D70">INDEX(Assumptions!$D$3:$D$18, MATCH(1, (Assumptions!$B$3:$B$18=Forecasting_2026!B70)*(Assumptions!$C$3:$C$18=Forecasting_2026!$C$1),0))</f>
        <v>2700</v>
      </c>
      <c r="E70" s="82">
        <f t="array" ref="E70">INDEX(Assumptions!$E$3:$E$18, MATCH(1, (Assumptions!$B$3:$B$18=Forecasting_2026!B70)*(Assumptions!$C$3:$C$18=Forecasting_2026!$C$1),0))</f>
        <v>1650</v>
      </c>
      <c r="F70" s="82">
        <f t="shared" si="0"/>
        <v>6480000</v>
      </c>
      <c r="G70" s="82">
        <f t="shared" si="1"/>
        <v>3960000</v>
      </c>
      <c r="H70" s="82">
        <f t="shared" si="2"/>
        <v>2520000</v>
      </c>
      <c r="I70" s="83">
        <f t="shared" si="3"/>
        <v>0.3888888888888889</v>
      </c>
      <c r="J70" s="84">
        <f>VLOOKUP(A70,Seasonality!$B$4:$C$15,2,FALSE)</f>
        <v>1.2</v>
      </c>
    </row>
    <row r="71" spans="1:10" x14ac:dyDescent="0.25">
      <c r="A71" s="78" t="s">
        <v>38</v>
      </c>
      <c r="B71" s="65" t="s">
        <v>5</v>
      </c>
      <c r="C71" s="81">
        <f t="array" ref="C71">INDEX(Assumptions!$F$3:$F$18, MATCH(1, (Assumptions!$B$3:$B$18=Forecasting_2026!B71)*(Assumptions!$C$3:$C$18=Forecasting_2026!$C$1),0))*J71</f>
        <v>1560</v>
      </c>
      <c r="D71" s="82">
        <f t="array" ref="D71">INDEX(Assumptions!$D$3:$D$18, MATCH(1, (Assumptions!$B$3:$B$18=Forecasting_2026!B71)*(Assumptions!$C$3:$C$18=Forecasting_2026!$C$1),0))</f>
        <v>3800</v>
      </c>
      <c r="E71" s="82">
        <f t="array" ref="E71">INDEX(Assumptions!$E$3:$E$18, MATCH(1, (Assumptions!$B$3:$B$18=Forecasting_2026!B71)*(Assumptions!$C$3:$C$18=Forecasting_2026!$C$1),0))</f>
        <v>2500</v>
      </c>
      <c r="F71" s="82">
        <f t="shared" si="0"/>
        <v>5928000</v>
      </c>
      <c r="G71" s="82">
        <f t="shared" si="1"/>
        <v>3900000</v>
      </c>
      <c r="H71" s="82">
        <f t="shared" si="2"/>
        <v>2028000</v>
      </c>
      <c r="I71" s="83">
        <f t="shared" si="3"/>
        <v>0.34210526315789475</v>
      </c>
      <c r="J71" s="84">
        <f>VLOOKUP(A71,Seasonality!$B$4:$C$15,2,FALSE)</f>
        <v>1.2</v>
      </c>
    </row>
    <row r="72" spans="1:10" x14ac:dyDescent="0.25">
      <c r="A72" s="78" t="s">
        <v>38</v>
      </c>
      <c r="B72" s="65" t="s">
        <v>14</v>
      </c>
      <c r="C72" s="81">
        <f t="array" ref="C72">INDEX(Assumptions!$F$3:$F$18, MATCH(1, (Assumptions!$B$3:$B$18=Forecasting_2026!B72)*(Assumptions!$C$3:$C$18=Forecasting_2026!$C$1),0))*J72</f>
        <v>1680</v>
      </c>
      <c r="D72" s="82">
        <f t="array" ref="D72">INDEX(Assumptions!$D$3:$D$18, MATCH(1, (Assumptions!$B$3:$B$18=Forecasting_2026!B72)*(Assumptions!$C$3:$C$18=Forecasting_2026!$C$1),0))</f>
        <v>3000</v>
      </c>
      <c r="E72" s="82">
        <f t="array" ref="E72">INDEX(Assumptions!$E$3:$E$18, MATCH(1, (Assumptions!$B$3:$B$18=Forecasting_2026!B72)*(Assumptions!$C$3:$C$18=Forecasting_2026!$C$1),0))</f>
        <v>1700</v>
      </c>
      <c r="F72" s="82">
        <f t="shared" si="0"/>
        <v>5040000</v>
      </c>
      <c r="G72" s="82">
        <f t="shared" si="1"/>
        <v>2856000</v>
      </c>
      <c r="H72" s="82">
        <f t="shared" si="2"/>
        <v>2184000</v>
      </c>
      <c r="I72" s="83">
        <f t="shared" si="3"/>
        <v>0.43333333333333335</v>
      </c>
      <c r="J72" s="84">
        <f>VLOOKUP(A72,Seasonality!$B$4:$C$15,2,FALSE)</f>
        <v>1.2</v>
      </c>
    </row>
    <row r="73" spans="1:10" x14ac:dyDescent="0.25">
      <c r="A73" s="78" t="s">
        <v>38</v>
      </c>
      <c r="B73" s="65" t="s">
        <v>39</v>
      </c>
      <c r="C73" s="81">
        <f t="array" ref="C73">INDEX(Assumptions!$F$3:$F$18, MATCH(1, (Assumptions!$B$3:$B$18=Forecasting_2026!B73)*(Assumptions!$C$3:$C$18=Forecasting_2026!$C$1),0))*J73</f>
        <v>3000</v>
      </c>
      <c r="D73" s="82">
        <f t="array" ref="D73">INDEX(Assumptions!$D$3:$D$18, MATCH(1, (Assumptions!$B$3:$B$18=Forecasting_2026!B73)*(Assumptions!$C$3:$C$18=Forecasting_2026!$C$1),0))</f>
        <v>1400</v>
      </c>
      <c r="E73" s="82">
        <f t="array" ref="E73">INDEX(Assumptions!$E$3:$E$18, MATCH(1, (Assumptions!$B$3:$B$18=Forecasting_2026!B73)*(Assumptions!$C$3:$C$18=Forecasting_2026!$C$1),0))</f>
        <v>650</v>
      </c>
      <c r="F73" s="82">
        <f t="shared" si="0"/>
        <v>4200000</v>
      </c>
      <c r="G73" s="82">
        <f t="shared" si="1"/>
        <v>1950000</v>
      </c>
      <c r="H73" s="82">
        <f t="shared" si="2"/>
        <v>2250000</v>
      </c>
      <c r="I73" s="83">
        <f t="shared" si="3"/>
        <v>0.5357142857142857</v>
      </c>
      <c r="J73" s="84">
        <f>VLOOKUP(A73,Seasonality!$B$4:$C$15,2,FALSE)</f>
        <v>1.2</v>
      </c>
    </row>
    <row r="74" spans="1:10" x14ac:dyDescent="0.25">
      <c r="A74" s="78" t="s">
        <v>38</v>
      </c>
      <c r="B74" s="65" t="s">
        <v>6</v>
      </c>
      <c r="C74" s="81">
        <f t="array" ref="C74">INDEX(Assumptions!$F$3:$F$18, MATCH(1, (Assumptions!$B$3:$B$18=Forecasting_2026!B74)*(Assumptions!$C$3:$C$18=Forecasting_2026!$C$1),0))*J74</f>
        <v>4200</v>
      </c>
      <c r="D74" s="82">
        <f t="array" ref="D74">INDEX(Assumptions!$D$3:$D$18, MATCH(1, (Assumptions!$B$3:$B$18=Forecasting_2026!B74)*(Assumptions!$C$3:$C$18=Forecasting_2026!$C$1),0))</f>
        <v>700</v>
      </c>
      <c r="E74" s="82">
        <f t="array" ref="E74">INDEX(Assumptions!$E$3:$E$18, MATCH(1, (Assumptions!$B$3:$B$18=Forecasting_2026!B74)*(Assumptions!$C$3:$C$18=Forecasting_2026!$C$1),0))</f>
        <v>250</v>
      </c>
      <c r="F74" s="82">
        <f t="shared" si="0"/>
        <v>2940000</v>
      </c>
      <c r="G74" s="82">
        <f t="shared" si="1"/>
        <v>1050000</v>
      </c>
      <c r="H74" s="82">
        <f t="shared" si="2"/>
        <v>1890000</v>
      </c>
      <c r="I74" s="83">
        <f t="shared" si="3"/>
        <v>0.6428571428571429</v>
      </c>
      <c r="J74" s="84">
        <f>VLOOKUP(A74,Seasonality!$B$4:$C$15,2,FALSE)</f>
        <v>1.2</v>
      </c>
    </row>
    <row r="75" spans="1:10" ht="15.75" x14ac:dyDescent="0.25">
      <c r="A75" s="79" t="s">
        <v>40</v>
      </c>
      <c r="B75" s="80"/>
      <c r="C75" s="89">
        <f t="shared" ref="C75:H75" si="11">SUM(C70:C74)</f>
        <v>12840</v>
      </c>
      <c r="D75" s="86"/>
      <c r="E75" s="86"/>
      <c r="F75" s="86">
        <f t="shared" si="11"/>
        <v>24588000</v>
      </c>
      <c r="G75" s="86">
        <f t="shared" si="11"/>
        <v>13716000</v>
      </c>
      <c r="H75" s="86">
        <f t="shared" si="11"/>
        <v>10872000</v>
      </c>
      <c r="I75" s="87">
        <f>AVERAGE(I70:I74)</f>
        <v>0.4685797827903091</v>
      </c>
      <c r="J75" s="88"/>
    </row>
    <row r="77" spans="1:10" x14ac:dyDescent="0.25">
      <c r="A77" s="156" t="s">
        <v>254</v>
      </c>
      <c r="B77" s="164"/>
      <c r="C77" s="147"/>
      <c r="D77" s="165"/>
      <c r="E77" s="165"/>
      <c r="F77" s="165"/>
      <c r="G77" s="165"/>
      <c r="H77" s="165"/>
      <c r="I77" s="166"/>
      <c r="J77" s="167"/>
    </row>
  </sheetData>
  <scenarios current="0" show="0">
    <scenario name="Best" locked="1" count="1" user="DELL" comment="Created by DELL on 22-06-2025">
      <inputCells r="C1" val="200"/>
    </scenario>
  </scenarios>
  <conditionalFormatting sqref="I75">
    <cfRule type="cellIs" dxfId="1143" priority="5" operator="lessThan">
      <formula>0.2</formula>
    </cfRule>
  </conditionalFormatting>
  <conditionalFormatting sqref="I4:I74">
    <cfRule type="cellIs" dxfId="1142" priority="3" operator="greaterThan">
      <formula>0.5</formula>
    </cfRule>
    <cfRule type="cellIs" dxfId="1141" priority="4" operator="lessThan">
      <formula>0.2</formula>
    </cfRule>
  </conditionalFormatting>
  <conditionalFormatting sqref="C4:C8 C10:C14 C16:C20 C22:C26 C28:C32 C34:C38 C40:C44 C46:C50 C52:C56 C58:C62 C64:C68 C70:C74">
    <cfRule type="dataBar" priority="2">
      <dataBar>
        <cfvo type="min"/>
        <cfvo type="max"/>
        <color theme="4" tint="0.59999389629810485"/>
      </dataBar>
      <extLst>
        <ext xmlns:x14="http://schemas.microsoft.com/office/spreadsheetml/2009/9/main" uri="{B025F937-C7B1-47D3-B67F-A62EFF666E3E}">
          <x14:id>{2913CEF9-41D9-49DE-9C7F-F37A8437213A}</x14:id>
        </ext>
      </extLst>
    </cfRule>
  </conditionalFormatting>
  <conditionalFormatting sqref="E1">
    <cfRule type="dataBar" priority="1">
      <dataBar>
        <cfvo type="min"/>
        <cfvo type="max"/>
        <color theme="4" tint="0.59999389629810485"/>
      </dataBar>
      <extLst>
        <ext xmlns:x14="http://schemas.microsoft.com/office/spreadsheetml/2009/9/main" uri="{B025F937-C7B1-47D3-B67F-A62EFF666E3E}">
          <x14:id>{245C55FD-75AD-4332-8F97-86E08CD293D6}</x14:id>
        </ext>
      </extLst>
    </cfRule>
  </conditionalFormatting>
  <pageMargins left="0.7" right="0.7" top="0.75" bottom="0.75" header="0.3" footer="0.3"/>
  <pageSetup scale="45" orientation="landscape" horizontalDpi="1200" verticalDpi="1200" r:id="rId1"/>
  <ignoredErrors>
    <ignoredError sqref="F9:I9 F15:I15 F21:I21 F27:I75"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913CEF9-41D9-49DE-9C7F-F37A8437213A}">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245C55FD-75AD-4332-8F97-86E08CD293D6}">
            <x14:dataBar minLength="0" maxLength="100" gradient="0">
              <x14:cfvo type="autoMin"/>
              <x14:cfvo type="autoMax"/>
              <x14:negativeFillColor rgb="FFFF0000"/>
              <x14:axisColor rgb="FF000000"/>
            </x14:dataBar>
          </x14:cfRule>
          <xm:sqref>E1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14:formula1>
            <xm:f>Assumptions!$B$22:$B$24</xm:f>
          </x14:formula1>
          <xm:sqref>C1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M77"/>
  <sheetViews>
    <sheetView showGridLines="0" zoomScaleNormal="100" workbookViewId="0">
      <pane xSplit="2" ySplit="3" topLeftCell="C4" activePane="bottomRight" state="frozen"/>
      <selection pane="topRight" activeCell="D1" sqref="D1"/>
      <selection pane="bottomLeft" activeCell="A5" sqref="A5"/>
      <selection pane="bottomRight" activeCell="L5" sqref="L5"/>
    </sheetView>
  </sheetViews>
  <sheetFormatPr defaultRowHeight="15" x14ac:dyDescent="0.25"/>
  <cols>
    <col min="1" max="1" width="12.28515625" style="4" customWidth="1"/>
    <col min="2" max="2" width="16" style="4" customWidth="1"/>
    <col min="3" max="3" width="14.28515625" customWidth="1"/>
    <col min="4" max="4" width="14.7109375" style="5" customWidth="1"/>
    <col min="5" max="5" width="12.140625" style="5" customWidth="1"/>
    <col min="6" max="7" width="15" style="5" bestFit="1" customWidth="1"/>
    <col min="8" max="8" width="16.140625" style="5" bestFit="1" customWidth="1"/>
    <col min="9" max="9" width="13.85546875" style="6" bestFit="1" customWidth="1"/>
    <col min="10" max="10" width="15.42578125" style="9" bestFit="1" customWidth="1"/>
    <col min="11" max="11" width="15.42578125" style="11" customWidth="1"/>
    <col min="12" max="12" width="16.140625" style="9" bestFit="1" customWidth="1"/>
    <col min="13" max="13" width="66.140625" style="16" bestFit="1" customWidth="1"/>
  </cols>
  <sheetData>
    <row r="1" spans="1:13" ht="21" x14ac:dyDescent="0.35">
      <c r="B1" s="37" t="s">
        <v>0</v>
      </c>
      <c r="C1" s="232" t="s">
        <v>122</v>
      </c>
      <c r="D1" s="232"/>
      <c r="F1" s="7"/>
      <c r="G1" s="9"/>
      <c r="H1" s="9"/>
      <c r="I1" s="9"/>
      <c r="J1"/>
      <c r="L1"/>
    </row>
    <row r="3" spans="1:13" ht="30" x14ac:dyDescent="0.25">
      <c r="A3" s="90" t="s">
        <v>21</v>
      </c>
      <c r="B3" s="90" t="s">
        <v>1</v>
      </c>
      <c r="C3" s="91" t="s">
        <v>207</v>
      </c>
      <c r="D3" s="92" t="s">
        <v>230</v>
      </c>
      <c r="E3" s="92" t="s">
        <v>231</v>
      </c>
      <c r="F3" s="93" t="s">
        <v>23</v>
      </c>
      <c r="G3" s="93" t="s">
        <v>24</v>
      </c>
      <c r="H3" s="93" t="s">
        <v>25</v>
      </c>
      <c r="I3" s="94" t="s">
        <v>26</v>
      </c>
      <c r="J3" s="95" t="s">
        <v>46</v>
      </c>
      <c r="K3" s="95" t="s">
        <v>47</v>
      </c>
      <c r="L3" s="96" t="s">
        <v>48</v>
      </c>
      <c r="M3" s="97" t="s">
        <v>205</v>
      </c>
    </row>
    <row r="4" spans="1:13" x14ac:dyDescent="0.25">
      <c r="A4" s="78" t="s">
        <v>29</v>
      </c>
      <c r="B4" s="65" t="s">
        <v>4</v>
      </c>
      <c r="C4" s="81">
        <f>tblForecast3[[#This Row],[Units Sold]]*(1+tblOver[[#This Row],[%age (Units)]])</f>
        <v>1995</v>
      </c>
      <c r="D4" s="139">
        <f>tblForecast3[[#This Row],[Selling Price]]*(1+tblOver[[#This Row],[%age (S.P.)]])</f>
        <v>2700</v>
      </c>
      <c r="E4" s="139">
        <f>tblForecast3[[#This Row],[Cost Price]]*(1+tblOver[[#This Row],[%age (C.P)]])</f>
        <v>1650</v>
      </c>
      <c r="F4" s="48">
        <f t="shared" ref="F4:F35" si="0">C4*D4</f>
        <v>5386500</v>
      </c>
      <c r="G4" s="48">
        <f t="shared" ref="G4:G35" si="1">C4*E4</f>
        <v>3291750</v>
      </c>
      <c r="H4" s="48">
        <f>Actual_Over_2026!$F4-Actual_Over_2026!$G4</f>
        <v>2094750</v>
      </c>
      <c r="I4" s="49">
        <f t="shared" ref="I4:I35" si="2">H4/F4</f>
        <v>0.3888888888888889</v>
      </c>
      <c r="J4" s="50">
        <f>INDEX('%age_Change_Logic'!$H$6:$H$11, MATCH(L4,'%age_Change_Logic'!$F$6:$F$11,1))</f>
        <v>0</v>
      </c>
      <c r="K4" s="51">
        <f t="array" ref="K4">INDEX('%age_Change_Logic'!$D$6:$D$11, MATCH(L4, '%age_Change_Logic'!$B$6:$B$11,1))</f>
        <v>0</v>
      </c>
      <c r="L4" s="104">
        <v>0.05</v>
      </c>
      <c r="M4" s="98" t="s">
        <v>121</v>
      </c>
    </row>
    <row r="5" spans="1:13" x14ac:dyDescent="0.25">
      <c r="A5" s="78" t="s">
        <v>29</v>
      </c>
      <c r="B5" s="65" t="s">
        <v>5</v>
      </c>
      <c r="C5" s="81">
        <f>tblForecast3[[#This Row],[Units Sold]]*(1+tblOver[[#This Row],[%age (Units)]])</f>
        <v>1420.25</v>
      </c>
      <c r="D5" s="139">
        <f>tblForecast3[[#This Row],[Selling Price]]*(1+tblOver[[#This Row],[%age (S.P.)]])</f>
        <v>3876</v>
      </c>
      <c r="E5" s="139">
        <f>tblForecast3[[#This Row],[Cost Price]]*(1+tblOver[[#This Row],[%age (C.P)]])</f>
        <v>2437.5</v>
      </c>
      <c r="F5" s="48">
        <f t="shared" si="0"/>
        <v>5504889</v>
      </c>
      <c r="G5" s="48">
        <f t="shared" si="1"/>
        <v>3461859.375</v>
      </c>
      <c r="H5" s="48">
        <f>Actual_Over_2026!$F5-Actual_Over_2026!$G5</f>
        <v>2043029.625</v>
      </c>
      <c r="I5" s="49">
        <f t="shared" si="2"/>
        <v>0.37113003095975233</v>
      </c>
      <c r="J5" s="50">
        <f t="array" ref="J5">INDEX('%age_Change_Logic'!$H$6:$H$11, MATCH(L5,'%age_Change_Logic'!$F$6:$F$11,1))</f>
        <v>0.02</v>
      </c>
      <c r="K5" s="51">
        <f t="array" ref="K5">INDEX('%age_Change_Logic'!$D$6:$D$11, MATCH(L5, '%age_Change_Logic'!$B$6:$B$11,1))</f>
        <v>-2.5000000000000001E-2</v>
      </c>
      <c r="L5" s="104">
        <v>0.15</v>
      </c>
      <c r="M5" s="99" t="s">
        <v>232</v>
      </c>
    </row>
    <row r="6" spans="1:13" x14ac:dyDescent="0.25">
      <c r="A6" s="78" t="s">
        <v>29</v>
      </c>
      <c r="B6" s="65" t="s">
        <v>14</v>
      </c>
      <c r="C6" s="81">
        <f>tblForecast3[[#This Row],[Units Sold]]*(1+tblOver[[#This Row],[%age (Units)]])</f>
        <v>1330</v>
      </c>
      <c r="D6" s="139">
        <f>tblForecast3[[#This Row],[Selling Price]]*(1+tblOver[[#This Row],[%age (S.P.)]])</f>
        <v>3000</v>
      </c>
      <c r="E6" s="139">
        <f>tblForecast3[[#This Row],[Cost Price]]*(1+tblOver[[#This Row],[%age (C.P)]])</f>
        <v>1700</v>
      </c>
      <c r="F6" s="48">
        <f t="shared" si="0"/>
        <v>3990000</v>
      </c>
      <c r="G6" s="48">
        <f t="shared" si="1"/>
        <v>2261000</v>
      </c>
      <c r="H6" s="48">
        <f>Actual_Over_2026!$F6-Actual_Over_2026!$G6</f>
        <v>1729000</v>
      </c>
      <c r="I6" s="49">
        <f t="shared" si="2"/>
        <v>0.43333333333333335</v>
      </c>
      <c r="J6" s="50">
        <f t="array" ref="J6">INDEX('%age_Change_Logic'!$H$6:$H$11, MATCH(L6,'%age_Change_Logic'!$F$6:$F$11,1))</f>
        <v>0</v>
      </c>
      <c r="K6" s="51">
        <f t="array" ref="K6">INDEX('%age_Change_Logic'!$D$6:$D$11, MATCH(L6, '%age_Change_Logic'!$B$6:$B$11,1))</f>
        <v>0</v>
      </c>
      <c r="L6" s="104">
        <v>0</v>
      </c>
      <c r="M6" s="98" t="s">
        <v>49</v>
      </c>
    </row>
    <row r="7" spans="1:13" x14ac:dyDescent="0.25">
      <c r="A7" s="78" t="s">
        <v>29</v>
      </c>
      <c r="B7" s="65" t="s">
        <v>39</v>
      </c>
      <c r="C7" s="81">
        <f>tblForecast3[[#This Row],[Units Sold]]*(1+tblOver[[#This Row],[%age (Units)]])</f>
        <v>2612.5</v>
      </c>
      <c r="D7" s="139">
        <f>tblForecast3[[#This Row],[Selling Price]]*(1+tblOver[[#This Row],[%age (S.P.)]])</f>
        <v>1414</v>
      </c>
      <c r="E7" s="139">
        <f>tblForecast3[[#This Row],[Cost Price]]*(1+tblOver[[#This Row],[%age (C.P)]])</f>
        <v>640.25</v>
      </c>
      <c r="F7" s="48">
        <f t="shared" si="0"/>
        <v>3694075</v>
      </c>
      <c r="G7" s="48">
        <f t="shared" si="1"/>
        <v>1672653.125</v>
      </c>
      <c r="H7" s="48">
        <f>Actual_Over_2026!$F7-Actual_Over_2026!$G7</f>
        <v>2021421.875</v>
      </c>
      <c r="I7" s="49">
        <f t="shared" si="2"/>
        <v>0.54720650636492218</v>
      </c>
      <c r="J7" s="50">
        <f t="array" ref="J7">INDEX('%age_Change_Logic'!$H$6:$H$11, MATCH(L7,'%age_Change_Logic'!$F$6:$F$11,1))</f>
        <v>0.01</v>
      </c>
      <c r="K7" s="51">
        <f t="array" ref="K7">INDEX('%age_Change_Logic'!$D$6:$D$11, MATCH(L7, '%age_Change_Logic'!$B$6:$B$11,1))</f>
        <v>-1.4999999999999999E-2</v>
      </c>
      <c r="L7" s="104">
        <v>0.1</v>
      </c>
      <c r="M7" s="100" t="s">
        <v>51</v>
      </c>
    </row>
    <row r="8" spans="1:13" x14ac:dyDescent="0.25">
      <c r="A8" s="78" t="s">
        <v>29</v>
      </c>
      <c r="B8" s="65" t="s">
        <v>6</v>
      </c>
      <c r="C8" s="81">
        <f>tblForecast3[[#This Row],[Units Sold]]*(1+tblOver[[#This Row],[%age (Units)]])</f>
        <v>3990</v>
      </c>
      <c r="D8" s="139">
        <f>tblForecast3[[#This Row],[Selling Price]]*(1+tblOver[[#This Row],[%age (S.P.)]])</f>
        <v>721</v>
      </c>
      <c r="E8" s="139">
        <f>tblForecast3[[#This Row],[Cost Price]]*(1+tblOver[[#This Row],[%age (C.P)]])</f>
        <v>240</v>
      </c>
      <c r="F8" s="48">
        <f t="shared" si="0"/>
        <v>2876790</v>
      </c>
      <c r="G8" s="48">
        <f t="shared" si="1"/>
        <v>957600</v>
      </c>
      <c r="H8" s="48">
        <f>Actual_Over_2026!$F8-Actual_Over_2026!$G8</f>
        <v>1919190</v>
      </c>
      <c r="I8" s="49">
        <f t="shared" si="2"/>
        <v>0.66712898751733707</v>
      </c>
      <c r="J8" s="50">
        <f t="array" ref="J8">INDEX('%age_Change_Logic'!$H$6:$H$11, MATCH(L8,'%age_Change_Logic'!$F$6:$F$11,1))</f>
        <v>0.03</v>
      </c>
      <c r="K8" s="51">
        <f t="array" ref="K8">INDEX('%age_Change_Logic'!$D$6:$D$11, MATCH(L8, '%age_Change_Logic'!$B$6:$B$11,1))</f>
        <v>-0.04</v>
      </c>
      <c r="L8" s="104">
        <v>0.2</v>
      </c>
      <c r="M8" s="98" t="s">
        <v>50</v>
      </c>
    </row>
    <row r="9" spans="1:13" s="8" customFormat="1" ht="15.75" x14ac:dyDescent="0.25">
      <c r="A9" s="122" t="s">
        <v>40</v>
      </c>
      <c r="B9" s="123"/>
      <c r="C9" s="143">
        <f>SUM(C4:C8)</f>
        <v>11347.75</v>
      </c>
      <c r="D9" s="141"/>
      <c r="E9" s="141"/>
      <c r="F9" s="124">
        <f>SUM(F4:F8)</f>
        <v>21452254</v>
      </c>
      <c r="G9" s="124">
        <f>SUM(G4:G8)</f>
        <v>11644862.5</v>
      </c>
      <c r="H9" s="124">
        <f>SUM(H4:H8)</f>
        <v>9807391.5</v>
      </c>
      <c r="I9" s="125">
        <f>AVERAGE(I4:I8)</f>
        <v>0.48153754941284677</v>
      </c>
      <c r="J9" s="52"/>
      <c r="K9" s="53"/>
      <c r="L9" s="105"/>
      <c r="M9" s="101"/>
    </row>
    <row r="10" spans="1:13" x14ac:dyDescent="0.25">
      <c r="A10" s="78" t="s">
        <v>30</v>
      </c>
      <c r="B10" s="65" t="s">
        <v>4</v>
      </c>
      <c r="C10" s="81">
        <f>tblForecast3[[#This Row],[Units Sold]]*(1+tblOver[[#This Row],[%age (Units)]])</f>
        <v>1980.0000000000002</v>
      </c>
      <c r="D10" s="139">
        <f>tblForecast3[[#This Row],[Selling Price]]*(1+tblOver[[#This Row],[%age (S.P.)]])</f>
        <v>2727</v>
      </c>
      <c r="E10" s="139">
        <f>tblForecast3[[#This Row],[Cost Price]]*(1+tblOver[[#This Row],[%age (C.P)]])</f>
        <v>1625.25</v>
      </c>
      <c r="F10" s="48">
        <f t="shared" si="0"/>
        <v>5399460.0000000009</v>
      </c>
      <c r="G10" s="48">
        <f t="shared" si="1"/>
        <v>3217995.0000000005</v>
      </c>
      <c r="H10" s="48">
        <f>Actual_Over_2026!$F10-Actual_Over_2026!$G10</f>
        <v>2181465.0000000005</v>
      </c>
      <c r="I10" s="49">
        <f t="shared" si="2"/>
        <v>0.40401540154015403</v>
      </c>
      <c r="J10" s="50">
        <f t="array" ref="J10">INDEX('%age_Change_Logic'!$H$6:$H$11, MATCH(L10,'%age_Change_Logic'!$F$6:$F$11,1))</f>
        <v>0.01</v>
      </c>
      <c r="K10" s="51">
        <f t="array" ref="K10">INDEX('%age_Change_Logic'!$D$6:$D$11, MATCH(L10, '%age_Change_Logic'!$B$6:$B$11,1))</f>
        <v>-1.4999999999999999E-2</v>
      </c>
      <c r="L10" s="104">
        <v>0.1</v>
      </c>
      <c r="M10" s="98" t="s">
        <v>52</v>
      </c>
    </row>
    <row r="11" spans="1:13" x14ac:dyDescent="0.25">
      <c r="A11" s="78" t="s">
        <v>30</v>
      </c>
      <c r="B11" s="65" t="s">
        <v>5</v>
      </c>
      <c r="C11" s="81">
        <f>tblForecast3[[#This Row],[Units Sold]]*(1+tblOver[[#This Row],[%age (Units)]])</f>
        <v>1228.5</v>
      </c>
      <c r="D11" s="139">
        <f>tblForecast3[[#This Row],[Selling Price]]*(1+tblOver[[#This Row],[%age (S.P.)]])</f>
        <v>3800</v>
      </c>
      <c r="E11" s="139">
        <f>tblForecast3[[#This Row],[Cost Price]]*(1+tblOver[[#This Row],[%age (C.P)]])</f>
        <v>2500</v>
      </c>
      <c r="F11" s="48">
        <f t="shared" si="0"/>
        <v>4668300</v>
      </c>
      <c r="G11" s="48">
        <f t="shared" si="1"/>
        <v>3071250</v>
      </c>
      <c r="H11" s="48">
        <f>Actual_Over_2026!$F11-Actual_Over_2026!$G11</f>
        <v>1597050</v>
      </c>
      <c r="I11" s="49">
        <f t="shared" si="2"/>
        <v>0.34210526315789475</v>
      </c>
      <c r="J11" s="50">
        <f t="array" ref="J11">INDEX('%age_Change_Logic'!$H$6:$H$11, MATCH(L11,'%age_Change_Logic'!$F$6:$F$11,1))</f>
        <v>0</v>
      </c>
      <c r="K11" s="51">
        <f t="array" ref="K11">INDEX('%age_Change_Logic'!$D$6:$D$11, MATCH(L11, '%age_Change_Logic'!$B$6:$B$11,1))</f>
        <v>0</v>
      </c>
      <c r="L11" s="104">
        <v>0.05</v>
      </c>
      <c r="M11" s="98" t="s">
        <v>53</v>
      </c>
    </row>
    <row r="12" spans="1:13" x14ac:dyDescent="0.25">
      <c r="A12" s="78" t="s">
        <v>30</v>
      </c>
      <c r="B12" s="65" t="s">
        <v>14</v>
      </c>
      <c r="C12" s="81">
        <f>tblForecast3[[#This Row],[Units Sold]]*(1+tblOver[[#This Row],[%age (Units)]])</f>
        <v>1449</v>
      </c>
      <c r="D12" s="139">
        <f>tblForecast3[[#This Row],[Selling Price]]*(1+tblOver[[#This Row],[%age (S.P.)]])</f>
        <v>3060</v>
      </c>
      <c r="E12" s="139">
        <f>tblForecast3[[#This Row],[Cost Price]]*(1+tblOver[[#This Row],[%age (C.P)]])</f>
        <v>1657.5</v>
      </c>
      <c r="F12" s="48">
        <f t="shared" si="0"/>
        <v>4433940</v>
      </c>
      <c r="G12" s="48">
        <f t="shared" si="1"/>
        <v>2401717.5</v>
      </c>
      <c r="H12" s="48">
        <f>Actual_Over_2026!$F12-Actual_Over_2026!$G12</f>
        <v>2032222.5</v>
      </c>
      <c r="I12" s="49">
        <f t="shared" si="2"/>
        <v>0.45833333333333331</v>
      </c>
      <c r="J12" s="50">
        <f t="array" ref="J12">INDEX('%age_Change_Logic'!$H$6:$H$11, MATCH(L12,'%age_Change_Logic'!$F$6:$F$11,1))</f>
        <v>0.02</v>
      </c>
      <c r="K12" s="51">
        <f t="array" ref="K12">INDEX('%age_Change_Logic'!$D$6:$D$11, MATCH(L12, '%age_Change_Logic'!$B$6:$B$11,1))</f>
        <v>-2.5000000000000001E-2</v>
      </c>
      <c r="L12" s="104">
        <v>0.15</v>
      </c>
      <c r="M12" s="98" t="s">
        <v>54</v>
      </c>
    </row>
    <row r="13" spans="1:13" x14ac:dyDescent="0.25">
      <c r="A13" s="78" t="s">
        <v>30</v>
      </c>
      <c r="B13" s="65" t="s">
        <v>39</v>
      </c>
      <c r="C13" s="81">
        <f>tblForecast3[[#This Row],[Units Sold]]*(1+tblOver[[#This Row],[%age (Units)]])</f>
        <v>2475</v>
      </c>
      <c r="D13" s="139">
        <f>tblForecast3[[#This Row],[Selling Price]]*(1+tblOver[[#This Row],[%age (S.P.)]])</f>
        <v>1414</v>
      </c>
      <c r="E13" s="139">
        <f>tblForecast3[[#This Row],[Cost Price]]*(1+tblOver[[#This Row],[%age (C.P)]])</f>
        <v>640.25</v>
      </c>
      <c r="F13" s="48">
        <f t="shared" si="0"/>
        <v>3499650</v>
      </c>
      <c r="G13" s="48">
        <f t="shared" si="1"/>
        <v>1584618.75</v>
      </c>
      <c r="H13" s="48">
        <f>Actual_Over_2026!$F13-Actual_Over_2026!$G13</f>
        <v>1915031.25</v>
      </c>
      <c r="I13" s="49">
        <f t="shared" si="2"/>
        <v>0.54720650636492218</v>
      </c>
      <c r="J13" s="50">
        <f t="array" ref="J13">INDEX('%age_Change_Logic'!$H$6:$H$11, MATCH(L13,'%age_Change_Logic'!$F$6:$F$11,1))</f>
        <v>0.01</v>
      </c>
      <c r="K13" s="51">
        <f t="array" ref="K13">INDEX('%age_Change_Logic'!$D$6:$D$11, MATCH(L13, '%age_Change_Logic'!$B$6:$B$11,1))</f>
        <v>-1.4999999999999999E-2</v>
      </c>
      <c r="L13" s="104">
        <v>0.1</v>
      </c>
      <c r="M13" s="98" t="s">
        <v>56</v>
      </c>
    </row>
    <row r="14" spans="1:13" x14ac:dyDescent="0.25">
      <c r="A14" s="78" t="s">
        <v>30</v>
      </c>
      <c r="B14" s="65" t="s">
        <v>6</v>
      </c>
      <c r="C14" s="81">
        <f>tblForecast3[[#This Row],[Units Sold]]*(1+tblOver[[#This Row],[%age (Units)]])</f>
        <v>3402</v>
      </c>
      <c r="D14" s="139">
        <f>tblForecast3[[#This Row],[Selling Price]]*(1+tblOver[[#This Row],[%age (S.P.)]])</f>
        <v>707</v>
      </c>
      <c r="E14" s="139">
        <f>tblForecast3[[#This Row],[Cost Price]]*(1+tblOver[[#This Row],[%age (C.P)]])</f>
        <v>246.25</v>
      </c>
      <c r="F14" s="48">
        <f t="shared" si="0"/>
        <v>2405214</v>
      </c>
      <c r="G14" s="48">
        <f t="shared" si="1"/>
        <v>837742.5</v>
      </c>
      <c r="H14" s="48">
        <f>Actual_Over_2026!$F14-Actual_Over_2026!$G14</f>
        <v>1567471.5</v>
      </c>
      <c r="I14" s="49">
        <f t="shared" si="2"/>
        <v>0.65169731258840169</v>
      </c>
      <c r="J14" s="50">
        <f t="array" ref="J14">INDEX('%age_Change_Logic'!$H$6:$H$11, MATCH(L14,'%age_Change_Logic'!$F$6:$F$11,1))</f>
        <v>0.01</v>
      </c>
      <c r="K14" s="51">
        <f t="array" ref="K14">INDEX('%age_Change_Logic'!$D$6:$D$11, MATCH(L14, '%age_Change_Logic'!$B$6:$B$11,1))</f>
        <v>-1.4999999999999999E-2</v>
      </c>
      <c r="L14" s="104">
        <v>0.08</v>
      </c>
      <c r="M14" s="98" t="s">
        <v>55</v>
      </c>
    </row>
    <row r="15" spans="1:13" s="8" customFormat="1" ht="15.75" x14ac:dyDescent="0.25">
      <c r="A15" s="122" t="s">
        <v>40</v>
      </c>
      <c r="B15" s="123"/>
      <c r="C15" s="143">
        <f>SUM(C10:C14)</f>
        <v>10534.5</v>
      </c>
      <c r="D15" s="141"/>
      <c r="E15" s="141"/>
      <c r="F15" s="124">
        <f>SUM(F10:F14)</f>
        <v>20406564</v>
      </c>
      <c r="G15" s="124">
        <f>SUM(G10:G14)</f>
        <v>11113323.75</v>
      </c>
      <c r="H15" s="124">
        <f>SUM(H10:H14)</f>
        <v>9293240.25</v>
      </c>
      <c r="I15" s="125">
        <f>AVERAGE(I10:I14)</f>
        <v>0.48067156339694117</v>
      </c>
      <c r="J15" s="52"/>
      <c r="K15" s="53"/>
      <c r="L15" s="105"/>
      <c r="M15" s="101"/>
    </row>
    <row r="16" spans="1:13" x14ac:dyDescent="0.25">
      <c r="A16" s="78" t="s">
        <v>31</v>
      </c>
      <c r="B16" s="65" t="s">
        <v>4</v>
      </c>
      <c r="C16" s="81">
        <f>tblForecast3[[#This Row],[Units Sold]]*(1+tblOver[[#This Row],[%age (Units)]])</f>
        <v>2268</v>
      </c>
      <c r="D16" s="139">
        <f>tblForecast3[[#This Row],[Selling Price]]*(1+tblOver[[#This Row],[%age (S.P.)]])</f>
        <v>2727</v>
      </c>
      <c r="E16" s="139">
        <f>tblForecast3[[#This Row],[Cost Price]]*(1+tblOver[[#This Row],[%age (C.P)]])</f>
        <v>1625.25</v>
      </c>
      <c r="F16" s="48">
        <f t="shared" si="0"/>
        <v>6184836</v>
      </c>
      <c r="G16" s="48">
        <f t="shared" si="1"/>
        <v>3686067</v>
      </c>
      <c r="H16" s="48">
        <f>Actual_Over_2026!$F16-Actual_Over_2026!$G16</f>
        <v>2498769</v>
      </c>
      <c r="I16" s="49">
        <f t="shared" si="2"/>
        <v>0.40401540154015403</v>
      </c>
      <c r="J16" s="50">
        <f t="array" ref="J16">INDEX('%age_Change_Logic'!$H$6:$H$11, MATCH(L16,'%age_Change_Logic'!$F$6:$F$11,1))</f>
        <v>0.01</v>
      </c>
      <c r="K16" s="51">
        <f t="array" ref="K16">INDEX('%age_Change_Logic'!$D$6:$D$11, MATCH(L16, '%age_Change_Logic'!$B$6:$B$11,1))</f>
        <v>-1.4999999999999999E-2</v>
      </c>
      <c r="L16" s="104">
        <v>0.08</v>
      </c>
      <c r="M16" s="98" t="s">
        <v>58</v>
      </c>
    </row>
    <row r="17" spans="1:13" x14ac:dyDescent="0.25">
      <c r="A17" s="78" t="s">
        <v>31</v>
      </c>
      <c r="B17" s="65" t="s">
        <v>5</v>
      </c>
      <c r="C17" s="81">
        <f>tblForecast3[[#This Row],[Units Sold]]*(1+tblOver[[#This Row],[%age (Units)]])</f>
        <v>1501.5000000000002</v>
      </c>
      <c r="D17" s="139">
        <f>tblForecast3[[#This Row],[Selling Price]]*(1+tblOver[[#This Row],[%age (S.P.)]])</f>
        <v>3838</v>
      </c>
      <c r="E17" s="139">
        <f>tblForecast3[[#This Row],[Cost Price]]*(1+tblOver[[#This Row],[%age (C.P)]])</f>
        <v>2462.5</v>
      </c>
      <c r="F17" s="48">
        <f t="shared" si="0"/>
        <v>5762757.0000000009</v>
      </c>
      <c r="G17" s="48">
        <f t="shared" si="1"/>
        <v>3697443.7500000005</v>
      </c>
      <c r="H17" s="48">
        <f>Actual_Over_2026!$F17-Actual_Over_2026!$G17</f>
        <v>2065313.2500000005</v>
      </c>
      <c r="I17" s="49">
        <f t="shared" si="2"/>
        <v>0.35838978634705576</v>
      </c>
      <c r="J17" s="50">
        <f t="array" ref="J17">INDEX('%age_Change_Logic'!$H$6:$H$11, MATCH(L17,'%age_Change_Logic'!$F$6:$F$11,1))</f>
        <v>0.01</v>
      </c>
      <c r="K17" s="51">
        <f t="array" ref="K17">INDEX('%age_Change_Logic'!$D$6:$D$11, MATCH(L17, '%age_Change_Logic'!$B$6:$B$11,1))</f>
        <v>-1.4999999999999999E-2</v>
      </c>
      <c r="L17" s="104">
        <v>0.1</v>
      </c>
      <c r="M17" s="98" t="s">
        <v>57</v>
      </c>
    </row>
    <row r="18" spans="1:13" x14ac:dyDescent="0.25">
      <c r="A18" s="78" t="s">
        <v>31</v>
      </c>
      <c r="B18" s="65" t="s">
        <v>14</v>
      </c>
      <c r="C18" s="81">
        <f>tblForecast3[[#This Row],[Units Sold]]*(1+tblOver[[#This Row],[%age (Units)]])</f>
        <v>1617.0000000000002</v>
      </c>
      <c r="D18" s="139">
        <f>tblForecast3[[#This Row],[Selling Price]]*(1+tblOver[[#This Row],[%age (S.P.)]])</f>
        <v>3030</v>
      </c>
      <c r="E18" s="139">
        <f>tblForecast3[[#This Row],[Cost Price]]*(1+tblOver[[#This Row],[%age (C.P)]])</f>
        <v>1674.5</v>
      </c>
      <c r="F18" s="48">
        <f t="shared" si="0"/>
        <v>4899510.0000000009</v>
      </c>
      <c r="G18" s="48">
        <f t="shared" si="1"/>
        <v>2707666.5000000005</v>
      </c>
      <c r="H18" s="48">
        <f>Actual_Over_2026!$F18-Actual_Over_2026!$G18</f>
        <v>2191843.5000000005</v>
      </c>
      <c r="I18" s="49">
        <f t="shared" si="2"/>
        <v>0.44735973597359735</v>
      </c>
      <c r="J18" s="50">
        <f t="array" ref="J18">INDEX('%age_Change_Logic'!$H$6:$H$11, MATCH(L18,'%age_Change_Logic'!$F$6:$F$11,1))</f>
        <v>0.01</v>
      </c>
      <c r="K18" s="51">
        <f t="array" ref="K18">INDEX('%age_Change_Logic'!$D$6:$D$11, MATCH(L18, '%age_Change_Logic'!$B$6:$B$11,1))</f>
        <v>-1.4999999999999999E-2</v>
      </c>
      <c r="L18" s="104">
        <v>0.1</v>
      </c>
      <c r="M18" s="98" t="s">
        <v>59</v>
      </c>
    </row>
    <row r="19" spans="1:13" x14ac:dyDescent="0.25">
      <c r="A19" s="78" t="s">
        <v>31</v>
      </c>
      <c r="B19" s="65" t="s">
        <v>39</v>
      </c>
      <c r="C19" s="81">
        <f>tblForecast3[[#This Row],[Units Sold]]*(1+tblOver[[#This Row],[%age (Units)]])</f>
        <v>3018.7499999999995</v>
      </c>
      <c r="D19" s="139">
        <f>tblForecast3[[#This Row],[Selling Price]]*(1+tblOver[[#This Row],[%age (S.P.)]])</f>
        <v>1428</v>
      </c>
      <c r="E19" s="139">
        <f>tblForecast3[[#This Row],[Cost Price]]*(1+tblOver[[#This Row],[%age (C.P)]])</f>
        <v>633.75</v>
      </c>
      <c r="F19" s="48">
        <f t="shared" si="0"/>
        <v>4310774.9999999991</v>
      </c>
      <c r="G19" s="48">
        <f t="shared" si="1"/>
        <v>1913132.8124999998</v>
      </c>
      <c r="H19" s="48">
        <f>Actual_Over_2026!$F19-Actual_Over_2026!$G19</f>
        <v>2397642.1874999991</v>
      </c>
      <c r="I19" s="49">
        <f t="shared" si="2"/>
        <v>0.55619747899159655</v>
      </c>
      <c r="J19" s="50">
        <f t="array" ref="J19">INDEX('%age_Change_Logic'!$H$6:$H$11, MATCH(L19,'%age_Change_Logic'!$F$6:$F$11,1))</f>
        <v>0.02</v>
      </c>
      <c r="K19" s="51">
        <f t="array" ref="K19">INDEX('%age_Change_Logic'!$D$6:$D$11, MATCH(L19, '%age_Change_Logic'!$B$6:$B$11,1))</f>
        <v>-2.5000000000000001E-2</v>
      </c>
      <c r="L19" s="104">
        <v>0.15</v>
      </c>
      <c r="M19" s="98" t="s">
        <v>61</v>
      </c>
    </row>
    <row r="20" spans="1:13" x14ac:dyDescent="0.25">
      <c r="A20" s="78" t="s">
        <v>31</v>
      </c>
      <c r="B20" s="65" t="s">
        <v>6</v>
      </c>
      <c r="C20" s="81">
        <f>tblForecast3[[#This Row],[Units Sold]]*(1+tblOver[[#This Row],[%age (Units)]])</f>
        <v>4042.5000000000005</v>
      </c>
      <c r="D20" s="139">
        <f>tblForecast3[[#This Row],[Selling Price]]*(1+tblOver[[#This Row],[%age (S.P.)]])</f>
        <v>707</v>
      </c>
      <c r="E20" s="139">
        <f>tblForecast3[[#This Row],[Cost Price]]*(1+tblOver[[#This Row],[%age (C.P)]])</f>
        <v>246.25</v>
      </c>
      <c r="F20" s="48">
        <f t="shared" si="0"/>
        <v>2858047.5000000005</v>
      </c>
      <c r="G20" s="48">
        <f t="shared" si="1"/>
        <v>995465.62500000012</v>
      </c>
      <c r="H20" s="48">
        <f>Actual_Over_2026!$F20-Actual_Over_2026!$G20</f>
        <v>1862581.8750000005</v>
      </c>
      <c r="I20" s="49">
        <f t="shared" si="2"/>
        <v>0.6516973125884018</v>
      </c>
      <c r="J20" s="50">
        <f t="array" ref="J20">INDEX('%age_Change_Logic'!$H$6:$H$11, MATCH(L20,'%age_Change_Logic'!$F$6:$F$11,1))</f>
        <v>0.01</v>
      </c>
      <c r="K20" s="51">
        <f t="array" ref="K20">INDEX('%age_Change_Logic'!$D$6:$D$11, MATCH(L20, '%age_Change_Logic'!$B$6:$B$11,1))</f>
        <v>-1.4999999999999999E-2</v>
      </c>
      <c r="L20" s="104">
        <v>0.1</v>
      </c>
      <c r="M20" s="98" t="s">
        <v>60</v>
      </c>
    </row>
    <row r="21" spans="1:13" ht="15.75" x14ac:dyDescent="0.25">
      <c r="A21" s="122" t="s">
        <v>40</v>
      </c>
      <c r="B21" s="123"/>
      <c r="C21" s="143">
        <f>SUM(C16:C20)</f>
        <v>12447.75</v>
      </c>
      <c r="D21" s="141"/>
      <c r="E21" s="141"/>
      <c r="F21" s="124">
        <f>SUM(F16:F20)</f>
        <v>24015925.5</v>
      </c>
      <c r="G21" s="124">
        <f>SUM(G16:G20)</f>
        <v>12999775.6875</v>
      </c>
      <c r="H21" s="124">
        <f>SUM(H16:H20)</f>
        <v>11016149.8125</v>
      </c>
      <c r="I21" s="125">
        <f>AVERAGE(I16:I20)</f>
        <v>0.48353194308816116</v>
      </c>
      <c r="J21" s="52"/>
      <c r="K21" s="53"/>
      <c r="L21" s="105"/>
      <c r="M21" s="101"/>
    </row>
    <row r="22" spans="1:13" x14ac:dyDescent="0.25">
      <c r="A22" s="78" t="s">
        <v>32</v>
      </c>
      <c r="B22" s="65" t="s">
        <v>4</v>
      </c>
      <c r="C22" s="81">
        <f>tblForecast3[[#This Row],[Units Sold]]*(1+tblOver[[#This Row],[%age (Units)]])</f>
        <v>2420</v>
      </c>
      <c r="D22" s="139">
        <f>tblForecast3[[#This Row],[Selling Price]]*(1+tblOver[[#This Row],[%age (S.P.)]])</f>
        <v>2727</v>
      </c>
      <c r="E22" s="139">
        <f>tblForecast3[[#This Row],[Cost Price]]*(1+tblOver[[#This Row],[%age (C.P)]])</f>
        <v>1625.25</v>
      </c>
      <c r="F22" s="48">
        <f t="shared" si="0"/>
        <v>6599340</v>
      </c>
      <c r="G22" s="48">
        <f t="shared" si="1"/>
        <v>3933105</v>
      </c>
      <c r="H22" s="48">
        <f>Actual_Over_2026!$F22-Actual_Over_2026!$G22</f>
        <v>2666235</v>
      </c>
      <c r="I22" s="49">
        <f t="shared" si="2"/>
        <v>0.40401540154015403</v>
      </c>
      <c r="J22" s="50">
        <f t="array" ref="J22">INDEX('%age_Change_Logic'!$H$6:$H$11, MATCH(L22,'%age_Change_Logic'!$F$6:$F$11,1))</f>
        <v>0.01</v>
      </c>
      <c r="K22" s="51">
        <f t="array" ref="K22">INDEX('%age_Change_Logic'!$D$6:$D$11, MATCH(L22, '%age_Change_Logic'!$B$6:$B$11,1))</f>
        <v>-1.4999999999999999E-2</v>
      </c>
      <c r="L22" s="104">
        <v>0.1</v>
      </c>
      <c r="M22" s="98" t="s">
        <v>63</v>
      </c>
    </row>
    <row r="23" spans="1:13" x14ac:dyDescent="0.25">
      <c r="A23" s="78" t="s">
        <v>32</v>
      </c>
      <c r="B23" s="65" t="s">
        <v>5</v>
      </c>
      <c r="C23" s="81">
        <f>tblForecast3[[#This Row],[Units Sold]]*(1+tblOver[[#This Row],[%age (Units)]])</f>
        <v>1716.0000000000002</v>
      </c>
      <c r="D23" s="139">
        <f>tblForecast3[[#This Row],[Selling Price]]*(1+tblOver[[#This Row],[%age (S.P.)]])</f>
        <v>3914</v>
      </c>
      <c r="E23" s="139">
        <f>tblForecast3[[#This Row],[Cost Price]]*(1+tblOver[[#This Row],[%age (C.P)]])</f>
        <v>2400</v>
      </c>
      <c r="F23" s="48">
        <f t="shared" si="0"/>
        <v>6716424.0000000009</v>
      </c>
      <c r="G23" s="48">
        <f t="shared" si="1"/>
        <v>4118400.0000000005</v>
      </c>
      <c r="H23" s="48">
        <f>Actual_Over_2026!$F23-Actual_Over_2026!$G23</f>
        <v>2598024.0000000005</v>
      </c>
      <c r="I23" s="49">
        <f t="shared" si="2"/>
        <v>0.3868165559529893</v>
      </c>
      <c r="J23" s="50">
        <f t="array" ref="J23">INDEX('%age_Change_Logic'!$H$6:$H$11, MATCH(L23,'%age_Change_Logic'!$F$6:$F$11,1))</f>
        <v>0.03</v>
      </c>
      <c r="K23" s="51">
        <f t="array" ref="K23">INDEX('%age_Change_Logic'!$D$6:$D$11, MATCH(L23, '%age_Change_Logic'!$B$6:$B$11,1))</f>
        <v>-0.04</v>
      </c>
      <c r="L23" s="104">
        <v>0.2</v>
      </c>
      <c r="M23" s="98" t="s">
        <v>62</v>
      </c>
    </row>
    <row r="24" spans="1:13" x14ac:dyDescent="0.25">
      <c r="A24" s="78" t="s">
        <v>32</v>
      </c>
      <c r="B24" s="65" t="s">
        <v>14</v>
      </c>
      <c r="C24" s="81">
        <f>tblForecast3[[#This Row],[Units Sold]]*(1+tblOver[[#This Row],[%age (Units)]])</f>
        <v>1540.0000000000002</v>
      </c>
      <c r="D24" s="139">
        <f>tblForecast3[[#This Row],[Selling Price]]*(1+tblOver[[#This Row],[%age (S.P.)]])</f>
        <v>3000</v>
      </c>
      <c r="E24" s="139">
        <f>tblForecast3[[#This Row],[Cost Price]]*(1+tblOver[[#This Row],[%age (C.P)]])</f>
        <v>1700</v>
      </c>
      <c r="F24" s="48">
        <f t="shared" si="0"/>
        <v>4620000.0000000009</v>
      </c>
      <c r="G24" s="48">
        <f t="shared" si="1"/>
        <v>2618000.0000000005</v>
      </c>
      <c r="H24" s="48">
        <f>Actual_Over_2026!$F24-Actual_Over_2026!$G24</f>
        <v>2002000.0000000005</v>
      </c>
      <c r="I24" s="49">
        <f t="shared" si="2"/>
        <v>0.43333333333333335</v>
      </c>
      <c r="J24" s="50">
        <f t="array" ref="J24">INDEX('%age_Change_Logic'!$H$6:$H$11, MATCH(L24,'%age_Change_Logic'!$F$6:$F$11,1))</f>
        <v>0</v>
      </c>
      <c r="K24" s="51">
        <f t="array" ref="K24">INDEX('%age_Change_Logic'!$D$6:$D$11, MATCH(L24, '%age_Change_Logic'!$B$6:$B$11,1))</f>
        <v>0</v>
      </c>
      <c r="L24" s="104">
        <v>0</v>
      </c>
      <c r="M24" s="98" t="s">
        <v>64</v>
      </c>
    </row>
    <row r="25" spans="1:13" x14ac:dyDescent="0.25">
      <c r="A25" s="78" t="s">
        <v>32</v>
      </c>
      <c r="B25" s="65" t="s">
        <v>39</v>
      </c>
      <c r="C25" s="81">
        <f>tblForecast3[[#This Row],[Units Sold]]*(1+tblOver[[#This Row],[%age (Units)]])</f>
        <v>2887.5</v>
      </c>
      <c r="D25" s="139">
        <f>tblForecast3[[#This Row],[Selling Price]]*(1+tblOver[[#This Row],[%age (S.P.)]])</f>
        <v>1400</v>
      </c>
      <c r="E25" s="139">
        <f>tblForecast3[[#This Row],[Cost Price]]*(1+tblOver[[#This Row],[%age (C.P)]])</f>
        <v>650</v>
      </c>
      <c r="F25" s="48">
        <f t="shared" si="0"/>
        <v>4042500</v>
      </c>
      <c r="G25" s="48">
        <f t="shared" si="1"/>
        <v>1876875</v>
      </c>
      <c r="H25" s="48">
        <f>Actual_Over_2026!$F25-Actual_Over_2026!$G25</f>
        <v>2165625</v>
      </c>
      <c r="I25" s="49">
        <f t="shared" si="2"/>
        <v>0.5357142857142857</v>
      </c>
      <c r="J25" s="50">
        <f t="array" ref="J25">INDEX('%age_Change_Logic'!$H$6:$H$11, MATCH(L25,'%age_Change_Logic'!$F$6:$F$11,1))</f>
        <v>0</v>
      </c>
      <c r="K25" s="51">
        <f t="array" ref="K25">INDEX('%age_Change_Logic'!$D$6:$D$11, MATCH(L25, '%age_Change_Logic'!$B$6:$B$11,1))</f>
        <v>0</v>
      </c>
      <c r="L25" s="104">
        <v>0.05</v>
      </c>
      <c r="M25" s="98" t="s">
        <v>66</v>
      </c>
    </row>
    <row r="26" spans="1:13" x14ac:dyDescent="0.25">
      <c r="A26" s="78" t="s">
        <v>32</v>
      </c>
      <c r="B26" s="65" t="s">
        <v>6</v>
      </c>
      <c r="C26" s="81">
        <f>tblForecast3[[#This Row],[Units Sold]]*(1+tblOver[[#This Row],[%age (Units)]])</f>
        <v>4812.5000000000009</v>
      </c>
      <c r="D26" s="139">
        <f>tblForecast3[[#This Row],[Selling Price]]*(1+tblOver[[#This Row],[%age (S.P.)]])</f>
        <v>728</v>
      </c>
      <c r="E26" s="139">
        <f>tblForecast3[[#This Row],[Cost Price]]*(1+tblOver[[#This Row],[%age (C.P)]])</f>
        <v>237.5</v>
      </c>
      <c r="F26" s="48">
        <f t="shared" si="0"/>
        <v>3503500.0000000005</v>
      </c>
      <c r="G26" s="48">
        <f t="shared" si="1"/>
        <v>1142968.7500000002</v>
      </c>
      <c r="H26" s="48">
        <f>Actual_Over_2026!$F26-Actual_Over_2026!$G26</f>
        <v>2360531.25</v>
      </c>
      <c r="I26" s="49">
        <f t="shared" si="2"/>
        <v>0.6737637362637362</v>
      </c>
      <c r="J26" s="50">
        <f t="array" ref="J26">INDEX('%age_Change_Logic'!$H$6:$H$11, MATCH(L26,'%age_Change_Logic'!$F$6:$F$11,1))</f>
        <v>0.04</v>
      </c>
      <c r="K26" s="51">
        <f t="array" ref="K26">INDEX('%age_Change_Logic'!$D$6:$D$11, MATCH(L26, '%age_Change_Logic'!$B$6:$B$11,1))</f>
        <v>-0.05</v>
      </c>
      <c r="L26" s="104">
        <v>0.25</v>
      </c>
      <c r="M26" s="98" t="s">
        <v>65</v>
      </c>
    </row>
    <row r="27" spans="1:13" ht="15.75" x14ac:dyDescent="0.25">
      <c r="A27" s="122" t="s">
        <v>40</v>
      </c>
      <c r="B27" s="123"/>
      <c r="C27" s="143">
        <f>SUM(C22:C26)</f>
        <v>13376</v>
      </c>
      <c r="D27" s="141"/>
      <c r="E27" s="141"/>
      <c r="F27" s="124">
        <f>SUM(F22:F26)</f>
        <v>25481764</v>
      </c>
      <c r="G27" s="124">
        <f>SUM(G22:G26)</f>
        <v>13689348.75</v>
      </c>
      <c r="H27" s="124">
        <f>SUM(H22:H26)</f>
        <v>11792415.25</v>
      </c>
      <c r="I27" s="125">
        <f>AVERAGE(I22:I26)</f>
        <v>0.48672866256089975</v>
      </c>
      <c r="J27" s="52"/>
      <c r="K27" s="53"/>
      <c r="L27" s="105"/>
      <c r="M27" s="101"/>
    </row>
    <row r="28" spans="1:13" x14ac:dyDescent="0.25">
      <c r="A28" s="78" t="s">
        <v>27</v>
      </c>
      <c r="B28" s="65" t="s">
        <v>4</v>
      </c>
      <c r="C28" s="81">
        <f>tblForecast3[[#This Row],[Units Sold]]*(1+tblOver[[#This Row],[%age (Units)]])</f>
        <v>2640</v>
      </c>
      <c r="D28" s="139">
        <f>tblForecast3[[#This Row],[Selling Price]]*(1+tblOver[[#This Row],[%age (S.P.)]])</f>
        <v>2727</v>
      </c>
      <c r="E28" s="139">
        <f>tblForecast3[[#This Row],[Cost Price]]*(1+tblOver[[#This Row],[%age (C.P)]])</f>
        <v>1625.25</v>
      </c>
      <c r="F28" s="48">
        <f t="shared" si="0"/>
        <v>7199280</v>
      </c>
      <c r="G28" s="48">
        <f t="shared" si="1"/>
        <v>4290660</v>
      </c>
      <c r="H28" s="48">
        <f>Actual_Over_2026!$F28-Actual_Over_2026!$G28</f>
        <v>2908620</v>
      </c>
      <c r="I28" s="49">
        <f t="shared" si="2"/>
        <v>0.40401540154015403</v>
      </c>
      <c r="J28" s="50">
        <f t="array" ref="J28">INDEX('%age_Change_Logic'!$H$6:$H$11, MATCH(L28,'%age_Change_Logic'!$F$6:$F$11,1))</f>
        <v>0.01</v>
      </c>
      <c r="K28" s="51">
        <f t="array" ref="K28">INDEX('%age_Change_Logic'!$D$6:$D$11, MATCH(L28, '%age_Change_Logic'!$B$6:$B$11,1))</f>
        <v>-1.4999999999999999E-2</v>
      </c>
      <c r="L28" s="104">
        <v>0.1</v>
      </c>
      <c r="M28" s="98" t="s">
        <v>68</v>
      </c>
    </row>
    <row r="29" spans="1:13" x14ac:dyDescent="0.25">
      <c r="A29" s="78" t="s">
        <v>27</v>
      </c>
      <c r="B29" s="65" t="s">
        <v>5</v>
      </c>
      <c r="C29" s="81">
        <f>tblForecast3[[#This Row],[Units Sold]]*(1+tblOver[[#This Row],[%age (Units)]])</f>
        <v>1793.9999999999998</v>
      </c>
      <c r="D29" s="139">
        <f>tblForecast3[[#This Row],[Selling Price]]*(1+tblOver[[#This Row],[%age (S.P.)]])</f>
        <v>3876</v>
      </c>
      <c r="E29" s="139">
        <f>tblForecast3[[#This Row],[Cost Price]]*(1+tblOver[[#This Row],[%age (C.P)]])</f>
        <v>2437.5</v>
      </c>
      <c r="F29" s="48">
        <f t="shared" si="0"/>
        <v>6953543.9999999991</v>
      </c>
      <c r="G29" s="48">
        <f t="shared" si="1"/>
        <v>4372874.9999999991</v>
      </c>
      <c r="H29" s="48">
        <f>Actual_Over_2026!$F29-Actual_Over_2026!$G29</f>
        <v>2580669</v>
      </c>
      <c r="I29" s="49">
        <f t="shared" si="2"/>
        <v>0.37113003095975239</v>
      </c>
      <c r="J29" s="50">
        <f t="array" ref="J29">INDEX('%age_Change_Logic'!$H$6:$H$11, MATCH(L29,'%age_Change_Logic'!$F$6:$F$11,1))</f>
        <v>0.02</v>
      </c>
      <c r="K29" s="51">
        <f t="array" ref="K29">INDEX('%age_Change_Logic'!$D$6:$D$11, MATCH(L29, '%age_Change_Logic'!$B$6:$B$11,1))</f>
        <v>-2.5000000000000001E-2</v>
      </c>
      <c r="L29" s="104">
        <v>0.15</v>
      </c>
      <c r="M29" s="98" t="s">
        <v>67</v>
      </c>
    </row>
    <row r="30" spans="1:13" x14ac:dyDescent="0.25">
      <c r="A30" s="78" t="s">
        <v>27</v>
      </c>
      <c r="B30" s="65" t="s">
        <v>14</v>
      </c>
      <c r="C30" s="81">
        <f>tblForecast3[[#This Row],[Units Sold]]*(1+tblOver[[#This Row],[%age (Units)]])</f>
        <v>1680</v>
      </c>
      <c r="D30" s="139">
        <f>tblForecast3[[#This Row],[Selling Price]]*(1+tblOver[[#This Row],[%age (S.P.)]])</f>
        <v>3000</v>
      </c>
      <c r="E30" s="139">
        <f>tblForecast3[[#This Row],[Cost Price]]*(1+tblOver[[#This Row],[%age (C.P)]])</f>
        <v>1700</v>
      </c>
      <c r="F30" s="48">
        <f t="shared" si="0"/>
        <v>5040000</v>
      </c>
      <c r="G30" s="48">
        <f t="shared" si="1"/>
        <v>2856000</v>
      </c>
      <c r="H30" s="48">
        <f>Actual_Over_2026!$F30-Actual_Over_2026!$G30</f>
        <v>2184000</v>
      </c>
      <c r="I30" s="49">
        <f t="shared" si="2"/>
        <v>0.43333333333333335</v>
      </c>
      <c r="J30" s="50">
        <f t="array" ref="J30">INDEX('%age_Change_Logic'!$H$6:$H$11, MATCH(L30,'%age_Change_Logic'!$F$6:$F$11,1))</f>
        <v>0</v>
      </c>
      <c r="K30" s="51">
        <f t="array" ref="K30">INDEX('%age_Change_Logic'!$D$6:$D$11, MATCH(L30, '%age_Change_Logic'!$B$6:$B$11,1))</f>
        <v>0</v>
      </c>
      <c r="L30" s="104">
        <v>0</v>
      </c>
      <c r="M30" s="98" t="s">
        <v>70</v>
      </c>
    </row>
    <row r="31" spans="1:13" x14ac:dyDescent="0.25">
      <c r="A31" s="78" t="s">
        <v>27</v>
      </c>
      <c r="B31" s="65" t="s">
        <v>39</v>
      </c>
      <c r="C31" s="81">
        <f>tblForecast3[[#This Row],[Units Sold]]*(1+tblOver[[#This Row],[%age (Units)]])</f>
        <v>3150</v>
      </c>
      <c r="D31" s="139">
        <f>tblForecast3[[#This Row],[Selling Price]]*(1+tblOver[[#This Row],[%age (S.P.)]])</f>
        <v>1400</v>
      </c>
      <c r="E31" s="139">
        <f>tblForecast3[[#This Row],[Cost Price]]*(1+tblOver[[#This Row],[%age (C.P)]])</f>
        <v>650</v>
      </c>
      <c r="F31" s="48">
        <f t="shared" si="0"/>
        <v>4410000</v>
      </c>
      <c r="G31" s="48">
        <f t="shared" si="1"/>
        <v>2047500</v>
      </c>
      <c r="H31" s="48">
        <f>Actual_Over_2026!$F31-Actual_Over_2026!$G31</f>
        <v>2362500</v>
      </c>
      <c r="I31" s="49">
        <f t="shared" si="2"/>
        <v>0.5357142857142857</v>
      </c>
      <c r="J31" s="50">
        <f t="array" ref="J31">INDEX('%age_Change_Logic'!$H$6:$H$11, MATCH(L31,'%age_Change_Logic'!$F$6:$F$11,1))</f>
        <v>0</v>
      </c>
      <c r="K31" s="51">
        <f t="array" ref="K31">INDEX('%age_Change_Logic'!$D$6:$D$11, MATCH(L31, '%age_Change_Logic'!$B$6:$B$11,1))</f>
        <v>0</v>
      </c>
      <c r="L31" s="104">
        <v>0.05</v>
      </c>
      <c r="M31" s="98" t="s">
        <v>71</v>
      </c>
    </row>
    <row r="32" spans="1:13" x14ac:dyDescent="0.25">
      <c r="A32" s="78" t="s">
        <v>27</v>
      </c>
      <c r="B32" s="65" t="s">
        <v>6</v>
      </c>
      <c r="C32" s="81">
        <f>tblForecast3[[#This Row],[Units Sold]]*(1+tblOver[[#This Row],[%age (Units)]])</f>
        <v>5040</v>
      </c>
      <c r="D32" s="139">
        <f>tblForecast3[[#This Row],[Selling Price]]*(1+tblOver[[#This Row],[%age (S.P.)]])</f>
        <v>721</v>
      </c>
      <c r="E32" s="139">
        <f>tblForecast3[[#This Row],[Cost Price]]*(1+tblOver[[#This Row],[%age (C.P)]])</f>
        <v>240</v>
      </c>
      <c r="F32" s="48">
        <f t="shared" si="0"/>
        <v>3633840</v>
      </c>
      <c r="G32" s="48">
        <f t="shared" si="1"/>
        <v>1209600</v>
      </c>
      <c r="H32" s="48">
        <f>Actual_Over_2026!$F32-Actual_Over_2026!$G32</f>
        <v>2424240</v>
      </c>
      <c r="I32" s="49">
        <f t="shared" si="2"/>
        <v>0.66712898751733707</v>
      </c>
      <c r="J32" s="50">
        <f t="array" ref="J32">INDEX('%age_Change_Logic'!$H$6:$H$11, MATCH(L32,'%age_Change_Logic'!$F$6:$F$11,1))</f>
        <v>0.03</v>
      </c>
      <c r="K32" s="51">
        <f t="array" ref="K32">INDEX('%age_Change_Logic'!$D$6:$D$11, MATCH(L32, '%age_Change_Logic'!$B$6:$B$11,1))</f>
        <v>-0.04</v>
      </c>
      <c r="L32" s="104">
        <v>0.2</v>
      </c>
      <c r="M32" s="98" t="s">
        <v>69</v>
      </c>
    </row>
    <row r="33" spans="1:13" ht="15.75" x14ac:dyDescent="0.25">
      <c r="A33" s="122" t="s">
        <v>40</v>
      </c>
      <c r="B33" s="123"/>
      <c r="C33" s="143">
        <f>SUM(C28:C32)</f>
        <v>14304</v>
      </c>
      <c r="D33" s="141"/>
      <c r="E33" s="141"/>
      <c r="F33" s="124">
        <f>SUM(F28:F32)</f>
        <v>27236664</v>
      </c>
      <c r="G33" s="124">
        <f>SUM(G28:G32)</f>
        <v>14776635</v>
      </c>
      <c r="H33" s="124">
        <f>SUM(H28:H32)</f>
        <v>12460029</v>
      </c>
      <c r="I33" s="125">
        <f>AVERAGE(I28:I32)</f>
        <v>0.48226440781297253</v>
      </c>
      <c r="J33" s="52"/>
      <c r="K33" s="53"/>
      <c r="L33" s="105"/>
      <c r="M33" s="101"/>
    </row>
    <row r="34" spans="1:13" x14ac:dyDescent="0.25">
      <c r="A34" s="78" t="s">
        <v>33</v>
      </c>
      <c r="B34" s="65" t="s">
        <v>4</v>
      </c>
      <c r="C34" s="81">
        <f>tblForecast3[[#This Row],[Units Sold]]*(1+tblOver[[#This Row],[%age (Units)]])</f>
        <v>2484</v>
      </c>
      <c r="D34" s="139">
        <f>tblForecast3[[#This Row],[Selling Price]]*(1+tblOver[[#This Row],[%age (S.P.)]])</f>
        <v>2727</v>
      </c>
      <c r="E34" s="139">
        <f>tblForecast3[[#This Row],[Cost Price]]*(1+tblOver[[#This Row],[%age (C.P)]])</f>
        <v>1625.25</v>
      </c>
      <c r="F34" s="48">
        <f t="shared" si="0"/>
        <v>6773868</v>
      </c>
      <c r="G34" s="48">
        <f t="shared" si="1"/>
        <v>4037121</v>
      </c>
      <c r="H34" s="48">
        <f>Actual_Over_2026!$F34-Actual_Over_2026!$G34</f>
        <v>2736747</v>
      </c>
      <c r="I34" s="49">
        <f t="shared" si="2"/>
        <v>0.40401540154015403</v>
      </c>
      <c r="J34" s="50">
        <f t="array" ref="J34">INDEX('%age_Change_Logic'!$H$6:$H$11, MATCH(L34,'%age_Change_Logic'!$F$6:$F$11,1))</f>
        <v>0.01</v>
      </c>
      <c r="K34" s="51">
        <f t="array" ref="K34">INDEX('%age_Change_Logic'!$D$6:$D$11, MATCH(L34, '%age_Change_Logic'!$B$6:$B$11,1))</f>
        <v>-1.4999999999999999E-2</v>
      </c>
      <c r="L34" s="104">
        <v>0.08</v>
      </c>
      <c r="M34" s="98" t="s">
        <v>73</v>
      </c>
    </row>
    <row r="35" spans="1:13" x14ac:dyDescent="0.25">
      <c r="A35" s="78" t="s">
        <v>33</v>
      </c>
      <c r="B35" s="65" t="s">
        <v>5</v>
      </c>
      <c r="C35" s="81">
        <f>tblForecast3[[#This Row],[Units Sold]]*(1+tblOver[[#This Row],[%age (Units)]])</f>
        <v>1674.3999999999999</v>
      </c>
      <c r="D35" s="139">
        <f>tblForecast3[[#This Row],[Selling Price]]*(1+tblOver[[#This Row],[%age (S.P.)]])</f>
        <v>3876</v>
      </c>
      <c r="E35" s="139">
        <f>tblForecast3[[#This Row],[Cost Price]]*(1+tblOver[[#This Row],[%age (C.P)]])</f>
        <v>2437.5</v>
      </c>
      <c r="F35" s="48">
        <f t="shared" si="0"/>
        <v>6489974.3999999994</v>
      </c>
      <c r="G35" s="48">
        <f t="shared" si="1"/>
        <v>4081349.9999999995</v>
      </c>
      <c r="H35" s="48">
        <f>Actual_Over_2026!$F35-Actual_Over_2026!$G35</f>
        <v>2408624.4</v>
      </c>
      <c r="I35" s="49">
        <f t="shared" si="2"/>
        <v>0.37113003095975233</v>
      </c>
      <c r="J35" s="50">
        <f t="array" ref="J35">INDEX('%age_Change_Logic'!$H$6:$H$11, MATCH(L35,'%age_Change_Logic'!$F$6:$F$11,1))</f>
        <v>0.02</v>
      </c>
      <c r="K35" s="51">
        <f t="array" ref="K35">INDEX('%age_Change_Logic'!$D$6:$D$11, MATCH(L35, '%age_Change_Logic'!$B$6:$B$11,1))</f>
        <v>-2.5000000000000001E-2</v>
      </c>
      <c r="L35" s="104">
        <v>0.12</v>
      </c>
      <c r="M35" s="98" t="s">
        <v>72</v>
      </c>
    </row>
    <row r="36" spans="1:13" x14ac:dyDescent="0.25">
      <c r="A36" s="78" t="s">
        <v>33</v>
      </c>
      <c r="B36" s="65" t="s">
        <v>14</v>
      </c>
      <c r="C36" s="81">
        <f>tblForecast3[[#This Row],[Units Sold]]*(1+tblOver[[#This Row],[%age (Units)]])</f>
        <v>1609.9999999999998</v>
      </c>
      <c r="D36" s="139">
        <f>tblForecast3[[#This Row],[Selling Price]]*(1+tblOver[[#This Row],[%age (S.P.)]])</f>
        <v>3000</v>
      </c>
      <c r="E36" s="139">
        <f>tblForecast3[[#This Row],[Cost Price]]*(1+tblOver[[#This Row],[%age (C.P)]])</f>
        <v>1700</v>
      </c>
      <c r="F36" s="48">
        <f t="shared" ref="F36:F67" si="3">C36*D36</f>
        <v>4829999.9999999991</v>
      </c>
      <c r="G36" s="48">
        <f t="shared" ref="G36:G67" si="4">C36*E36</f>
        <v>2736999.9999999995</v>
      </c>
      <c r="H36" s="48">
        <f>Actual_Over_2026!$F36-Actual_Over_2026!$G36</f>
        <v>2092999.9999999995</v>
      </c>
      <c r="I36" s="49">
        <f t="shared" ref="I36:I67" si="5">H36/F36</f>
        <v>0.43333333333333335</v>
      </c>
      <c r="J36" s="50">
        <f t="array" ref="J36">INDEX('%age_Change_Logic'!$H$6:$H$11, MATCH(L36,'%age_Change_Logic'!$F$6:$F$11,1))</f>
        <v>0</v>
      </c>
      <c r="K36" s="51">
        <f t="array" ref="K36">INDEX('%age_Change_Logic'!$D$6:$D$11, MATCH(L36, '%age_Change_Logic'!$B$6:$B$11,1))</f>
        <v>0</v>
      </c>
      <c r="L36" s="104">
        <v>0</v>
      </c>
      <c r="M36" s="98" t="s">
        <v>74</v>
      </c>
    </row>
    <row r="37" spans="1:13" x14ac:dyDescent="0.25">
      <c r="A37" s="78" t="s">
        <v>33</v>
      </c>
      <c r="B37" s="65" t="s">
        <v>39</v>
      </c>
      <c r="C37" s="81">
        <f>tblForecast3[[#This Row],[Units Sold]]*(1+tblOver[[#This Row],[%age (Units)]])</f>
        <v>3162.5000000000005</v>
      </c>
      <c r="D37" s="139">
        <f>tblForecast3[[#This Row],[Selling Price]]*(1+tblOver[[#This Row],[%age (S.P.)]])</f>
        <v>1414</v>
      </c>
      <c r="E37" s="139">
        <f>tblForecast3[[#This Row],[Cost Price]]*(1+tblOver[[#This Row],[%age (C.P)]])</f>
        <v>640.25</v>
      </c>
      <c r="F37" s="48">
        <f t="shared" si="3"/>
        <v>4471775.0000000009</v>
      </c>
      <c r="G37" s="48">
        <f t="shared" si="4"/>
        <v>2024790.6250000002</v>
      </c>
      <c r="H37" s="48">
        <f>Actual_Over_2026!$F37-Actual_Over_2026!$G37</f>
        <v>2446984.3750000009</v>
      </c>
      <c r="I37" s="49">
        <f t="shared" si="5"/>
        <v>0.5472065063649223</v>
      </c>
      <c r="J37" s="50">
        <f t="array" ref="J37">INDEX('%age_Change_Logic'!$H$6:$H$11, MATCH(L37,'%age_Change_Logic'!$F$6:$F$11,1))</f>
        <v>0.01</v>
      </c>
      <c r="K37" s="51">
        <f t="array" ref="K37">INDEX('%age_Change_Logic'!$D$6:$D$11, MATCH(L37, '%age_Change_Logic'!$B$6:$B$11,1))</f>
        <v>-1.4999999999999999E-2</v>
      </c>
      <c r="L37" s="104">
        <v>0.1</v>
      </c>
      <c r="M37" s="98" t="s">
        <v>76</v>
      </c>
    </row>
    <row r="38" spans="1:13" x14ac:dyDescent="0.25">
      <c r="A38" s="78" t="s">
        <v>33</v>
      </c>
      <c r="B38" s="65" t="s">
        <v>6</v>
      </c>
      <c r="C38" s="81">
        <f>tblForecast3[[#This Row],[Units Sold]]*(1+tblOver[[#This Row],[%age (Units)]])</f>
        <v>4749.4999999999991</v>
      </c>
      <c r="D38" s="139">
        <f>tblForecast3[[#This Row],[Selling Price]]*(1+tblOver[[#This Row],[%age (S.P.)]])</f>
        <v>721</v>
      </c>
      <c r="E38" s="139">
        <f>tblForecast3[[#This Row],[Cost Price]]*(1+tblOver[[#This Row],[%age (C.P)]])</f>
        <v>240</v>
      </c>
      <c r="F38" s="48">
        <f t="shared" si="3"/>
        <v>3424389.4999999995</v>
      </c>
      <c r="G38" s="48">
        <f t="shared" si="4"/>
        <v>1139879.9999999998</v>
      </c>
      <c r="H38" s="48">
        <f>Actual_Over_2026!$F38-Actual_Over_2026!$G38</f>
        <v>2284509.5</v>
      </c>
      <c r="I38" s="49">
        <f t="shared" si="5"/>
        <v>0.66712898751733707</v>
      </c>
      <c r="J38" s="50">
        <f t="array" ref="J38">INDEX('%age_Change_Logic'!$H$6:$H$11, MATCH(L38,'%age_Change_Logic'!$F$6:$F$11,1))</f>
        <v>0.03</v>
      </c>
      <c r="K38" s="51">
        <f t="array" ref="K38">INDEX('%age_Change_Logic'!$D$6:$D$11, MATCH(L38, '%age_Change_Logic'!$B$6:$B$11,1))</f>
        <v>-0.04</v>
      </c>
      <c r="L38" s="104">
        <v>0.18</v>
      </c>
      <c r="M38" s="98" t="s">
        <v>75</v>
      </c>
    </row>
    <row r="39" spans="1:13" ht="15.75" x14ac:dyDescent="0.25">
      <c r="A39" s="122" t="s">
        <v>40</v>
      </c>
      <c r="B39" s="123"/>
      <c r="C39" s="143">
        <f>SUM(C34:C38)</f>
        <v>13680.399999999998</v>
      </c>
      <c r="D39" s="141"/>
      <c r="E39" s="141"/>
      <c r="F39" s="124">
        <f>SUM(F34:F38)</f>
        <v>25990006.899999999</v>
      </c>
      <c r="G39" s="124">
        <f>SUM(G34:G38)</f>
        <v>14020141.625</v>
      </c>
      <c r="H39" s="124">
        <f>SUM(H34:H38)</f>
        <v>11969865.275000002</v>
      </c>
      <c r="I39" s="125">
        <f>AVERAGE(I34:I38)</f>
        <v>0.48456285194309984</v>
      </c>
      <c r="J39" s="52"/>
      <c r="K39" s="53"/>
      <c r="L39" s="105"/>
      <c r="M39" s="101"/>
    </row>
    <row r="40" spans="1:13" x14ac:dyDescent="0.25">
      <c r="A40" s="78" t="s">
        <v>28</v>
      </c>
      <c r="B40" s="65" t="s">
        <v>4</v>
      </c>
      <c r="C40" s="81">
        <f>tblForecast3[[#This Row],[Units Sold]]*(1+tblOver[[#This Row],[%age (Units)]])</f>
        <v>2226</v>
      </c>
      <c r="D40" s="139">
        <f>tblForecast3[[#This Row],[Selling Price]]*(1+tblOver[[#This Row],[%age (S.P.)]])</f>
        <v>2727</v>
      </c>
      <c r="E40" s="139">
        <f>tblForecast3[[#This Row],[Cost Price]]*(1+tblOver[[#This Row],[%age (C.P)]])</f>
        <v>1625.25</v>
      </c>
      <c r="F40" s="48">
        <f t="shared" si="3"/>
        <v>6070302</v>
      </c>
      <c r="G40" s="48">
        <f t="shared" si="4"/>
        <v>3617806.5</v>
      </c>
      <c r="H40" s="48">
        <f>Actual_Over_2026!$F40-Actual_Over_2026!$G40</f>
        <v>2452495.5</v>
      </c>
      <c r="I40" s="49">
        <f t="shared" si="5"/>
        <v>0.40401540154015403</v>
      </c>
      <c r="J40" s="50">
        <f t="array" ref="J40">INDEX('%age_Change_Logic'!$H$6:$H$11, MATCH(L40,'%age_Change_Logic'!$F$6:$F$11,1))</f>
        <v>0.01</v>
      </c>
      <c r="K40" s="51">
        <f t="array" ref="K40">INDEX('%age_Change_Logic'!$D$6:$D$11, MATCH(L40, '%age_Change_Logic'!$B$6:$B$11,1))</f>
        <v>-1.4999999999999999E-2</v>
      </c>
      <c r="L40" s="104">
        <v>0.06</v>
      </c>
      <c r="M40" s="98" t="s">
        <v>78</v>
      </c>
    </row>
    <row r="41" spans="1:13" x14ac:dyDescent="0.25">
      <c r="A41" s="78" t="s">
        <v>28</v>
      </c>
      <c r="B41" s="65" t="s">
        <v>5</v>
      </c>
      <c r="C41" s="81">
        <f>tblForecast3[[#This Row],[Units Sold]]*(1+tblOver[[#This Row],[%age (Units)]])</f>
        <v>1433.25</v>
      </c>
      <c r="D41" s="139">
        <f>tblForecast3[[#This Row],[Selling Price]]*(1+tblOver[[#This Row],[%age (S.P.)]])</f>
        <v>3800</v>
      </c>
      <c r="E41" s="139">
        <f>tblForecast3[[#This Row],[Cost Price]]*(1+tblOver[[#This Row],[%age (C.P)]])</f>
        <v>2500</v>
      </c>
      <c r="F41" s="48">
        <f t="shared" si="3"/>
        <v>5446350</v>
      </c>
      <c r="G41" s="48">
        <f t="shared" si="4"/>
        <v>3583125</v>
      </c>
      <c r="H41" s="48">
        <f>Actual_Over_2026!$F41-Actual_Over_2026!$G41</f>
        <v>1863225</v>
      </c>
      <c r="I41" s="49">
        <f t="shared" si="5"/>
        <v>0.34210526315789475</v>
      </c>
      <c r="J41" s="50">
        <f t="array" ref="J41">INDEX('%age_Change_Logic'!$H$6:$H$11, MATCH(L41,'%age_Change_Logic'!$F$6:$F$11,1))</f>
        <v>0</v>
      </c>
      <c r="K41" s="51">
        <f t="array" ref="K41">INDEX('%age_Change_Logic'!$D$6:$D$11, MATCH(L41, '%age_Change_Logic'!$B$6:$B$11,1))</f>
        <v>0</v>
      </c>
      <c r="L41" s="104">
        <v>0.05</v>
      </c>
      <c r="M41" s="98" t="s">
        <v>77</v>
      </c>
    </row>
    <row r="42" spans="1:13" x14ac:dyDescent="0.25">
      <c r="A42" s="78" t="s">
        <v>28</v>
      </c>
      <c r="B42" s="65" t="s">
        <v>14</v>
      </c>
      <c r="C42" s="81">
        <f>tblForecast3[[#This Row],[Units Sold]]*(1+tblOver[[#This Row],[%age (Units)]])</f>
        <v>1617.0000000000002</v>
      </c>
      <c r="D42" s="139">
        <f>tblForecast3[[#This Row],[Selling Price]]*(1+tblOver[[#This Row],[%age (S.P.)]])</f>
        <v>3030</v>
      </c>
      <c r="E42" s="139">
        <f>tblForecast3[[#This Row],[Cost Price]]*(1+tblOver[[#This Row],[%age (C.P)]])</f>
        <v>1674.5</v>
      </c>
      <c r="F42" s="48">
        <f t="shared" si="3"/>
        <v>4899510.0000000009</v>
      </c>
      <c r="G42" s="48">
        <f t="shared" si="4"/>
        <v>2707666.5000000005</v>
      </c>
      <c r="H42" s="48">
        <f>Actual_Over_2026!$F42-Actual_Over_2026!$G42</f>
        <v>2191843.5000000005</v>
      </c>
      <c r="I42" s="49">
        <f t="shared" si="5"/>
        <v>0.44735973597359735</v>
      </c>
      <c r="J42" s="50">
        <f t="array" ref="J42">INDEX('%age_Change_Logic'!$H$6:$H$11, MATCH(L42,'%age_Change_Logic'!$F$6:$F$11,1))</f>
        <v>0.01</v>
      </c>
      <c r="K42" s="51">
        <f t="array" ref="K42">INDEX('%age_Change_Logic'!$D$6:$D$11, MATCH(L42, '%age_Change_Logic'!$B$6:$B$11,1))</f>
        <v>-1.4999999999999999E-2</v>
      </c>
      <c r="L42" s="104">
        <v>0.1</v>
      </c>
      <c r="M42" s="98" t="s">
        <v>79</v>
      </c>
    </row>
    <row r="43" spans="1:13" x14ac:dyDescent="0.25">
      <c r="A43" s="78" t="s">
        <v>28</v>
      </c>
      <c r="B43" s="65" t="s">
        <v>39</v>
      </c>
      <c r="C43" s="81">
        <f>tblForecast3[[#This Row],[Units Sold]]*(1+tblOver[[#This Row],[%age (Units)]])</f>
        <v>3018.7499999999995</v>
      </c>
      <c r="D43" s="139">
        <f>tblForecast3[[#This Row],[Selling Price]]*(1+tblOver[[#This Row],[%age (S.P.)]])</f>
        <v>1428</v>
      </c>
      <c r="E43" s="139">
        <f>tblForecast3[[#This Row],[Cost Price]]*(1+tblOver[[#This Row],[%age (C.P)]])</f>
        <v>633.75</v>
      </c>
      <c r="F43" s="48">
        <f t="shared" si="3"/>
        <v>4310774.9999999991</v>
      </c>
      <c r="G43" s="48">
        <f t="shared" si="4"/>
        <v>1913132.8124999998</v>
      </c>
      <c r="H43" s="48">
        <f>Actual_Over_2026!$F43-Actual_Over_2026!$G43</f>
        <v>2397642.1874999991</v>
      </c>
      <c r="I43" s="49">
        <f t="shared" si="5"/>
        <v>0.55619747899159655</v>
      </c>
      <c r="J43" s="50">
        <f t="array" ref="J43">INDEX('%age_Change_Logic'!$H$6:$H$11, MATCH(L43,'%age_Change_Logic'!$F$6:$F$11,1))</f>
        <v>0.02</v>
      </c>
      <c r="K43" s="51">
        <f t="array" ref="K43">INDEX('%age_Change_Logic'!$D$6:$D$11, MATCH(L43, '%age_Change_Logic'!$B$6:$B$11,1))</f>
        <v>-2.5000000000000001E-2</v>
      </c>
      <c r="L43" s="104">
        <v>0.15</v>
      </c>
      <c r="M43" s="98" t="s">
        <v>81</v>
      </c>
    </row>
    <row r="44" spans="1:13" x14ac:dyDescent="0.25">
      <c r="A44" s="78" t="s">
        <v>28</v>
      </c>
      <c r="B44" s="65" t="s">
        <v>6</v>
      </c>
      <c r="C44" s="81">
        <f>tblForecast3[[#This Row],[Units Sold]]*(1+tblOver[[#This Row],[%age (Units)]])</f>
        <v>4042.5000000000005</v>
      </c>
      <c r="D44" s="139">
        <f>tblForecast3[[#This Row],[Selling Price]]*(1+tblOver[[#This Row],[%age (S.P.)]])</f>
        <v>707</v>
      </c>
      <c r="E44" s="139">
        <f>tblForecast3[[#This Row],[Cost Price]]*(1+tblOver[[#This Row],[%age (C.P)]])</f>
        <v>246.25</v>
      </c>
      <c r="F44" s="48">
        <f t="shared" si="3"/>
        <v>2858047.5000000005</v>
      </c>
      <c r="G44" s="48">
        <f t="shared" si="4"/>
        <v>995465.62500000012</v>
      </c>
      <c r="H44" s="48">
        <f>Actual_Over_2026!$F44-Actual_Over_2026!$G44</f>
        <v>1862581.8750000005</v>
      </c>
      <c r="I44" s="49">
        <f t="shared" si="5"/>
        <v>0.6516973125884018</v>
      </c>
      <c r="J44" s="50">
        <f t="array" ref="J44">INDEX('%age_Change_Logic'!$H$6:$H$11, MATCH(L44,'%age_Change_Logic'!$F$6:$F$11,1))</f>
        <v>0.01</v>
      </c>
      <c r="K44" s="51">
        <f t="array" ref="K44">INDEX('%age_Change_Logic'!$D$6:$D$11, MATCH(L44, '%age_Change_Logic'!$B$6:$B$11,1))</f>
        <v>-1.4999999999999999E-2</v>
      </c>
      <c r="L44" s="104">
        <v>0.1</v>
      </c>
      <c r="M44" s="98" t="s">
        <v>80</v>
      </c>
    </row>
    <row r="45" spans="1:13" ht="15.75" x14ac:dyDescent="0.25">
      <c r="A45" s="122" t="s">
        <v>40</v>
      </c>
      <c r="B45" s="123"/>
      <c r="C45" s="143">
        <f>SUM(C40:C44)</f>
        <v>12337.5</v>
      </c>
      <c r="D45" s="141"/>
      <c r="E45" s="141"/>
      <c r="F45" s="124">
        <f>SUM(F40:F44)</f>
        <v>23584984.5</v>
      </c>
      <c r="G45" s="124">
        <f>SUM(G40:G44)</f>
        <v>12817196.4375</v>
      </c>
      <c r="H45" s="124">
        <f>SUM(H40:H44)</f>
        <v>10767788.0625</v>
      </c>
      <c r="I45" s="125">
        <f>AVERAGE(I40:I44)</f>
        <v>0.48027503845032893</v>
      </c>
      <c r="J45" s="52"/>
      <c r="K45" s="53"/>
      <c r="L45" s="105"/>
      <c r="M45" s="101"/>
    </row>
    <row r="46" spans="1:13" x14ac:dyDescent="0.25">
      <c r="A46" s="78" t="s">
        <v>34</v>
      </c>
      <c r="B46" s="65" t="s">
        <v>4</v>
      </c>
      <c r="C46" s="81">
        <f>tblForecast3[[#This Row],[Units Sold]]*(1+tblOver[[#This Row],[%age (Units)]])</f>
        <v>2420</v>
      </c>
      <c r="D46" s="139">
        <f>tblForecast3[[#This Row],[Selling Price]]*(1+tblOver[[#This Row],[%age (S.P.)]])</f>
        <v>2727</v>
      </c>
      <c r="E46" s="139">
        <f>tblForecast3[[#This Row],[Cost Price]]*(1+tblOver[[#This Row],[%age (C.P)]])</f>
        <v>1625.25</v>
      </c>
      <c r="F46" s="48">
        <f t="shared" si="3"/>
        <v>6599340</v>
      </c>
      <c r="G46" s="48">
        <f t="shared" si="4"/>
        <v>3933105</v>
      </c>
      <c r="H46" s="48">
        <f>Actual_Over_2026!$F46-Actual_Over_2026!$G46</f>
        <v>2666235</v>
      </c>
      <c r="I46" s="49">
        <f t="shared" si="5"/>
        <v>0.40401540154015403</v>
      </c>
      <c r="J46" s="50">
        <f t="array" ref="J46">INDEX('%age_Change_Logic'!$H$6:$H$11, MATCH(L46,'%age_Change_Logic'!$F$6:$F$11,1))</f>
        <v>0.01</v>
      </c>
      <c r="K46" s="51">
        <f t="array" ref="K46">INDEX('%age_Change_Logic'!$D$6:$D$11, MATCH(L46, '%age_Change_Logic'!$B$6:$B$11,1))</f>
        <v>-1.4999999999999999E-2</v>
      </c>
      <c r="L46" s="104">
        <v>0.1</v>
      </c>
      <c r="M46" s="98" t="s">
        <v>83</v>
      </c>
    </row>
    <row r="47" spans="1:13" x14ac:dyDescent="0.25">
      <c r="A47" s="78" t="s">
        <v>34</v>
      </c>
      <c r="B47" s="65" t="s">
        <v>5</v>
      </c>
      <c r="C47" s="81">
        <f>tblForecast3[[#This Row],[Units Sold]]*(1+tblOver[[#This Row],[%age (Units)]])</f>
        <v>1544.4000000000003</v>
      </c>
      <c r="D47" s="139">
        <f>tblForecast3[[#This Row],[Selling Price]]*(1+tblOver[[#This Row],[%age (S.P.)]])</f>
        <v>3838</v>
      </c>
      <c r="E47" s="139">
        <f>tblForecast3[[#This Row],[Cost Price]]*(1+tblOver[[#This Row],[%age (C.P)]])</f>
        <v>2462.5</v>
      </c>
      <c r="F47" s="48">
        <f t="shared" si="3"/>
        <v>5927407.2000000011</v>
      </c>
      <c r="G47" s="48">
        <f t="shared" si="4"/>
        <v>3803085.0000000009</v>
      </c>
      <c r="H47" s="48">
        <f>Actual_Over_2026!$F47-Actual_Over_2026!$G47</f>
        <v>2124322.2000000002</v>
      </c>
      <c r="I47" s="49">
        <f t="shared" si="5"/>
        <v>0.35838978634705571</v>
      </c>
      <c r="J47" s="50">
        <f t="array" ref="J47">INDEX('%age_Change_Logic'!$H$6:$H$11, MATCH(L47,'%age_Change_Logic'!$F$6:$F$11,1))</f>
        <v>0.01</v>
      </c>
      <c r="K47" s="51">
        <f t="array" ref="K47">INDEX('%age_Change_Logic'!$D$6:$D$11, MATCH(L47, '%age_Change_Logic'!$B$6:$B$11,1))</f>
        <v>-1.4999999999999999E-2</v>
      </c>
      <c r="L47" s="104">
        <v>0.08</v>
      </c>
      <c r="M47" s="98" t="s">
        <v>82</v>
      </c>
    </row>
    <row r="48" spans="1:13" x14ac:dyDescent="0.25">
      <c r="A48" s="78" t="s">
        <v>34</v>
      </c>
      <c r="B48" s="65" t="s">
        <v>14</v>
      </c>
      <c r="C48" s="81">
        <f>tblForecast3[[#This Row],[Units Sold]]*(1+tblOver[[#This Row],[%age (Units)]])</f>
        <v>1724.8000000000004</v>
      </c>
      <c r="D48" s="139">
        <f>tblForecast3[[#This Row],[Selling Price]]*(1+tblOver[[#This Row],[%age (S.P.)]])</f>
        <v>3060</v>
      </c>
      <c r="E48" s="139">
        <f>tblForecast3[[#This Row],[Cost Price]]*(1+tblOver[[#This Row],[%age (C.P)]])</f>
        <v>1657.5</v>
      </c>
      <c r="F48" s="48">
        <f t="shared" si="3"/>
        <v>5277888.0000000009</v>
      </c>
      <c r="G48" s="48">
        <f t="shared" si="4"/>
        <v>2858856.0000000005</v>
      </c>
      <c r="H48" s="48">
        <f>Actual_Over_2026!$F48-Actual_Over_2026!$G48</f>
        <v>2419032.0000000005</v>
      </c>
      <c r="I48" s="49">
        <f t="shared" si="5"/>
        <v>0.45833333333333331</v>
      </c>
      <c r="J48" s="50">
        <f t="array" ref="J48">INDEX('%age_Change_Logic'!$H$6:$H$11, MATCH(L48,'%age_Change_Logic'!$F$6:$F$11,1))</f>
        <v>0.02</v>
      </c>
      <c r="K48" s="51">
        <f t="array" ref="K48">INDEX('%age_Change_Logic'!$D$6:$D$11, MATCH(L48, '%age_Change_Logic'!$B$6:$B$11,1))</f>
        <v>-2.5000000000000001E-2</v>
      </c>
      <c r="L48" s="104">
        <v>0.12</v>
      </c>
      <c r="M48" s="98" t="s">
        <v>84</v>
      </c>
    </row>
    <row r="49" spans="1:13" x14ac:dyDescent="0.25">
      <c r="A49" s="78" t="s">
        <v>34</v>
      </c>
      <c r="B49" s="65" t="s">
        <v>39</v>
      </c>
      <c r="C49" s="81">
        <f>tblForecast3[[#This Row],[Units Sold]]*(1+tblOver[[#This Row],[%age (Units)]])</f>
        <v>3300</v>
      </c>
      <c r="D49" s="139">
        <f>tblForecast3[[#This Row],[Selling Price]]*(1+tblOver[[#This Row],[%age (S.P.)]])</f>
        <v>1442</v>
      </c>
      <c r="E49" s="139">
        <f>tblForecast3[[#This Row],[Cost Price]]*(1+tblOver[[#This Row],[%age (C.P)]])</f>
        <v>624</v>
      </c>
      <c r="F49" s="48">
        <f t="shared" si="3"/>
        <v>4758600</v>
      </c>
      <c r="G49" s="48">
        <f t="shared" si="4"/>
        <v>2059200</v>
      </c>
      <c r="H49" s="48">
        <f>Actual_Over_2026!$F49-Actual_Over_2026!$G49</f>
        <v>2699400</v>
      </c>
      <c r="I49" s="49">
        <f t="shared" si="5"/>
        <v>0.56726768377253811</v>
      </c>
      <c r="J49" s="50">
        <f t="array" ref="J49">INDEX('%age_Change_Logic'!$H$6:$H$11, MATCH(L49,'%age_Change_Logic'!$F$6:$F$11,1))</f>
        <v>0.03</v>
      </c>
      <c r="K49" s="51">
        <f t="array" ref="K49">INDEX('%age_Change_Logic'!$D$6:$D$11, MATCH(L49, '%age_Change_Logic'!$B$6:$B$11,1))</f>
        <v>-0.04</v>
      </c>
      <c r="L49" s="104">
        <v>0.2</v>
      </c>
      <c r="M49" s="98" t="s">
        <v>85</v>
      </c>
    </row>
    <row r="50" spans="1:13" x14ac:dyDescent="0.25">
      <c r="A50" s="78" t="s">
        <v>34</v>
      </c>
      <c r="B50" s="65" t="s">
        <v>6</v>
      </c>
      <c r="C50" s="81">
        <f>tblForecast3[[#This Row],[Units Sold]]*(1+tblOver[[#This Row],[%age (Units)]])</f>
        <v>4235.0000000000009</v>
      </c>
      <c r="D50" s="139">
        <f>tblForecast3[[#This Row],[Selling Price]]*(1+tblOver[[#This Row],[%age (S.P.)]])</f>
        <v>707</v>
      </c>
      <c r="E50" s="139">
        <f>tblForecast3[[#This Row],[Cost Price]]*(1+tblOver[[#This Row],[%age (C.P)]])</f>
        <v>246.25</v>
      </c>
      <c r="F50" s="48">
        <f t="shared" si="3"/>
        <v>2994145.0000000005</v>
      </c>
      <c r="G50" s="48">
        <f t="shared" si="4"/>
        <v>1042868.7500000002</v>
      </c>
      <c r="H50" s="48">
        <f>Actual_Over_2026!$F50-Actual_Over_2026!$G50</f>
        <v>1951276.2500000002</v>
      </c>
      <c r="I50" s="49">
        <f t="shared" si="5"/>
        <v>0.65169731258840169</v>
      </c>
      <c r="J50" s="50">
        <f t="array" ref="J50">INDEX('%age_Change_Logic'!$H$6:$H$11, MATCH(L50,'%age_Change_Logic'!$F$6:$F$11,1))</f>
        <v>0.01</v>
      </c>
      <c r="K50" s="51">
        <f t="array" ref="K50">INDEX('%age_Change_Logic'!$D$6:$D$11, MATCH(L50, '%age_Change_Logic'!$B$6:$B$11,1))</f>
        <v>-1.4999999999999999E-2</v>
      </c>
      <c r="L50" s="104">
        <v>0.1</v>
      </c>
      <c r="M50" s="98" t="s">
        <v>86</v>
      </c>
    </row>
    <row r="51" spans="1:13" ht="15.75" x14ac:dyDescent="0.25">
      <c r="A51" s="122" t="s">
        <v>40</v>
      </c>
      <c r="B51" s="123"/>
      <c r="C51" s="143">
        <f>SUM(C46:C50)</f>
        <v>13224.2</v>
      </c>
      <c r="D51" s="141"/>
      <c r="E51" s="141"/>
      <c r="F51" s="124">
        <f>SUM(F46:F50)</f>
        <v>25557380.200000003</v>
      </c>
      <c r="G51" s="124">
        <f>SUM(G46:G50)</f>
        <v>13697114.750000002</v>
      </c>
      <c r="H51" s="124">
        <f>SUM(H46:H50)</f>
        <v>11860265.450000001</v>
      </c>
      <c r="I51" s="125">
        <f>AVERAGE(I46:I50)</f>
        <v>0.48794070351629654</v>
      </c>
      <c r="J51" s="52"/>
      <c r="K51" s="53"/>
      <c r="L51" s="105"/>
      <c r="M51" s="101"/>
    </row>
    <row r="52" spans="1:13" x14ac:dyDescent="0.25">
      <c r="A52" s="78" t="s">
        <v>35</v>
      </c>
      <c r="B52" s="65" t="s">
        <v>4</v>
      </c>
      <c r="C52" s="81">
        <f>tblForecast3[[#This Row],[Units Sold]]*(1+tblOver[[#This Row],[%age (Units)]])</f>
        <v>2415</v>
      </c>
      <c r="D52" s="139">
        <f>tblForecast3[[#This Row],[Selling Price]]*(1+tblOver[[#This Row],[%age (S.P.)]])</f>
        <v>2700</v>
      </c>
      <c r="E52" s="139">
        <f>tblForecast3[[#This Row],[Cost Price]]*(1+tblOver[[#This Row],[%age (C.P)]])</f>
        <v>1650</v>
      </c>
      <c r="F52" s="48">
        <f t="shared" si="3"/>
        <v>6520500</v>
      </c>
      <c r="G52" s="48">
        <f t="shared" si="4"/>
        <v>3984750</v>
      </c>
      <c r="H52" s="48">
        <f>Actual_Over_2026!$F52-Actual_Over_2026!$G52</f>
        <v>2535750</v>
      </c>
      <c r="I52" s="49">
        <f t="shared" si="5"/>
        <v>0.3888888888888889</v>
      </c>
      <c r="J52" s="50">
        <f t="array" ref="J52">INDEX('%age_Change_Logic'!$H$6:$H$11, MATCH(L52,'%age_Change_Logic'!$F$6:$F$11,1))</f>
        <v>0</v>
      </c>
      <c r="K52" s="51">
        <f t="array" ref="K52">INDEX('%age_Change_Logic'!$D$6:$D$11, MATCH(L52, '%age_Change_Logic'!$B$6:$B$11,1))</f>
        <v>0</v>
      </c>
      <c r="L52" s="104">
        <v>0.05</v>
      </c>
      <c r="M52" s="98" t="s">
        <v>88</v>
      </c>
    </row>
    <row r="53" spans="1:13" x14ac:dyDescent="0.25">
      <c r="A53" s="78" t="s">
        <v>35</v>
      </c>
      <c r="B53" s="65" t="s">
        <v>5</v>
      </c>
      <c r="C53" s="81">
        <f>tblForecast3[[#This Row],[Units Sold]]*(1+tblOver[[#This Row],[%age (Units)]])</f>
        <v>1569.7499999999998</v>
      </c>
      <c r="D53" s="139">
        <f>tblForecast3[[#This Row],[Selling Price]]*(1+tblOver[[#This Row],[%age (S.P.)]])</f>
        <v>3800</v>
      </c>
      <c r="E53" s="139">
        <f>tblForecast3[[#This Row],[Cost Price]]*(1+tblOver[[#This Row],[%age (C.P)]])</f>
        <v>2500</v>
      </c>
      <c r="F53" s="48">
        <f t="shared" si="3"/>
        <v>5965049.9999999991</v>
      </c>
      <c r="G53" s="48">
        <f t="shared" si="4"/>
        <v>3924374.9999999995</v>
      </c>
      <c r="H53" s="48">
        <f>Actual_Over_2026!$F53-Actual_Over_2026!$G53</f>
        <v>2040674.9999999995</v>
      </c>
      <c r="I53" s="49">
        <f t="shared" si="5"/>
        <v>0.34210526315789469</v>
      </c>
      <c r="J53" s="50">
        <f t="array" ref="J53">INDEX('%age_Change_Logic'!$H$6:$H$11, MATCH(L53,'%age_Change_Logic'!$F$6:$F$11,1))</f>
        <v>0</v>
      </c>
      <c r="K53" s="51">
        <f t="array" ref="K53">INDEX('%age_Change_Logic'!$D$6:$D$11, MATCH(L53, '%age_Change_Logic'!$B$6:$B$11,1))</f>
        <v>0</v>
      </c>
      <c r="L53" s="104">
        <v>0.05</v>
      </c>
      <c r="M53" s="98" t="s">
        <v>87</v>
      </c>
    </row>
    <row r="54" spans="1:13" x14ac:dyDescent="0.25">
      <c r="A54" s="78" t="s">
        <v>35</v>
      </c>
      <c r="B54" s="65" t="s">
        <v>14</v>
      </c>
      <c r="C54" s="81">
        <f>tblForecast3[[#This Row],[Units Sold]]*(1+tblOver[[#This Row],[%age (Units)]])</f>
        <v>1771</v>
      </c>
      <c r="D54" s="139">
        <f>tblForecast3[[#This Row],[Selling Price]]*(1+tblOver[[#This Row],[%age (S.P.)]])</f>
        <v>3030</v>
      </c>
      <c r="E54" s="139">
        <f>tblForecast3[[#This Row],[Cost Price]]*(1+tblOver[[#This Row],[%age (C.P)]])</f>
        <v>1674.5</v>
      </c>
      <c r="F54" s="48">
        <f t="shared" si="3"/>
        <v>5366130</v>
      </c>
      <c r="G54" s="48">
        <f t="shared" si="4"/>
        <v>2965539.5</v>
      </c>
      <c r="H54" s="48">
        <f>Actual_Over_2026!$F54-Actual_Over_2026!$G54</f>
        <v>2400590.5</v>
      </c>
      <c r="I54" s="49">
        <f t="shared" si="5"/>
        <v>0.44735973597359735</v>
      </c>
      <c r="J54" s="50">
        <f t="array" ref="J54">INDEX('%age_Change_Logic'!$H$6:$H$11, MATCH(L54,'%age_Change_Logic'!$F$6:$F$11,1))</f>
        <v>0.01</v>
      </c>
      <c r="K54" s="51">
        <f t="array" ref="K54">INDEX('%age_Change_Logic'!$D$6:$D$11, MATCH(L54, '%age_Change_Logic'!$B$6:$B$11,1))</f>
        <v>-1.4999999999999999E-2</v>
      </c>
      <c r="L54" s="104">
        <v>0.1</v>
      </c>
      <c r="M54" s="98" t="s">
        <v>89</v>
      </c>
    </row>
    <row r="55" spans="1:13" x14ac:dyDescent="0.25">
      <c r="A55" s="78" t="s">
        <v>35</v>
      </c>
      <c r="B55" s="65" t="s">
        <v>39</v>
      </c>
      <c r="C55" s="81">
        <f>tblForecast3[[#This Row],[Units Sold]]*(1+tblOver[[#This Row],[%age (Units)]])</f>
        <v>3306.2499999999995</v>
      </c>
      <c r="D55" s="139">
        <f>tblForecast3[[#This Row],[Selling Price]]*(1+tblOver[[#This Row],[%age (S.P.)]])</f>
        <v>1428</v>
      </c>
      <c r="E55" s="139">
        <f>tblForecast3[[#This Row],[Cost Price]]*(1+tblOver[[#This Row],[%age (C.P)]])</f>
        <v>633.75</v>
      </c>
      <c r="F55" s="48">
        <f t="shared" si="3"/>
        <v>4721324.9999999991</v>
      </c>
      <c r="G55" s="48">
        <f t="shared" si="4"/>
        <v>2095335.9374999998</v>
      </c>
      <c r="H55" s="48">
        <f>Actual_Over_2026!$F55-Actual_Over_2026!$G55</f>
        <v>2625989.0624999991</v>
      </c>
      <c r="I55" s="49">
        <f t="shared" si="5"/>
        <v>0.55619747899159655</v>
      </c>
      <c r="J55" s="50">
        <f t="array" ref="J55">INDEX('%age_Change_Logic'!$H$6:$H$11, MATCH(L55,'%age_Change_Logic'!$F$6:$F$11,1))</f>
        <v>0.02</v>
      </c>
      <c r="K55" s="51">
        <f t="array" ref="K55">INDEX('%age_Change_Logic'!$D$6:$D$11, MATCH(L55, '%age_Change_Logic'!$B$6:$B$11,1))</f>
        <v>-2.5000000000000001E-2</v>
      </c>
      <c r="L55" s="104">
        <v>0.15</v>
      </c>
      <c r="M55" s="98" t="s">
        <v>91</v>
      </c>
    </row>
    <row r="56" spans="1:13" x14ac:dyDescent="0.25">
      <c r="A56" s="78" t="s">
        <v>35</v>
      </c>
      <c r="B56" s="65" t="s">
        <v>6</v>
      </c>
      <c r="C56" s="81">
        <f>tblForecast3[[#This Row],[Units Sold]]*(1+tblOver[[#This Row],[%age (Units)]])</f>
        <v>4347</v>
      </c>
      <c r="D56" s="139">
        <f>tblForecast3[[#This Row],[Selling Price]]*(1+tblOver[[#This Row],[%age (S.P.)]])</f>
        <v>707</v>
      </c>
      <c r="E56" s="139">
        <f>tblForecast3[[#This Row],[Cost Price]]*(1+tblOver[[#This Row],[%age (C.P)]])</f>
        <v>246.25</v>
      </c>
      <c r="F56" s="48">
        <f t="shared" si="3"/>
        <v>3073329</v>
      </c>
      <c r="G56" s="48">
        <f t="shared" si="4"/>
        <v>1070448.75</v>
      </c>
      <c r="H56" s="48">
        <f>Actual_Over_2026!$F56-Actual_Over_2026!$G56</f>
        <v>2002880.25</v>
      </c>
      <c r="I56" s="49">
        <f t="shared" si="5"/>
        <v>0.65169731258840169</v>
      </c>
      <c r="J56" s="50">
        <f t="array" ref="J56">INDEX('%age_Change_Logic'!$H$6:$H$11, MATCH(L56,'%age_Change_Logic'!$F$6:$F$11,1))</f>
        <v>0.01</v>
      </c>
      <c r="K56" s="51">
        <f t="array" ref="K56">INDEX('%age_Change_Logic'!$D$6:$D$11, MATCH(L56, '%age_Change_Logic'!$B$6:$B$11,1))</f>
        <v>-1.4999999999999999E-2</v>
      </c>
      <c r="L56" s="104">
        <v>0.08</v>
      </c>
      <c r="M56" s="98" t="s">
        <v>90</v>
      </c>
    </row>
    <row r="57" spans="1:13" ht="15.75" x14ac:dyDescent="0.25">
      <c r="A57" s="122" t="s">
        <v>40</v>
      </c>
      <c r="B57" s="123"/>
      <c r="C57" s="143">
        <f>SUM(C52:C56)</f>
        <v>13409</v>
      </c>
      <c r="D57" s="141"/>
      <c r="E57" s="141"/>
      <c r="F57" s="124">
        <f>SUM(F52:F56)</f>
        <v>25646334</v>
      </c>
      <c r="G57" s="124">
        <f>SUM(G52:G56)</f>
        <v>14040449.1875</v>
      </c>
      <c r="H57" s="124">
        <f>SUM(H52:H56)</f>
        <v>11605884.8125</v>
      </c>
      <c r="I57" s="125">
        <f>AVERAGE(I52:I56)</f>
        <v>0.47724973592007586</v>
      </c>
      <c r="J57" s="52"/>
      <c r="K57" s="53"/>
      <c r="L57" s="105"/>
      <c r="M57" s="102"/>
    </row>
    <row r="58" spans="1:13" x14ac:dyDescent="0.25">
      <c r="A58" s="78" t="s">
        <v>36</v>
      </c>
      <c r="B58" s="65" t="s">
        <v>4</v>
      </c>
      <c r="C58" s="81">
        <f>tblForecast3[[#This Row],[Units Sold]]*(1+tblOver[[#This Row],[%age (Units)]])</f>
        <v>2989.9999999999995</v>
      </c>
      <c r="D58" s="139">
        <f>tblForecast3[[#This Row],[Selling Price]]*(1+tblOver[[#This Row],[%age (S.P.)]])</f>
        <v>2754</v>
      </c>
      <c r="E58" s="139">
        <f>tblForecast3[[#This Row],[Cost Price]]*(1+tblOver[[#This Row],[%age (C.P)]])</f>
        <v>1608.75</v>
      </c>
      <c r="F58" s="48">
        <f t="shared" si="3"/>
        <v>8234459.9999999991</v>
      </c>
      <c r="G58" s="48">
        <f t="shared" si="4"/>
        <v>4810162.4999999991</v>
      </c>
      <c r="H58" s="48">
        <f>Actual_Over_2026!$F58-Actual_Over_2026!$G58</f>
        <v>3424297.5</v>
      </c>
      <c r="I58" s="49">
        <f t="shared" si="5"/>
        <v>0.4158496732026144</v>
      </c>
      <c r="J58" s="50">
        <f t="array" ref="J58">INDEX('%age_Change_Logic'!$H$6:$H$11, MATCH(L58,'%age_Change_Logic'!$F$6:$F$11,1))</f>
        <v>0.02</v>
      </c>
      <c r="K58" s="51">
        <f t="array" ref="K58">INDEX('%age_Change_Logic'!$D$6:$D$11, MATCH(L58, '%age_Change_Logic'!$B$6:$B$11,1))</f>
        <v>-2.5000000000000001E-2</v>
      </c>
      <c r="L58" s="104">
        <v>0.15</v>
      </c>
      <c r="M58" s="98" t="s">
        <v>93</v>
      </c>
    </row>
    <row r="59" spans="1:13" x14ac:dyDescent="0.25">
      <c r="A59" s="78" t="s">
        <v>36</v>
      </c>
      <c r="B59" s="65" t="s">
        <v>5</v>
      </c>
      <c r="C59" s="81">
        <f>tblForecast3[[#This Row],[Units Sold]]*(1+tblOver[[#This Row],[%age (Units)]])</f>
        <v>1859.0000000000002</v>
      </c>
      <c r="D59" s="139">
        <f>tblForecast3[[#This Row],[Selling Price]]*(1+tblOver[[#This Row],[%age (S.P.)]])</f>
        <v>3838</v>
      </c>
      <c r="E59" s="139">
        <f>tblForecast3[[#This Row],[Cost Price]]*(1+tblOver[[#This Row],[%age (C.P)]])</f>
        <v>2462.5</v>
      </c>
      <c r="F59" s="48">
        <f t="shared" si="3"/>
        <v>7134842.0000000009</v>
      </c>
      <c r="G59" s="48">
        <f t="shared" si="4"/>
        <v>4577787.5000000009</v>
      </c>
      <c r="H59" s="48">
        <f>Actual_Over_2026!$F59-Actual_Over_2026!$G59</f>
        <v>2557054.5</v>
      </c>
      <c r="I59" s="49">
        <f t="shared" si="5"/>
        <v>0.35838978634705571</v>
      </c>
      <c r="J59" s="50">
        <f t="array" ref="J59">INDEX('%age_Change_Logic'!$H$6:$H$11, MATCH(L59,'%age_Change_Logic'!$F$6:$F$11,1))</f>
        <v>0.01</v>
      </c>
      <c r="K59" s="51">
        <f t="array" ref="K59">INDEX('%age_Change_Logic'!$D$6:$D$11, MATCH(L59, '%age_Change_Logic'!$B$6:$B$11,1))</f>
        <v>-1.4999999999999999E-2</v>
      </c>
      <c r="L59" s="104">
        <v>0.1</v>
      </c>
      <c r="M59" s="98" t="s">
        <v>92</v>
      </c>
    </row>
    <row r="60" spans="1:13" x14ac:dyDescent="0.25">
      <c r="A60" s="78" t="s">
        <v>36</v>
      </c>
      <c r="B60" s="65" t="s">
        <v>14</v>
      </c>
      <c r="C60" s="81">
        <f>tblForecast3[[#This Row],[Units Sold]]*(1+tblOver[[#This Row],[%age (Units)]])</f>
        <v>2093</v>
      </c>
      <c r="D60" s="139">
        <f>tblForecast3[[#This Row],[Selling Price]]*(1+tblOver[[#This Row],[%age (S.P.)]])</f>
        <v>3060</v>
      </c>
      <c r="E60" s="139">
        <f>tblForecast3[[#This Row],[Cost Price]]*(1+tblOver[[#This Row],[%age (C.P)]])</f>
        <v>1657.5</v>
      </c>
      <c r="F60" s="48">
        <f t="shared" si="3"/>
        <v>6404580</v>
      </c>
      <c r="G60" s="48">
        <f t="shared" si="4"/>
        <v>3469147.5</v>
      </c>
      <c r="H60" s="48">
        <f>Actual_Over_2026!$F60-Actual_Over_2026!$G60</f>
        <v>2935432.5</v>
      </c>
      <c r="I60" s="49">
        <f t="shared" si="5"/>
        <v>0.45833333333333331</v>
      </c>
      <c r="J60" s="50">
        <f t="array" ref="J60">INDEX('%age_Change_Logic'!$H$6:$H$11, MATCH(L60,'%age_Change_Logic'!$F$6:$F$11,1))</f>
        <v>0.02</v>
      </c>
      <c r="K60" s="51">
        <f t="array" ref="K60">INDEX('%age_Change_Logic'!$D$6:$D$11, MATCH(L60, '%age_Change_Logic'!$B$6:$B$11,1))</f>
        <v>-2.5000000000000001E-2</v>
      </c>
      <c r="L60" s="104">
        <v>0.15</v>
      </c>
      <c r="M60" s="98" t="s">
        <v>94</v>
      </c>
    </row>
    <row r="61" spans="1:13" x14ac:dyDescent="0.25">
      <c r="A61" s="78" t="s">
        <v>36</v>
      </c>
      <c r="B61" s="65" t="s">
        <v>39</v>
      </c>
      <c r="C61" s="81">
        <f>tblForecast3[[#This Row],[Units Sold]]*(1+tblOver[[#This Row],[%age (Units)]])</f>
        <v>4062.5</v>
      </c>
      <c r="D61" s="139">
        <f>tblForecast3[[#This Row],[Selling Price]]*(1+tblOver[[#This Row],[%age (S.P.)]])</f>
        <v>1456</v>
      </c>
      <c r="E61" s="139">
        <f>tblForecast3[[#This Row],[Cost Price]]*(1+tblOver[[#This Row],[%age (C.P)]])</f>
        <v>617.5</v>
      </c>
      <c r="F61" s="48">
        <f t="shared" si="3"/>
        <v>5915000</v>
      </c>
      <c r="G61" s="48">
        <f t="shared" si="4"/>
        <v>2508593.75</v>
      </c>
      <c r="H61" s="48">
        <f>Actual_Over_2026!$F61-Actual_Over_2026!$G61</f>
        <v>3406406.25</v>
      </c>
      <c r="I61" s="49">
        <f t="shared" si="5"/>
        <v>0.5758928571428571</v>
      </c>
      <c r="J61" s="50">
        <f t="array" ref="J61">INDEX('%age_Change_Logic'!$H$6:$H$11, MATCH(L61,'%age_Change_Logic'!$F$6:$F$11,1))</f>
        <v>0.04</v>
      </c>
      <c r="K61" s="51">
        <f t="array" ref="K61">INDEX('%age_Change_Logic'!$D$6:$D$11, MATCH(L61, '%age_Change_Logic'!$B$6:$B$11,1))</f>
        <v>-0.05</v>
      </c>
      <c r="L61" s="104">
        <v>0.25</v>
      </c>
      <c r="M61" s="99" t="s">
        <v>233</v>
      </c>
    </row>
    <row r="62" spans="1:13" x14ac:dyDescent="0.25">
      <c r="A62" s="78" t="s">
        <v>36</v>
      </c>
      <c r="B62" s="65" t="s">
        <v>6</v>
      </c>
      <c r="C62" s="81">
        <f>tblForecast3[[#This Row],[Units Sold]]*(1+tblOver[[#This Row],[%age (Units)]])</f>
        <v>5460</v>
      </c>
      <c r="D62" s="139">
        <f>tblForecast3[[#This Row],[Selling Price]]*(1+tblOver[[#This Row],[%age (S.P.)]])</f>
        <v>721</v>
      </c>
      <c r="E62" s="139">
        <f>tblForecast3[[#This Row],[Cost Price]]*(1+tblOver[[#This Row],[%age (C.P)]])</f>
        <v>240</v>
      </c>
      <c r="F62" s="48">
        <f t="shared" si="3"/>
        <v>3936660</v>
      </c>
      <c r="G62" s="48">
        <f t="shared" si="4"/>
        <v>1310400</v>
      </c>
      <c r="H62" s="48">
        <f>Actual_Over_2026!$F62-Actual_Over_2026!$G62</f>
        <v>2626260</v>
      </c>
      <c r="I62" s="49">
        <f t="shared" si="5"/>
        <v>0.66712898751733707</v>
      </c>
      <c r="J62" s="50">
        <f t="array" ref="J62">INDEX('%age_Change_Logic'!$H$6:$H$11, MATCH(L62,'%age_Change_Logic'!$F$6:$F$11,1))</f>
        <v>0.03</v>
      </c>
      <c r="K62" s="51">
        <f t="array" ref="K62">INDEX('%age_Change_Logic'!$D$6:$D$11, MATCH(L62, '%age_Change_Logic'!$B$6:$B$11,1))</f>
        <v>-0.04</v>
      </c>
      <c r="L62" s="104">
        <v>0.2</v>
      </c>
      <c r="M62" s="98" t="s">
        <v>95</v>
      </c>
    </row>
    <row r="63" spans="1:13" ht="15.75" x14ac:dyDescent="0.25">
      <c r="A63" s="122" t="s">
        <v>40</v>
      </c>
      <c r="B63" s="123"/>
      <c r="C63" s="143">
        <f>SUM(C58:C62)</f>
        <v>16464.5</v>
      </c>
      <c r="D63" s="141"/>
      <c r="E63" s="141"/>
      <c r="F63" s="124">
        <f>SUM(F58:F62)</f>
        <v>31625542</v>
      </c>
      <c r="G63" s="124">
        <f>SUM(G58:G62)</f>
        <v>16676091.25</v>
      </c>
      <c r="H63" s="124">
        <f>SUM(H58:H62)</f>
        <v>14949450.75</v>
      </c>
      <c r="I63" s="125">
        <f>AVERAGE(I58:I62)</f>
        <v>0.49511892750863956</v>
      </c>
      <c r="J63" s="52"/>
      <c r="K63" s="53"/>
      <c r="L63" s="105"/>
      <c r="M63" s="101"/>
    </row>
    <row r="64" spans="1:13" x14ac:dyDescent="0.25">
      <c r="A64" s="78" t="s">
        <v>37</v>
      </c>
      <c r="B64" s="65" t="s">
        <v>4</v>
      </c>
      <c r="C64" s="81">
        <f>tblForecast3[[#This Row],[Units Sold]]*(1+tblOver[[#This Row],[%age (Units)]])</f>
        <v>2800.0000000000005</v>
      </c>
      <c r="D64" s="139">
        <f>tblForecast3[[#This Row],[Selling Price]]*(1+tblOver[[#This Row],[%age (S.P.)]])</f>
        <v>2754</v>
      </c>
      <c r="E64" s="139">
        <f>tblForecast3[[#This Row],[Cost Price]]*(1+tblOver[[#This Row],[%age (C.P)]])</f>
        <v>1608.75</v>
      </c>
      <c r="F64" s="48">
        <f t="shared" si="3"/>
        <v>7711200.0000000009</v>
      </c>
      <c r="G64" s="48">
        <f t="shared" si="4"/>
        <v>4504500.0000000009</v>
      </c>
      <c r="H64" s="48">
        <f>Actual_Over_2026!$F64-Actual_Over_2026!$G64</f>
        <v>3206700</v>
      </c>
      <c r="I64" s="49">
        <f t="shared" si="5"/>
        <v>0.41584967320261434</v>
      </c>
      <c r="J64" s="50">
        <f t="array" ref="J64">INDEX('%age_Change_Logic'!$H$6:$H$11, MATCH(L64,'%age_Change_Logic'!$F$6:$F$11,1))</f>
        <v>0.02</v>
      </c>
      <c r="K64" s="51">
        <f t="array" ref="K64">INDEX('%age_Change_Logic'!$D$6:$D$11, MATCH(L64, '%age_Change_Logic'!$B$6:$B$11,1))</f>
        <v>-2.5000000000000001E-2</v>
      </c>
      <c r="L64" s="104">
        <v>0.12</v>
      </c>
      <c r="M64" s="98" t="s">
        <v>96</v>
      </c>
    </row>
    <row r="65" spans="1:13" x14ac:dyDescent="0.25">
      <c r="A65" s="78" t="s">
        <v>37</v>
      </c>
      <c r="B65" s="65" t="s">
        <v>5</v>
      </c>
      <c r="C65" s="81">
        <f>tblForecast3[[#This Row],[Units Sold]]*(1+tblOver[[#This Row],[%age (Units)]])</f>
        <v>1787.5000000000002</v>
      </c>
      <c r="D65" s="139">
        <f>tblForecast3[[#This Row],[Selling Price]]*(1+tblOver[[#This Row],[%age (S.P.)]])</f>
        <v>3838</v>
      </c>
      <c r="E65" s="139">
        <f>tblForecast3[[#This Row],[Cost Price]]*(1+tblOver[[#This Row],[%age (C.P)]])</f>
        <v>2462.5</v>
      </c>
      <c r="F65" s="48">
        <f t="shared" si="3"/>
        <v>6860425.0000000009</v>
      </c>
      <c r="G65" s="48">
        <f t="shared" si="4"/>
        <v>4401718.7500000009</v>
      </c>
      <c r="H65" s="48">
        <f>Actual_Over_2026!$F65-Actual_Over_2026!$G65</f>
        <v>2458706.25</v>
      </c>
      <c r="I65" s="49">
        <f t="shared" si="5"/>
        <v>0.35838978634705571</v>
      </c>
      <c r="J65" s="50">
        <f t="array" ref="J65">INDEX('%age_Change_Logic'!$H$6:$H$11, MATCH(L65,'%age_Change_Logic'!$F$6:$F$11,1))</f>
        <v>0.01</v>
      </c>
      <c r="K65" s="51">
        <f t="array" ref="K65">INDEX('%age_Change_Logic'!$D$6:$D$11, MATCH(L65, '%age_Change_Logic'!$B$6:$B$11,1))</f>
        <v>-1.4999999999999999E-2</v>
      </c>
      <c r="L65" s="104">
        <v>0.1</v>
      </c>
      <c r="M65" s="98" t="s">
        <v>97</v>
      </c>
    </row>
    <row r="66" spans="1:13" x14ac:dyDescent="0.25">
      <c r="A66" s="78" t="s">
        <v>37</v>
      </c>
      <c r="B66" s="65" t="s">
        <v>14</v>
      </c>
      <c r="C66" s="81">
        <f>tblForecast3[[#This Row],[Units Sold]]*(1+tblOver[[#This Row],[%age (Units)]])</f>
        <v>1960.0000000000002</v>
      </c>
      <c r="D66" s="139">
        <f>tblForecast3[[#This Row],[Selling Price]]*(1+tblOver[[#This Row],[%age (S.P.)]])</f>
        <v>3060</v>
      </c>
      <c r="E66" s="139">
        <f>tblForecast3[[#This Row],[Cost Price]]*(1+tblOver[[#This Row],[%age (C.P)]])</f>
        <v>1657.5</v>
      </c>
      <c r="F66" s="48">
        <f t="shared" si="3"/>
        <v>5997600.0000000009</v>
      </c>
      <c r="G66" s="48">
        <f t="shared" si="4"/>
        <v>3248700.0000000005</v>
      </c>
      <c r="H66" s="48">
        <f>Actual_Over_2026!$F66-Actual_Over_2026!$G66</f>
        <v>2748900.0000000005</v>
      </c>
      <c r="I66" s="49">
        <f t="shared" si="5"/>
        <v>0.45833333333333331</v>
      </c>
      <c r="J66" s="50">
        <f t="array" ref="J66">INDEX('%age_Change_Logic'!$H$6:$H$11, MATCH(L66,'%age_Change_Logic'!$F$6:$F$11,1))</f>
        <v>0.02</v>
      </c>
      <c r="K66" s="51">
        <f t="array" ref="K66">INDEX('%age_Change_Logic'!$D$6:$D$11, MATCH(L66, '%age_Change_Logic'!$B$6:$B$11,1))</f>
        <v>-2.5000000000000001E-2</v>
      </c>
      <c r="L66" s="104">
        <v>0.12</v>
      </c>
      <c r="M66" s="98" t="s">
        <v>98</v>
      </c>
    </row>
    <row r="67" spans="1:13" x14ac:dyDescent="0.25">
      <c r="A67" s="78" t="s">
        <v>37</v>
      </c>
      <c r="B67" s="65" t="s">
        <v>39</v>
      </c>
      <c r="C67" s="81">
        <f>tblForecast3[[#This Row],[Units Sold]]*(1+tblOver[[#This Row],[%age (Units)]])</f>
        <v>3750</v>
      </c>
      <c r="D67" s="139">
        <f>tblForecast3[[#This Row],[Selling Price]]*(1+tblOver[[#This Row],[%age (S.P.)]])</f>
        <v>1442</v>
      </c>
      <c r="E67" s="139">
        <f>tblForecast3[[#This Row],[Cost Price]]*(1+tblOver[[#This Row],[%age (C.P)]])</f>
        <v>624</v>
      </c>
      <c r="F67" s="48">
        <f t="shared" si="3"/>
        <v>5407500</v>
      </c>
      <c r="G67" s="48">
        <f t="shared" si="4"/>
        <v>2340000</v>
      </c>
      <c r="H67" s="48">
        <f>Actual_Over_2026!$F67-Actual_Over_2026!$G67</f>
        <v>3067500</v>
      </c>
      <c r="I67" s="49">
        <f t="shared" si="5"/>
        <v>0.56726768377253811</v>
      </c>
      <c r="J67" s="50">
        <f t="array" ref="J67">INDEX('%age_Change_Logic'!$H$6:$H$11, MATCH(L67,'%age_Change_Logic'!$F$6:$F$11,1))</f>
        <v>0.03</v>
      </c>
      <c r="K67" s="51">
        <f t="array" ref="K67">INDEX('%age_Change_Logic'!$D$6:$D$11, MATCH(L67, '%age_Change_Logic'!$B$6:$B$11,1))</f>
        <v>-0.04</v>
      </c>
      <c r="L67" s="104">
        <v>0.2</v>
      </c>
      <c r="M67" s="98" t="s">
        <v>99</v>
      </c>
    </row>
    <row r="68" spans="1:13" x14ac:dyDescent="0.25">
      <c r="A68" s="78" t="s">
        <v>37</v>
      </c>
      <c r="B68" s="65" t="s">
        <v>6</v>
      </c>
      <c r="C68" s="81">
        <f>tblForecast3[[#This Row],[Units Sold]]*(1+tblOver[[#This Row],[%age (Units)]])</f>
        <v>5162.5</v>
      </c>
      <c r="D68" s="139">
        <f>tblForecast3[[#This Row],[Selling Price]]*(1+tblOver[[#This Row],[%age (S.P.)]])</f>
        <v>721</v>
      </c>
      <c r="E68" s="139">
        <f>tblForecast3[[#This Row],[Cost Price]]*(1+tblOver[[#This Row],[%age (C.P)]])</f>
        <v>240</v>
      </c>
      <c r="F68" s="48">
        <f t="shared" ref="F68:F74" si="6">C68*D68</f>
        <v>3722162.5</v>
      </c>
      <c r="G68" s="48">
        <f t="shared" ref="G68:G74" si="7">C68*E68</f>
        <v>1239000</v>
      </c>
      <c r="H68" s="48">
        <f>Actual_Over_2026!$F68-Actual_Over_2026!$G68</f>
        <v>2483162.5</v>
      </c>
      <c r="I68" s="49">
        <f t="shared" ref="I68:I74" si="8">H68/F68</f>
        <v>0.66712898751733707</v>
      </c>
      <c r="J68" s="50">
        <f t="array" ref="J68">INDEX('%age_Change_Logic'!$H$6:$H$11, MATCH(L68,'%age_Change_Logic'!$F$6:$F$11,1))</f>
        <v>0.03</v>
      </c>
      <c r="K68" s="51">
        <f t="array" ref="K68">INDEX('%age_Change_Logic'!$D$6:$D$11, MATCH(L68, '%age_Change_Logic'!$B$6:$B$11,1))</f>
        <v>-0.04</v>
      </c>
      <c r="L68" s="104">
        <v>0.18</v>
      </c>
      <c r="M68" s="98" t="s">
        <v>100</v>
      </c>
    </row>
    <row r="69" spans="1:13" ht="15.75" x14ac:dyDescent="0.25">
      <c r="A69" s="122" t="s">
        <v>40</v>
      </c>
      <c r="B69" s="123"/>
      <c r="C69" s="143">
        <f>SUM(C64:C68)</f>
        <v>15460</v>
      </c>
      <c r="D69" s="141"/>
      <c r="E69" s="141"/>
      <c r="F69" s="124">
        <f>SUM(F64:F68)</f>
        <v>29698887.500000004</v>
      </c>
      <c r="G69" s="124">
        <f>SUM(G64:G68)</f>
        <v>15733918.750000002</v>
      </c>
      <c r="H69" s="124">
        <f>SUM(H64:H68)</f>
        <v>13964968.75</v>
      </c>
      <c r="I69" s="125">
        <f>AVERAGE(I64:I68)</f>
        <v>0.49339389283457569</v>
      </c>
      <c r="J69" s="52"/>
      <c r="K69" s="53"/>
      <c r="L69" s="105"/>
      <c r="M69" s="101"/>
    </row>
    <row r="70" spans="1:13" x14ac:dyDescent="0.25">
      <c r="A70" s="78" t="s">
        <v>38</v>
      </c>
      <c r="B70" s="65" t="s">
        <v>4</v>
      </c>
      <c r="C70" s="81">
        <f>tblForecast3[[#This Row],[Units Sold]]*(1+tblOver[[#This Row],[%age (Units)]])</f>
        <v>2592</v>
      </c>
      <c r="D70" s="139">
        <f>tblForecast3[[#This Row],[Selling Price]]*(1+tblOver[[#This Row],[%age (S.P.)]])</f>
        <v>2727</v>
      </c>
      <c r="E70" s="139">
        <f>tblForecast3[[#This Row],[Cost Price]]*(1+tblOver[[#This Row],[%age (C.P)]])</f>
        <v>1625.25</v>
      </c>
      <c r="F70" s="48">
        <f t="shared" si="6"/>
        <v>7068384</v>
      </c>
      <c r="G70" s="48">
        <f t="shared" si="7"/>
        <v>4212648</v>
      </c>
      <c r="H70" s="48">
        <f>Actual_Over_2026!$F70-Actual_Over_2026!$G70</f>
        <v>2855736</v>
      </c>
      <c r="I70" s="49">
        <f t="shared" si="8"/>
        <v>0.40401540154015403</v>
      </c>
      <c r="J70" s="50">
        <f t="array" ref="J70">INDEX('%age_Change_Logic'!$H$6:$H$11, MATCH(L70,'%age_Change_Logic'!$F$6:$F$11,1))</f>
        <v>0.01</v>
      </c>
      <c r="K70" s="51">
        <f t="array" ref="K70">INDEX('%age_Change_Logic'!$D$6:$D$11, MATCH(L70, '%age_Change_Logic'!$B$6:$B$11,1))</f>
        <v>-1.4999999999999999E-2</v>
      </c>
      <c r="L70" s="104">
        <v>0.08</v>
      </c>
      <c r="M70" s="98" t="s">
        <v>102</v>
      </c>
    </row>
    <row r="71" spans="1:13" x14ac:dyDescent="0.25">
      <c r="A71" s="78" t="s">
        <v>38</v>
      </c>
      <c r="B71" s="65" t="s">
        <v>5</v>
      </c>
      <c r="C71" s="81">
        <f>tblForecast3[[#This Row],[Units Sold]]*(1+tblOver[[#This Row],[%age (Units)]])</f>
        <v>1747.2000000000003</v>
      </c>
      <c r="D71" s="139">
        <f>tblForecast3[[#This Row],[Selling Price]]*(1+tblOver[[#This Row],[%age (S.P.)]])</f>
        <v>3876</v>
      </c>
      <c r="E71" s="139">
        <f>tblForecast3[[#This Row],[Cost Price]]*(1+tblOver[[#This Row],[%age (C.P)]])</f>
        <v>2437.5</v>
      </c>
      <c r="F71" s="48">
        <f t="shared" si="6"/>
        <v>6772147.2000000011</v>
      </c>
      <c r="G71" s="48">
        <f t="shared" si="7"/>
        <v>4258800.0000000009</v>
      </c>
      <c r="H71" s="48">
        <f>Actual_Over_2026!$F71-Actual_Over_2026!$G71</f>
        <v>2513347.2000000002</v>
      </c>
      <c r="I71" s="49">
        <f t="shared" si="8"/>
        <v>0.37113003095975228</v>
      </c>
      <c r="J71" s="50">
        <f t="array" ref="J71">INDEX('%age_Change_Logic'!$H$6:$H$11, MATCH(L71,'%age_Change_Logic'!$F$6:$F$11,1))</f>
        <v>0.02</v>
      </c>
      <c r="K71" s="51">
        <f t="array" ref="K71">INDEX('%age_Change_Logic'!$D$6:$D$11, MATCH(L71, '%age_Change_Logic'!$B$6:$B$11,1))</f>
        <v>-2.5000000000000001E-2</v>
      </c>
      <c r="L71" s="104">
        <v>0.12</v>
      </c>
      <c r="M71" s="98" t="s">
        <v>101</v>
      </c>
    </row>
    <row r="72" spans="1:13" x14ac:dyDescent="0.25">
      <c r="A72" s="78" t="s">
        <v>38</v>
      </c>
      <c r="B72" s="65" t="s">
        <v>14</v>
      </c>
      <c r="C72" s="81">
        <f>tblForecast3[[#This Row],[Units Sold]]*(1+tblOver[[#This Row],[%age (Units)]])</f>
        <v>1848.0000000000002</v>
      </c>
      <c r="D72" s="139">
        <f>tblForecast3[[#This Row],[Selling Price]]*(1+tblOver[[#This Row],[%age (S.P.)]])</f>
        <v>3030</v>
      </c>
      <c r="E72" s="139">
        <f>tblForecast3[[#This Row],[Cost Price]]*(1+tblOver[[#This Row],[%age (C.P)]])</f>
        <v>1674.5</v>
      </c>
      <c r="F72" s="48">
        <f t="shared" si="6"/>
        <v>5599440.0000000009</v>
      </c>
      <c r="G72" s="48">
        <f t="shared" si="7"/>
        <v>3094476.0000000005</v>
      </c>
      <c r="H72" s="48">
        <f>Actual_Over_2026!$F72-Actual_Over_2026!$G72</f>
        <v>2504964.0000000005</v>
      </c>
      <c r="I72" s="49">
        <f t="shared" si="8"/>
        <v>0.44735973597359735</v>
      </c>
      <c r="J72" s="50">
        <f t="array" ref="J72">INDEX('%age_Change_Logic'!$H$6:$H$11, MATCH(L72,'%age_Change_Logic'!$F$6:$F$11,1))</f>
        <v>0.01</v>
      </c>
      <c r="K72" s="51">
        <f t="array" ref="K72">INDEX('%age_Change_Logic'!$D$6:$D$11, MATCH(L72, '%age_Change_Logic'!$B$6:$B$11,1))</f>
        <v>-1.4999999999999999E-2</v>
      </c>
      <c r="L72" s="104">
        <v>0.1</v>
      </c>
      <c r="M72" s="98" t="s">
        <v>105</v>
      </c>
    </row>
    <row r="73" spans="1:13" x14ac:dyDescent="0.25">
      <c r="A73" s="78" t="s">
        <v>38</v>
      </c>
      <c r="B73" s="65" t="s">
        <v>39</v>
      </c>
      <c r="C73" s="81">
        <f>tblForecast3[[#This Row],[Units Sold]]*(1+tblOver[[#This Row],[%age (Units)]])</f>
        <v>3300.0000000000005</v>
      </c>
      <c r="D73" s="139">
        <f>tblForecast3[[#This Row],[Selling Price]]*(1+tblOver[[#This Row],[%age (S.P.)]])</f>
        <v>1414</v>
      </c>
      <c r="E73" s="139">
        <f>tblForecast3[[#This Row],[Cost Price]]*(1+tblOver[[#This Row],[%age (C.P)]])</f>
        <v>640.25</v>
      </c>
      <c r="F73" s="48">
        <f t="shared" si="6"/>
        <v>4666200.0000000009</v>
      </c>
      <c r="G73" s="48">
        <f t="shared" si="7"/>
        <v>2112825.0000000005</v>
      </c>
      <c r="H73" s="48">
        <f>Actual_Over_2026!$F73-Actual_Over_2026!$G73</f>
        <v>2553375.0000000005</v>
      </c>
      <c r="I73" s="49">
        <f t="shared" si="8"/>
        <v>0.54720650636492218</v>
      </c>
      <c r="J73" s="50">
        <f t="array" ref="J73">INDEX('%age_Change_Logic'!$H$6:$H$11, MATCH(L73,'%age_Change_Logic'!$F$6:$F$11,1))</f>
        <v>0.01</v>
      </c>
      <c r="K73" s="51">
        <f t="array" ref="K73">INDEX('%age_Change_Logic'!$D$6:$D$11, MATCH(L73, '%age_Change_Logic'!$B$6:$B$11,1))</f>
        <v>-1.4999999999999999E-2</v>
      </c>
      <c r="L73" s="104">
        <v>0.1</v>
      </c>
      <c r="M73" s="98" t="s">
        <v>104</v>
      </c>
    </row>
    <row r="74" spans="1:13" x14ac:dyDescent="0.25">
      <c r="A74" s="78" t="s">
        <v>38</v>
      </c>
      <c r="B74" s="65" t="s">
        <v>6</v>
      </c>
      <c r="C74" s="81">
        <f>tblForecast3[[#This Row],[Units Sold]]*(1+tblOver[[#This Row],[%age (Units)]])</f>
        <v>4620</v>
      </c>
      <c r="D74" s="139">
        <f>tblForecast3[[#This Row],[Selling Price]]*(1+tblOver[[#This Row],[%age (S.P.)]])</f>
        <v>707</v>
      </c>
      <c r="E74" s="139">
        <f>tblForecast3[[#This Row],[Cost Price]]*(1+tblOver[[#This Row],[%age (C.P)]])</f>
        <v>246.25</v>
      </c>
      <c r="F74" s="48">
        <f t="shared" si="6"/>
        <v>3266340</v>
      </c>
      <c r="G74" s="48">
        <f t="shared" si="7"/>
        <v>1137675</v>
      </c>
      <c r="H74" s="48">
        <f>Actual_Over_2026!$F74-Actual_Over_2026!$G74</f>
        <v>2128665</v>
      </c>
      <c r="I74" s="49">
        <f t="shared" si="8"/>
        <v>0.65169731258840169</v>
      </c>
      <c r="J74" s="50">
        <f t="array" ref="J74">INDEX('%age_Change_Logic'!$H$6:$H$11, MATCH(L74,'%age_Change_Logic'!$F$6:$F$11,1))</f>
        <v>0.01</v>
      </c>
      <c r="K74" s="51">
        <f t="array" ref="K74">INDEX('%age_Change_Logic'!$D$6:$D$11, MATCH(L74, '%age_Change_Logic'!$B$6:$B$11,1))</f>
        <v>-1.4999999999999999E-2</v>
      </c>
      <c r="L74" s="104">
        <v>0.1</v>
      </c>
      <c r="M74" s="98" t="s">
        <v>103</v>
      </c>
    </row>
    <row r="75" spans="1:13" ht="15.75" x14ac:dyDescent="0.25">
      <c r="A75" s="122" t="s">
        <v>40</v>
      </c>
      <c r="B75" s="123"/>
      <c r="C75" s="143">
        <f>SUM(C70:C74)</f>
        <v>14107.2</v>
      </c>
      <c r="D75" s="141"/>
      <c r="E75" s="141"/>
      <c r="F75" s="124">
        <f>SUM(F70:F74)</f>
        <v>27372511.200000003</v>
      </c>
      <c r="G75" s="124">
        <f>SUM(G70:G74)</f>
        <v>14816424</v>
      </c>
      <c r="H75" s="124">
        <f>SUM(H70:H74)</f>
        <v>12556087.200000001</v>
      </c>
      <c r="I75" s="125">
        <f>AVERAGE(I70:I74)</f>
        <v>0.48428179748536548</v>
      </c>
      <c r="J75" s="50"/>
      <c r="K75" s="51"/>
      <c r="L75" s="104"/>
      <c r="M75" s="103"/>
    </row>
    <row r="77" spans="1:13" x14ac:dyDescent="0.25">
      <c r="D77" s="7"/>
    </row>
  </sheetData>
  <mergeCells count="1">
    <mergeCell ref="C1:D1"/>
  </mergeCells>
  <conditionalFormatting sqref="C4:C8 C10:C14 C16:C20 C22:C26 C28:C32 C34:C38 C40:C44 C46:C50 C52:C56 C58:C62 C64:C68 C70:C74">
    <cfRule type="dataBar" priority="15">
      <dataBar>
        <cfvo type="min"/>
        <cfvo type="max"/>
        <color theme="4" tint="0.59999389629810485"/>
      </dataBar>
      <extLst>
        <ext xmlns:x14="http://schemas.microsoft.com/office/spreadsheetml/2009/9/main" uri="{B025F937-C7B1-47D3-B67F-A62EFF666E3E}">
          <x14:id>{707F62DD-A8BB-430C-9575-C24794D8AD70}</x14:id>
        </ext>
      </extLst>
    </cfRule>
  </conditionalFormatting>
  <conditionalFormatting sqref="J1:J1048576">
    <cfRule type="dataBar" priority="1">
      <dataBar>
        <cfvo type="min"/>
        <cfvo type="max"/>
        <color rgb="FF63C384"/>
      </dataBar>
      <extLst>
        <ext xmlns:x14="http://schemas.microsoft.com/office/spreadsheetml/2009/9/main" uri="{B025F937-C7B1-47D3-B67F-A62EFF666E3E}">
          <x14:id>{CF7EDED6-E7A2-46B9-81BD-282CC5C0784E}</x14:id>
        </ext>
      </extLst>
    </cfRule>
  </conditionalFormatting>
  <conditionalFormatting sqref="K1:K1048576">
    <cfRule type="dataBar" priority="2">
      <dataBar>
        <cfvo type="min"/>
        <cfvo type="max"/>
        <color rgb="FF638EC6"/>
      </dataBar>
      <extLst>
        <ext xmlns:x14="http://schemas.microsoft.com/office/spreadsheetml/2009/9/main" uri="{B025F937-C7B1-47D3-B67F-A62EFF666E3E}">
          <x14:id>{BF50AAF9-8AB4-4BDE-BDE9-343DFBEBB30F}</x14:id>
        </ext>
      </extLst>
    </cfRule>
  </conditionalFormatting>
  <pageMargins left="0.7" right="0.7" top="0.75" bottom="0.75" header="0.3" footer="0.3"/>
  <pageSetup scale="44" orientation="landscape" horizontalDpi="1200" verticalDpi="1200" r:id="rId1"/>
  <ignoredErrors>
    <ignoredError sqref="F1:I69"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707F62DD-A8BB-430C-9575-C24794D8AD70}">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CF7EDED6-E7A2-46B9-81BD-282CC5C0784E}">
            <x14:dataBar minLength="0" maxLength="100" border="1" direction="leftToRight" negativeBarBorderColorSameAsPositive="0">
              <x14:cfvo type="autoMin"/>
              <x14:cfvo type="autoMax"/>
              <x14:borderColor rgb="FF63C384"/>
              <x14:negativeFillColor rgb="FFFF0000"/>
              <x14:negativeBorderColor rgb="FFFF0000"/>
              <x14:axisColor rgb="FF000000"/>
            </x14:dataBar>
          </x14:cfRule>
          <xm:sqref>J1:J1048576</xm:sqref>
        </x14:conditionalFormatting>
        <x14:conditionalFormatting xmlns:xm="http://schemas.microsoft.com/office/excel/2006/main">
          <x14:cfRule type="dataBar" id="{BF50AAF9-8AB4-4BDE-BDE9-343DFBEBB30F}">
            <x14:dataBar minLength="0" maxLength="100" border="1" negativeBarBorderColorSameAsPositive="0">
              <x14:cfvo type="autoMin"/>
              <x14:cfvo type="autoMax"/>
              <x14:borderColor rgb="FF92D050"/>
              <x14:negativeFillColor rgb="FFFF0000"/>
              <x14:negativeBorderColor rgb="FFFF0000"/>
              <x14:axisColor rgb="FF000000"/>
            </x14:dataBar>
          </x14:cfRule>
          <xm:sqref>K1:K1048576</xm:sqref>
        </x14:conditionalFormatting>
        <x14:conditionalFormatting xmlns:xm="http://schemas.microsoft.com/office/excel/2006/main">
          <x14:cfRule type="iconSet" priority="6" id="{CCE25074-A54F-4DBA-90B0-DB6D11D6656D}">
            <x14:iconSet iconSet="3Arrows" custom="1">
              <x14:cfvo type="percent">
                <xm:f>0</xm:f>
              </x14:cfvo>
              <x14:cfvo type="percent">
                <xm:f>0</xm:f>
              </x14:cfvo>
              <x14:cfvo type="percent" gte="0">
                <xm:f>0</xm:f>
              </x14:cfvo>
              <x14:cfIcon iconSet="3Arrows" iconId="0"/>
              <x14:cfIcon iconSet="3Arrows" iconId="1"/>
              <x14:cfIcon iconSet="3Arrows" iconId="2"/>
            </x14:iconSet>
          </x14:cfRule>
          <xm:sqref>L4:L74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M77"/>
  <sheetViews>
    <sheetView showGridLines="0" zoomScaleNormal="100" workbookViewId="0">
      <pane xSplit="2" ySplit="3" topLeftCell="C25" activePane="bottomRight" state="frozen"/>
      <selection pane="topRight" activeCell="D1" sqref="D1"/>
      <selection pane="bottomLeft" activeCell="A5" sqref="A5"/>
      <selection pane="bottomRight" activeCell="M4" sqref="M4"/>
    </sheetView>
  </sheetViews>
  <sheetFormatPr defaultRowHeight="15" x14ac:dyDescent="0.25"/>
  <cols>
    <col min="1" max="1" width="12.28515625" style="4" customWidth="1"/>
    <col min="2" max="2" width="16" style="4" customWidth="1"/>
    <col min="3" max="3" width="14" customWidth="1"/>
    <col min="4" max="4" width="13.140625" style="5" customWidth="1"/>
    <col min="5" max="5" width="12.140625" style="5" customWidth="1"/>
    <col min="6" max="7" width="15" style="5" bestFit="1" customWidth="1"/>
    <col min="8" max="8" width="16.140625" style="5" bestFit="1" customWidth="1"/>
    <col min="9" max="9" width="13.85546875" style="6" bestFit="1" customWidth="1"/>
    <col min="10" max="10" width="15.85546875" style="23" bestFit="1" customWidth="1"/>
    <col min="11" max="11" width="15.5703125" style="9" bestFit="1" customWidth="1"/>
    <col min="12" max="12" width="15.42578125" style="9" bestFit="1" customWidth="1"/>
    <col min="13" max="13" width="51.85546875" bestFit="1" customWidth="1"/>
  </cols>
  <sheetData>
    <row r="1" spans="1:13" ht="21" x14ac:dyDescent="0.35">
      <c r="B1" s="37" t="s">
        <v>0</v>
      </c>
      <c r="C1" s="233" t="s">
        <v>45</v>
      </c>
      <c r="D1" s="233"/>
      <c r="H1" s="6"/>
      <c r="I1" s="7"/>
    </row>
    <row r="3" spans="1:13" ht="30" x14ac:dyDescent="0.25">
      <c r="A3" s="106" t="s">
        <v>21</v>
      </c>
      <c r="B3" s="106" t="s">
        <v>1</v>
      </c>
      <c r="C3" s="91" t="s">
        <v>208</v>
      </c>
      <c r="D3" s="92" t="s">
        <v>230</v>
      </c>
      <c r="E3" s="92" t="s">
        <v>231</v>
      </c>
      <c r="F3" s="93" t="s">
        <v>23</v>
      </c>
      <c r="G3" s="93" t="s">
        <v>24</v>
      </c>
      <c r="H3" s="93" t="s">
        <v>25</v>
      </c>
      <c r="I3" s="94" t="s">
        <v>26</v>
      </c>
      <c r="J3" s="96" t="s">
        <v>202</v>
      </c>
      <c r="K3" s="95" t="s">
        <v>203</v>
      </c>
      <c r="L3" s="95" t="s">
        <v>48</v>
      </c>
      <c r="M3" s="97" t="s">
        <v>204</v>
      </c>
    </row>
    <row r="4" spans="1:13" x14ac:dyDescent="0.25">
      <c r="A4" s="107" t="s">
        <v>29</v>
      </c>
      <c r="B4" s="108" t="s">
        <v>4</v>
      </c>
      <c r="C4" s="81">
        <f>tblForecast8[[#This Row],[Units Sold]]*(1-tblUnder[[#This Row],[%age (Units)]])</f>
        <v>1026</v>
      </c>
      <c r="D4" s="140">
        <f>tblForecast8[[#This Row],[Selling Price]]*(1+tblUnder[[#This Row],[ %age (S.P.)]])</f>
        <v>2277</v>
      </c>
      <c r="E4" s="140">
        <f>tblForecast8[[#This Row],[Cost Price]]*(1+tblUnder[[#This Row],[%age (C.P.)]])</f>
        <v>1818</v>
      </c>
      <c r="F4" s="48">
        <f>Actual_Under_2026!$C4*Actual_Under_2026!$D4</f>
        <v>2336202</v>
      </c>
      <c r="G4" s="48">
        <f>Actual_Under_2026!$C4*Actual_Under_2026!$E4</f>
        <v>1865268</v>
      </c>
      <c r="H4" s="48">
        <f>Actual_Under_2026!$F4-Actual_Under_2026!$G4</f>
        <v>470934</v>
      </c>
      <c r="I4" s="49">
        <f>Actual_Under_2026!$H4/Actual_Under_2026!$F4</f>
        <v>0.20158102766798419</v>
      </c>
      <c r="J4" s="51">
        <f t="array" ref="J4">INDEX('%age_Change_Logic'!$D$17:$D$22, MATCH(L4,'%age_Change_Logic'!$B$17:$B$22,1))</f>
        <v>-0.01</v>
      </c>
      <c r="K4" s="50">
        <f t="array" ref="K4">INDEX('%age_Change_Logic'!$H$17:$H$22, MATCH(L4, '%age_Change_Logic'!$F$17:$F$22,1))</f>
        <v>0.01</v>
      </c>
      <c r="L4" s="109">
        <v>0.1</v>
      </c>
      <c r="M4" s="110" t="s">
        <v>136</v>
      </c>
    </row>
    <row r="5" spans="1:13" x14ac:dyDescent="0.25">
      <c r="A5" s="107" t="s">
        <v>29</v>
      </c>
      <c r="B5" s="108" t="s">
        <v>5</v>
      </c>
      <c r="C5" s="81">
        <f>tblForecast8[[#This Row],[Units Sold]]*(1-tblUnder[[#This Row],[%age (Units)]])</f>
        <v>608</v>
      </c>
      <c r="D5" s="140">
        <f>tblForecast8[[#This Row],[Selling Price]]*(1+tblUnder[[#This Row],[ %age (S.P.)]])</f>
        <v>3104</v>
      </c>
      <c r="E5" s="140">
        <f>tblForecast8[[#This Row],[Cost Price]]*(1+tblUnder[[#This Row],[%age (C.P.)]])</f>
        <v>2884</v>
      </c>
      <c r="F5" s="48">
        <f>Actual_Under_2026!$C5*Actual_Under_2026!$D5</f>
        <v>1887232</v>
      </c>
      <c r="G5" s="48">
        <f>Actual_Under_2026!$C5*Actual_Under_2026!$E5</f>
        <v>1753472</v>
      </c>
      <c r="H5" s="48">
        <f>Actual_Under_2026!$F5-Actual_Under_2026!$G5</f>
        <v>133760</v>
      </c>
      <c r="I5" s="49">
        <f>Actual_Under_2026!$H5/Actual_Under_2026!$F5</f>
        <v>7.0876288659793812E-2</v>
      </c>
      <c r="J5" s="51">
        <f t="array" ref="J5">INDEX('%age_Change_Logic'!$D$17:$D$22, MATCH(L5,'%age_Change_Logic'!$B$17:$B$22,1))</f>
        <v>-0.03</v>
      </c>
      <c r="K5" s="50">
        <f t="array" ref="K5">INDEX('%age_Change_Logic'!$H$17:$H$22, MATCH(L5, '%age_Change_Logic'!$F$17:$F$22,1))</f>
        <v>0.03</v>
      </c>
      <c r="L5" s="109">
        <v>0.2</v>
      </c>
      <c r="M5" s="110" t="s">
        <v>137</v>
      </c>
    </row>
    <row r="6" spans="1:13" x14ac:dyDescent="0.25">
      <c r="A6" s="107" t="s">
        <v>29</v>
      </c>
      <c r="B6" s="108" t="s">
        <v>14</v>
      </c>
      <c r="C6" s="81">
        <f>tblForecast8[[#This Row],[Units Sold]]*(1-tblUnder[[#This Row],[%age (Units)]])</f>
        <v>812.25</v>
      </c>
      <c r="D6" s="140">
        <f>tblForecast8[[#This Row],[Selling Price]]*(1+tblUnder[[#This Row],[ %age (S.P.)]])</f>
        <v>2300</v>
      </c>
      <c r="E6" s="140">
        <f>tblForecast8[[#This Row],[Cost Price]]*(1+tblUnder[[#This Row],[%age (C.P.)]])</f>
        <v>2100</v>
      </c>
      <c r="F6" s="48">
        <f>Actual_Under_2026!$C6*Actual_Under_2026!$D6</f>
        <v>1868175</v>
      </c>
      <c r="G6" s="48">
        <f>Actual_Under_2026!$C6*Actual_Under_2026!$E6</f>
        <v>1705725</v>
      </c>
      <c r="H6" s="48">
        <f>Actual_Under_2026!$F6-Actual_Under_2026!$G6</f>
        <v>162450</v>
      </c>
      <c r="I6" s="49">
        <f>Actual_Under_2026!$H6/Actual_Under_2026!$F6</f>
        <v>8.6956521739130432E-2</v>
      </c>
      <c r="J6" s="51">
        <f t="array" ref="J6">INDEX('%age_Change_Logic'!$D$17:$D$22, MATCH(L6,'%age_Change_Logic'!$B$17:$B$22,1))</f>
        <v>0</v>
      </c>
      <c r="K6" s="50">
        <f t="array" ref="K6">INDEX('%age_Change_Logic'!$H$17:$H$22, MATCH(L6, '%age_Change_Logic'!$F$17:$F$22,1))</f>
        <v>0</v>
      </c>
      <c r="L6" s="109">
        <v>0.05</v>
      </c>
      <c r="M6" s="110" t="s">
        <v>138</v>
      </c>
    </row>
    <row r="7" spans="1:13" x14ac:dyDescent="0.25">
      <c r="A7" s="107" t="s">
        <v>29</v>
      </c>
      <c r="B7" s="108" t="s">
        <v>39</v>
      </c>
      <c r="C7" s="81">
        <f>tblForecast8[[#This Row],[Units Sold]]*(1-tblUnder[[#This Row],[%age (Units)]])</f>
        <v>1282.5</v>
      </c>
      <c r="D7" s="140">
        <f>tblForecast8[[#This Row],[Selling Price]]*(1+tblUnder[[#This Row],[ %age (S.P.)]])</f>
        <v>990</v>
      </c>
      <c r="E7" s="140">
        <f>tblForecast8[[#This Row],[Cost Price]]*(1+tblUnder[[#This Row],[%age (C.P.)]])</f>
        <v>808</v>
      </c>
      <c r="F7" s="48">
        <f>Actual_Under_2026!$C7*Actual_Under_2026!$D7</f>
        <v>1269675</v>
      </c>
      <c r="G7" s="48">
        <f>Actual_Under_2026!$C7*Actual_Under_2026!$E7</f>
        <v>1036260</v>
      </c>
      <c r="H7" s="48">
        <f>Actual_Under_2026!$F7-Actual_Under_2026!$G7</f>
        <v>233415</v>
      </c>
      <c r="I7" s="49">
        <f>Actual_Under_2026!$H7/Actual_Under_2026!$F7</f>
        <v>0.18383838383838383</v>
      </c>
      <c r="J7" s="51">
        <f t="array" ref="J7">INDEX('%age_Change_Logic'!$D$17:$D$22, MATCH(L7,'%age_Change_Logic'!$B$17:$B$22,1))</f>
        <v>-0.01</v>
      </c>
      <c r="K7" s="50">
        <f t="array" ref="K7">INDEX('%age_Change_Logic'!$H$17:$H$22, MATCH(L7, '%age_Change_Logic'!$F$17:$F$22,1))</f>
        <v>0.01</v>
      </c>
      <c r="L7" s="109">
        <v>0.1</v>
      </c>
      <c r="M7" s="110" t="s">
        <v>140</v>
      </c>
    </row>
    <row r="8" spans="1:13" x14ac:dyDescent="0.25">
      <c r="A8" s="107" t="s">
        <v>29</v>
      </c>
      <c r="B8" s="108" t="s">
        <v>6</v>
      </c>
      <c r="C8" s="81">
        <f>tblForecast8[[#This Row],[Units Sold]]*(1-tblUnder[[#This Row],[%age (Units)]])</f>
        <v>1615</v>
      </c>
      <c r="D8" s="140">
        <f>tblForecast8[[#This Row],[Selling Price]]*(1+tblUnder[[#This Row],[ %age (S.P.)]])</f>
        <v>392</v>
      </c>
      <c r="E8" s="140">
        <f>tblForecast8[[#This Row],[Cost Price]]*(1+tblUnder[[#This Row],[%age (C.P.)]])</f>
        <v>408</v>
      </c>
      <c r="F8" s="48">
        <f>Actual_Under_2026!$C8*Actual_Under_2026!$D8</f>
        <v>633080</v>
      </c>
      <c r="G8" s="48">
        <f>Actual_Under_2026!$C8*Actual_Under_2026!$E8</f>
        <v>658920</v>
      </c>
      <c r="H8" s="48">
        <f>Actual_Under_2026!$F8-Actual_Under_2026!$G8</f>
        <v>-25840</v>
      </c>
      <c r="I8" s="49">
        <f>Actual_Under_2026!$H8/Actual_Under_2026!$F8</f>
        <v>-4.0816326530612242E-2</v>
      </c>
      <c r="J8" s="51">
        <f t="array" ref="J8">INDEX('%age_Change_Logic'!$D$17:$D$22, MATCH(L8,'%age_Change_Logic'!$B$17:$B$22,1))</f>
        <v>-0.02</v>
      </c>
      <c r="K8" s="50">
        <f t="array" ref="K8">INDEX('%age_Change_Logic'!$H$17:$H$22, MATCH(L8, '%age_Change_Logic'!$F$17:$F$22,1))</f>
        <v>0.02</v>
      </c>
      <c r="L8" s="109">
        <v>0.15</v>
      </c>
      <c r="M8" s="110" t="s">
        <v>139</v>
      </c>
    </row>
    <row r="9" spans="1:13" s="8" customFormat="1" ht="15.75" x14ac:dyDescent="0.25">
      <c r="A9" s="122" t="s">
        <v>40</v>
      </c>
      <c r="B9" s="123"/>
      <c r="C9" s="143">
        <f>SUM(C4:C8)</f>
        <v>5343.75</v>
      </c>
      <c r="D9" s="141"/>
      <c r="E9" s="141"/>
      <c r="F9" s="124">
        <f>SUM(F4:F8)</f>
        <v>7994364</v>
      </c>
      <c r="G9" s="124">
        <f>SUM(G4:G8)</f>
        <v>7019645</v>
      </c>
      <c r="H9" s="124">
        <f>SUM(H4:H8)</f>
        <v>974719</v>
      </c>
      <c r="I9" s="125">
        <f>AVERAGE(I4:I8)</f>
        <v>0.10048717907493601</v>
      </c>
      <c r="J9" s="118"/>
      <c r="K9" s="119"/>
      <c r="L9" s="120"/>
      <c r="M9" s="111"/>
    </row>
    <row r="10" spans="1:13" x14ac:dyDescent="0.25">
      <c r="A10" s="107" t="s">
        <v>30</v>
      </c>
      <c r="B10" s="108" t="s">
        <v>4</v>
      </c>
      <c r="C10" s="81">
        <f>tblForecast8[[#This Row],[Units Sold]]*(1-tblUnder[[#This Row],[%age (Units)]])</f>
        <v>950.4</v>
      </c>
      <c r="D10" s="140">
        <f>tblForecast8[[#This Row],[Selling Price]]*(1+tblUnder[[#This Row],[ %age (S.P.)]])</f>
        <v>2254</v>
      </c>
      <c r="E10" s="140">
        <f>tblForecast8[[#This Row],[Cost Price]]*(1+tblUnder[[#This Row],[%age (C.P.)]])</f>
        <v>1836</v>
      </c>
      <c r="F10" s="48">
        <f>Actual_Under_2026!$C10*Actual_Under_2026!$D10</f>
        <v>2142201.6</v>
      </c>
      <c r="G10" s="48">
        <f>Actual_Under_2026!$C10*Actual_Under_2026!$E10</f>
        <v>1744934.4</v>
      </c>
      <c r="H10" s="48">
        <f>Actual_Under_2026!$F10-Actual_Under_2026!$G10</f>
        <v>397267.20000000019</v>
      </c>
      <c r="I10" s="49">
        <f>Actual_Under_2026!$H10/Actual_Under_2026!$F10</f>
        <v>0.1854480922803905</v>
      </c>
      <c r="J10" s="51">
        <f t="array" ref="J10">INDEX('%age_Change_Logic'!$D$17:$D$22, MATCH(L10,'%age_Change_Logic'!$B$17:$B$22,1))</f>
        <v>-0.02</v>
      </c>
      <c r="K10" s="50">
        <f t="array" ref="K10">INDEX('%age_Change_Logic'!$H$17:$H$22, MATCH(L10, '%age_Change_Logic'!$F$17:$F$22,1))</f>
        <v>0.02</v>
      </c>
      <c r="L10" s="109">
        <v>0.12</v>
      </c>
      <c r="M10" s="110" t="s">
        <v>141</v>
      </c>
    </row>
    <row r="11" spans="1:13" x14ac:dyDescent="0.25">
      <c r="A11" s="107" t="s">
        <v>30</v>
      </c>
      <c r="B11" s="108" t="s">
        <v>5</v>
      </c>
      <c r="C11" s="81">
        <f>tblForecast8[[#This Row],[Units Sold]]*(1-tblUnder[[#This Row],[%age (Units)]])</f>
        <v>612</v>
      </c>
      <c r="D11" s="140">
        <f>tblForecast8[[#This Row],[Selling Price]]*(1+tblUnder[[#This Row],[ %age (S.P.)]])</f>
        <v>3136</v>
      </c>
      <c r="E11" s="140">
        <f>tblForecast8[[#This Row],[Cost Price]]*(1+tblUnder[[#This Row],[%age (C.P.)]])</f>
        <v>2856</v>
      </c>
      <c r="F11" s="48">
        <f>Actual_Under_2026!$C11*Actual_Under_2026!$D11</f>
        <v>1919232</v>
      </c>
      <c r="G11" s="48">
        <f>Actual_Under_2026!$C11*Actual_Under_2026!$E11</f>
        <v>1747872</v>
      </c>
      <c r="H11" s="48">
        <f>Actual_Under_2026!$F11-Actual_Under_2026!$G11</f>
        <v>171360</v>
      </c>
      <c r="I11" s="49">
        <f>Actual_Under_2026!$H11/Actual_Under_2026!$F11</f>
        <v>8.9285714285714288E-2</v>
      </c>
      <c r="J11" s="51">
        <f t="array" ref="J11">INDEX('%age_Change_Logic'!$D$17:$D$22, MATCH(L11,'%age_Change_Logic'!$B$17:$B$22,1))</f>
        <v>-0.02</v>
      </c>
      <c r="K11" s="50">
        <f t="array" ref="K11">INDEX('%age_Change_Logic'!$H$17:$H$22, MATCH(L11, '%age_Change_Logic'!$F$17:$F$22,1))</f>
        <v>0.02</v>
      </c>
      <c r="L11" s="109">
        <v>0.15</v>
      </c>
      <c r="M11" s="110" t="s">
        <v>142</v>
      </c>
    </row>
    <row r="12" spans="1:13" x14ac:dyDescent="0.25">
      <c r="A12" s="107" t="s">
        <v>30</v>
      </c>
      <c r="B12" s="108" t="s">
        <v>14</v>
      </c>
      <c r="C12" s="81">
        <f>tblForecast8[[#This Row],[Units Sold]]*(1-tblUnder[[#This Row],[%age (Units)]])</f>
        <v>648</v>
      </c>
      <c r="D12" s="140">
        <f>tblForecast8[[#This Row],[Selling Price]]*(1+tblUnder[[#This Row],[ %age (S.P.)]])</f>
        <v>2231</v>
      </c>
      <c r="E12" s="140">
        <f>tblForecast8[[#This Row],[Cost Price]]*(1+tblUnder[[#This Row],[%age (C.P.)]])</f>
        <v>2163</v>
      </c>
      <c r="F12" s="48">
        <f>Actual_Under_2026!$C12*Actual_Under_2026!$D12</f>
        <v>1445688</v>
      </c>
      <c r="G12" s="48">
        <f>Actual_Under_2026!$C12*Actual_Under_2026!$E12</f>
        <v>1401624</v>
      </c>
      <c r="H12" s="48">
        <f>Actual_Under_2026!$F12-Actual_Under_2026!$G12</f>
        <v>44064</v>
      </c>
      <c r="I12" s="49">
        <f>Actual_Under_2026!$H12/Actual_Under_2026!$F12</f>
        <v>3.0479605558045721E-2</v>
      </c>
      <c r="J12" s="51">
        <f t="array" ref="J12">INDEX('%age_Change_Logic'!$D$17:$D$22, MATCH(L12,'%age_Change_Logic'!$B$17:$B$22,1))</f>
        <v>-0.03</v>
      </c>
      <c r="K12" s="50">
        <f t="array" ref="K12">INDEX('%age_Change_Logic'!$H$17:$H$22, MATCH(L12, '%age_Change_Logic'!$F$17:$F$22,1))</f>
        <v>0.03</v>
      </c>
      <c r="L12" s="109">
        <v>0.2</v>
      </c>
      <c r="M12" s="110" t="s">
        <v>143</v>
      </c>
    </row>
    <row r="13" spans="1:13" x14ac:dyDescent="0.25">
      <c r="A13" s="107" t="s">
        <v>30</v>
      </c>
      <c r="B13" s="108" t="s">
        <v>39</v>
      </c>
      <c r="C13" s="81">
        <f>tblForecast8[[#This Row],[Units Sold]]*(1-tblUnder[[#This Row],[%age (Units)]])</f>
        <v>1188</v>
      </c>
      <c r="D13" s="140">
        <f>tblForecast8[[#This Row],[Selling Price]]*(1+tblUnder[[#This Row],[ %age (S.P.)]])</f>
        <v>980</v>
      </c>
      <c r="E13" s="140">
        <f>tblForecast8[[#This Row],[Cost Price]]*(1+tblUnder[[#This Row],[%age (C.P.)]])</f>
        <v>816</v>
      </c>
      <c r="F13" s="48">
        <f>Actual_Under_2026!$C13*Actual_Under_2026!$D13</f>
        <v>1164240</v>
      </c>
      <c r="G13" s="48">
        <f>Actual_Under_2026!$C13*Actual_Under_2026!$E13</f>
        <v>969408</v>
      </c>
      <c r="H13" s="48">
        <f>Actual_Under_2026!$F13-Actual_Under_2026!$G13</f>
        <v>194832</v>
      </c>
      <c r="I13" s="49">
        <f>Actual_Under_2026!$H13/Actual_Under_2026!$F13</f>
        <v>0.16734693877551021</v>
      </c>
      <c r="J13" s="51">
        <f t="array" ref="J13">INDEX('%age_Change_Logic'!$D$17:$D$22, MATCH(L13,'%age_Change_Logic'!$B$17:$B$22,1))</f>
        <v>-0.02</v>
      </c>
      <c r="K13" s="50">
        <f t="array" ref="K13">INDEX('%age_Change_Logic'!$H$17:$H$22, MATCH(L13, '%age_Change_Logic'!$F$17:$F$22,1))</f>
        <v>0.02</v>
      </c>
      <c r="L13" s="109">
        <v>0.12</v>
      </c>
      <c r="M13" s="110" t="s">
        <v>145</v>
      </c>
    </row>
    <row r="14" spans="1:13" x14ac:dyDescent="0.25">
      <c r="A14" s="107" t="s">
        <v>30</v>
      </c>
      <c r="B14" s="108" t="s">
        <v>6</v>
      </c>
      <c r="C14" s="81">
        <f>tblForecast8[[#This Row],[Units Sold]]*(1-tblUnder[[#This Row],[%age (Units)]])</f>
        <v>1620</v>
      </c>
      <c r="D14" s="140">
        <f>tblForecast8[[#This Row],[Selling Price]]*(1+tblUnder[[#This Row],[ %age (S.P.)]])</f>
        <v>396</v>
      </c>
      <c r="E14" s="140">
        <f>tblForecast8[[#This Row],[Cost Price]]*(1+tblUnder[[#This Row],[%age (C.P.)]])</f>
        <v>404</v>
      </c>
      <c r="F14" s="48">
        <f>Actual_Under_2026!$C14*Actual_Under_2026!$D14</f>
        <v>641520</v>
      </c>
      <c r="G14" s="48">
        <f>Actual_Under_2026!$C14*Actual_Under_2026!$E14</f>
        <v>654480</v>
      </c>
      <c r="H14" s="48">
        <f>Actual_Under_2026!$F14-Actual_Under_2026!$G14</f>
        <v>-12960</v>
      </c>
      <c r="I14" s="49">
        <f>Actual_Under_2026!$H14/Actual_Under_2026!$F14</f>
        <v>-2.0202020202020204E-2</v>
      </c>
      <c r="J14" s="51">
        <f t="array" ref="J14">INDEX('%age_Change_Logic'!$D$17:$D$22, MATCH(L14,'%age_Change_Logic'!$B$17:$B$22,1))</f>
        <v>-0.01</v>
      </c>
      <c r="K14" s="50">
        <f t="array" ref="K14">INDEX('%age_Change_Logic'!$H$17:$H$22, MATCH(L14, '%age_Change_Logic'!$F$17:$F$22,1))</f>
        <v>0.01</v>
      </c>
      <c r="L14" s="109">
        <v>0.1</v>
      </c>
      <c r="M14" s="110" t="s">
        <v>144</v>
      </c>
    </row>
    <row r="15" spans="1:13" s="8" customFormat="1" ht="15.75" x14ac:dyDescent="0.25">
      <c r="A15" s="122" t="s">
        <v>40</v>
      </c>
      <c r="B15" s="123"/>
      <c r="C15" s="143">
        <f>SUM(C10:C14)</f>
        <v>5018.3999999999996</v>
      </c>
      <c r="D15" s="141"/>
      <c r="E15" s="141"/>
      <c r="F15" s="124">
        <f>SUM(F10:F14)</f>
        <v>7312881.5999999996</v>
      </c>
      <c r="G15" s="124">
        <f>SUM(G10:G14)</f>
        <v>6518318.4000000004</v>
      </c>
      <c r="H15" s="124">
        <f>SUM(H10:H14)</f>
        <v>794563.20000000019</v>
      </c>
      <c r="I15" s="125">
        <f>AVERAGE(I10:I14)</f>
        <v>9.0471666139528104E-2</v>
      </c>
      <c r="J15" s="118"/>
      <c r="K15" s="119"/>
      <c r="L15" s="120"/>
      <c r="M15" s="111"/>
    </row>
    <row r="16" spans="1:13" x14ac:dyDescent="0.25">
      <c r="A16" s="107" t="s">
        <v>31</v>
      </c>
      <c r="B16" s="108" t="s">
        <v>4</v>
      </c>
      <c r="C16" s="81">
        <f>tblForecast8[[#This Row],[Units Sold]]*(1-tblUnder[[#This Row],[%age (Units)]])</f>
        <v>1159.2</v>
      </c>
      <c r="D16" s="140">
        <f>tblForecast8[[#This Row],[Selling Price]]*(1+tblUnder[[#This Row],[ %age (S.P.)]])</f>
        <v>2277</v>
      </c>
      <c r="E16" s="140">
        <f>tblForecast8[[#This Row],[Cost Price]]*(1+tblUnder[[#This Row],[%age (C.P.)]])</f>
        <v>1818</v>
      </c>
      <c r="F16" s="48">
        <f>Actual_Under_2026!$C16*Actual_Under_2026!$D16</f>
        <v>2639498.4</v>
      </c>
      <c r="G16" s="48">
        <f>Actual_Under_2026!$C16*Actual_Under_2026!$E16</f>
        <v>2107425.6</v>
      </c>
      <c r="H16" s="48">
        <f>Actual_Under_2026!$F16-Actual_Under_2026!$G16</f>
        <v>532072.79999999981</v>
      </c>
      <c r="I16" s="49">
        <f>Actual_Under_2026!$H16/Actual_Under_2026!$F16</f>
        <v>0.20158102766798414</v>
      </c>
      <c r="J16" s="51">
        <f t="array" ref="J16">INDEX('%age_Change_Logic'!$D$17:$D$22, MATCH(L16,'%age_Change_Logic'!$B$17:$B$22,1))</f>
        <v>-0.01</v>
      </c>
      <c r="K16" s="50">
        <f t="array" ref="K16">INDEX('%age_Change_Logic'!$H$17:$H$22, MATCH(L16, '%age_Change_Logic'!$F$17:$F$22,1))</f>
        <v>0.01</v>
      </c>
      <c r="L16" s="109">
        <v>0.08</v>
      </c>
      <c r="M16" s="110" t="s">
        <v>146</v>
      </c>
    </row>
    <row r="17" spans="1:13" x14ac:dyDescent="0.25">
      <c r="A17" s="107" t="s">
        <v>31</v>
      </c>
      <c r="B17" s="108" t="s">
        <v>5</v>
      </c>
      <c r="C17" s="81">
        <f>tblForecast8[[#This Row],[Units Sold]]*(1-tblUnder[[#This Row],[%age (Units)]])</f>
        <v>756</v>
      </c>
      <c r="D17" s="140">
        <f>tblForecast8[[#This Row],[Selling Price]]*(1+tblUnder[[#This Row],[ %age (S.P.)]])</f>
        <v>3168</v>
      </c>
      <c r="E17" s="140">
        <f>tblForecast8[[#This Row],[Cost Price]]*(1+tblUnder[[#This Row],[%age (C.P.)]])</f>
        <v>2828</v>
      </c>
      <c r="F17" s="48">
        <f>Actual_Under_2026!$C17*Actual_Under_2026!$D17</f>
        <v>2395008</v>
      </c>
      <c r="G17" s="48">
        <f>Actual_Under_2026!$C17*Actual_Under_2026!$E17</f>
        <v>2137968</v>
      </c>
      <c r="H17" s="48">
        <f>Actual_Under_2026!$F17-Actual_Under_2026!$G17</f>
        <v>257040</v>
      </c>
      <c r="I17" s="49">
        <f>Actual_Under_2026!$H17/Actual_Under_2026!$F17</f>
        <v>0.10732323232323232</v>
      </c>
      <c r="J17" s="51">
        <f t="array" ref="J17">INDEX('%age_Change_Logic'!$D$17:$D$22, MATCH(L17,'%age_Change_Logic'!$B$17:$B$22,1))</f>
        <v>-0.01</v>
      </c>
      <c r="K17" s="50">
        <f t="array" ref="K17">INDEX('%age_Change_Logic'!$H$17:$H$22, MATCH(L17, '%age_Change_Logic'!$F$17:$F$22,1))</f>
        <v>0.01</v>
      </c>
      <c r="L17" s="109">
        <v>0.1</v>
      </c>
      <c r="M17" s="110" t="s">
        <v>147</v>
      </c>
    </row>
    <row r="18" spans="1:13" x14ac:dyDescent="0.25">
      <c r="A18" s="107" t="s">
        <v>31</v>
      </c>
      <c r="B18" s="108" t="s">
        <v>14</v>
      </c>
      <c r="C18" s="81">
        <f>tblForecast8[[#This Row],[Units Sold]]*(1-tblUnder[[#This Row],[%age (Units)]])</f>
        <v>803.25</v>
      </c>
      <c r="D18" s="140">
        <f>tblForecast8[[#This Row],[Selling Price]]*(1+tblUnder[[#This Row],[ %age (S.P.)]])</f>
        <v>2254</v>
      </c>
      <c r="E18" s="140">
        <f>tblForecast8[[#This Row],[Cost Price]]*(1+tblUnder[[#This Row],[%age (C.P.)]])</f>
        <v>2142</v>
      </c>
      <c r="F18" s="48">
        <f>Actual_Under_2026!$C18*Actual_Under_2026!$D18</f>
        <v>1810525.5</v>
      </c>
      <c r="G18" s="48">
        <f>Actual_Under_2026!$C18*Actual_Under_2026!$E18</f>
        <v>1720561.5</v>
      </c>
      <c r="H18" s="48">
        <f>Actual_Under_2026!$F18-Actual_Under_2026!$G18</f>
        <v>89964</v>
      </c>
      <c r="I18" s="49">
        <f>Actual_Under_2026!$H18/Actual_Under_2026!$F18</f>
        <v>4.9689440993788817E-2</v>
      </c>
      <c r="J18" s="51">
        <f t="array" ref="J18">INDEX('%age_Change_Logic'!$D$17:$D$22, MATCH(L18,'%age_Change_Logic'!$B$17:$B$22,1))</f>
        <v>-0.02</v>
      </c>
      <c r="K18" s="50">
        <f t="array" ref="K18">INDEX('%age_Change_Logic'!$H$17:$H$22, MATCH(L18, '%age_Change_Logic'!$F$17:$F$22,1))</f>
        <v>0.02</v>
      </c>
      <c r="L18" s="109">
        <v>0.15</v>
      </c>
      <c r="M18" s="110" t="s">
        <v>148</v>
      </c>
    </row>
    <row r="19" spans="1:13" x14ac:dyDescent="0.25">
      <c r="A19" s="107" t="s">
        <v>31</v>
      </c>
      <c r="B19" s="108" t="s">
        <v>39</v>
      </c>
      <c r="C19" s="81">
        <f>tblForecast8[[#This Row],[Units Sold]]*(1-tblUnder[[#This Row],[%age (Units)]])</f>
        <v>1449</v>
      </c>
      <c r="D19" s="140">
        <f>tblForecast8[[#This Row],[Selling Price]]*(1+tblUnder[[#This Row],[ %age (S.P.)]])</f>
        <v>990</v>
      </c>
      <c r="E19" s="140">
        <f>tblForecast8[[#This Row],[Cost Price]]*(1+tblUnder[[#This Row],[%age (C.P.)]])</f>
        <v>808</v>
      </c>
      <c r="F19" s="48">
        <f>Actual_Under_2026!$C19*Actual_Under_2026!$D19</f>
        <v>1434510</v>
      </c>
      <c r="G19" s="48">
        <f>Actual_Under_2026!$C19*Actual_Under_2026!$E19</f>
        <v>1170792</v>
      </c>
      <c r="H19" s="48">
        <f>Actual_Under_2026!$F19-Actual_Under_2026!$G19</f>
        <v>263718</v>
      </c>
      <c r="I19" s="49">
        <f>Actual_Under_2026!$H19/Actual_Under_2026!$F19</f>
        <v>0.18383838383838383</v>
      </c>
      <c r="J19" s="51">
        <f t="array" ref="J19">INDEX('%age_Change_Logic'!$D$17:$D$22, MATCH(L19,'%age_Change_Logic'!$B$17:$B$22,1))</f>
        <v>-0.01</v>
      </c>
      <c r="K19" s="50">
        <f t="array" ref="K19">INDEX('%age_Change_Logic'!$H$17:$H$22, MATCH(L19, '%age_Change_Logic'!$F$17:$F$22,1))</f>
        <v>0.01</v>
      </c>
      <c r="L19" s="109">
        <v>0.08</v>
      </c>
      <c r="M19" s="110" t="s">
        <v>150</v>
      </c>
    </row>
    <row r="20" spans="1:13" x14ac:dyDescent="0.25">
      <c r="A20" s="107" t="s">
        <v>31</v>
      </c>
      <c r="B20" s="108" t="s">
        <v>6</v>
      </c>
      <c r="C20" s="81">
        <f>tblForecast8[[#This Row],[Units Sold]]*(1-tblUnder[[#This Row],[%age (Units)]])</f>
        <v>1890</v>
      </c>
      <c r="D20" s="140">
        <f>tblForecast8[[#This Row],[Selling Price]]*(1+tblUnder[[#This Row],[ %age (S.P.)]])</f>
        <v>396</v>
      </c>
      <c r="E20" s="140">
        <f>tblForecast8[[#This Row],[Cost Price]]*(1+tblUnder[[#This Row],[%age (C.P.)]])</f>
        <v>404</v>
      </c>
      <c r="F20" s="48">
        <f>Actual_Under_2026!$C20*Actual_Under_2026!$D20</f>
        <v>748440</v>
      </c>
      <c r="G20" s="48">
        <f>Actual_Under_2026!$C20*Actual_Under_2026!$E20</f>
        <v>763560</v>
      </c>
      <c r="H20" s="48">
        <f>Actual_Under_2026!$F20-Actual_Under_2026!$G20</f>
        <v>-15120</v>
      </c>
      <c r="I20" s="49">
        <f>Actual_Under_2026!$H20/Actual_Under_2026!$F20</f>
        <v>-2.0202020202020204E-2</v>
      </c>
      <c r="J20" s="51">
        <f t="array" ref="J20">INDEX('%age_Change_Logic'!$D$17:$D$22, MATCH(L20,'%age_Change_Logic'!$B$17:$B$22,1))</f>
        <v>-0.01</v>
      </c>
      <c r="K20" s="50">
        <f t="array" ref="K20">INDEX('%age_Change_Logic'!$H$17:$H$22, MATCH(L20, '%age_Change_Logic'!$F$17:$F$22,1))</f>
        <v>0.01</v>
      </c>
      <c r="L20" s="109">
        <v>0.1</v>
      </c>
      <c r="M20" s="110" t="s">
        <v>149</v>
      </c>
    </row>
    <row r="21" spans="1:13" ht="15.75" x14ac:dyDescent="0.25">
      <c r="A21" s="122" t="s">
        <v>40</v>
      </c>
      <c r="B21" s="123"/>
      <c r="C21" s="143">
        <f>SUM(C16:C20)</f>
        <v>6057.45</v>
      </c>
      <c r="D21" s="141"/>
      <c r="E21" s="141"/>
      <c r="F21" s="124">
        <f>SUM(F16:F20)</f>
        <v>9027981.9000000004</v>
      </c>
      <c r="G21" s="124">
        <f>SUM(G16:G20)</f>
        <v>7900307.0999999996</v>
      </c>
      <c r="H21" s="124">
        <f>SUM(H16:H20)</f>
        <v>1127674.7999999998</v>
      </c>
      <c r="I21" s="125">
        <f>AVERAGE(I16:I20)</f>
        <v>0.10444601292427377</v>
      </c>
      <c r="J21" s="118"/>
      <c r="K21" s="119"/>
      <c r="L21" s="121"/>
      <c r="M21" s="111"/>
    </row>
    <row r="22" spans="1:13" x14ac:dyDescent="0.25">
      <c r="A22" s="107" t="s">
        <v>32</v>
      </c>
      <c r="B22" s="108" t="s">
        <v>4</v>
      </c>
      <c r="C22" s="81">
        <f>tblForecast8[[#This Row],[Units Sold]]*(1-tblUnder[[#This Row],[%age (Units)]])</f>
        <v>1254</v>
      </c>
      <c r="D22" s="140">
        <f>tblForecast8[[#This Row],[Selling Price]]*(1+tblUnder[[#This Row],[ %age (S.P.)]])</f>
        <v>2300</v>
      </c>
      <c r="E22" s="140">
        <f>tblForecast8[[#This Row],[Cost Price]]*(1+tblUnder[[#This Row],[%age (C.P.)]])</f>
        <v>1800</v>
      </c>
      <c r="F22" s="48">
        <f>Actual_Under_2026!$C22*Actual_Under_2026!$D22</f>
        <v>2884200</v>
      </c>
      <c r="G22" s="48">
        <f>Actual_Under_2026!$C22*Actual_Under_2026!$E22</f>
        <v>2257200</v>
      </c>
      <c r="H22" s="48">
        <f>Actual_Under_2026!$F22-Actual_Under_2026!$G22</f>
        <v>627000</v>
      </c>
      <c r="I22" s="49">
        <f>Actual_Under_2026!$H22/Actual_Under_2026!$F22</f>
        <v>0.21739130434782608</v>
      </c>
      <c r="J22" s="51">
        <f t="array" ref="J22">INDEX('%age_Change_Logic'!$D$17:$D$22, MATCH(L22,'%age_Change_Logic'!$B$17:$B$22,1))</f>
        <v>0</v>
      </c>
      <c r="K22" s="50">
        <f t="array" ref="K22">INDEX('%age_Change_Logic'!$H$17:$H$22, MATCH(L22, '%age_Change_Logic'!$F$17:$F$22,1))</f>
        <v>0</v>
      </c>
      <c r="L22" s="109">
        <v>0.05</v>
      </c>
      <c r="M22" s="110" t="s">
        <v>151</v>
      </c>
    </row>
    <row r="23" spans="1:13" x14ac:dyDescent="0.25">
      <c r="A23" s="107" t="s">
        <v>32</v>
      </c>
      <c r="B23" s="108" t="s">
        <v>5</v>
      </c>
      <c r="C23" s="81">
        <f>tblForecast8[[#This Row],[Units Sold]]*(1-tblUnder[[#This Row],[%age (Units)]])</f>
        <v>809.60000000000014</v>
      </c>
      <c r="D23" s="140">
        <f>tblForecast8[[#This Row],[Selling Price]]*(1+tblUnder[[#This Row],[ %age (S.P.)]])</f>
        <v>3168</v>
      </c>
      <c r="E23" s="140">
        <f>tblForecast8[[#This Row],[Cost Price]]*(1+tblUnder[[#This Row],[%age (C.P.)]])</f>
        <v>2828</v>
      </c>
      <c r="F23" s="48">
        <f>Actual_Under_2026!$C23*Actual_Under_2026!$D23</f>
        <v>2564812.8000000003</v>
      </c>
      <c r="G23" s="48">
        <f>Actual_Under_2026!$C23*Actual_Under_2026!$E23</f>
        <v>2289548.8000000003</v>
      </c>
      <c r="H23" s="48">
        <f>Actual_Under_2026!$F23-Actual_Under_2026!$G23</f>
        <v>275264</v>
      </c>
      <c r="I23" s="49">
        <f>Actual_Under_2026!$H23/Actual_Under_2026!$F23</f>
        <v>0.10732323232323231</v>
      </c>
      <c r="J23" s="51">
        <f t="array" ref="J23">INDEX('%age_Change_Logic'!$D$17:$D$22, MATCH(L23,'%age_Change_Logic'!$B$17:$B$22,1))</f>
        <v>-0.01</v>
      </c>
      <c r="K23" s="50">
        <f t="array" ref="K23">INDEX('%age_Change_Logic'!$H$17:$H$22, MATCH(L23, '%age_Change_Logic'!$F$17:$F$22,1))</f>
        <v>0.01</v>
      </c>
      <c r="L23" s="109">
        <v>0.08</v>
      </c>
      <c r="M23" s="110" t="s">
        <v>152</v>
      </c>
    </row>
    <row r="24" spans="1:13" x14ac:dyDescent="0.25">
      <c r="A24" s="107" t="s">
        <v>32</v>
      </c>
      <c r="B24" s="108" t="s">
        <v>14</v>
      </c>
      <c r="C24" s="81">
        <f>tblForecast8[[#This Row],[Units Sold]]*(1-tblUnder[[#This Row],[%age (Units)]])</f>
        <v>891.00000000000011</v>
      </c>
      <c r="D24" s="140">
        <f>tblForecast8[[#This Row],[Selling Price]]*(1+tblUnder[[#This Row],[ %age (S.P.)]])</f>
        <v>2277</v>
      </c>
      <c r="E24" s="140">
        <f>tblForecast8[[#This Row],[Cost Price]]*(1+tblUnder[[#This Row],[%age (C.P.)]])</f>
        <v>2121</v>
      </c>
      <c r="F24" s="48">
        <f>Actual_Under_2026!$C24*Actual_Under_2026!$D24</f>
        <v>2028807.0000000002</v>
      </c>
      <c r="G24" s="48">
        <f>Actual_Under_2026!$C24*Actual_Under_2026!$E24</f>
        <v>1889811.0000000002</v>
      </c>
      <c r="H24" s="48">
        <f>Actual_Under_2026!$F24-Actual_Under_2026!$G24</f>
        <v>138996</v>
      </c>
      <c r="I24" s="49">
        <f>Actual_Under_2026!$H24/Actual_Under_2026!$F24</f>
        <v>6.8511198945981552E-2</v>
      </c>
      <c r="J24" s="51">
        <f t="array" ref="J24">INDEX('%age_Change_Logic'!$D$17:$D$22, MATCH(L24,'%age_Change_Logic'!$B$17:$B$22,1))</f>
        <v>-0.01</v>
      </c>
      <c r="K24" s="50">
        <f t="array" ref="K24">INDEX('%age_Change_Logic'!$H$17:$H$22, MATCH(L24, '%age_Change_Logic'!$F$17:$F$22,1))</f>
        <v>0.01</v>
      </c>
      <c r="L24" s="109">
        <v>0.1</v>
      </c>
      <c r="M24" s="110" t="s">
        <v>153</v>
      </c>
    </row>
    <row r="25" spans="1:13" x14ac:dyDescent="0.25">
      <c r="A25" s="107" t="s">
        <v>32</v>
      </c>
      <c r="B25" s="108" t="s">
        <v>39</v>
      </c>
      <c r="C25" s="81">
        <f>tblForecast8[[#This Row],[Units Sold]]*(1-tblUnder[[#This Row],[%age (Units)]])</f>
        <v>1551.0000000000002</v>
      </c>
      <c r="D25" s="140">
        <f>tblForecast8[[#This Row],[Selling Price]]*(1+tblUnder[[#This Row],[ %age (S.P.)]])</f>
        <v>990</v>
      </c>
      <c r="E25" s="140">
        <f>tblForecast8[[#This Row],[Cost Price]]*(1+tblUnder[[#This Row],[%age (C.P.)]])</f>
        <v>808</v>
      </c>
      <c r="F25" s="48">
        <f>Actual_Under_2026!$C25*Actual_Under_2026!$D25</f>
        <v>1535490.0000000002</v>
      </c>
      <c r="G25" s="48">
        <f>Actual_Under_2026!$C25*Actual_Under_2026!$E25</f>
        <v>1253208.0000000002</v>
      </c>
      <c r="H25" s="48">
        <f>Actual_Under_2026!$F25-Actual_Under_2026!$G25</f>
        <v>282282</v>
      </c>
      <c r="I25" s="49">
        <f>Actual_Under_2026!$H25/Actual_Under_2026!$F25</f>
        <v>0.1838383838383838</v>
      </c>
      <c r="J25" s="51">
        <f t="array" ref="J25">INDEX('%age_Change_Logic'!$D$17:$D$22, MATCH(L25,'%age_Change_Logic'!$B$17:$B$22,1))</f>
        <v>-0.01</v>
      </c>
      <c r="K25" s="50">
        <f t="array" ref="K25">INDEX('%age_Change_Logic'!$H$17:$H$22, MATCH(L25, '%age_Change_Logic'!$F$17:$F$22,1))</f>
        <v>0.01</v>
      </c>
      <c r="L25" s="109">
        <v>0.06</v>
      </c>
      <c r="M25" s="110" t="s">
        <v>155</v>
      </c>
    </row>
    <row r="26" spans="1:13" x14ac:dyDescent="0.25">
      <c r="A26" s="107" t="s">
        <v>32</v>
      </c>
      <c r="B26" s="108" t="s">
        <v>6</v>
      </c>
      <c r="C26" s="81">
        <f>tblForecast8[[#This Row],[Units Sold]]*(1-tblUnder[[#This Row],[%age (Units)]])</f>
        <v>2045.9999999999998</v>
      </c>
      <c r="D26" s="140">
        <f>tblForecast8[[#This Row],[Selling Price]]*(1+tblUnder[[#This Row],[ %age (S.P.)]])</f>
        <v>396</v>
      </c>
      <c r="E26" s="140">
        <f>tblForecast8[[#This Row],[Cost Price]]*(1+tblUnder[[#This Row],[%age (C.P.)]])</f>
        <v>404</v>
      </c>
      <c r="F26" s="48">
        <f>Actual_Under_2026!$C26*Actual_Under_2026!$D26</f>
        <v>810215.99999999988</v>
      </c>
      <c r="G26" s="48">
        <f>Actual_Under_2026!$C26*Actual_Under_2026!$E26</f>
        <v>826583.99999999988</v>
      </c>
      <c r="H26" s="48">
        <f>Actual_Under_2026!$F26-Actual_Under_2026!$G26</f>
        <v>-16368</v>
      </c>
      <c r="I26" s="49">
        <f>Actual_Under_2026!$H26/Actual_Under_2026!$F26</f>
        <v>-2.0202020202020204E-2</v>
      </c>
      <c r="J26" s="51">
        <f t="array" ref="J26">INDEX('%age_Change_Logic'!$D$17:$D$22, MATCH(L26,'%age_Change_Logic'!$B$17:$B$22,1))</f>
        <v>-0.01</v>
      </c>
      <c r="K26" s="50">
        <f t="array" ref="K26">INDEX('%age_Change_Logic'!$H$17:$H$22, MATCH(L26, '%age_Change_Logic'!$F$17:$F$22,1))</f>
        <v>0.01</v>
      </c>
      <c r="L26" s="109">
        <v>7.0000000000000007E-2</v>
      </c>
      <c r="M26" s="110" t="s">
        <v>154</v>
      </c>
    </row>
    <row r="27" spans="1:13" ht="15.75" x14ac:dyDescent="0.25">
      <c r="A27" s="122" t="s">
        <v>40</v>
      </c>
      <c r="B27" s="123"/>
      <c r="C27" s="143">
        <f>SUM(C22:C26)</f>
        <v>6551.6</v>
      </c>
      <c r="D27" s="141"/>
      <c r="E27" s="141"/>
      <c r="F27" s="124">
        <f>SUM(F22:F26)</f>
        <v>9823525.8000000007</v>
      </c>
      <c r="G27" s="124">
        <f>SUM(G22:G26)</f>
        <v>8516351.8000000007</v>
      </c>
      <c r="H27" s="124">
        <f>SUM(H22:H26)</f>
        <v>1307174</v>
      </c>
      <c r="I27" s="125">
        <f>AVERAGE(I22:I26)</f>
        <v>0.11137241985068072</v>
      </c>
      <c r="J27" s="118"/>
      <c r="K27" s="119"/>
      <c r="L27" s="120"/>
      <c r="M27" s="111"/>
    </row>
    <row r="28" spans="1:13" x14ac:dyDescent="0.25">
      <c r="A28" s="107" t="s">
        <v>27</v>
      </c>
      <c r="B28" s="108" t="s">
        <v>4</v>
      </c>
      <c r="C28" s="81">
        <f>tblForecast8[[#This Row],[Units Sold]]*(1-tblUnder[[#This Row],[%age (Units)]])</f>
        <v>1353.6</v>
      </c>
      <c r="D28" s="140">
        <f>tblForecast8[[#This Row],[Selling Price]]*(1+tblUnder[[#This Row],[ %age (S.P.)]])</f>
        <v>2277</v>
      </c>
      <c r="E28" s="140">
        <f>tblForecast8[[#This Row],[Cost Price]]*(1+tblUnder[[#This Row],[%age (C.P.)]])</f>
        <v>1818</v>
      </c>
      <c r="F28" s="48">
        <f>Actual_Under_2026!$C28*Actual_Under_2026!$D28</f>
        <v>3082147.1999999997</v>
      </c>
      <c r="G28" s="48">
        <f>Actual_Under_2026!$C28*Actual_Under_2026!$E28</f>
        <v>2460844.7999999998</v>
      </c>
      <c r="H28" s="48">
        <f>Actual_Under_2026!$F28-Actual_Under_2026!$G28</f>
        <v>621302.39999999991</v>
      </c>
      <c r="I28" s="49">
        <f>Actual_Under_2026!$H28/Actual_Under_2026!$F28</f>
        <v>0.20158102766798416</v>
      </c>
      <c r="J28" s="51">
        <f t="array" ref="J28">INDEX('%age_Change_Logic'!$D$17:$D$22, MATCH(L28,'%age_Change_Logic'!$B$17:$B$22,1))</f>
        <v>-0.01</v>
      </c>
      <c r="K28" s="50">
        <f t="array" ref="K28">INDEX('%age_Change_Logic'!$H$17:$H$22, MATCH(L28, '%age_Change_Logic'!$F$17:$F$22,1))</f>
        <v>0.01</v>
      </c>
      <c r="L28" s="109">
        <v>0.06</v>
      </c>
      <c r="M28" s="110" t="s">
        <v>156</v>
      </c>
    </row>
    <row r="29" spans="1:13" x14ac:dyDescent="0.25">
      <c r="A29" s="107" t="s">
        <v>27</v>
      </c>
      <c r="B29" s="108" t="s">
        <v>5</v>
      </c>
      <c r="C29" s="81">
        <f>tblForecast8[[#This Row],[Units Sold]]*(1-tblUnder[[#This Row],[%age (Units)]])</f>
        <v>864</v>
      </c>
      <c r="D29" s="140">
        <f>tblForecast8[[#This Row],[Selling Price]]*(1+tblUnder[[#This Row],[ %age (S.P.)]])</f>
        <v>3168</v>
      </c>
      <c r="E29" s="140">
        <f>tblForecast8[[#This Row],[Cost Price]]*(1+tblUnder[[#This Row],[%age (C.P.)]])</f>
        <v>2828</v>
      </c>
      <c r="F29" s="48">
        <f>Actual_Under_2026!$C29*Actual_Under_2026!$D29</f>
        <v>2737152</v>
      </c>
      <c r="G29" s="48">
        <f>Actual_Under_2026!$C29*Actual_Under_2026!$E29</f>
        <v>2443392</v>
      </c>
      <c r="H29" s="48">
        <f>Actual_Under_2026!$F29-Actual_Under_2026!$G29</f>
        <v>293760</v>
      </c>
      <c r="I29" s="49">
        <f>Actual_Under_2026!$H29/Actual_Under_2026!$F29</f>
        <v>0.10732323232323232</v>
      </c>
      <c r="J29" s="51">
        <f t="array" ref="J29">INDEX('%age_Change_Logic'!$D$17:$D$22, MATCH(L29,'%age_Change_Logic'!$B$17:$B$22,1))</f>
        <v>-0.01</v>
      </c>
      <c r="K29" s="50">
        <f t="array" ref="K29">INDEX('%age_Change_Logic'!$H$17:$H$22, MATCH(L29, '%age_Change_Logic'!$F$17:$F$22,1))</f>
        <v>0.01</v>
      </c>
      <c r="L29" s="109">
        <v>0.1</v>
      </c>
      <c r="M29" s="110" t="s">
        <v>157</v>
      </c>
    </row>
    <row r="30" spans="1:13" x14ac:dyDescent="0.25">
      <c r="A30" s="107" t="s">
        <v>27</v>
      </c>
      <c r="B30" s="108" t="s">
        <v>14</v>
      </c>
      <c r="C30" s="81">
        <f>tblForecast8[[#This Row],[Units Sold]]*(1-tblUnder[[#This Row],[%age (Units)]])</f>
        <v>950.4</v>
      </c>
      <c r="D30" s="140">
        <f>tblForecast8[[#This Row],[Selling Price]]*(1+tblUnder[[#This Row],[ %age (S.P.)]])</f>
        <v>2254</v>
      </c>
      <c r="E30" s="140">
        <f>tblForecast8[[#This Row],[Cost Price]]*(1+tblUnder[[#This Row],[%age (C.P.)]])</f>
        <v>2142</v>
      </c>
      <c r="F30" s="48">
        <f>Actual_Under_2026!$C30*Actual_Under_2026!$D30</f>
        <v>2142201.6</v>
      </c>
      <c r="G30" s="48">
        <f>Actual_Under_2026!$C30*Actual_Under_2026!$E30</f>
        <v>2035756.8</v>
      </c>
      <c r="H30" s="48">
        <f>Actual_Under_2026!$F30-Actual_Under_2026!$G30</f>
        <v>106444.80000000005</v>
      </c>
      <c r="I30" s="49">
        <f>Actual_Under_2026!$H30/Actual_Under_2026!$F30</f>
        <v>4.9689440993788837E-2</v>
      </c>
      <c r="J30" s="51">
        <f t="array" ref="J30">INDEX('%age_Change_Logic'!$D$17:$D$22, MATCH(L30,'%age_Change_Logic'!$B$17:$B$22,1))</f>
        <v>-0.02</v>
      </c>
      <c r="K30" s="50">
        <f t="array" ref="K30">INDEX('%age_Change_Logic'!$H$17:$H$22, MATCH(L30, '%age_Change_Logic'!$F$17:$F$22,1))</f>
        <v>0.02</v>
      </c>
      <c r="L30" s="109">
        <v>0.12</v>
      </c>
      <c r="M30" s="110" t="s">
        <v>158</v>
      </c>
    </row>
    <row r="31" spans="1:13" x14ac:dyDescent="0.25">
      <c r="A31" s="107" t="s">
        <v>27</v>
      </c>
      <c r="B31" s="108" t="s">
        <v>39</v>
      </c>
      <c r="C31" s="81">
        <f>tblForecast8[[#This Row],[Units Sold]]*(1-tblUnder[[#This Row],[%age (Units)]])</f>
        <v>1638</v>
      </c>
      <c r="D31" s="140">
        <f>tblForecast8[[#This Row],[Selling Price]]*(1+tblUnder[[#This Row],[ %age (S.P.)]])</f>
        <v>990</v>
      </c>
      <c r="E31" s="140">
        <f>tblForecast8[[#This Row],[Cost Price]]*(1+tblUnder[[#This Row],[%age (C.P.)]])</f>
        <v>808</v>
      </c>
      <c r="F31" s="48">
        <f>Actual_Under_2026!$C31*Actual_Under_2026!$D31</f>
        <v>1621620</v>
      </c>
      <c r="G31" s="48">
        <f>Actual_Under_2026!$C31*Actual_Under_2026!$E31</f>
        <v>1323504</v>
      </c>
      <c r="H31" s="48">
        <f>Actual_Under_2026!$F31-Actual_Under_2026!$G31</f>
        <v>298116</v>
      </c>
      <c r="I31" s="49">
        <f>Actual_Under_2026!$H31/Actual_Under_2026!$F31</f>
        <v>0.18383838383838383</v>
      </c>
      <c r="J31" s="51">
        <f t="array" ref="J31">INDEX('%age_Change_Logic'!$D$17:$D$22, MATCH(L31,'%age_Change_Logic'!$B$17:$B$22,1))</f>
        <v>-0.01</v>
      </c>
      <c r="K31" s="50">
        <f t="array" ref="K31">INDEX('%age_Change_Logic'!$H$17:$H$22, MATCH(L31, '%age_Change_Logic'!$F$17:$F$22,1))</f>
        <v>0.01</v>
      </c>
      <c r="L31" s="109">
        <v>0.09</v>
      </c>
      <c r="M31" s="110" t="s">
        <v>160</v>
      </c>
    </row>
    <row r="32" spans="1:13" x14ac:dyDescent="0.25">
      <c r="A32" s="107" t="s">
        <v>27</v>
      </c>
      <c r="B32" s="108" t="s">
        <v>6</v>
      </c>
      <c r="C32" s="81">
        <f>tblForecast8[[#This Row],[Units Sold]]*(1-tblUnder[[#This Row],[%age (Units)]])</f>
        <v>2160</v>
      </c>
      <c r="D32" s="140">
        <f>tblForecast8[[#This Row],[Selling Price]]*(1+tblUnder[[#This Row],[ %age (S.P.)]])</f>
        <v>396</v>
      </c>
      <c r="E32" s="140">
        <f>tblForecast8[[#This Row],[Cost Price]]*(1+tblUnder[[#This Row],[%age (C.P.)]])</f>
        <v>404</v>
      </c>
      <c r="F32" s="48">
        <f>Actual_Under_2026!$C32*Actual_Under_2026!$D32</f>
        <v>855360</v>
      </c>
      <c r="G32" s="48">
        <f>Actual_Under_2026!$C32*Actual_Under_2026!$E32</f>
        <v>872640</v>
      </c>
      <c r="H32" s="48">
        <f>Actual_Under_2026!$F32-Actual_Under_2026!$G32</f>
        <v>-17280</v>
      </c>
      <c r="I32" s="49">
        <f>Actual_Under_2026!$H32/Actual_Under_2026!$F32</f>
        <v>-2.0202020202020204E-2</v>
      </c>
      <c r="J32" s="51">
        <f t="array" ref="J32">INDEX('%age_Change_Logic'!$D$17:$D$22, MATCH(L32,'%age_Change_Logic'!$B$17:$B$22,1))</f>
        <v>-0.01</v>
      </c>
      <c r="K32" s="50">
        <f t="array" ref="K32">INDEX('%age_Change_Logic'!$H$17:$H$22, MATCH(L32, '%age_Change_Logic'!$F$17:$F$22,1))</f>
        <v>0.01</v>
      </c>
      <c r="L32" s="109">
        <v>0.1</v>
      </c>
      <c r="M32" s="110" t="s">
        <v>159</v>
      </c>
    </row>
    <row r="33" spans="1:13" ht="15.75" x14ac:dyDescent="0.25">
      <c r="A33" s="122" t="s">
        <v>40</v>
      </c>
      <c r="B33" s="123"/>
      <c r="C33" s="143">
        <f>SUM(C28:C32)</f>
        <v>6966</v>
      </c>
      <c r="D33" s="141"/>
      <c r="E33" s="141"/>
      <c r="F33" s="124">
        <f>SUM(F28:F32)</f>
        <v>10438480.799999999</v>
      </c>
      <c r="G33" s="124">
        <f>SUM(G28:G32)</f>
        <v>9136137.5999999996</v>
      </c>
      <c r="H33" s="124">
        <f>SUM(H28:H32)</f>
        <v>1302343.2</v>
      </c>
      <c r="I33" s="125">
        <f>AVERAGE(I28:I32)</f>
        <v>0.1044460129242738</v>
      </c>
      <c r="J33" s="118"/>
      <c r="K33" s="119"/>
      <c r="L33" s="120"/>
      <c r="M33" s="111"/>
    </row>
    <row r="34" spans="1:13" x14ac:dyDescent="0.25">
      <c r="A34" s="107" t="s">
        <v>33</v>
      </c>
      <c r="B34" s="108" t="s">
        <v>4</v>
      </c>
      <c r="C34" s="81">
        <f>tblForecast8[[#This Row],[Units Sold]]*(1-tblUnder[[#This Row],[%age (Units)]])</f>
        <v>1269.6000000000001</v>
      </c>
      <c r="D34" s="140">
        <f>tblForecast8[[#This Row],[Selling Price]]*(1+tblUnder[[#This Row],[ %age (S.P.)]])</f>
        <v>2277</v>
      </c>
      <c r="E34" s="140">
        <f>tblForecast8[[#This Row],[Cost Price]]*(1+tblUnder[[#This Row],[%age (C.P.)]])</f>
        <v>1818</v>
      </c>
      <c r="F34" s="48">
        <f>Actual_Under_2026!$C34*Actual_Under_2026!$D34</f>
        <v>2890879.2</v>
      </c>
      <c r="G34" s="48">
        <f>Actual_Under_2026!$C34*Actual_Under_2026!$E34</f>
        <v>2308132.8000000003</v>
      </c>
      <c r="H34" s="48">
        <f>Actual_Under_2026!$F34-Actual_Under_2026!$G34</f>
        <v>582746.39999999991</v>
      </c>
      <c r="I34" s="49">
        <f>Actual_Under_2026!$H34/Actual_Under_2026!$F34</f>
        <v>0.20158102766798414</v>
      </c>
      <c r="J34" s="51">
        <f t="array" ref="J34">INDEX('%age_Change_Logic'!$D$17:$D$22, MATCH(L34,'%age_Change_Logic'!$B$17:$B$22,1))</f>
        <v>-0.01</v>
      </c>
      <c r="K34" s="50">
        <f t="array" ref="K34">INDEX('%age_Change_Logic'!$H$17:$H$22, MATCH(L34, '%age_Change_Logic'!$F$17:$F$22,1))</f>
        <v>0.01</v>
      </c>
      <c r="L34" s="109">
        <v>0.08</v>
      </c>
      <c r="M34" s="110" t="s">
        <v>161</v>
      </c>
    </row>
    <row r="35" spans="1:13" x14ac:dyDescent="0.25">
      <c r="A35" s="107" t="s">
        <v>33</v>
      </c>
      <c r="B35" s="108" t="s">
        <v>5</v>
      </c>
      <c r="C35" s="81">
        <f>tblForecast8[[#This Row],[Units Sold]]*(1-tblUnder[[#This Row],[%age (Units)]])</f>
        <v>809.59999999999991</v>
      </c>
      <c r="D35" s="140">
        <f>tblForecast8[[#This Row],[Selling Price]]*(1+tblUnder[[#This Row],[ %age (S.P.)]])</f>
        <v>3136</v>
      </c>
      <c r="E35" s="140">
        <f>tblForecast8[[#This Row],[Cost Price]]*(1+tblUnder[[#This Row],[%age (C.P.)]])</f>
        <v>2856</v>
      </c>
      <c r="F35" s="48">
        <f>Actual_Under_2026!$C35*Actual_Under_2026!$D35</f>
        <v>2538905.5999999996</v>
      </c>
      <c r="G35" s="48">
        <f>Actual_Under_2026!$C35*Actual_Under_2026!$E35</f>
        <v>2312217.5999999996</v>
      </c>
      <c r="H35" s="48">
        <f>Actual_Under_2026!$F35-Actual_Under_2026!$G35</f>
        <v>226688</v>
      </c>
      <c r="I35" s="49">
        <f>Actual_Under_2026!$H35/Actual_Under_2026!$F35</f>
        <v>8.9285714285714302E-2</v>
      </c>
      <c r="J35" s="51">
        <f t="array" ref="J35">INDEX('%age_Change_Logic'!$D$17:$D$22, MATCH(L35,'%age_Change_Logic'!$B$17:$B$22,1))</f>
        <v>-0.02</v>
      </c>
      <c r="K35" s="50">
        <f t="array" ref="K35">INDEX('%age_Change_Logic'!$H$17:$H$22, MATCH(L35, '%age_Change_Logic'!$F$17:$F$22,1))</f>
        <v>0.02</v>
      </c>
      <c r="L35" s="109">
        <v>0.12</v>
      </c>
      <c r="M35" s="110" t="s">
        <v>162</v>
      </c>
    </row>
    <row r="36" spans="1:13" x14ac:dyDescent="0.25">
      <c r="A36" s="107" t="s">
        <v>33</v>
      </c>
      <c r="B36" s="108" t="s">
        <v>14</v>
      </c>
      <c r="C36" s="81">
        <f>tblForecast8[[#This Row],[Units Sold]]*(1-tblUnder[[#This Row],[%age (Units)]])</f>
        <v>931.5</v>
      </c>
      <c r="D36" s="140">
        <f>tblForecast8[[#This Row],[Selling Price]]*(1+tblUnder[[#This Row],[ %age (S.P.)]])</f>
        <v>2277</v>
      </c>
      <c r="E36" s="140">
        <f>tblForecast8[[#This Row],[Cost Price]]*(1+tblUnder[[#This Row],[%age (C.P.)]])</f>
        <v>2121</v>
      </c>
      <c r="F36" s="48">
        <f>Actual_Under_2026!$C36*Actual_Under_2026!$D36</f>
        <v>2121025.5</v>
      </c>
      <c r="G36" s="48">
        <f>Actual_Under_2026!$C36*Actual_Under_2026!$E36</f>
        <v>1975711.5</v>
      </c>
      <c r="H36" s="48">
        <f>Actual_Under_2026!$F36-Actual_Under_2026!$G36</f>
        <v>145314</v>
      </c>
      <c r="I36" s="49">
        <f>Actual_Under_2026!$H36/Actual_Under_2026!$F36</f>
        <v>6.8511198945981552E-2</v>
      </c>
      <c r="J36" s="51">
        <f t="array" ref="J36">INDEX('%age_Change_Logic'!$D$17:$D$22, MATCH(L36,'%age_Change_Logic'!$B$17:$B$22,1))</f>
        <v>-0.01</v>
      </c>
      <c r="K36" s="50">
        <f t="array" ref="K36">INDEX('%age_Change_Logic'!$H$17:$H$22, MATCH(L36, '%age_Change_Logic'!$F$17:$F$22,1))</f>
        <v>0.01</v>
      </c>
      <c r="L36" s="109">
        <v>0.1</v>
      </c>
      <c r="M36" s="110" t="s">
        <v>163</v>
      </c>
    </row>
    <row r="37" spans="1:13" x14ac:dyDescent="0.25">
      <c r="A37" s="107" t="s">
        <v>33</v>
      </c>
      <c r="B37" s="108" t="s">
        <v>39</v>
      </c>
      <c r="C37" s="81">
        <f>tblForecast8[[#This Row],[Units Sold]]*(1-tblUnder[[#This Row],[%age (Units)]])</f>
        <v>1552.4999999999998</v>
      </c>
      <c r="D37" s="140">
        <f>tblForecast8[[#This Row],[Selling Price]]*(1+tblUnder[[#This Row],[ %age (S.P.)]])</f>
        <v>990</v>
      </c>
      <c r="E37" s="140">
        <f>tblForecast8[[#This Row],[Cost Price]]*(1+tblUnder[[#This Row],[%age (C.P.)]])</f>
        <v>808</v>
      </c>
      <c r="F37" s="48">
        <f>Actual_Under_2026!$C37*Actual_Under_2026!$D37</f>
        <v>1536974.9999999998</v>
      </c>
      <c r="G37" s="48">
        <f>Actual_Under_2026!$C37*Actual_Under_2026!$E37</f>
        <v>1254419.9999999998</v>
      </c>
      <c r="H37" s="48">
        <f>Actual_Under_2026!$F37-Actual_Under_2026!$G37</f>
        <v>282555</v>
      </c>
      <c r="I37" s="49">
        <f>Actual_Under_2026!$H37/Actual_Under_2026!$F37</f>
        <v>0.18383838383838386</v>
      </c>
      <c r="J37" s="51">
        <f t="array" ref="J37">INDEX('%age_Change_Logic'!$D$17:$D$22, MATCH(L37,'%age_Change_Logic'!$B$17:$B$22,1))</f>
        <v>-0.01</v>
      </c>
      <c r="K37" s="50">
        <f t="array" ref="K37">INDEX('%age_Change_Logic'!$H$17:$H$22, MATCH(L37, '%age_Change_Logic'!$F$17:$F$22,1))</f>
        <v>0.01</v>
      </c>
      <c r="L37" s="109">
        <v>0.1</v>
      </c>
      <c r="M37" s="110" t="s">
        <v>165</v>
      </c>
    </row>
    <row r="38" spans="1:13" x14ac:dyDescent="0.25">
      <c r="A38" s="107" t="s">
        <v>33</v>
      </c>
      <c r="B38" s="108" t="s">
        <v>6</v>
      </c>
      <c r="C38" s="81">
        <f>tblForecast8[[#This Row],[Units Sold]]*(1-tblUnder[[#This Row],[%age (Units)]])</f>
        <v>2024</v>
      </c>
      <c r="D38" s="140">
        <f>tblForecast8[[#This Row],[Selling Price]]*(1+tblUnder[[#This Row],[ %age (S.P.)]])</f>
        <v>392</v>
      </c>
      <c r="E38" s="140">
        <f>tblForecast8[[#This Row],[Cost Price]]*(1+tblUnder[[#This Row],[%age (C.P.)]])</f>
        <v>408</v>
      </c>
      <c r="F38" s="48">
        <f>Actual_Under_2026!$C38*Actual_Under_2026!$D38</f>
        <v>793408</v>
      </c>
      <c r="G38" s="48">
        <f>Actual_Under_2026!$C38*Actual_Under_2026!$E38</f>
        <v>825792</v>
      </c>
      <c r="H38" s="48">
        <f>Actual_Under_2026!$F38-Actual_Under_2026!$G38</f>
        <v>-32384</v>
      </c>
      <c r="I38" s="49">
        <f>Actual_Under_2026!$H38/Actual_Under_2026!$F38</f>
        <v>-4.0816326530612242E-2</v>
      </c>
      <c r="J38" s="51">
        <f t="array" ref="J38">INDEX('%age_Change_Logic'!$D$17:$D$22, MATCH(L38,'%age_Change_Logic'!$B$17:$B$22,1))</f>
        <v>-0.02</v>
      </c>
      <c r="K38" s="50">
        <f t="array" ref="K38">INDEX('%age_Change_Logic'!$H$17:$H$22, MATCH(L38, '%age_Change_Logic'!$F$17:$F$22,1))</f>
        <v>0.02</v>
      </c>
      <c r="L38" s="109">
        <v>0.12</v>
      </c>
      <c r="M38" s="110" t="s">
        <v>164</v>
      </c>
    </row>
    <row r="39" spans="1:13" ht="15.75" x14ac:dyDescent="0.25">
      <c r="A39" s="122" t="s">
        <v>40</v>
      </c>
      <c r="B39" s="123"/>
      <c r="C39" s="143">
        <f>SUM(C34:C38)</f>
        <v>6587.2</v>
      </c>
      <c r="D39" s="141"/>
      <c r="E39" s="141"/>
      <c r="F39" s="124">
        <f>SUM(F34:F38)</f>
        <v>9881193.2999999989</v>
      </c>
      <c r="G39" s="124">
        <f>SUM(G34:G38)</f>
        <v>8676273.9000000004</v>
      </c>
      <c r="H39" s="124">
        <f>SUM(H34:H38)</f>
        <v>1204919.3999999999</v>
      </c>
      <c r="I39" s="125">
        <f>AVERAGE(I34:I38)</f>
        <v>0.10047999964149032</v>
      </c>
      <c r="J39" s="118"/>
      <c r="K39" s="119"/>
      <c r="L39" s="120"/>
      <c r="M39" s="111"/>
    </row>
    <row r="40" spans="1:13" x14ac:dyDescent="0.25">
      <c r="A40" s="107" t="s">
        <v>28</v>
      </c>
      <c r="B40" s="108" t="s">
        <v>4</v>
      </c>
      <c r="C40" s="81">
        <f>tblForecast8[[#This Row],[Units Sold]]*(1-tblUnder[[#This Row],[%age (Units)]])</f>
        <v>1197</v>
      </c>
      <c r="D40" s="140">
        <f>tblForecast8[[#This Row],[Selling Price]]*(1+tblUnder[[#This Row],[ %age (S.P.)]])</f>
        <v>2300</v>
      </c>
      <c r="E40" s="140">
        <f>tblForecast8[[#This Row],[Cost Price]]*(1+tblUnder[[#This Row],[%age (C.P.)]])</f>
        <v>1800</v>
      </c>
      <c r="F40" s="48">
        <f>Actual_Under_2026!$C40*Actual_Under_2026!$D40</f>
        <v>2753100</v>
      </c>
      <c r="G40" s="48">
        <f>Actual_Under_2026!$C40*Actual_Under_2026!$E40</f>
        <v>2154600</v>
      </c>
      <c r="H40" s="48">
        <f>Actual_Under_2026!$F40-Actual_Under_2026!$G40</f>
        <v>598500</v>
      </c>
      <c r="I40" s="49">
        <f>Actual_Under_2026!$H40/Actual_Under_2026!$F40</f>
        <v>0.21739130434782608</v>
      </c>
      <c r="J40" s="51">
        <f t="array" ref="J40">INDEX('%age_Change_Logic'!$D$17:$D$22, MATCH(L40,'%age_Change_Logic'!$B$17:$B$22,1))</f>
        <v>0</v>
      </c>
      <c r="K40" s="50">
        <f t="array" ref="K40">INDEX('%age_Change_Logic'!$H$17:$H$22, MATCH(L40, '%age_Change_Logic'!$F$17:$F$22,1))</f>
        <v>0</v>
      </c>
      <c r="L40" s="109">
        <v>0.05</v>
      </c>
      <c r="M40" s="112" t="s">
        <v>166</v>
      </c>
    </row>
    <row r="41" spans="1:13" x14ac:dyDescent="0.25">
      <c r="A41" s="107" t="s">
        <v>28</v>
      </c>
      <c r="B41" s="108" t="s">
        <v>5</v>
      </c>
      <c r="C41" s="81">
        <f>tblForecast8[[#This Row],[Units Sold]]*(1-tblUnder[[#This Row],[%age (Units)]])</f>
        <v>756</v>
      </c>
      <c r="D41" s="140">
        <f>tblForecast8[[#This Row],[Selling Price]]*(1+tblUnder[[#This Row],[ %age (S.P.)]])</f>
        <v>3168</v>
      </c>
      <c r="E41" s="140">
        <f>tblForecast8[[#This Row],[Cost Price]]*(1+tblUnder[[#This Row],[%age (C.P.)]])</f>
        <v>2828</v>
      </c>
      <c r="F41" s="48">
        <f>Actual_Under_2026!$C41*Actual_Under_2026!$D41</f>
        <v>2395008</v>
      </c>
      <c r="G41" s="48">
        <f>Actual_Under_2026!$C41*Actual_Under_2026!$E41</f>
        <v>2137968</v>
      </c>
      <c r="H41" s="48">
        <f>Actual_Under_2026!$F41-Actual_Under_2026!$G41</f>
        <v>257040</v>
      </c>
      <c r="I41" s="49">
        <f>Actual_Under_2026!$H41/Actual_Under_2026!$F41</f>
        <v>0.10732323232323232</v>
      </c>
      <c r="J41" s="51">
        <f t="array" ref="J41">INDEX('%age_Change_Logic'!$D$17:$D$22, MATCH(L41,'%age_Change_Logic'!$B$17:$B$22,1))</f>
        <v>-0.01</v>
      </c>
      <c r="K41" s="50">
        <f t="array" ref="K41">INDEX('%age_Change_Logic'!$H$17:$H$22, MATCH(L41, '%age_Change_Logic'!$F$17:$F$22,1))</f>
        <v>0.01</v>
      </c>
      <c r="L41" s="109">
        <v>0.1</v>
      </c>
      <c r="M41" s="112" t="s">
        <v>167</v>
      </c>
    </row>
    <row r="42" spans="1:13" x14ac:dyDescent="0.25">
      <c r="A42" s="107" t="s">
        <v>28</v>
      </c>
      <c r="B42" s="108" t="s">
        <v>14</v>
      </c>
      <c r="C42" s="81">
        <f>tblForecast8[[#This Row],[Units Sold]]*(1-tblUnder[[#This Row],[%age (Units)]])</f>
        <v>850.5</v>
      </c>
      <c r="D42" s="140">
        <f>tblForecast8[[#This Row],[Selling Price]]*(1+tblUnder[[#This Row],[ %age (S.P.)]])</f>
        <v>2277</v>
      </c>
      <c r="E42" s="140">
        <f>tblForecast8[[#This Row],[Cost Price]]*(1+tblUnder[[#This Row],[%age (C.P.)]])</f>
        <v>2121</v>
      </c>
      <c r="F42" s="48">
        <f>Actual_Under_2026!$C42*Actual_Under_2026!$D42</f>
        <v>1936588.5</v>
      </c>
      <c r="G42" s="48">
        <f>Actual_Under_2026!$C42*Actual_Under_2026!$E42</f>
        <v>1803910.5</v>
      </c>
      <c r="H42" s="48">
        <f>Actual_Under_2026!$F42-Actual_Under_2026!$G42</f>
        <v>132678</v>
      </c>
      <c r="I42" s="49">
        <f>Actual_Under_2026!$H42/Actual_Under_2026!$F42</f>
        <v>6.8511198945981552E-2</v>
      </c>
      <c r="J42" s="51">
        <f t="array" ref="J42">INDEX('%age_Change_Logic'!$D$17:$D$22, MATCH(L42,'%age_Change_Logic'!$B$17:$B$22,1))</f>
        <v>-0.01</v>
      </c>
      <c r="K42" s="50">
        <f t="array" ref="K42">INDEX('%age_Change_Logic'!$H$17:$H$22, MATCH(L42, '%age_Change_Logic'!$F$17:$F$22,1))</f>
        <v>0.01</v>
      </c>
      <c r="L42" s="109">
        <v>0.1</v>
      </c>
      <c r="M42" s="112" t="s">
        <v>168</v>
      </c>
    </row>
    <row r="43" spans="1:13" x14ac:dyDescent="0.25">
      <c r="A43" s="107" t="s">
        <v>28</v>
      </c>
      <c r="B43" s="108" t="s">
        <v>39</v>
      </c>
      <c r="C43" s="81">
        <f>tblForecast8[[#This Row],[Units Sold]]*(1-tblUnder[[#This Row],[%age (Units)]])</f>
        <v>1449</v>
      </c>
      <c r="D43" s="140">
        <f>tblForecast8[[#This Row],[Selling Price]]*(1+tblUnder[[#This Row],[ %age (S.P.)]])</f>
        <v>990</v>
      </c>
      <c r="E43" s="140">
        <f>tblForecast8[[#This Row],[Cost Price]]*(1+tblUnder[[#This Row],[%age (C.P.)]])</f>
        <v>808</v>
      </c>
      <c r="F43" s="48">
        <f>Actual_Under_2026!$C43*Actual_Under_2026!$D43</f>
        <v>1434510</v>
      </c>
      <c r="G43" s="48">
        <f>Actual_Under_2026!$C43*Actual_Under_2026!$E43</f>
        <v>1170792</v>
      </c>
      <c r="H43" s="48">
        <f>Actual_Under_2026!$F43-Actual_Under_2026!$G43</f>
        <v>263718</v>
      </c>
      <c r="I43" s="49">
        <f>Actual_Under_2026!$H43/Actual_Under_2026!$F43</f>
        <v>0.18383838383838383</v>
      </c>
      <c r="J43" s="51">
        <f t="array" ref="J43">INDEX('%age_Change_Logic'!$D$17:$D$22, MATCH(L43,'%age_Change_Logic'!$B$17:$B$22,1))</f>
        <v>-0.01</v>
      </c>
      <c r="K43" s="50">
        <f t="array" ref="K43">INDEX('%age_Change_Logic'!$H$17:$H$22, MATCH(L43, '%age_Change_Logic'!$F$17:$F$22,1))</f>
        <v>0.01</v>
      </c>
      <c r="L43" s="109">
        <v>0.08</v>
      </c>
      <c r="M43" s="110" t="s">
        <v>170</v>
      </c>
    </row>
    <row r="44" spans="1:13" x14ac:dyDescent="0.25">
      <c r="A44" s="107" t="s">
        <v>28</v>
      </c>
      <c r="B44" s="108" t="s">
        <v>6</v>
      </c>
      <c r="C44" s="81">
        <f>tblForecast8[[#This Row],[Units Sold]]*(1-tblUnder[[#This Row],[%age (Units)]])</f>
        <v>1974</v>
      </c>
      <c r="D44" s="140">
        <f>tblForecast8[[#This Row],[Selling Price]]*(1+tblUnder[[#This Row],[ %age (S.P.)]])</f>
        <v>396</v>
      </c>
      <c r="E44" s="140">
        <f>tblForecast8[[#This Row],[Cost Price]]*(1+tblUnder[[#This Row],[%age (C.P.)]])</f>
        <v>404</v>
      </c>
      <c r="F44" s="48">
        <f>Actual_Under_2026!$C44*Actual_Under_2026!$D44</f>
        <v>781704</v>
      </c>
      <c r="G44" s="48">
        <f>Actual_Under_2026!$C44*Actual_Under_2026!$E44</f>
        <v>797496</v>
      </c>
      <c r="H44" s="48">
        <f>Actual_Under_2026!$F44-Actual_Under_2026!$G44</f>
        <v>-15792</v>
      </c>
      <c r="I44" s="49">
        <f>Actual_Under_2026!$H44/Actual_Under_2026!$F44</f>
        <v>-2.0202020202020204E-2</v>
      </c>
      <c r="J44" s="51">
        <f t="array" ref="J44">INDEX('%age_Change_Logic'!$D$17:$D$22, MATCH(L44,'%age_Change_Logic'!$B$17:$B$22,1))</f>
        <v>-0.01</v>
      </c>
      <c r="K44" s="50">
        <f t="array" ref="K44">INDEX('%age_Change_Logic'!$H$17:$H$22, MATCH(L44, '%age_Change_Logic'!$F$17:$F$22,1))</f>
        <v>0.01</v>
      </c>
      <c r="L44" s="109">
        <v>0.06</v>
      </c>
      <c r="M44" s="110" t="s">
        <v>169</v>
      </c>
    </row>
    <row r="45" spans="1:13" ht="15.75" x14ac:dyDescent="0.25">
      <c r="A45" s="122" t="s">
        <v>40</v>
      </c>
      <c r="B45" s="123"/>
      <c r="C45" s="143">
        <f>SUM(C40:C44)</f>
        <v>6226.5</v>
      </c>
      <c r="D45" s="141"/>
      <c r="E45" s="141"/>
      <c r="F45" s="124">
        <f>SUM(F40:F44)</f>
        <v>9300910.5</v>
      </c>
      <c r="G45" s="124">
        <f>SUM(G40:G44)</f>
        <v>8064766.5</v>
      </c>
      <c r="H45" s="124">
        <f>SUM(H40:H44)</f>
        <v>1236144</v>
      </c>
      <c r="I45" s="125">
        <f>AVERAGE(I40:I44)</f>
        <v>0.11137241985068072</v>
      </c>
      <c r="J45" s="53"/>
      <c r="K45" s="52"/>
      <c r="L45" s="109"/>
      <c r="M45" s="111"/>
    </row>
    <row r="46" spans="1:13" x14ac:dyDescent="0.25">
      <c r="A46" s="107" t="s">
        <v>34</v>
      </c>
      <c r="B46" s="108" t="s">
        <v>4</v>
      </c>
      <c r="C46" s="81">
        <f>tblForecast8[[#This Row],[Units Sold]]*(1-tblUnder[[#This Row],[%age (Units)]])</f>
        <v>1254</v>
      </c>
      <c r="D46" s="140">
        <f>tblForecast8[[#This Row],[Selling Price]]*(1+tblUnder[[#This Row],[ %age (S.P.)]])</f>
        <v>2300</v>
      </c>
      <c r="E46" s="140">
        <f>tblForecast8[[#This Row],[Cost Price]]*(1+tblUnder[[#This Row],[%age (C.P.)]])</f>
        <v>1800</v>
      </c>
      <c r="F46" s="48">
        <f>Actual_Under_2026!$C46*Actual_Under_2026!$D46</f>
        <v>2884200</v>
      </c>
      <c r="G46" s="48">
        <f>Actual_Under_2026!$C46*Actual_Under_2026!$E46</f>
        <v>2257200</v>
      </c>
      <c r="H46" s="48">
        <f>Actual_Under_2026!$F46-Actual_Under_2026!$G46</f>
        <v>627000</v>
      </c>
      <c r="I46" s="49">
        <f>Actual_Under_2026!$H46/Actual_Under_2026!$F46</f>
        <v>0.21739130434782608</v>
      </c>
      <c r="J46" s="51">
        <f t="array" ref="J46">INDEX('%age_Change_Logic'!$D$17:$D$22, MATCH(L46,'%age_Change_Logic'!$B$17:$B$22,1))</f>
        <v>0</v>
      </c>
      <c r="K46" s="50">
        <f t="array" ref="K46">INDEX('%age_Change_Logic'!$H$17:$H$22, MATCH(L46, '%age_Change_Logic'!$F$17:$F$22,1))</f>
        <v>0</v>
      </c>
      <c r="L46" s="109">
        <v>0.05</v>
      </c>
      <c r="M46" s="112" t="s">
        <v>171</v>
      </c>
    </row>
    <row r="47" spans="1:13" x14ac:dyDescent="0.25">
      <c r="A47" s="107" t="s">
        <v>34</v>
      </c>
      <c r="B47" s="108" t="s">
        <v>5</v>
      </c>
      <c r="C47" s="81">
        <f>tblForecast8[[#This Row],[Units Sold]]*(1-tblUnder[[#This Row],[%age (Units)]])</f>
        <v>809.60000000000014</v>
      </c>
      <c r="D47" s="140">
        <f>tblForecast8[[#This Row],[Selling Price]]*(1+tblUnder[[#This Row],[ %age (S.P.)]])</f>
        <v>3168</v>
      </c>
      <c r="E47" s="140">
        <f>tblForecast8[[#This Row],[Cost Price]]*(1+tblUnder[[#This Row],[%age (C.P.)]])</f>
        <v>2828</v>
      </c>
      <c r="F47" s="48">
        <f>Actual_Under_2026!$C47*Actual_Under_2026!$D47</f>
        <v>2564812.8000000003</v>
      </c>
      <c r="G47" s="48">
        <f>Actual_Under_2026!$C47*Actual_Under_2026!$E47</f>
        <v>2289548.8000000003</v>
      </c>
      <c r="H47" s="48">
        <f>Actual_Under_2026!$F47-Actual_Under_2026!$G47</f>
        <v>275264</v>
      </c>
      <c r="I47" s="49">
        <f>Actual_Under_2026!$H47/Actual_Under_2026!$F47</f>
        <v>0.10732323232323231</v>
      </c>
      <c r="J47" s="51">
        <f t="array" ref="J47">INDEX('%age_Change_Logic'!$D$17:$D$22, MATCH(L47,'%age_Change_Logic'!$B$17:$B$22,1))</f>
        <v>-0.01</v>
      </c>
      <c r="K47" s="50">
        <f t="array" ref="K47">INDEX('%age_Change_Logic'!$H$17:$H$22, MATCH(L47, '%age_Change_Logic'!$F$17:$F$22,1))</f>
        <v>0.01</v>
      </c>
      <c r="L47" s="109">
        <v>0.08</v>
      </c>
      <c r="M47" s="112" t="s">
        <v>172</v>
      </c>
    </row>
    <row r="48" spans="1:13" x14ac:dyDescent="0.25">
      <c r="A48" s="107" t="s">
        <v>34</v>
      </c>
      <c r="B48" s="108" t="s">
        <v>14</v>
      </c>
      <c r="C48" s="81">
        <f>tblForecast8[[#This Row],[Units Sold]]*(1-tblUnder[[#This Row],[%age (Units)]])</f>
        <v>940.50000000000011</v>
      </c>
      <c r="D48" s="140">
        <f>tblForecast8[[#This Row],[Selling Price]]*(1+tblUnder[[#This Row],[ %age (S.P.)]])</f>
        <v>2300</v>
      </c>
      <c r="E48" s="140">
        <f>tblForecast8[[#This Row],[Cost Price]]*(1+tblUnder[[#This Row],[%age (C.P.)]])</f>
        <v>2100</v>
      </c>
      <c r="F48" s="48">
        <f>Actual_Under_2026!$C48*Actual_Under_2026!$D48</f>
        <v>2163150.0000000005</v>
      </c>
      <c r="G48" s="48">
        <f>Actual_Under_2026!$C48*Actual_Under_2026!$E48</f>
        <v>1975050.0000000002</v>
      </c>
      <c r="H48" s="48">
        <f>Actual_Under_2026!$F48-Actual_Under_2026!$G48</f>
        <v>188100.00000000023</v>
      </c>
      <c r="I48" s="49">
        <f>Actual_Under_2026!$H48/Actual_Under_2026!$F48</f>
        <v>8.695652173913053E-2</v>
      </c>
      <c r="J48" s="51">
        <f t="array" ref="J48">INDEX('%age_Change_Logic'!$D$17:$D$22, MATCH(L48,'%age_Change_Logic'!$B$17:$B$22,1))</f>
        <v>0</v>
      </c>
      <c r="K48" s="50">
        <f t="array" ref="K48">INDEX('%age_Change_Logic'!$H$17:$H$22, MATCH(L48, '%age_Change_Logic'!$F$17:$F$22,1))</f>
        <v>0</v>
      </c>
      <c r="L48" s="109">
        <v>0.05</v>
      </c>
      <c r="M48" s="112" t="s">
        <v>173</v>
      </c>
    </row>
    <row r="49" spans="1:13" x14ac:dyDescent="0.25">
      <c r="A49" s="107" t="s">
        <v>34</v>
      </c>
      <c r="B49" s="108" t="s">
        <v>39</v>
      </c>
      <c r="C49" s="81">
        <f>tblForecast8[[#This Row],[Units Sold]]*(1-tblUnder[[#This Row],[%age (Units)]])</f>
        <v>1551.0000000000002</v>
      </c>
      <c r="D49" s="140">
        <f>tblForecast8[[#This Row],[Selling Price]]*(1+tblUnder[[#This Row],[ %age (S.P.)]])</f>
        <v>990</v>
      </c>
      <c r="E49" s="140">
        <f>tblForecast8[[#This Row],[Cost Price]]*(1+tblUnder[[#This Row],[%age (C.P.)]])</f>
        <v>808</v>
      </c>
      <c r="F49" s="48">
        <f>Actual_Under_2026!$C49*Actual_Under_2026!$D49</f>
        <v>1535490.0000000002</v>
      </c>
      <c r="G49" s="48">
        <f>Actual_Under_2026!$C49*Actual_Under_2026!$E49</f>
        <v>1253208.0000000002</v>
      </c>
      <c r="H49" s="48">
        <f>Actual_Under_2026!$F49-Actual_Under_2026!$G49</f>
        <v>282282</v>
      </c>
      <c r="I49" s="49">
        <f>Actual_Under_2026!$H49/Actual_Under_2026!$F49</f>
        <v>0.1838383838383838</v>
      </c>
      <c r="J49" s="51">
        <f t="array" ref="J49">INDEX('%age_Change_Logic'!$D$17:$D$22, MATCH(L49,'%age_Change_Logic'!$B$17:$B$22,1))</f>
        <v>-0.01</v>
      </c>
      <c r="K49" s="50">
        <f t="array" ref="K49">INDEX('%age_Change_Logic'!$H$17:$H$22, MATCH(L49, '%age_Change_Logic'!$F$17:$F$22,1))</f>
        <v>0.01</v>
      </c>
      <c r="L49" s="104">
        <v>0.06</v>
      </c>
      <c r="M49" s="110" t="s">
        <v>174</v>
      </c>
    </row>
    <row r="50" spans="1:13" x14ac:dyDescent="0.25">
      <c r="A50" s="107" t="s">
        <v>34</v>
      </c>
      <c r="B50" s="108" t="s">
        <v>6</v>
      </c>
      <c r="C50" s="81">
        <f>tblForecast8[[#This Row],[Units Sold]]*(1-tblUnder[[#This Row],[%age (Units)]])</f>
        <v>2090</v>
      </c>
      <c r="D50" s="140">
        <f>tblForecast8[[#This Row],[Selling Price]]*(1+tblUnder[[#This Row],[ %age (S.P.)]])</f>
        <v>400</v>
      </c>
      <c r="E50" s="140">
        <f>tblForecast8[[#This Row],[Cost Price]]*(1+tblUnder[[#This Row],[%age (C.P.)]])</f>
        <v>400</v>
      </c>
      <c r="F50" s="48">
        <f>Actual_Under_2026!$C50*Actual_Under_2026!$D50</f>
        <v>836000</v>
      </c>
      <c r="G50" s="48">
        <f>Actual_Under_2026!$C50*Actual_Under_2026!$E50</f>
        <v>836000</v>
      </c>
      <c r="H50" s="48">
        <f>Actual_Under_2026!$F50-Actual_Under_2026!$G50</f>
        <v>0</v>
      </c>
      <c r="I50" s="49">
        <f>Actual_Under_2026!$H50/Actual_Under_2026!$F50</f>
        <v>0</v>
      </c>
      <c r="J50" s="51">
        <f t="array" ref="J50">INDEX('%age_Change_Logic'!$D$17:$D$22, MATCH(L50,'%age_Change_Logic'!$B$17:$B$22,1))</f>
        <v>0</v>
      </c>
      <c r="K50" s="50">
        <f t="array" ref="K50">INDEX('%age_Change_Logic'!$H$17:$H$22, MATCH(L50, '%age_Change_Logic'!$F$17:$F$22,1))</f>
        <v>0</v>
      </c>
      <c r="L50" s="104">
        <v>0.05</v>
      </c>
      <c r="M50" s="110" t="s">
        <v>175</v>
      </c>
    </row>
    <row r="51" spans="1:13" ht="15.75" x14ac:dyDescent="0.25">
      <c r="A51" s="122" t="s">
        <v>40</v>
      </c>
      <c r="B51" s="123"/>
      <c r="C51" s="143">
        <f>SUM(C46:C50)</f>
        <v>6645.1</v>
      </c>
      <c r="D51" s="141"/>
      <c r="E51" s="141"/>
      <c r="F51" s="124">
        <f>SUM(F46:F50)</f>
        <v>9983652.8000000007</v>
      </c>
      <c r="G51" s="124">
        <f>SUM(G46:G50)</f>
        <v>8611006.8000000007</v>
      </c>
      <c r="H51" s="124">
        <f>SUM(H46:H50)</f>
        <v>1372646.0000000002</v>
      </c>
      <c r="I51" s="125">
        <f>AVERAGE(I46:I50)</f>
        <v>0.11910188844971455</v>
      </c>
      <c r="J51" s="53"/>
      <c r="K51" s="52"/>
      <c r="L51" s="105"/>
      <c r="M51" s="111"/>
    </row>
    <row r="52" spans="1:13" x14ac:dyDescent="0.25">
      <c r="A52" s="107" t="s">
        <v>35</v>
      </c>
      <c r="B52" s="108" t="s">
        <v>4</v>
      </c>
      <c r="C52" s="81">
        <f>tblForecast8[[#This Row],[Units Sold]]*(1-tblUnder[[#This Row],[%age (Units)]])</f>
        <v>1324.8</v>
      </c>
      <c r="D52" s="140">
        <f>tblForecast8[[#This Row],[Selling Price]]*(1+tblUnder[[#This Row],[ %age (S.P.)]])</f>
        <v>2300</v>
      </c>
      <c r="E52" s="140">
        <f>tblForecast8[[#This Row],[Cost Price]]*(1+tblUnder[[#This Row],[%age (C.P.)]])</f>
        <v>1800</v>
      </c>
      <c r="F52" s="48">
        <f>Actual_Under_2026!$C52*Actual_Under_2026!$D52</f>
        <v>3047040</v>
      </c>
      <c r="G52" s="48">
        <f>Actual_Under_2026!$C52*Actual_Under_2026!$E52</f>
        <v>2384640</v>
      </c>
      <c r="H52" s="48">
        <f>Actual_Under_2026!$F52-Actual_Under_2026!$G52</f>
        <v>662400</v>
      </c>
      <c r="I52" s="49">
        <f>Actual_Under_2026!$H52/Actual_Under_2026!$F52</f>
        <v>0.21739130434782608</v>
      </c>
      <c r="J52" s="51">
        <f t="array" ref="J52">INDEX('%age_Change_Logic'!$D$17:$D$22, MATCH(L52,'%age_Change_Logic'!$B$17:$B$22,1))</f>
        <v>0</v>
      </c>
      <c r="K52" s="50">
        <f t="array" ref="K52">INDEX('%age_Change_Logic'!$H$17:$H$22, MATCH(L52, '%age_Change_Logic'!$F$17:$F$22,1))</f>
        <v>0</v>
      </c>
      <c r="L52" s="109">
        <v>0.04</v>
      </c>
      <c r="M52" s="112" t="s">
        <v>176</v>
      </c>
    </row>
    <row r="53" spans="1:13" x14ac:dyDescent="0.25">
      <c r="A53" s="107" t="s">
        <v>35</v>
      </c>
      <c r="B53" s="108" t="s">
        <v>5</v>
      </c>
      <c r="C53" s="81">
        <f>tblForecast8[[#This Row],[Units Sold]]*(1-tblUnder[[#This Row],[%age (Units)]])</f>
        <v>864.79999999999984</v>
      </c>
      <c r="D53" s="140">
        <f>tblForecast8[[#This Row],[Selling Price]]*(1+tblUnder[[#This Row],[ %age (S.P.)]])</f>
        <v>3168</v>
      </c>
      <c r="E53" s="140">
        <f>tblForecast8[[#This Row],[Cost Price]]*(1+tblUnder[[#This Row],[%age (C.P.)]])</f>
        <v>2828</v>
      </c>
      <c r="F53" s="48">
        <f>Actual_Under_2026!$C53*Actual_Under_2026!$D53</f>
        <v>2739686.3999999994</v>
      </c>
      <c r="G53" s="48">
        <f>Actual_Under_2026!$C53*Actual_Under_2026!$E53</f>
        <v>2445654.3999999994</v>
      </c>
      <c r="H53" s="48">
        <f>Actual_Under_2026!$F53-Actual_Under_2026!$G53</f>
        <v>294032</v>
      </c>
      <c r="I53" s="49">
        <f>Actual_Under_2026!$H53/Actual_Under_2026!$F53</f>
        <v>0.10732323232323235</v>
      </c>
      <c r="J53" s="51">
        <f t="array" ref="J53">INDEX('%age_Change_Logic'!$D$17:$D$22, MATCH(L53,'%age_Change_Logic'!$B$17:$B$22,1))</f>
        <v>-0.01</v>
      </c>
      <c r="K53" s="50">
        <f t="array" ref="K53">INDEX('%age_Change_Logic'!$H$17:$H$22, MATCH(L53, '%age_Change_Logic'!$F$17:$F$22,1))</f>
        <v>0.01</v>
      </c>
      <c r="L53" s="109">
        <v>0.06</v>
      </c>
      <c r="M53" s="112" t="s">
        <v>177</v>
      </c>
    </row>
    <row r="54" spans="1:13" x14ac:dyDescent="0.25">
      <c r="A54" s="107" t="s">
        <v>35</v>
      </c>
      <c r="B54" s="108" t="s">
        <v>14</v>
      </c>
      <c r="C54" s="81">
        <f>tblForecast8[[#This Row],[Units Sold]]*(1-tblUnder[[#This Row],[%age (Units)]])</f>
        <v>962.55</v>
      </c>
      <c r="D54" s="140">
        <f>tblForecast8[[#This Row],[Selling Price]]*(1+tblUnder[[#This Row],[ %age (S.P.)]])</f>
        <v>2277</v>
      </c>
      <c r="E54" s="140">
        <f>tblForecast8[[#This Row],[Cost Price]]*(1+tblUnder[[#This Row],[%age (C.P.)]])</f>
        <v>2121</v>
      </c>
      <c r="F54" s="48">
        <f>Actual_Under_2026!$C54*Actual_Under_2026!$D54</f>
        <v>2191726.35</v>
      </c>
      <c r="G54" s="48">
        <f>Actual_Under_2026!$C54*Actual_Under_2026!$E54</f>
        <v>2041568.5499999998</v>
      </c>
      <c r="H54" s="48">
        <f>Actual_Under_2026!$F54-Actual_Under_2026!$G54</f>
        <v>150157.80000000028</v>
      </c>
      <c r="I54" s="49">
        <f>Actual_Under_2026!$H54/Actual_Under_2026!$F54</f>
        <v>6.8511198945981677E-2</v>
      </c>
      <c r="J54" s="51">
        <f t="array" ref="J54">INDEX('%age_Change_Logic'!$D$17:$D$22, MATCH(L54,'%age_Change_Logic'!$B$17:$B$22,1))</f>
        <v>-0.01</v>
      </c>
      <c r="K54" s="50">
        <f t="array" ref="K54">INDEX('%age_Change_Logic'!$H$17:$H$22, MATCH(L54, '%age_Change_Logic'!$F$17:$F$22,1))</f>
        <v>0.01</v>
      </c>
      <c r="L54" s="109">
        <v>7.0000000000000007E-2</v>
      </c>
      <c r="M54" s="112" t="s">
        <v>178</v>
      </c>
    </row>
    <row r="55" spans="1:13" x14ac:dyDescent="0.25">
      <c r="A55" s="107" t="s">
        <v>35</v>
      </c>
      <c r="B55" s="108" t="s">
        <v>39</v>
      </c>
      <c r="C55" s="81">
        <f>tblForecast8[[#This Row],[Units Sold]]*(1-tblUnder[[#This Row],[%age (Units)]])</f>
        <v>1638.7499999999998</v>
      </c>
      <c r="D55" s="140">
        <f>tblForecast8[[#This Row],[Selling Price]]*(1+tblUnder[[#This Row],[ %age (S.P.)]])</f>
        <v>1000</v>
      </c>
      <c r="E55" s="140">
        <f>tblForecast8[[#This Row],[Cost Price]]*(1+tblUnder[[#This Row],[%age (C.P.)]])</f>
        <v>800</v>
      </c>
      <c r="F55" s="48">
        <f>Actual_Under_2026!$C55*Actual_Under_2026!$D55</f>
        <v>1638749.9999999998</v>
      </c>
      <c r="G55" s="48">
        <f>Actual_Under_2026!$C55*Actual_Under_2026!$E55</f>
        <v>1310999.9999999998</v>
      </c>
      <c r="H55" s="48">
        <f>Actual_Under_2026!$F55-Actual_Under_2026!$G55</f>
        <v>327750</v>
      </c>
      <c r="I55" s="49">
        <f>Actual_Under_2026!$H55/Actual_Under_2026!$F55</f>
        <v>0.20000000000000004</v>
      </c>
      <c r="J55" s="51">
        <f t="array" ref="J55">INDEX('%age_Change_Logic'!$D$17:$D$22, MATCH(L55,'%age_Change_Logic'!$B$17:$B$22,1))</f>
        <v>0</v>
      </c>
      <c r="K55" s="50">
        <f t="array" ref="K55">INDEX('%age_Change_Logic'!$H$17:$H$22, MATCH(L55, '%age_Change_Logic'!$F$17:$F$22,1))</f>
        <v>0</v>
      </c>
      <c r="L55" s="104">
        <v>0.05</v>
      </c>
      <c r="M55" s="110" t="s">
        <v>179</v>
      </c>
    </row>
    <row r="56" spans="1:13" x14ac:dyDescent="0.25">
      <c r="A56" s="107" t="s">
        <v>35</v>
      </c>
      <c r="B56" s="108" t="s">
        <v>6</v>
      </c>
      <c r="C56" s="81">
        <f>tblForecast8[[#This Row],[Units Sold]]*(1-tblUnder[[#This Row],[%age (Units)]])</f>
        <v>2185</v>
      </c>
      <c r="D56" s="140">
        <f>tblForecast8[[#This Row],[Selling Price]]*(1+tblUnder[[#This Row],[ %age (S.P.)]])</f>
        <v>400</v>
      </c>
      <c r="E56" s="140">
        <f>tblForecast8[[#This Row],[Cost Price]]*(1+tblUnder[[#This Row],[%age (C.P.)]])</f>
        <v>400</v>
      </c>
      <c r="F56" s="48">
        <f>Actual_Under_2026!$C56*Actual_Under_2026!$D56</f>
        <v>874000</v>
      </c>
      <c r="G56" s="48">
        <f>Actual_Under_2026!$C56*Actual_Under_2026!$E56</f>
        <v>874000</v>
      </c>
      <c r="H56" s="48">
        <f>Actual_Under_2026!$F56-Actual_Under_2026!$G56</f>
        <v>0</v>
      </c>
      <c r="I56" s="49">
        <f>Actual_Under_2026!$H56/Actual_Under_2026!$F56</f>
        <v>0</v>
      </c>
      <c r="J56" s="51">
        <f t="array" ref="J56">INDEX('%age_Change_Logic'!$D$17:$D$22, MATCH(L56,'%age_Change_Logic'!$B$17:$B$22,1))</f>
        <v>0</v>
      </c>
      <c r="K56" s="50">
        <f t="array" ref="K56">INDEX('%age_Change_Logic'!$H$17:$H$22, MATCH(L56, '%age_Change_Logic'!$F$17:$F$22,1))</f>
        <v>0</v>
      </c>
      <c r="L56" s="104">
        <v>0.05</v>
      </c>
      <c r="M56" s="110" t="s">
        <v>180</v>
      </c>
    </row>
    <row r="57" spans="1:13" ht="15.75" x14ac:dyDescent="0.25">
      <c r="A57" s="122" t="s">
        <v>40</v>
      </c>
      <c r="B57" s="123"/>
      <c r="C57" s="143">
        <f>SUM(C52:C56)</f>
        <v>6975.9</v>
      </c>
      <c r="D57" s="141"/>
      <c r="E57" s="141"/>
      <c r="F57" s="124">
        <f>SUM(F52:F56)</f>
        <v>10491202.75</v>
      </c>
      <c r="G57" s="124">
        <f>SUM(G52:G56)</f>
        <v>9056862.9499999993</v>
      </c>
      <c r="H57" s="124">
        <f>SUM(H52:H56)</f>
        <v>1434339.8000000003</v>
      </c>
      <c r="I57" s="125">
        <f>AVERAGE(I52:I56)</f>
        <v>0.11864514712340804</v>
      </c>
      <c r="J57" s="118"/>
      <c r="K57" s="119"/>
      <c r="L57" s="126"/>
      <c r="M57" s="111"/>
    </row>
    <row r="58" spans="1:13" x14ac:dyDescent="0.25">
      <c r="A58" s="107" t="s">
        <v>36</v>
      </c>
      <c r="B58" s="108" t="s">
        <v>4</v>
      </c>
      <c r="C58" s="81">
        <f>tblForecast8[[#This Row],[Units Sold]]*(1-tblUnder[[#This Row],[%age (Units)]])</f>
        <v>1404</v>
      </c>
      <c r="D58" s="140">
        <f>tblForecast8[[#This Row],[Selling Price]]*(1+tblUnder[[#This Row],[ %age (S.P.)]])</f>
        <v>2277</v>
      </c>
      <c r="E58" s="140">
        <f>tblForecast8[[#This Row],[Cost Price]]*(1+tblUnder[[#This Row],[%age (C.P.)]])</f>
        <v>1818</v>
      </c>
      <c r="F58" s="48">
        <f>Actual_Under_2026!$C58*Actual_Under_2026!$D58</f>
        <v>3196908</v>
      </c>
      <c r="G58" s="48">
        <f>Actual_Under_2026!$C58*Actual_Under_2026!$E58</f>
        <v>2552472</v>
      </c>
      <c r="H58" s="48">
        <f>Actual_Under_2026!$F58-Actual_Under_2026!$G58</f>
        <v>644436</v>
      </c>
      <c r="I58" s="49">
        <f>Actual_Under_2026!$H58/Actual_Under_2026!$F58</f>
        <v>0.20158102766798419</v>
      </c>
      <c r="J58" s="51">
        <f t="array" ref="J58">INDEX('%age_Change_Logic'!$D$17:$D$22, MATCH(L58,'%age_Change_Logic'!$B$17:$B$22,1))</f>
        <v>-0.01</v>
      </c>
      <c r="K58" s="50">
        <f t="array" ref="K58">INDEX('%age_Change_Logic'!$H$17:$H$22, MATCH(L58, '%age_Change_Logic'!$F$17:$F$22,1))</f>
        <v>0.01</v>
      </c>
      <c r="L58" s="109">
        <v>0.1</v>
      </c>
      <c r="M58" s="112" t="s">
        <v>181</v>
      </c>
    </row>
    <row r="59" spans="1:13" x14ac:dyDescent="0.25">
      <c r="A59" s="107" t="s">
        <v>36</v>
      </c>
      <c r="B59" s="108" t="s">
        <v>5</v>
      </c>
      <c r="C59" s="81">
        <f>tblForecast8[[#This Row],[Units Sold]]*(1-tblUnder[[#This Row],[%age (Units)]])</f>
        <v>915.2</v>
      </c>
      <c r="D59" s="140">
        <f>tblForecast8[[#This Row],[Selling Price]]*(1+tblUnder[[#This Row],[ %age (S.P.)]])</f>
        <v>3136</v>
      </c>
      <c r="E59" s="140">
        <f>tblForecast8[[#This Row],[Cost Price]]*(1+tblUnder[[#This Row],[%age (C.P.)]])</f>
        <v>2856</v>
      </c>
      <c r="F59" s="48">
        <f>Actual_Under_2026!$C59*Actual_Under_2026!$D59</f>
        <v>2870067.2000000002</v>
      </c>
      <c r="G59" s="48">
        <f>Actual_Under_2026!$C59*Actual_Under_2026!$E59</f>
        <v>2613811.2000000002</v>
      </c>
      <c r="H59" s="48">
        <f>Actual_Under_2026!$F59-Actual_Under_2026!$G59</f>
        <v>256256</v>
      </c>
      <c r="I59" s="49">
        <f>Actual_Under_2026!$H59/Actual_Under_2026!$F59</f>
        <v>8.9285714285714274E-2</v>
      </c>
      <c r="J59" s="51">
        <f t="array" ref="J59">INDEX('%age_Change_Logic'!$D$17:$D$22, MATCH(L59,'%age_Change_Logic'!$B$17:$B$22,1))</f>
        <v>-0.02</v>
      </c>
      <c r="K59" s="50">
        <f t="array" ref="K59">INDEX('%age_Change_Logic'!$H$17:$H$22, MATCH(L59, '%age_Change_Logic'!$F$17:$F$22,1))</f>
        <v>0.02</v>
      </c>
      <c r="L59" s="109">
        <v>0.12</v>
      </c>
      <c r="M59" s="112" t="s">
        <v>182</v>
      </c>
    </row>
    <row r="60" spans="1:13" x14ac:dyDescent="0.25">
      <c r="A60" s="107" t="s">
        <v>36</v>
      </c>
      <c r="B60" s="108" t="s">
        <v>14</v>
      </c>
      <c r="C60" s="81">
        <f>tblForecast8[[#This Row],[Units Sold]]*(1-tblUnder[[#This Row],[%age (Units)]])</f>
        <v>1076.4000000000001</v>
      </c>
      <c r="D60" s="140">
        <f>tblForecast8[[#This Row],[Selling Price]]*(1+tblUnder[[#This Row],[ %age (S.P.)]])</f>
        <v>2277</v>
      </c>
      <c r="E60" s="140">
        <f>tblForecast8[[#This Row],[Cost Price]]*(1+tblUnder[[#This Row],[%age (C.P.)]])</f>
        <v>2121</v>
      </c>
      <c r="F60" s="48">
        <f>Actual_Under_2026!$C60*Actual_Under_2026!$D60</f>
        <v>2450962.8000000003</v>
      </c>
      <c r="G60" s="48">
        <f>Actual_Under_2026!$C60*Actual_Under_2026!$E60</f>
        <v>2283044.4000000004</v>
      </c>
      <c r="H60" s="48">
        <f>Actual_Under_2026!$F60-Actual_Under_2026!$G60</f>
        <v>167918.39999999991</v>
      </c>
      <c r="I60" s="49">
        <f>Actual_Under_2026!$H60/Actual_Under_2026!$F60</f>
        <v>6.8511198945981511E-2</v>
      </c>
      <c r="J60" s="51">
        <f t="array" ref="J60">INDEX('%age_Change_Logic'!$D$17:$D$22, MATCH(L60,'%age_Change_Logic'!$B$17:$B$22,1))</f>
        <v>-0.01</v>
      </c>
      <c r="K60" s="50">
        <f t="array" ref="K60">INDEX('%age_Change_Logic'!$H$17:$H$22, MATCH(L60, '%age_Change_Logic'!$F$17:$F$22,1))</f>
        <v>0.01</v>
      </c>
      <c r="L60" s="109">
        <v>0.08</v>
      </c>
      <c r="M60" s="112" t="s">
        <v>183</v>
      </c>
    </row>
    <row r="61" spans="1:13" x14ac:dyDescent="0.25">
      <c r="A61" s="107" t="s">
        <v>36</v>
      </c>
      <c r="B61" s="108" t="s">
        <v>39</v>
      </c>
      <c r="C61" s="81">
        <f>tblForecast8[[#This Row],[Units Sold]]*(1-tblUnder[[#This Row],[%age (Units)]])</f>
        <v>1716</v>
      </c>
      <c r="D61" s="140">
        <f>tblForecast8[[#This Row],[Selling Price]]*(1+tblUnder[[#This Row],[ %age (S.P.)]])</f>
        <v>980</v>
      </c>
      <c r="E61" s="140">
        <f>tblForecast8[[#This Row],[Cost Price]]*(1+tblUnder[[#This Row],[%age (C.P.)]])</f>
        <v>816</v>
      </c>
      <c r="F61" s="48">
        <f>Actual_Under_2026!$C61*Actual_Under_2026!$D61</f>
        <v>1681680</v>
      </c>
      <c r="G61" s="48">
        <f>Actual_Under_2026!$C61*Actual_Under_2026!$E61</f>
        <v>1400256</v>
      </c>
      <c r="H61" s="48">
        <f>Actual_Under_2026!$F61-Actual_Under_2026!$G61</f>
        <v>281424</v>
      </c>
      <c r="I61" s="49">
        <f>Actual_Under_2026!$H61/Actual_Under_2026!$F61</f>
        <v>0.16734693877551021</v>
      </c>
      <c r="J61" s="51">
        <f t="array" ref="J61">INDEX('%age_Change_Logic'!$D$17:$D$22, MATCH(L61,'%age_Change_Logic'!$B$17:$B$22,1))</f>
        <v>-0.02</v>
      </c>
      <c r="K61" s="50">
        <f t="array" ref="K61">INDEX('%age_Change_Logic'!$H$17:$H$22, MATCH(L61, '%age_Change_Logic'!$F$17:$F$22,1))</f>
        <v>0.02</v>
      </c>
      <c r="L61" s="109">
        <v>0.12</v>
      </c>
      <c r="M61" s="110" t="s">
        <v>185</v>
      </c>
    </row>
    <row r="62" spans="1:13" x14ac:dyDescent="0.25">
      <c r="A62" s="107" t="s">
        <v>36</v>
      </c>
      <c r="B62" s="108" t="s">
        <v>6</v>
      </c>
      <c r="C62" s="81">
        <f>tblForecast8[[#This Row],[Units Sold]]*(1-tblUnder[[#This Row],[%age (Units)]])</f>
        <v>2340</v>
      </c>
      <c r="D62" s="140">
        <f>tblForecast8[[#This Row],[Selling Price]]*(1+tblUnder[[#This Row],[ %age (S.P.)]])</f>
        <v>396</v>
      </c>
      <c r="E62" s="140">
        <f>tblForecast8[[#This Row],[Cost Price]]*(1+tblUnder[[#This Row],[%age (C.P.)]])</f>
        <v>404</v>
      </c>
      <c r="F62" s="48">
        <f>Actual_Under_2026!$C62*Actual_Under_2026!$D62</f>
        <v>926640</v>
      </c>
      <c r="G62" s="48">
        <f>Actual_Under_2026!$C62*Actual_Under_2026!$E62</f>
        <v>945360</v>
      </c>
      <c r="H62" s="48">
        <f>Actual_Under_2026!$F62-Actual_Under_2026!$G62</f>
        <v>-18720</v>
      </c>
      <c r="I62" s="49">
        <f>Actual_Under_2026!$H62/Actual_Under_2026!$F62</f>
        <v>-2.0202020202020204E-2</v>
      </c>
      <c r="J62" s="51">
        <f t="array" ref="J62">INDEX('%age_Change_Logic'!$D$17:$D$22, MATCH(L62,'%age_Change_Logic'!$B$17:$B$22,1))</f>
        <v>-0.01</v>
      </c>
      <c r="K62" s="50">
        <f t="array" ref="K62">INDEX('%age_Change_Logic'!$H$17:$H$22, MATCH(L62, '%age_Change_Logic'!$F$17:$F$22,1))</f>
        <v>0.01</v>
      </c>
      <c r="L62" s="109">
        <v>0.1</v>
      </c>
      <c r="M62" s="110" t="s">
        <v>184</v>
      </c>
    </row>
    <row r="63" spans="1:13" ht="15.75" x14ac:dyDescent="0.25">
      <c r="A63" s="122" t="s">
        <v>40</v>
      </c>
      <c r="B63" s="123"/>
      <c r="C63" s="143">
        <f>SUM(C58:C62)</f>
        <v>7451.6</v>
      </c>
      <c r="D63" s="141"/>
      <c r="E63" s="141"/>
      <c r="F63" s="124">
        <f>SUM(F58:F62)</f>
        <v>11126258</v>
      </c>
      <c r="G63" s="124">
        <f>SUM(G58:G62)</f>
        <v>9794943.6000000015</v>
      </c>
      <c r="H63" s="124">
        <f>SUM(H58:H62)</f>
        <v>1331314.3999999999</v>
      </c>
      <c r="I63" s="125">
        <f>AVERAGE(I58:I62)</f>
        <v>0.101304571894634</v>
      </c>
      <c r="J63" s="118"/>
      <c r="K63" s="119"/>
      <c r="L63" s="120"/>
      <c r="M63" s="111"/>
    </row>
    <row r="64" spans="1:13" x14ac:dyDescent="0.25">
      <c r="A64" s="107" t="s">
        <v>37</v>
      </c>
      <c r="B64" s="108" t="s">
        <v>4</v>
      </c>
      <c r="C64" s="81">
        <f>tblForecast8[[#This Row],[Units Sold]]*(1-tblUnder[[#This Row],[%age (Units)]])</f>
        <v>1410</v>
      </c>
      <c r="D64" s="140">
        <f>tblForecast8[[#This Row],[Selling Price]]*(1+tblUnder[[#This Row],[ %age (S.P.)]])</f>
        <v>2277</v>
      </c>
      <c r="E64" s="140">
        <f>tblForecast8[[#This Row],[Cost Price]]*(1+tblUnder[[#This Row],[%age (C.P.)]])</f>
        <v>1818</v>
      </c>
      <c r="F64" s="48">
        <f>Actual_Under_2026!$C64*Actual_Under_2026!$D64</f>
        <v>3210570</v>
      </c>
      <c r="G64" s="48">
        <f>Actual_Under_2026!$C64*Actual_Under_2026!$E64</f>
        <v>2563380</v>
      </c>
      <c r="H64" s="48">
        <f>Actual_Under_2026!$F64-Actual_Under_2026!$G64</f>
        <v>647190</v>
      </c>
      <c r="I64" s="49">
        <f>Actual_Under_2026!$H64/Actual_Under_2026!$F64</f>
        <v>0.20158102766798419</v>
      </c>
      <c r="J64" s="51">
        <f t="array" ref="J64">INDEX('%age_Change_Logic'!$D$17:$D$22, MATCH(L64,'%age_Change_Logic'!$B$17:$B$22,1))</f>
        <v>-0.01</v>
      </c>
      <c r="K64" s="50">
        <f t="array" ref="K64">INDEX('%age_Change_Logic'!$H$17:$H$22, MATCH(L64, '%age_Change_Logic'!$F$17:$F$22,1))</f>
        <v>0.01</v>
      </c>
      <c r="L64" s="109">
        <v>0.06</v>
      </c>
      <c r="M64" s="112" t="s">
        <v>186</v>
      </c>
    </row>
    <row r="65" spans="1:13" x14ac:dyDescent="0.25">
      <c r="A65" s="107" t="s">
        <v>37</v>
      </c>
      <c r="B65" s="108" t="s">
        <v>5</v>
      </c>
      <c r="C65" s="81">
        <f>tblForecast8[[#This Row],[Units Sold]]*(1-tblUnder[[#This Row],[%age (Units)]])</f>
        <v>920</v>
      </c>
      <c r="D65" s="140">
        <f>tblForecast8[[#This Row],[Selling Price]]*(1+tblUnder[[#This Row],[ %age (S.P.)]])</f>
        <v>3168</v>
      </c>
      <c r="E65" s="140">
        <f>tblForecast8[[#This Row],[Cost Price]]*(1+tblUnder[[#This Row],[%age (C.P.)]])</f>
        <v>2828</v>
      </c>
      <c r="F65" s="48">
        <f>Actual_Under_2026!$C65*Actual_Under_2026!$D65</f>
        <v>2914560</v>
      </c>
      <c r="G65" s="48">
        <f>Actual_Under_2026!$C65*Actual_Under_2026!$E65</f>
        <v>2601760</v>
      </c>
      <c r="H65" s="48">
        <f>Actual_Under_2026!$F65-Actual_Under_2026!$G65</f>
        <v>312800</v>
      </c>
      <c r="I65" s="49">
        <f>Actual_Under_2026!$H65/Actual_Under_2026!$F65</f>
        <v>0.10732323232323232</v>
      </c>
      <c r="J65" s="51">
        <f t="array" ref="J65">INDEX('%age_Change_Logic'!$D$17:$D$22, MATCH(L65,'%age_Change_Logic'!$B$17:$B$22,1))</f>
        <v>-0.01</v>
      </c>
      <c r="K65" s="50">
        <f t="array" ref="K65">INDEX('%age_Change_Logic'!$H$17:$H$22, MATCH(L65, '%age_Change_Logic'!$F$17:$F$22,1))</f>
        <v>0.01</v>
      </c>
      <c r="L65" s="109">
        <v>0.08</v>
      </c>
      <c r="M65" s="112" t="s">
        <v>187</v>
      </c>
    </row>
    <row r="66" spans="1:13" x14ac:dyDescent="0.25">
      <c r="A66" s="107" t="s">
        <v>37</v>
      </c>
      <c r="B66" s="108" t="s">
        <v>14</v>
      </c>
      <c r="C66" s="81">
        <f>tblForecast8[[#This Row],[Units Sold]]*(1-tblUnder[[#This Row],[%age (Units)]])</f>
        <v>1068.75</v>
      </c>
      <c r="D66" s="140">
        <f>tblForecast8[[#This Row],[Selling Price]]*(1+tblUnder[[#This Row],[ %age (S.P.)]])</f>
        <v>2300</v>
      </c>
      <c r="E66" s="140">
        <f>tblForecast8[[#This Row],[Cost Price]]*(1+tblUnder[[#This Row],[%age (C.P.)]])</f>
        <v>2100</v>
      </c>
      <c r="F66" s="48">
        <f>Actual_Under_2026!$C66*Actual_Under_2026!$D66</f>
        <v>2458125</v>
      </c>
      <c r="G66" s="48">
        <f>Actual_Under_2026!$C66*Actual_Under_2026!$E66</f>
        <v>2244375</v>
      </c>
      <c r="H66" s="48">
        <f>Actual_Under_2026!$F66-Actual_Under_2026!$G66</f>
        <v>213750</v>
      </c>
      <c r="I66" s="49">
        <f>Actual_Under_2026!$H66/Actual_Under_2026!$F66</f>
        <v>8.6956521739130432E-2</v>
      </c>
      <c r="J66" s="51">
        <f t="array" ref="J66">INDEX('%age_Change_Logic'!$D$17:$D$22, MATCH(L66,'%age_Change_Logic'!$B$17:$B$22,1))</f>
        <v>0</v>
      </c>
      <c r="K66" s="50">
        <f t="array" ref="K66">INDEX('%age_Change_Logic'!$H$17:$H$22, MATCH(L66, '%age_Change_Logic'!$F$17:$F$22,1))</f>
        <v>0</v>
      </c>
      <c r="L66" s="109">
        <v>0.05</v>
      </c>
      <c r="M66" s="112" t="s">
        <v>188</v>
      </c>
    </row>
    <row r="67" spans="1:13" x14ac:dyDescent="0.25">
      <c r="A67" s="107" t="s">
        <v>37</v>
      </c>
      <c r="B67" s="108" t="s">
        <v>39</v>
      </c>
      <c r="C67" s="81">
        <f>tblForecast8[[#This Row],[Units Sold]]*(1-tblUnder[[#This Row],[%age (Units)]])</f>
        <v>1743.7499999999998</v>
      </c>
      <c r="D67" s="140">
        <f>tblForecast8[[#This Row],[Selling Price]]*(1+tblUnder[[#This Row],[ %age (S.P.)]])</f>
        <v>990</v>
      </c>
      <c r="E67" s="140">
        <f>tblForecast8[[#This Row],[Cost Price]]*(1+tblUnder[[#This Row],[%age (C.P.)]])</f>
        <v>808</v>
      </c>
      <c r="F67" s="48">
        <f>Actual_Under_2026!$C67*Actual_Under_2026!$D67</f>
        <v>1726312.4999999998</v>
      </c>
      <c r="G67" s="48">
        <f>Actual_Under_2026!$C67*Actual_Under_2026!$E67</f>
        <v>1408949.9999999998</v>
      </c>
      <c r="H67" s="48">
        <f>Actual_Under_2026!$F67-Actual_Under_2026!$G67</f>
        <v>317362.5</v>
      </c>
      <c r="I67" s="49">
        <f>Actual_Under_2026!$H67/Actual_Under_2026!$F67</f>
        <v>0.18383838383838386</v>
      </c>
      <c r="J67" s="51">
        <f t="array" ref="J67">INDEX('%age_Change_Logic'!$D$17:$D$22, MATCH(L67,'%age_Change_Logic'!$B$17:$B$22,1))</f>
        <v>-0.01</v>
      </c>
      <c r="K67" s="50">
        <f t="array" ref="K67">INDEX('%age_Change_Logic'!$H$17:$H$22, MATCH(L67, '%age_Change_Logic'!$F$17:$F$22,1))</f>
        <v>0.01</v>
      </c>
      <c r="L67" s="109">
        <v>7.0000000000000007E-2</v>
      </c>
      <c r="M67" s="110" t="s">
        <v>189</v>
      </c>
    </row>
    <row r="68" spans="1:13" x14ac:dyDescent="0.25">
      <c r="A68" s="107" t="s">
        <v>37</v>
      </c>
      <c r="B68" s="108" t="s">
        <v>6</v>
      </c>
      <c r="C68" s="81">
        <f>tblForecast8[[#This Row],[Units Sold]]*(1-tblUnder[[#This Row],[%age (Units)]])</f>
        <v>2350</v>
      </c>
      <c r="D68" s="140">
        <f>tblForecast8[[#This Row],[Selling Price]]*(1+tblUnder[[#This Row],[ %age (S.P.)]])</f>
        <v>396</v>
      </c>
      <c r="E68" s="140">
        <f>tblForecast8[[#This Row],[Cost Price]]*(1+tblUnder[[#This Row],[%age (C.P.)]])</f>
        <v>404</v>
      </c>
      <c r="F68" s="48">
        <f>Actual_Under_2026!$C68*Actual_Under_2026!$D68</f>
        <v>930600</v>
      </c>
      <c r="G68" s="48">
        <f>Actual_Under_2026!$C68*Actual_Under_2026!$E68</f>
        <v>949400</v>
      </c>
      <c r="H68" s="48">
        <f>Actual_Under_2026!$F68-Actual_Under_2026!$G68</f>
        <v>-18800</v>
      </c>
      <c r="I68" s="49">
        <f>Actual_Under_2026!$H68/Actual_Under_2026!$F68</f>
        <v>-2.0202020202020204E-2</v>
      </c>
      <c r="J68" s="51">
        <f t="array" ref="J68">INDEX('%age_Change_Logic'!$D$17:$D$22, MATCH(L68,'%age_Change_Logic'!$B$17:$B$22,1))</f>
        <v>-0.01</v>
      </c>
      <c r="K68" s="50">
        <f t="array" ref="K68">INDEX('%age_Change_Logic'!$H$17:$H$22, MATCH(L68, '%age_Change_Logic'!$F$17:$F$22,1))</f>
        <v>0.01</v>
      </c>
      <c r="L68" s="109">
        <v>0.06</v>
      </c>
      <c r="M68" s="110" t="s">
        <v>190</v>
      </c>
    </row>
    <row r="69" spans="1:13" ht="15.75" x14ac:dyDescent="0.25">
      <c r="A69" s="122" t="s">
        <v>40</v>
      </c>
      <c r="B69" s="123"/>
      <c r="C69" s="143">
        <f>SUM(C64:C68)</f>
        <v>7492.5</v>
      </c>
      <c r="D69" s="141"/>
      <c r="E69" s="141"/>
      <c r="F69" s="124">
        <f>SUM(F64:F68)</f>
        <v>11240167.5</v>
      </c>
      <c r="G69" s="124">
        <f>SUM(G64:G68)</f>
        <v>9767865</v>
      </c>
      <c r="H69" s="124">
        <f>SUM(H64:H68)</f>
        <v>1472302.5</v>
      </c>
      <c r="I69" s="125">
        <f>AVERAGE(I64:I68)</f>
        <v>0.11189942907334212</v>
      </c>
      <c r="J69" s="118"/>
      <c r="K69" s="119"/>
      <c r="L69" s="120"/>
      <c r="M69" s="111"/>
    </row>
    <row r="70" spans="1:13" x14ac:dyDescent="0.25">
      <c r="A70" s="107" t="s">
        <v>38</v>
      </c>
      <c r="B70" s="108" t="s">
        <v>4</v>
      </c>
      <c r="C70" s="81">
        <f>tblForecast8[[#This Row],[Units Sold]]*(1-tblUnder[[#This Row],[%age (Units)]])</f>
        <v>1267.2</v>
      </c>
      <c r="D70" s="140">
        <f>tblForecast8[[#This Row],[Selling Price]]*(1+tblUnder[[#This Row],[ %age (S.P.)]])</f>
        <v>2254</v>
      </c>
      <c r="E70" s="140">
        <f>tblForecast8[[#This Row],[Cost Price]]*(1+tblUnder[[#This Row],[%age (C.P.)]])</f>
        <v>1836</v>
      </c>
      <c r="F70" s="48">
        <f>Actual_Under_2026!$C70*Actual_Under_2026!$D70</f>
        <v>2856268.8000000003</v>
      </c>
      <c r="G70" s="48">
        <f>Actual_Under_2026!$C70*Actual_Under_2026!$E70</f>
        <v>2326579.2000000002</v>
      </c>
      <c r="H70" s="48">
        <f>Actual_Under_2026!$F70-Actual_Under_2026!$G70</f>
        <v>529689.60000000009</v>
      </c>
      <c r="I70" s="49">
        <f>Actual_Under_2026!$H70/Actual_Under_2026!$F70</f>
        <v>0.18544809228039044</v>
      </c>
      <c r="J70" s="51">
        <f t="array" ref="J70">INDEX('%age_Change_Logic'!$D$17:$D$22, MATCH(L70,'%age_Change_Logic'!$B$17:$B$22,1))</f>
        <v>-0.02</v>
      </c>
      <c r="K70" s="50">
        <f t="array" ref="K70">INDEX('%age_Change_Logic'!$H$17:$H$22, MATCH(L70, '%age_Change_Logic'!$F$17:$F$22,1))</f>
        <v>0.02</v>
      </c>
      <c r="L70" s="109">
        <v>0.12</v>
      </c>
      <c r="M70" s="112" t="s">
        <v>191</v>
      </c>
    </row>
    <row r="71" spans="1:13" x14ac:dyDescent="0.25">
      <c r="A71" s="107" t="s">
        <v>38</v>
      </c>
      <c r="B71" s="108" t="s">
        <v>5</v>
      </c>
      <c r="C71" s="81">
        <f>tblForecast8[[#This Row],[Units Sold]]*(1-tblUnder[[#This Row],[%age (Units)]])</f>
        <v>816</v>
      </c>
      <c r="D71" s="140">
        <f>tblForecast8[[#This Row],[Selling Price]]*(1+tblUnder[[#This Row],[ %age (S.P.)]])</f>
        <v>3136</v>
      </c>
      <c r="E71" s="140">
        <f>tblForecast8[[#This Row],[Cost Price]]*(1+tblUnder[[#This Row],[%age (C.P.)]])</f>
        <v>2856</v>
      </c>
      <c r="F71" s="48">
        <f>Actual_Under_2026!$C71*Actual_Under_2026!$D71</f>
        <v>2558976</v>
      </c>
      <c r="G71" s="48">
        <f>Actual_Under_2026!$C71*Actual_Under_2026!$E71</f>
        <v>2330496</v>
      </c>
      <c r="H71" s="48">
        <f>Actual_Under_2026!$F71-Actual_Under_2026!$G71</f>
        <v>228480</v>
      </c>
      <c r="I71" s="49">
        <f>Actual_Under_2026!$H71/Actual_Under_2026!$F71</f>
        <v>8.9285714285714288E-2</v>
      </c>
      <c r="J71" s="51">
        <f t="array" ref="J71">INDEX('%age_Change_Logic'!$D$17:$D$22, MATCH(L71,'%age_Change_Logic'!$B$17:$B$22,1))</f>
        <v>-0.02</v>
      </c>
      <c r="K71" s="50">
        <f t="array" ref="K71">INDEX('%age_Change_Logic'!$H$17:$H$22, MATCH(L71, '%age_Change_Logic'!$F$17:$F$22,1))</f>
        <v>0.02</v>
      </c>
      <c r="L71" s="109">
        <v>0.15</v>
      </c>
      <c r="M71" s="112" t="s">
        <v>192</v>
      </c>
    </row>
    <row r="72" spans="1:13" x14ac:dyDescent="0.25">
      <c r="A72" s="107" t="s">
        <v>38</v>
      </c>
      <c r="B72" s="108" t="s">
        <v>14</v>
      </c>
      <c r="C72" s="81">
        <f>tblForecast8[[#This Row],[Units Sold]]*(1-tblUnder[[#This Row],[%age (Units)]])</f>
        <v>972</v>
      </c>
      <c r="D72" s="140">
        <f>tblForecast8[[#This Row],[Selling Price]]*(1+tblUnder[[#This Row],[ %age (S.P.)]])</f>
        <v>2277</v>
      </c>
      <c r="E72" s="140">
        <f>tblForecast8[[#This Row],[Cost Price]]*(1+tblUnder[[#This Row],[%age (C.P.)]])</f>
        <v>2121</v>
      </c>
      <c r="F72" s="48">
        <f>Actual_Under_2026!$C72*Actual_Under_2026!$D72</f>
        <v>2213244</v>
      </c>
      <c r="G72" s="48">
        <f>Actual_Under_2026!$C72*Actual_Under_2026!$E72</f>
        <v>2061612</v>
      </c>
      <c r="H72" s="48">
        <f>Actual_Under_2026!$F72-Actual_Under_2026!$G72</f>
        <v>151632</v>
      </c>
      <c r="I72" s="49">
        <f>Actual_Under_2026!$H72/Actual_Under_2026!$F72</f>
        <v>6.8511198945981552E-2</v>
      </c>
      <c r="J72" s="51">
        <f t="array" ref="J72">INDEX('%age_Change_Logic'!$D$17:$D$22, MATCH(L72,'%age_Change_Logic'!$B$17:$B$22,1))</f>
        <v>-0.01</v>
      </c>
      <c r="K72" s="50">
        <f t="array" ref="K72">INDEX('%age_Change_Logic'!$H$17:$H$22, MATCH(L72, '%age_Change_Logic'!$F$17:$F$22,1))</f>
        <v>0.01</v>
      </c>
      <c r="L72" s="109">
        <v>0.1</v>
      </c>
      <c r="M72" s="112" t="s">
        <v>193</v>
      </c>
    </row>
    <row r="73" spans="1:13" x14ac:dyDescent="0.25">
      <c r="A73" s="107" t="s">
        <v>38</v>
      </c>
      <c r="B73" s="108" t="s">
        <v>39</v>
      </c>
      <c r="C73" s="81">
        <f>tblForecast8[[#This Row],[Units Sold]]*(1-tblUnder[[#This Row],[%age (Units)]])</f>
        <v>1530</v>
      </c>
      <c r="D73" s="140">
        <f>tblForecast8[[#This Row],[Selling Price]]*(1+tblUnder[[#This Row],[ %age (S.P.)]])</f>
        <v>980</v>
      </c>
      <c r="E73" s="140">
        <f>tblForecast8[[#This Row],[Cost Price]]*(1+tblUnder[[#This Row],[%age (C.P.)]])</f>
        <v>816</v>
      </c>
      <c r="F73" s="48">
        <f>Actual_Under_2026!$C73*Actual_Under_2026!$D73</f>
        <v>1499400</v>
      </c>
      <c r="G73" s="48">
        <f>Actual_Under_2026!$C73*Actual_Under_2026!$E73</f>
        <v>1248480</v>
      </c>
      <c r="H73" s="48">
        <f>Actual_Under_2026!$F73-Actual_Under_2026!$G73</f>
        <v>250920</v>
      </c>
      <c r="I73" s="49">
        <f>Actual_Under_2026!$H73/Actual_Under_2026!$F73</f>
        <v>0.16734693877551021</v>
      </c>
      <c r="J73" s="51">
        <f t="array" ref="J73">INDEX('%age_Change_Logic'!$D$17:$D$22, MATCH(L73,'%age_Change_Logic'!$B$17:$B$22,1))</f>
        <v>-0.02</v>
      </c>
      <c r="K73" s="50">
        <f t="array" ref="K73">INDEX('%age_Change_Logic'!$H$17:$H$22, MATCH(L73, '%age_Change_Logic'!$F$17:$F$22,1))</f>
        <v>0.02</v>
      </c>
      <c r="L73" s="109">
        <v>0.15</v>
      </c>
      <c r="M73" s="110" t="s">
        <v>195</v>
      </c>
    </row>
    <row r="74" spans="1:13" x14ac:dyDescent="0.25">
      <c r="A74" s="107" t="s">
        <v>38</v>
      </c>
      <c r="B74" s="108" t="s">
        <v>6</v>
      </c>
      <c r="C74" s="81">
        <f>tblForecast8[[#This Row],[Units Sold]]*(1-tblUnder[[#This Row],[%age (Units)]])</f>
        <v>2208</v>
      </c>
      <c r="D74" s="140">
        <f>tblForecast8[[#This Row],[Selling Price]]*(1+tblUnder[[#This Row],[ %age (S.P.)]])</f>
        <v>396</v>
      </c>
      <c r="E74" s="140">
        <f>tblForecast8[[#This Row],[Cost Price]]*(1+tblUnder[[#This Row],[%age (C.P.)]])</f>
        <v>404</v>
      </c>
      <c r="F74" s="48">
        <f>Actual_Under_2026!$C74*Actual_Under_2026!$D74</f>
        <v>874368</v>
      </c>
      <c r="G74" s="48">
        <f>Actual_Under_2026!$C74*Actual_Under_2026!$E74</f>
        <v>892032</v>
      </c>
      <c r="H74" s="48">
        <f>Actual_Under_2026!$F74-Actual_Under_2026!$G74</f>
        <v>-17664</v>
      </c>
      <c r="I74" s="49">
        <f>Actual_Under_2026!$H74/Actual_Under_2026!$F74</f>
        <v>-2.0202020202020204E-2</v>
      </c>
      <c r="J74" s="51">
        <f t="array" ref="J74">INDEX('%age_Change_Logic'!$D$17:$D$22, MATCH(L74,'%age_Change_Logic'!$B$17:$B$22,1))</f>
        <v>-0.01</v>
      </c>
      <c r="K74" s="50">
        <f t="array" ref="K74">INDEX('%age_Change_Logic'!$H$17:$H$22, MATCH(L74, '%age_Change_Logic'!$F$17:$F$22,1))</f>
        <v>0.01</v>
      </c>
      <c r="L74" s="109">
        <v>0.08</v>
      </c>
      <c r="M74" s="110" t="s">
        <v>194</v>
      </c>
    </row>
    <row r="75" spans="1:13" ht="15.75" x14ac:dyDescent="0.25">
      <c r="A75" s="114" t="s">
        <v>40</v>
      </c>
      <c r="B75" s="115"/>
      <c r="C75" s="143">
        <f>SUM(C70:C74)</f>
        <v>6793.2</v>
      </c>
      <c r="D75" s="142"/>
      <c r="E75" s="142"/>
      <c r="F75" s="116">
        <f>SUM(F70:F74)</f>
        <v>10002256.800000001</v>
      </c>
      <c r="G75" s="116">
        <f>SUM(G70:G74)</f>
        <v>8859199.1999999993</v>
      </c>
      <c r="H75" s="116">
        <f>SUM(H70:H74)</f>
        <v>1143057.6000000001</v>
      </c>
      <c r="I75" s="117">
        <f>AVERAGE(I70:I74)</f>
        <v>9.8077984817115271E-2</v>
      </c>
      <c r="J75" s="127"/>
      <c r="K75" s="128"/>
      <c r="L75" s="129"/>
      <c r="M75" s="113"/>
    </row>
    <row r="77" spans="1:13" x14ac:dyDescent="0.25">
      <c r="F77" s="6"/>
      <c r="G77" s="7"/>
      <c r="H77"/>
      <c r="I77"/>
    </row>
  </sheetData>
  <dataConsolidate/>
  <mergeCells count="1">
    <mergeCell ref="C1:D1"/>
  </mergeCells>
  <conditionalFormatting sqref="C4:C8 C10:C14 C16:C20 C22:C26 C28:C32 C34:C38 C40:C44 C46:C50 C52:C56 C58:C62 C64:C68 C70:C74">
    <cfRule type="dataBar" priority="19">
      <dataBar>
        <cfvo type="min"/>
        <cfvo type="max"/>
        <color theme="4" tint="0.59999389629810485"/>
      </dataBar>
      <extLst>
        <ext xmlns:x14="http://schemas.microsoft.com/office/spreadsheetml/2009/9/main" uri="{B025F937-C7B1-47D3-B67F-A62EFF666E3E}">
          <x14:id>{512FD9C9-CEAA-4658-B74E-5C26D11F1B50}</x14:id>
        </ext>
      </extLst>
    </cfRule>
  </conditionalFormatting>
  <conditionalFormatting sqref="J1:J1048576">
    <cfRule type="dataBar" priority="1">
      <dataBar>
        <cfvo type="min"/>
        <cfvo type="max"/>
        <color rgb="FF008AEF"/>
      </dataBar>
      <extLst>
        <ext xmlns:x14="http://schemas.microsoft.com/office/spreadsheetml/2009/9/main" uri="{B025F937-C7B1-47D3-B67F-A62EFF666E3E}">
          <x14:id>{E8FF6298-57FE-4CF7-BBCF-48A230509EFA}</x14:id>
        </ext>
      </extLst>
    </cfRule>
  </conditionalFormatting>
  <conditionalFormatting sqref="K1:K1048576">
    <cfRule type="dataBar" priority="5">
      <dataBar>
        <cfvo type="min"/>
        <cfvo type="max"/>
        <color rgb="FF63C384"/>
      </dataBar>
      <extLst>
        <ext xmlns:x14="http://schemas.microsoft.com/office/spreadsheetml/2009/9/main" uri="{B025F937-C7B1-47D3-B67F-A62EFF666E3E}">
          <x14:id>{60ECA56C-8C50-4102-A7F8-1396DAFC54D9}</x14:id>
        </ext>
      </extLst>
    </cfRule>
  </conditionalFormatting>
  <pageMargins left="0.7" right="0.7" top="0.75" bottom="0.75" header="0.3" footer="0.3"/>
  <pageSetup scale="44"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12FD9C9-CEAA-4658-B74E-5C26D11F1B50}">
            <x14:dataBar minLength="0" maxLength="100" gradient="0">
              <x14:cfvo type="autoMin"/>
              <x14:cfvo type="autoMax"/>
              <x14:negativeFillColor rgb="FFFF0000"/>
              <x14:axisColor rgb="FF000000"/>
            </x14:dataBar>
          </x14:cfRule>
          <xm:sqref>C4:C8 C10:C14 C16:C20 C22:C26 C28:C32 C34:C38 C40:C44 C46:C50 C52:C56 C58:C62 C64:C68 C70:C74</xm:sqref>
        </x14:conditionalFormatting>
        <x14:conditionalFormatting xmlns:xm="http://schemas.microsoft.com/office/excel/2006/main">
          <x14:cfRule type="dataBar" id="{E8FF6298-57FE-4CF7-BBCF-48A230509EFA}">
            <x14:dataBar minLength="0" maxLength="100" border="1" negativeBarBorderColorSameAsPositive="0">
              <x14:cfvo type="autoMin"/>
              <x14:cfvo type="autoMax"/>
              <x14:borderColor rgb="FF008AEF"/>
              <x14:negativeFillColor rgb="FFFF0000"/>
              <x14:negativeBorderColor rgb="FFFF0000"/>
              <x14:axisColor rgb="FF000000"/>
            </x14:dataBar>
          </x14:cfRule>
          <xm:sqref>J1:J1048576</xm:sqref>
        </x14:conditionalFormatting>
        <x14:conditionalFormatting xmlns:xm="http://schemas.microsoft.com/office/excel/2006/main">
          <x14:cfRule type="dataBar" id="{60ECA56C-8C50-4102-A7F8-1396DAFC54D9}">
            <x14:dataBar minLength="0" maxLength="100" border="1" negativeBarBorderColorSameAsPositive="0">
              <x14:cfvo type="autoMin"/>
              <x14:cfvo type="autoMax"/>
              <x14:borderColor rgb="FF63C384"/>
              <x14:negativeFillColor rgb="FFFF0000"/>
              <x14:negativeBorderColor rgb="FFFF0000"/>
              <x14:axisColor rgb="FF000000"/>
            </x14:dataBar>
          </x14:cfRule>
          <xm:sqref>K1:K1048576</xm:sqref>
        </x14:conditionalFormatting>
        <x14:conditionalFormatting xmlns:xm="http://schemas.microsoft.com/office/excel/2006/main">
          <x14:cfRule type="iconSet" priority="8" id="{F697AB75-0843-4A5A-A52F-B9147B6481D4}">
            <x14:iconSet iconSet="3Arrows" custom="1">
              <x14:cfvo type="percent">
                <xm:f>0</xm:f>
              </x14:cfvo>
              <x14:cfvo type="num">
                <xm:f>0</xm:f>
              </x14:cfvo>
              <x14:cfvo type="num" gte="0">
                <xm:f>0</xm:f>
              </x14:cfvo>
              <x14:cfIcon iconSet="3Arrows" iconId="2"/>
              <x14:cfIcon iconSet="3Arrows" iconId="1"/>
              <x14:cfIcon iconSet="3Arrows" iconId="0"/>
            </x14:iconSet>
          </x14:cfRule>
          <xm:sqref>L1:L1048576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54"/>
  <sheetViews>
    <sheetView showGridLines="0" workbookViewId="0">
      <pane ySplit="2" topLeftCell="A3" activePane="bottomLeft" state="frozen"/>
      <selection pane="bottomLeft" activeCell="B44" sqref="B44"/>
    </sheetView>
  </sheetViews>
  <sheetFormatPr defaultRowHeight="15" x14ac:dyDescent="0.25"/>
  <cols>
    <col min="1" max="1" width="1.85546875" customWidth="1"/>
    <col min="2" max="2" width="31.140625" customWidth="1"/>
    <col min="3" max="3" width="16.28515625" bestFit="1" customWidth="1"/>
    <col min="4" max="8" width="10.7109375" customWidth="1"/>
  </cols>
  <sheetData>
    <row r="2" spans="1:8" x14ac:dyDescent="0.25">
      <c r="A2" s="155" t="s">
        <v>250</v>
      </c>
      <c r="B2" s="148" t="s">
        <v>236</v>
      </c>
      <c r="C2" s="149">
        <v>46357</v>
      </c>
      <c r="D2" s="150">
        <v>46722</v>
      </c>
      <c r="E2" s="150">
        <v>47088</v>
      </c>
      <c r="F2" s="150">
        <v>47453</v>
      </c>
      <c r="G2" s="150">
        <v>47818</v>
      </c>
      <c r="H2" s="150">
        <v>48183</v>
      </c>
    </row>
    <row r="3" spans="1:8" x14ac:dyDescent="0.25">
      <c r="B3" s="162" t="s">
        <v>235</v>
      </c>
      <c r="C3" s="163"/>
      <c r="D3" s="163"/>
      <c r="E3" s="163"/>
      <c r="F3" s="163"/>
      <c r="G3" s="163"/>
      <c r="H3" s="163"/>
    </row>
    <row r="4" spans="1:8" x14ac:dyDescent="0.25">
      <c r="B4" t="s">
        <v>23</v>
      </c>
    </row>
    <row r="5" spans="1:8" x14ac:dyDescent="0.25">
      <c r="B5" t="s">
        <v>24</v>
      </c>
    </row>
    <row r="6" spans="1:8" x14ac:dyDescent="0.25">
      <c r="B6" s="35" t="s">
        <v>25</v>
      </c>
      <c r="C6" s="35"/>
      <c r="D6" s="35"/>
      <c r="E6" s="35"/>
      <c r="F6" s="35"/>
      <c r="G6" s="35"/>
      <c r="H6" s="35"/>
    </row>
    <row r="7" spans="1:8" x14ac:dyDescent="0.25">
      <c r="B7" s="151" t="s">
        <v>237</v>
      </c>
    </row>
    <row r="8" spans="1:8" x14ac:dyDescent="0.25">
      <c r="B8" s="151" t="s">
        <v>238</v>
      </c>
    </row>
    <row r="9" spans="1:8" x14ac:dyDescent="0.25">
      <c r="B9" s="151" t="s">
        <v>239</v>
      </c>
    </row>
    <row r="10" spans="1:8" x14ac:dyDescent="0.25">
      <c r="B10" s="152" t="s">
        <v>240</v>
      </c>
      <c r="C10" s="35"/>
      <c r="D10" s="35"/>
      <c r="E10" s="35"/>
      <c r="F10" s="35"/>
      <c r="G10" s="35"/>
      <c r="H10" s="35"/>
    </row>
    <row r="11" spans="1:8" x14ac:dyDescent="0.25">
      <c r="B11" s="151" t="s">
        <v>244</v>
      </c>
    </row>
    <row r="12" spans="1:8" x14ac:dyDescent="0.25">
      <c r="B12" s="152" t="s">
        <v>245</v>
      </c>
      <c r="C12" s="35"/>
      <c r="D12" s="35"/>
      <c r="E12" s="35"/>
      <c r="F12" s="35"/>
      <c r="G12" s="35"/>
      <c r="H12" s="35"/>
    </row>
    <row r="13" spans="1:8" x14ac:dyDescent="0.25">
      <c r="B13" s="151" t="s">
        <v>241</v>
      </c>
    </row>
    <row r="14" spans="1:8" x14ac:dyDescent="0.25">
      <c r="B14" s="151" t="s">
        <v>242</v>
      </c>
    </row>
    <row r="15" spans="1:8" x14ac:dyDescent="0.25">
      <c r="B15" s="152" t="s">
        <v>243</v>
      </c>
      <c r="C15" s="35"/>
      <c r="D15" s="35"/>
      <c r="E15" s="35"/>
      <c r="F15" s="35"/>
      <c r="G15" s="35"/>
      <c r="H15" s="35"/>
    </row>
    <row r="18" spans="1:10" x14ac:dyDescent="0.25">
      <c r="B18" s="234" t="s">
        <v>246</v>
      </c>
      <c r="C18" s="234"/>
      <c r="D18" s="234"/>
      <c r="E18" s="234"/>
      <c r="F18" s="234"/>
      <c r="G18" s="234"/>
      <c r="H18" s="234"/>
    </row>
    <row r="19" spans="1:10" s="161" customFormat="1" x14ac:dyDescent="0.25">
      <c r="A19" s="159"/>
      <c r="B19" s="160"/>
      <c r="C19" s="160"/>
      <c r="D19" s="160"/>
      <c r="E19" s="160"/>
      <c r="F19" s="160"/>
      <c r="G19" s="160"/>
      <c r="H19" s="160"/>
    </row>
    <row r="20" spans="1:10" x14ac:dyDescent="0.25">
      <c r="A20" s="155" t="s">
        <v>250</v>
      </c>
      <c r="B20" s="158" t="s">
        <v>251</v>
      </c>
      <c r="C20" s="157"/>
      <c r="D20" s="157"/>
      <c r="E20" s="157"/>
      <c r="F20" s="157"/>
      <c r="G20" s="157"/>
      <c r="H20" s="157"/>
    </row>
    <row r="21" spans="1:10" s="171" customFormat="1" x14ac:dyDescent="0.25">
      <c r="A21" s="201"/>
      <c r="B21" s="183" t="s">
        <v>23</v>
      </c>
      <c r="C21" s="202">
        <f>Forecasting_Best!F77</f>
        <v>274566000</v>
      </c>
      <c r="D21" s="203"/>
      <c r="E21" s="203"/>
      <c r="F21" s="203"/>
      <c r="G21" s="203"/>
    </row>
    <row r="22" spans="1:10" x14ac:dyDescent="0.25">
      <c r="B22" t="str">
        <f>"Growth Rate of " &amp; $B$4</f>
        <v>Growth Rate of Revenue</v>
      </c>
      <c r="C22" s="153" t="s">
        <v>249</v>
      </c>
    </row>
    <row r="23" spans="1:10" x14ac:dyDescent="0.25">
      <c r="B23" t="str">
        <f>$B$5&amp;" % Sales"</f>
        <v>COGS % Sales</v>
      </c>
      <c r="C23" s="210">
        <f>Forecasting_Best!G77/C21</f>
        <v>0.55783308931185949</v>
      </c>
      <c r="D23" s="154"/>
    </row>
    <row r="24" spans="1:10" x14ac:dyDescent="0.25">
      <c r="B24" t="str">
        <f>$B$7&amp;" % Sales"</f>
        <v>Selling &amp; General Exp. % Sales</v>
      </c>
      <c r="C24" s="153" t="s">
        <v>249</v>
      </c>
    </row>
    <row r="25" spans="1:10" x14ac:dyDescent="0.25">
      <c r="B25" t="str">
        <f>$B$8&amp;" % Sales"</f>
        <v>Employee Cost % Sales</v>
      </c>
      <c r="C25" s="153" t="s">
        <v>249</v>
      </c>
    </row>
    <row r="26" spans="1:10" x14ac:dyDescent="0.25">
      <c r="B26" t="str">
        <f>$B$9&amp;" % Sales"</f>
        <v>Other Expenses % Sales</v>
      </c>
      <c r="C26" s="153" t="s">
        <v>249</v>
      </c>
      <c r="J26" s="154"/>
    </row>
    <row r="27" spans="1:10" x14ac:dyDescent="0.25">
      <c r="C27" s="153" t="s">
        <v>249</v>
      </c>
    </row>
    <row r="28" spans="1:10" x14ac:dyDescent="0.25">
      <c r="B28" t="str">
        <f>$B$11</f>
        <v>Depreciation &amp; Ammortization</v>
      </c>
      <c r="C28" s="153" t="s">
        <v>249</v>
      </c>
    </row>
    <row r="29" spans="1:10" x14ac:dyDescent="0.25">
      <c r="B29" t="s">
        <v>248</v>
      </c>
      <c r="C29" s="153" t="s">
        <v>249</v>
      </c>
    </row>
    <row r="30" spans="1:10" x14ac:dyDescent="0.25">
      <c r="B30" t="s">
        <v>247</v>
      </c>
      <c r="C30" s="153" t="s">
        <v>249</v>
      </c>
    </row>
    <row r="32" spans="1:10" x14ac:dyDescent="0.25">
      <c r="A32" s="155" t="s">
        <v>250</v>
      </c>
      <c r="B32" s="158" t="s">
        <v>252</v>
      </c>
      <c r="C32" s="157"/>
      <c r="D32" s="157"/>
      <c r="E32" s="157"/>
      <c r="F32" s="157"/>
      <c r="G32" s="157"/>
      <c r="H32" s="157"/>
    </row>
    <row r="33" spans="1:8" s="171" customFormat="1" x14ac:dyDescent="0.25">
      <c r="A33" s="201"/>
      <c r="B33" s="183" t="s">
        <v>23</v>
      </c>
      <c r="C33" s="202">
        <f>Forecasting_Base!F66</f>
        <v>189744000</v>
      </c>
      <c r="D33" s="203"/>
      <c r="E33" s="203"/>
      <c r="F33" s="203"/>
      <c r="G33" s="203"/>
    </row>
    <row r="34" spans="1:8" x14ac:dyDescent="0.25">
      <c r="B34" t="str">
        <f>"Growth Rate of " &amp; $B$4</f>
        <v>Growth Rate of Revenue</v>
      </c>
      <c r="C34" s="153" t="s">
        <v>249</v>
      </c>
    </row>
    <row r="35" spans="1:8" x14ac:dyDescent="0.25">
      <c r="B35" t="str">
        <f>$B$5&amp;" % Sales"</f>
        <v>COGS % Sales</v>
      </c>
      <c r="C35" s="211">
        <f>Forecasting_Base!G66/C33</f>
        <v>0.67372881355932202</v>
      </c>
      <c r="D35" s="154"/>
    </row>
    <row r="36" spans="1:8" x14ac:dyDescent="0.25">
      <c r="B36" t="str">
        <f>$B$7&amp;" % Sales"</f>
        <v>Selling &amp; General Exp. % Sales</v>
      </c>
      <c r="C36" s="153" t="s">
        <v>249</v>
      </c>
    </row>
    <row r="37" spans="1:8" x14ac:dyDescent="0.25">
      <c r="B37" t="str">
        <f>$B$8&amp;" % Sales"</f>
        <v>Employee Cost % Sales</v>
      </c>
      <c r="C37" s="153" t="s">
        <v>249</v>
      </c>
    </row>
    <row r="38" spans="1:8" x14ac:dyDescent="0.25">
      <c r="B38" t="str">
        <f>$B$9&amp;" % Sales"</f>
        <v>Other Expenses % Sales</v>
      </c>
      <c r="C38" s="153" t="s">
        <v>249</v>
      </c>
    </row>
    <row r="39" spans="1:8" x14ac:dyDescent="0.25">
      <c r="C39" s="153" t="s">
        <v>249</v>
      </c>
    </row>
    <row r="40" spans="1:8" x14ac:dyDescent="0.25">
      <c r="B40" t="str">
        <f>$B$11</f>
        <v>Depreciation &amp; Ammortization</v>
      </c>
      <c r="C40" s="153" t="s">
        <v>249</v>
      </c>
    </row>
    <row r="41" spans="1:8" x14ac:dyDescent="0.25">
      <c r="B41" t="s">
        <v>248</v>
      </c>
      <c r="C41" s="153" t="s">
        <v>249</v>
      </c>
    </row>
    <row r="42" spans="1:8" x14ac:dyDescent="0.25">
      <c r="B42" t="s">
        <v>247</v>
      </c>
      <c r="C42" s="153" t="s">
        <v>249</v>
      </c>
    </row>
    <row r="44" spans="1:8" x14ac:dyDescent="0.25">
      <c r="A44" s="155" t="s">
        <v>250</v>
      </c>
      <c r="B44" s="158" t="s">
        <v>253</v>
      </c>
      <c r="C44" s="157"/>
      <c r="D44" s="157"/>
      <c r="E44" s="157"/>
      <c r="F44" s="157"/>
      <c r="G44" s="157"/>
      <c r="H44" s="157"/>
    </row>
    <row r="45" spans="1:8" s="171" customFormat="1" x14ac:dyDescent="0.25">
      <c r="A45" s="201"/>
      <c r="B45" s="183" t="s">
        <v>23</v>
      </c>
      <c r="C45" s="202">
        <f>Forecasting_Worst!F77</f>
        <v>129846000</v>
      </c>
      <c r="D45" s="203"/>
      <c r="E45" s="203"/>
      <c r="F45" s="203"/>
      <c r="G45" s="203"/>
    </row>
    <row r="46" spans="1:8" x14ac:dyDescent="0.25">
      <c r="B46" t="str">
        <f>"Growth Rate of " &amp; $B$4</f>
        <v>Growth Rate of Revenue</v>
      </c>
      <c r="C46" s="153" t="s">
        <v>249</v>
      </c>
    </row>
    <row r="47" spans="1:8" x14ac:dyDescent="0.25">
      <c r="B47" t="str">
        <f>$B$5&amp;" % Sales"</f>
        <v>COGS % Sales</v>
      </c>
      <c r="C47" s="211">
        <f>Forecasting_Worst!G77/C45</f>
        <v>0.85552115583075339</v>
      </c>
      <c r="D47" s="154"/>
    </row>
    <row r="48" spans="1:8" x14ac:dyDescent="0.25">
      <c r="B48" t="str">
        <f>$B$7&amp;" % Sales"</f>
        <v>Selling &amp; General Exp. % Sales</v>
      </c>
      <c r="C48" s="153" t="s">
        <v>249</v>
      </c>
    </row>
    <row r="49" spans="2:3" x14ac:dyDescent="0.25">
      <c r="B49" t="str">
        <f>$B$8&amp;" % Sales"</f>
        <v>Employee Cost % Sales</v>
      </c>
      <c r="C49" s="153" t="s">
        <v>249</v>
      </c>
    </row>
    <row r="50" spans="2:3" x14ac:dyDescent="0.25">
      <c r="B50" t="str">
        <f>$B$9&amp;" % Sales"</f>
        <v>Other Expenses % Sales</v>
      </c>
      <c r="C50" s="153" t="s">
        <v>249</v>
      </c>
    </row>
    <row r="51" spans="2:3" x14ac:dyDescent="0.25">
      <c r="C51" s="153" t="s">
        <v>249</v>
      </c>
    </row>
    <row r="52" spans="2:3" x14ac:dyDescent="0.25">
      <c r="B52" t="str">
        <f>$B$11</f>
        <v>Depreciation &amp; Ammortization</v>
      </c>
      <c r="C52" s="153" t="s">
        <v>249</v>
      </c>
    </row>
    <row r="53" spans="2:3" x14ac:dyDescent="0.25">
      <c r="B53" t="s">
        <v>248</v>
      </c>
      <c r="C53" s="153" t="s">
        <v>249</v>
      </c>
    </row>
    <row r="54" spans="2:3" x14ac:dyDescent="0.25">
      <c r="B54" t="s">
        <v>247</v>
      </c>
      <c r="C54" s="153" t="s">
        <v>249</v>
      </c>
    </row>
  </sheetData>
  <mergeCells count="1">
    <mergeCell ref="B18:H1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M183"/>
  <sheetViews>
    <sheetView showGridLines="0" zoomScaleNormal="100" workbookViewId="0">
      <pane xSplit="2" ySplit="3" topLeftCell="C4" activePane="bottomRight" state="frozen"/>
      <selection pane="topRight" activeCell="D1" sqref="D1"/>
      <selection pane="bottomLeft" activeCell="A4" sqref="A4"/>
      <selection pane="bottomRight" activeCell="G5" sqref="G5"/>
    </sheetView>
  </sheetViews>
  <sheetFormatPr defaultRowHeight="15" x14ac:dyDescent="0.25"/>
  <cols>
    <col min="1" max="1" width="10.85546875" style="30" bestFit="1" customWidth="1"/>
    <col min="2" max="2" width="15.7109375" style="16" bestFit="1" customWidth="1"/>
    <col min="3" max="3" width="18.140625" style="16" bestFit="1" customWidth="1"/>
    <col min="4" max="4" width="10.5703125" style="27" bestFit="1" customWidth="1"/>
    <col min="5" max="5" width="17.42578125" style="26" bestFit="1" customWidth="1"/>
    <col min="6" max="6" width="15.140625" style="26" bestFit="1" customWidth="1"/>
    <col min="7" max="7" width="14" style="26" bestFit="1" customWidth="1"/>
    <col min="8" max="8" width="10.85546875" style="26" bestFit="1" customWidth="1"/>
    <col min="9" max="9" width="17" style="26" bestFit="1" customWidth="1"/>
    <col min="10" max="10" width="14.85546875" style="25" bestFit="1" customWidth="1"/>
    <col min="11" max="11" width="23.28515625" bestFit="1" customWidth="1"/>
    <col min="12" max="12" width="26.42578125" bestFit="1" customWidth="1"/>
    <col min="13" max="13" width="23.85546875" style="6" bestFit="1" customWidth="1"/>
    <col min="14" max="14" width="6.7109375" customWidth="1"/>
    <col min="15" max="15" width="12.85546875" customWidth="1"/>
    <col min="16" max="17" width="12.42578125" customWidth="1"/>
    <col min="18" max="18" width="8.28515625" customWidth="1"/>
    <col min="19" max="20" width="6.28515625" customWidth="1"/>
  </cols>
  <sheetData>
    <row r="1" spans="1:13" x14ac:dyDescent="0.25">
      <c r="K1" s="5"/>
    </row>
    <row r="3" spans="1:13" ht="15.75" x14ac:dyDescent="0.25">
      <c r="A3" s="130" t="s">
        <v>21</v>
      </c>
      <c r="B3" s="131" t="s">
        <v>1</v>
      </c>
      <c r="C3" s="38" t="s">
        <v>0</v>
      </c>
      <c r="D3" s="39" t="s">
        <v>22</v>
      </c>
      <c r="E3" s="40" t="s">
        <v>2</v>
      </c>
      <c r="F3" s="40" t="s">
        <v>3</v>
      </c>
      <c r="G3" s="40" t="s">
        <v>23</v>
      </c>
      <c r="H3" s="40" t="s">
        <v>24</v>
      </c>
      <c r="I3" s="40" t="s">
        <v>25</v>
      </c>
      <c r="J3" s="41" t="s">
        <v>26</v>
      </c>
      <c r="K3" s="40" t="s">
        <v>220</v>
      </c>
      <c r="L3" s="40" t="s">
        <v>221</v>
      </c>
      <c r="M3" s="41" t="s">
        <v>222</v>
      </c>
    </row>
    <row r="4" spans="1:13" x14ac:dyDescent="0.25">
      <c r="A4" s="132" t="s">
        <v>29</v>
      </c>
      <c r="B4" s="133" t="s">
        <v>4</v>
      </c>
      <c r="C4" s="133" t="s">
        <v>209</v>
      </c>
      <c r="D4" s="134">
        <f>tblForecast2[[#This Row],[Units Sold]]</f>
        <v>1520</v>
      </c>
      <c r="E4" s="135">
        <f>tblForecast2[[#This Row],[Selling Price]]</f>
        <v>2500</v>
      </c>
      <c r="F4" s="135">
        <f>tblForecast2[[#This Row],[Cost Price]]</f>
        <v>1700</v>
      </c>
      <c r="G4" s="28">
        <f>D4*E4</f>
        <v>3800000</v>
      </c>
      <c r="H4" s="28">
        <f>D4*F4</f>
        <v>2584000</v>
      </c>
      <c r="I4" s="28">
        <f>G4-H4</f>
        <v>1216000</v>
      </c>
      <c r="J4" s="29">
        <f>IF(G4=0,0,I4/G4)</f>
        <v>0.32</v>
      </c>
      <c r="K4" s="54">
        <f t="array" ref="K4">IF(DataConsolidated[[#This Row],[Scenario]]="Forecast (Base)", 0, DataConsolidated[[#This Row],[Revenue]] - INDEX(DataConsolidated[Revenue], MATCH(1, (DataConsolidated[Month]=DataConsolidated[[#This Row],[Month]]) * (DataConsolidated[Product]=DataConsolidated[[#This Row],[Product]]) * (DataConsolidated[Scenario]="Forecast (Base)"), 0)))</f>
        <v>0</v>
      </c>
      <c r="L4" s="54">
        <f t="array" ref="L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 s="55">
        <f t="array" ref="M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 spans="1:13" x14ac:dyDescent="0.25">
      <c r="A5" s="132" t="s">
        <v>29</v>
      </c>
      <c r="B5" s="133" t="s">
        <v>4</v>
      </c>
      <c r="C5" s="133" t="s">
        <v>122</v>
      </c>
      <c r="D5" s="134">
        <f>Actual_Over_2026!C4</f>
        <v>1995</v>
      </c>
      <c r="E5" s="135">
        <f>Actual_Over_2026!D4</f>
        <v>2700</v>
      </c>
      <c r="F5" s="135">
        <f>Actual_Over_2026!E4</f>
        <v>1650</v>
      </c>
      <c r="G5" s="28">
        <f t="shared" ref="G5:G68" si="0">D5*E5</f>
        <v>5386500</v>
      </c>
      <c r="H5" s="28">
        <f t="shared" ref="H5:H68" si="1">D5*F5</f>
        <v>3291750</v>
      </c>
      <c r="I5" s="28">
        <f t="shared" ref="I5:I68" si="2">G5-H5</f>
        <v>2094750</v>
      </c>
      <c r="J5" s="29">
        <f t="shared" ref="J5:J68" si="3">IF(G5=0,0,I5/G5)</f>
        <v>0.3888888888888889</v>
      </c>
      <c r="K5" s="54">
        <f t="array" ref="K5">IF(DataConsolidated[[#This Row],[Scenario]]="Forecast (Base)", 0, DataConsolidated[[#This Row],[Revenue]] - INDEX(DataConsolidated[Revenue], MATCH(1, (DataConsolidated[Month]=DataConsolidated[[#This Row],[Month]]) * (DataConsolidated[Product]=DataConsolidated[[#This Row],[Product]]) * (DataConsolidated[Scenario]="Forecast (Base)"), 0)))</f>
        <v>1586500</v>
      </c>
      <c r="L5" s="54">
        <f t="array" ref="L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878750</v>
      </c>
      <c r="M5" s="55">
        <f t="array" ref="M5">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6.8888888888888888E-2</v>
      </c>
    </row>
    <row r="6" spans="1:13" x14ac:dyDescent="0.25">
      <c r="A6" s="132" t="s">
        <v>29</v>
      </c>
      <c r="B6" s="133" t="s">
        <v>4</v>
      </c>
      <c r="C6" s="133" t="s">
        <v>45</v>
      </c>
      <c r="D6" s="134">
        <f>Actual_Under_2026!C4</f>
        <v>1026</v>
      </c>
      <c r="E6" s="135">
        <f>Actual_Under_2026!D4</f>
        <v>2277</v>
      </c>
      <c r="F6" s="135">
        <f>Actual_Under_2026!E4</f>
        <v>1818</v>
      </c>
      <c r="G6" s="28">
        <f t="shared" si="0"/>
        <v>2336202</v>
      </c>
      <c r="H6" s="28">
        <f t="shared" si="1"/>
        <v>1865268</v>
      </c>
      <c r="I6" s="28">
        <f t="shared" si="2"/>
        <v>470934</v>
      </c>
      <c r="J6" s="29">
        <f t="shared" si="3"/>
        <v>0.20158102766798419</v>
      </c>
      <c r="K6" s="54">
        <f t="array" ref="K6">IF(DataConsolidated[[#This Row],[Scenario]]="Forecast (Base)", 0, DataConsolidated[[#This Row],[Revenue]] - INDEX(DataConsolidated[Revenue], MATCH(1, (DataConsolidated[Month]=DataConsolidated[[#This Row],[Month]]) * (DataConsolidated[Product]=DataConsolidated[[#This Row],[Product]]) * (DataConsolidated[Scenario]="Forecast (Base)"), 0)))</f>
        <v>-1463798</v>
      </c>
      <c r="L6" s="54">
        <f t="array" ref="L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-745066</v>
      </c>
      <c r="M6" s="55">
        <f t="array" ref="M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7" spans="1:13" x14ac:dyDescent="0.25">
      <c r="A7" s="132" t="s">
        <v>30</v>
      </c>
      <c r="B7" s="133" t="s">
        <v>4</v>
      </c>
      <c r="C7" s="133" t="s">
        <v>209</v>
      </c>
      <c r="D7" s="134">
        <f>Forecasting_Base!C9</f>
        <v>1440</v>
      </c>
      <c r="E7" s="135">
        <f>Forecasting_Base!D9</f>
        <v>2500</v>
      </c>
      <c r="F7" s="135">
        <f>Forecasting_Base!E9</f>
        <v>1700</v>
      </c>
      <c r="G7" s="28">
        <f t="shared" si="0"/>
        <v>3600000</v>
      </c>
      <c r="H7" s="28">
        <f t="shared" si="1"/>
        <v>2448000</v>
      </c>
      <c r="I7" s="28">
        <f t="shared" si="2"/>
        <v>1152000</v>
      </c>
      <c r="J7" s="29">
        <f t="shared" si="3"/>
        <v>0.32</v>
      </c>
      <c r="K7" s="54">
        <f t="array" ref="K7">IF(DataConsolidated[[#This Row],[Scenario]]="Forecast (Base)", 0, DataConsolidated[[#This Row],[Revenue]] - INDEX(DataConsolidated[Revenue], MATCH(1, (DataConsolidated[Month]=DataConsolidated[[#This Row],[Month]]) * (DataConsolidated[Product]=DataConsolidated[[#This Row],[Product]]) * (DataConsolidated[Scenario]="Forecast (Base)"), 0)))</f>
        <v>0</v>
      </c>
      <c r="L7" s="54">
        <f t="array" ref="L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 s="55">
        <f t="array" ref="M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 spans="1:13" x14ac:dyDescent="0.25">
      <c r="A8" s="132" t="s">
        <v>30</v>
      </c>
      <c r="B8" s="133" t="s">
        <v>4</v>
      </c>
      <c r="C8" s="133" t="s">
        <v>122</v>
      </c>
      <c r="D8" s="134">
        <f>Actual_Over_2026!C10</f>
        <v>1980.0000000000002</v>
      </c>
      <c r="E8" s="135">
        <f>Actual_Over_2026!D10</f>
        <v>2727</v>
      </c>
      <c r="F8" s="135">
        <f>Actual_Over_2026!E10</f>
        <v>1625.25</v>
      </c>
      <c r="G8" s="28">
        <f t="shared" si="0"/>
        <v>5399460.0000000009</v>
      </c>
      <c r="H8" s="28">
        <f t="shared" si="1"/>
        <v>3217995.0000000005</v>
      </c>
      <c r="I8" s="28">
        <f t="shared" si="2"/>
        <v>2181465.0000000005</v>
      </c>
      <c r="J8" s="29">
        <f t="shared" si="3"/>
        <v>0.40401540154015403</v>
      </c>
      <c r="K8" s="54">
        <f t="array" ref="K8">IF(DataConsolidated[[#This Row],[Scenario]]="Forecast (Base)", 0, DataConsolidated[[#This Row],[Revenue]] - INDEX(DataConsolidated[Revenue], MATCH(1, (DataConsolidated[Month]=DataConsolidated[[#This Row],[Month]]) * (DataConsolidated[Product]=DataConsolidated[[#This Row],[Product]]) * (DataConsolidated[Scenario]="Forecast (Base)"), 0)))</f>
        <v>1799460.0000000009</v>
      </c>
      <c r="L8" s="54">
        <f t="array" ref="L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1029465.0000000005</v>
      </c>
      <c r="M8" s="55">
        <f t="array" ref="M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9" spans="1:13" x14ac:dyDescent="0.25">
      <c r="A9" s="132" t="s">
        <v>30</v>
      </c>
      <c r="B9" s="133" t="s">
        <v>4</v>
      </c>
      <c r="C9" s="133" t="s">
        <v>45</v>
      </c>
      <c r="D9" s="134">
        <f>Actual_Under_2026!C10</f>
        <v>950.4</v>
      </c>
      <c r="E9" s="135">
        <f>Actual_Under_2026!D10</f>
        <v>2254</v>
      </c>
      <c r="F9" s="135">
        <f>Actual_Under_2026!E10</f>
        <v>1836</v>
      </c>
      <c r="G9" s="28">
        <f t="shared" si="0"/>
        <v>2142201.6</v>
      </c>
      <c r="H9" s="28">
        <f t="shared" si="1"/>
        <v>1744934.4</v>
      </c>
      <c r="I9" s="28">
        <f t="shared" si="2"/>
        <v>397267.20000000019</v>
      </c>
      <c r="J9" s="29">
        <f t="shared" si="3"/>
        <v>0.1854480922803905</v>
      </c>
      <c r="K9" s="54">
        <f t="array" ref="K9">IF(DataConsolidated[[#This Row],[Scenario]]="Forecast (Base)", 0, DataConsolidated[[#This Row],[Revenue]] - INDEX(DataConsolidated[Revenue], MATCH(1, (DataConsolidated[Month]=DataConsolidated[[#This Row],[Month]]) * (DataConsolidated[Product]=DataConsolidated[[#This Row],[Product]]) * (DataConsolidated[Scenario]="Forecast (Base)"), 0)))</f>
        <v>-1457798.4</v>
      </c>
      <c r="L9" s="54">
        <f t="array" ref="L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-754732.79999999981</v>
      </c>
      <c r="M9" s="55">
        <f t="array" ref="M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-0.13455190771960951</v>
      </c>
    </row>
    <row r="10" spans="1:13" x14ac:dyDescent="0.25">
      <c r="A10" s="132" t="s">
        <v>31</v>
      </c>
      <c r="B10" s="133" t="s">
        <v>4</v>
      </c>
      <c r="C10" s="133" t="s">
        <v>209</v>
      </c>
      <c r="D10" s="134">
        <f>Forecasting_Base!C14</f>
        <v>1680</v>
      </c>
      <c r="E10" s="135">
        <f>Forecasting_Base!D14</f>
        <v>2500</v>
      </c>
      <c r="F10" s="135">
        <f>Forecasting_Base!E14</f>
        <v>1700</v>
      </c>
      <c r="G10" s="28">
        <f t="shared" si="0"/>
        <v>4200000</v>
      </c>
      <c r="H10" s="28">
        <f t="shared" si="1"/>
        <v>2856000</v>
      </c>
      <c r="I10" s="28">
        <f t="shared" si="2"/>
        <v>1344000</v>
      </c>
      <c r="J10" s="29">
        <f t="shared" si="3"/>
        <v>0.32</v>
      </c>
      <c r="K10" s="54">
        <f t="array" ref="K1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 s="54">
        <f t="array" ref="L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 s="55">
        <f t="array" ref="M1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 spans="1:13" x14ac:dyDescent="0.25">
      <c r="A11" s="132" t="s">
        <v>31</v>
      </c>
      <c r="B11" s="133" t="s">
        <v>4</v>
      </c>
      <c r="C11" s="133" t="s">
        <v>122</v>
      </c>
      <c r="D11" s="134">
        <f>Actual_Over_2026!C16</f>
        <v>2268</v>
      </c>
      <c r="E11" s="135">
        <f>Actual_Over_2026!D16</f>
        <v>2727</v>
      </c>
      <c r="F11" s="135">
        <f>Actual_Over_2026!E16</f>
        <v>1625.25</v>
      </c>
      <c r="G11" s="28">
        <f t="shared" si="0"/>
        <v>6184836</v>
      </c>
      <c r="H11" s="28">
        <f t="shared" si="1"/>
        <v>3686067</v>
      </c>
      <c r="I11" s="28">
        <f t="shared" si="2"/>
        <v>2498769</v>
      </c>
      <c r="J11" s="29">
        <f t="shared" si="3"/>
        <v>0.40401540154015403</v>
      </c>
      <c r="K11" s="54">
        <f t="array" ref="K11">IF(DataConsolidated[[#This Row],[Scenario]]="Forecast (Base)", 0, DataConsolidated[[#This Row],[Revenue]] - INDEX(DataConsolidated[Revenue], MATCH(1, (DataConsolidated[Month]=DataConsolidated[[#This Row],[Month]]) * (DataConsolidated[Product]=DataConsolidated[[#This Row],[Product]]) * (DataConsolidated[Scenario]="Forecast (Base)"), 0)))</f>
        <v>1984836</v>
      </c>
      <c r="L11" s="54">
        <f t="array" ref="L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1154769</v>
      </c>
      <c r="M11" s="55">
        <f t="array" ref="M11">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2" spans="1:13" x14ac:dyDescent="0.25">
      <c r="A12" s="132" t="s">
        <v>31</v>
      </c>
      <c r="B12" s="133" t="s">
        <v>4</v>
      </c>
      <c r="C12" s="133" t="s">
        <v>45</v>
      </c>
      <c r="D12" s="134">
        <f>Actual_Under_2026!C16</f>
        <v>1159.2</v>
      </c>
      <c r="E12" s="135">
        <f>Actual_Under_2026!D16</f>
        <v>2277</v>
      </c>
      <c r="F12" s="135">
        <f>Actual_Under_2026!E16</f>
        <v>1818</v>
      </c>
      <c r="G12" s="28">
        <f t="shared" si="0"/>
        <v>2639498.4</v>
      </c>
      <c r="H12" s="28">
        <f t="shared" si="1"/>
        <v>2107425.6</v>
      </c>
      <c r="I12" s="28">
        <f t="shared" si="2"/>
        <v>532072.79999999981</v>
      </c>
      <c r="J12" s="29">
        <f t="shared" si="3"/>
        <v>0.20158102766798414</v>
      </c>
      <c r="K12" s="54">
        <f t="array" ref="K12">IF(DataConsolidated[[#This Row],[Scenario]]="Forecast (Base)", 0, DataConsolidated[[#This Row],[Revenue]] - INDEX(DataConsolidated[Revenue], MATCH(1, (DataConsolidated[Month]=DataConsolidated[[#This Row],[Month]]) * (DataConsolidated[Product]=DataConsolidated[[#This Row],[Product]]) * (DataConsolidated[Scenario]="Forecast (Base)"), 0)))</f>
        <v>-1560501.6</v>
      </c>
      <c r="L12" s="54">
        <f t="array" ref="L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-811927.20000000019</v>
      </c>
      <c r="M12" s="55">
        <f t="array" ref="M12">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-0.11841897233201587</v>
      </c>
    </row>
    <row r="13" spans="1:13" x14ac:dyDescent="0.25">
      <c r="A13" s="132" t="s">
        <v>32</v>
      </c>
      <c r="B13" s="133" t="s">
        <v>4</v>
      </c>
      <c r="C13" s="133" t="s">
        <v>209</v>
      </c>
      <c r="D13" s="134">
        <f>Forecasting_Base!C19</f>
        <v>1760.0000000000002</v>
      </c>
      <c r="E13" s="135">
        <f>Forecasting_Base!D19</f>
        <v>2500</v>
      </c>
      <c r="F13" s="135">
        <f>Forecasting_Base!E19</f>
        <v>1700</v>
      </c>
      <c r="G13" s="28">
        <f t="shared" si="0"/>
        <v>4400000.0000000009</v>
      </c>
      <c r="H13" s="28">
        <f t="shared" si="1"/>
        <v>2992000.0000000005</v>
      </c>
      <c r="I13" s="28">
        <f t="shared" si="2"/>
        <v>1408000.0000000005</v>
      </c>
      <c r="J13" s="29">
        <f t="shared" si="3"/>
        <v>0.32000000000000006</v>
      </c>
      <c r="K13" s="54">
        <f t="array" ref="K1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 s="54">
        <f t="array" ref="L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 s="55">
        <f t="array" ref="M1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 spans="1:13" x14ac:dyDescent="0.25">
      <c r="A14" s="132" t="s">
        <v>32</v>
      </c>
      <c r="B14" s="133" t="s">
        <v>4</v>
      </c>
      <c r="C14" s="133" t="s">
        <v>122</v>
      </c>
      <c r="D14" s="134">
        <f>Actual_Over_2026!C22</f>
        <v>2420</v>
      </c>
      <c r="E14" s="135">
        <f>Actual_Over_2026!D22</f>
        <v>2727</v>
      </c>
      <c r="F14" s="135">
        <f>Actual_Over_2026!E22</f>
        <v>1625.25</v>
      </c>
      <c r="G14" s="28">
        <f t="shared" si="0"/>
        <v>6599340</v>
      </c>
      <c r="H14" s="28">
        <f t="shared" si="1"/>
        <v>3933105</v>
      </c>
      <c r="I14" s="28">
        <f t="shared" si="2"/>
        <v>2666235</v>
      </c>
      <c r="J14" s="29">
        <f t="shared" si="3"/>
        <v>0.40401540154015403</v>
      </c>
      <c r="K14" s="54">
        <f t="array" ref="K14">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14" s="54">
        <f t="array" ref="L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14" s="55">
        <f t="array" ref="M14">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15" spans="1:13" x14ac:dyDescent="0.25">
      <c r="A15" s="132" t="s">
        <v>32</v>
      </c>
      <c r="B15" s="133" t="s">
        <v>4</v>
      </c>
      <c r="C15" s="133" t="s">
        <v>45</v>
      </c>
      <c r="D15" s="134">
        <f>Actual_Under_2026!C22</f>
        <v>1254</v>
      </c>
      <c r="E15" s="135">
        <f>Actual_Under_2026!D22</f>
        <v>2300</v>
      </c>
      <c r="F15" s="135">
        <f>Actual_Under_2026!E22</f>
        <v>1800</v>
      </c>
      <c r="G15" s="28">
        <f t="shared" si="0"/>
        <v>2884200</v>
      </c>
      <c r="H15" s="28">
        <f t="shared" si="1"/>
        <v>2257200</v>
      </c>
      <c r="I15" s="28">
        <f t="shared" si="2"/>
        <v>627000</v>
      </c>
      <c r="J15" s="29">
        <f t="shared" si="3"/>
        <v>0.21739130434782608</v>
      </c>
      <c r="K15" s="54">
        <f t="array" ref="K15">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15" s="54">
        <f t="array" ref="L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15" s="55">
        <f t="array" ref="M15">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16" spans="1:13" x14ac:dyDescent="0.25">
      <c r="A16" s="132" t="s">
        <v>27</v>
      </c>
      <c r="B16" s="133" t="s">
        <v>4</v>
      </c>
      <c r="C16" s="133" t="s">
        <v>209</v>
      </c>
      <c r="D16" s="134">
        <f>Forecasting_Base!C24</f>
        <v>1920</v>
      </c>
      <c r="E16" s="135">
        <f>Forecasting_Base!D24</f>
        <v>2500</v>
      </c>
      <c r="F16" s="135">
        <f>Forecasting_Base!E24</f>
        <v>1700</v>
      </c>
      <c r="G16" s="28">
        <f t="shared" si="0"/>
        <v>4800000</v>
      </c>
      <c r="H16" s="28">
        <f t="shared" si="1"/>
        <v>3264000</v>
      </c>
      <c r="I16" s="28">
        <f t="shared" si="2"/>
        <v>1536000</v>
      </c>
      <c r="J16" s="29">
        <f t="shared" si="3"/>
        <v>0.32</v>
      </c>
      <c r="K16" s="54">
        <f t="array" ref="K1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 s="54">
        <f t="array" ref="L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 s="55">
        <f t="array" ref="M1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 spans="1:13" x14ac:dyDescent="0.25">
      <c r="A17" s="132" t="s">
        <v>27</v>
      </c>
      <c r="B17" s="133" t="s">
        <v>4</v>
      </c>
      <c r="C17" s="133" t="s">
        <v>122</v>
      </c>
      <c r="D17" s="134">
        <f>Actual_Over_2026!C28</f>
        <v>2640</v>
      </c>
      <c r="E17" s="135">
        <f>Actual_Over_2026!D28</f>
        <v>2727</v>
      </c>
      <c r="F17" s="135">
        <f>Actual_Over_2026!E28</f>
        <v>1625.25</v>
      </c>
      <c r="G17" s="28">
        <f t="shared" si="0"/>
        <v>7199280</v>
      </c>
      <c r="H17" s="28">
        <f t="shared" si="1"/>
        <v>4290660</v>
      </c>
      <c r="I17" s="28">
        <f t="shared" si="2"/>
        <v>2908620</v>
      </c>
      <c r="J17" s="29">
        <f t="shared" si="3"/>
        <v>0.40401540154015403</v>
      </c>
      <c r="K17" s="54">
        <f t="array" ref="K17">IF(DataConsolidated[[#This Row],[Scenario]]="Forecast (Base)", 0, DataConsolidated[[#This Row],[Revenue]] - INDEX(DataConsolidated[Revenue], MATCH(1, (DataConsolidated[Month]=DataConsolidated[[#This Row],[Month]]) * (DataConsolidated[Product]=DataConsolidated[[#This Row],[Product]]) * (DataConsolidated[Scenario]="Forecast (Base)"), 0)))</f>
        <v>2399280</v>
      </c>
      <c r="L17" s="54">
        <f t="array" ref="L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1372620</v>
      </c>
      <c r="M17" s="55">
        <f t="array" ref="M17">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18" spans="1:13" x14ac:dyDescent="0.25">
      <c r="A18" s="132" t="s">
        <v>27</v>
      </c>
      <c r="B18" s="133" t="s">
        <v>4</v>
      </c>
      <c r="C18" s="133" t="s">
        <v>45</v>
      </c>
      <c r="D18" s="134">
        <f>Actual_Under_2026!C28</f>
        <v>1353.6</v>
      </c>
      <c r="E18" s="135">
        <f>Actual_Under_2026!D28</f>
        <v>2277</v>
      </c>
      <c r="F18" s="135">
        <f>Actual_Under_2026!E28</f>
        <v>1818</v>
      </c>
      <c r="G18" s="28">
        <f t="shared" si="0"/>
        <v>3082147.1999999997</v>
      </c>
      <c r="H18" s="28">
        <f t="shared" si="1"/>
        <v>2460844.7999999998</v>
      </c>
      <c r="I18" s="28">
        <f t="shared" si="2"/>
        <v>621302.39999999991</v>
      </c>
      <c r="J18" s="29">
        <f t="shared" si="3"/>
        <v>0.20158102766798416</v>
      </c>
      <c r="K18" s="54">
        <f t="array" ref="K18">IF(DataConsolidated[[#This Row],[Scenario]]="Forecast (Base)", 0, DataConsolidated[[#This Row],[Revenue]] - INDEX(DataConsolidated[Revenue], MATCH(1, (DataConsolidated[Month]=DataConsolidated[[#This Row],[Month]]) * (DataConsolidated[Product]=DataConsolidated[[#This Row],[Product]]) * (DataConsolidated[Scenario]="Forecast (Base)"), 0)))</f>
        <v>-1717852.8000000003</v>
      </c>
      <c r="L18" s="54">
        <f t="array" ref="L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-914697.60000000009</v>
      </c>
      <c r="M18" s="55">
        <f t="array" ref="M18">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-0.11841897233201584</v>
      </c>
    </row>
    <row r="19" spans="1:13" x14ac:dyDescent="0.25">
      <c r="A19" s="132" t="s">
        <v>33</v>
      </c>
      <c r="B19" s="133" t="s">
        <v>4</v>
      </c>
      <c r="C19" s="133" t="s">
        <v>209</v>
      </c>
      <c r="D19" s="134">
        <f>Forecasting_Base!C29</f>
        <v>1839.9999999999998</v>
      </c>
      <c r="E19" s="135">
        <f>Forecasting_Base!D29</f>
        <v>2500</v>
      </c>
      <c r="F19" s="135">
        <f>Forecasting_Base!E29</f>
        <v>1700</v>
      </c>
      <c r="G19" s="28">
        <f t="shared" si="0"/>
        <v>4599999.9999999991</v>
      </c>
      <c r="H19" s="28">
        <f t="shared" si="1"/>
        <v>3127999.9999999995</v>
      </c>
      <c r="I19" s="28">
        <f t="shared" si="2"/>
        <v>1471999.9999999995</v>
      </c>
      <c r="J19" s="29">
        <f t="shared" si="3"/>
        <v>0.31999999999999995</v>
      </c>
      <c r="K19" s="54">
        <f t="array" ref="K1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9" s="54">
        <f t="array" ref="L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9" s="55">
        <f t="array" ref="M1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0" spans="1:13" x14ac:dyDescent="0.25">
      <c r="A20" s="132" t="s">
        <v>33</v>
      </c>
      <c r="B20" s="133" t="s">
        <v>4</v>
      </c>
      <c r="C20" s="133" t="s">
        <v>122</v>
      </c>
      <c r="D20" s="134">
        <f>Actual_Over_2026!C34</f>
        <v>2484</v>
      </c>
      <c r="E20" s="135">
        <f>Actual_Over_2026!D34</f>
        <v>2727</v>
      </c>
      <c r="F20" s="135">
        <f>Actual_Over_2026!E34</f>
        <v>1625.25</v>
      </c>
      <c r="G20" s="28">
        <f t="shared" si="0"/>
        <v>6773868</v>
      </c>
      <c r="H20" s="28">
        <f t="shared" si="1"/>
        <v>4037121</v>
      </c>
      <c r="I20" s="28">
        <f t="shared" si="2"/>
        <v>2736747</v>
      </c>
      <c r="J20" s="29">
        <f t="shared" si="3"/>
        <v>0.40401540154015403</v>
      </c>
      <c r="K20" s="54">
        <f t="array" ref="K20">IF(DataConsolidated[[#This Row],[Scenario]]="Forecast (Base)", 0, DataConsolidated[[#This Row],[Revenue]] - INDEX(DataConsolidated[Revenue], MATCH(1, (DataConsolidated[Month]=DataConsolidated[[#This Row],[Month]]) * (DataConsolidated[Product]=DataConsolidated[[#This Row],[Product]]) * (DataConsolidated[Scenario]="Forecast (Base)"), 0)))</f>
        <v>2173868.0000000009</v>
      </c>
      <c r="L20" s="54">
        <f t="array" ref="L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1264747.0000000005</v>
      </c>
      <c r="M20" s="55">
        <f t="array" ref="M20">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8.4015401540154078E-2</v>
      </c>
    </row>
    <row r="21" spans="1:13" x14ac:dyDescent="0.25">
      <c r="A21" s="132" t="s">
        <v>33</v>
      </c>
      <c r="B21" s="133" t="s">
        <v>4</v>
      </c>
      <c r="C21" s="133" t="s">
        <v>45</v>
      </c>
      <c r="D21" s="134">
        <f>Actual_Under_2026!C34</f>
        <v>1269.6000000000001</v>
      </c>
      <c r="E21" s="135">
        <f>Actual_Under_2026!D34</f>
        <v>2277</v>
      </c>
      <c r="F21" s="135">
        <f>Actual_Under_2026!E34</f>
        <v>1818</v>
      </c>
      <c r="G21" s="28">
        <f t="shared" si="0"/>
        <v>2890879.2</v>
      </c>
      <c r="H21" s="28">
        <f t="shared" si="1"/>
        <v>2308132.8000000003</v>
      </c>
      <c r="I21" s="28">
        <f t="shared" si="2"/>
        <v>582746.39999999991</v>
      </c>
      <c r="J21" s="29">
        <f t="shared" si="3"/>
        <v>0.20158102766798414</v>
      </c>
      <c r="K21" s="54">
        <f t="array" ref="K21">IF(DataConsolidated[[#This Row],[Scenario]]="Forecast (Base)", 0, DataConsolidated[[#This Row],[Revenue]] - INDEX(DataConsolidated[Revenue], MATCH(1, (DataConsolidated[Month]=DataConsolidated[[#This Row],[Month]]) * (DataConsolidated[Product]=DataConsolidated[[#This Row],[Product]]) * (DataConsolidated[Scenario]="Forecast (Base)"), 0)))</f>
        <v>-1709120.7999999989</v>
      </c>
      <c r="L21" s="54">
        <f t="array" ref="L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-889253.59999999963</v>
      </c>
      <c r="M21" s="55">
        <f t="array" ref="M21">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22" spans="1:13" x14ac:dyDescent="0.25">
      <c r="A22" s="132" t="s">
        <v>28</v>
      </c>
      <c r="B22" s="133" t="s">
        <v>4</v>
      </c>
      <c r="C22" s="133" t="s">
        <v>209</v>
      </c>
      <c r="D22" s="134">
        <f>Forecasting_Base!C34</f>
        <v>1680</v>
      </c>
      <c r="E22" s="135">
        <f>Forecasting_Base!D34</f>
        <v>2500</v>
      </c>
      <c r="F22" s="135">
        <f>Forecasting_Base!E34</f>
        <v>1700</v>
      </c>
      <c r="G22" s="28">
        <f t="shared" si="0"/>
        <v>4200000</v>
      </c>
      <c r="H22" s="28">
        <f t="shared" si="1"/>
        <v>2856000</v>
      </c>
      <c r="I22" s="28">
        <f t="shared" si="2"/>
        <v>1344000</v>
      </c>
      <c r="J22" s="29">
        <f t="shared" si="3"/>
        <v>0.32</v>
      </c>
      <c r="K22" s="54">
        <f t="array" ref="K22">IF(DataConsolidated[[#This Row],[Scenario]]="Forecast (Base)", 0, DataConsolidated[[#This Row],[Revenue]] - INDEX(DataConsolidated[Revenue], MATCH(1, (DataConsolidated[Month]=DataConsolidated[[#This Row],[Month]]) * (DataConsolidated[Product]=DataConsolidated[[#This Row],[Product]]) * (DataConsolidated[Scenario]="Forecast (Base)"), 0)))</f>
        <v>0</v>
      </c>
      <c r="L22" s="54">
        <f t="array" ref="L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2" s="55">
        <f t="array" ref="M2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3" spans="1:13" x14ac:dyDescent="0.25">
      <c r="A23" s="132" t="s">
        <v>28</v>
      </c>
      <c r="B23" s="133" t="s">
        <v>4</v>
      </c>
      <c r="C23" s="133" t="s">
        <v>122</v>
      </c>
      <c r="D23" s="134">
        <f>Actual_Over_2026!C40</f>
        <v>2226</v>
      </c>
      <c r="E23" s="135">
        <f>Actual_Over_2026!D40</f>
        <v>2727</v>
      </c>
      <c r="F23" s="135">
        <f>Actual_Over_2026!E40</f>
        <v>1625.25</v>
      </c>
      <c r="G23" s="28">
        <f t="shared" si="0"/>
        <v>6070302</v>
      </c>
      <c r="H23" s="28">
        <f t="shared" si="1"/>
        <v>3617806.5</v>
      </c>
      <c r="I23" s="28">
        <f t="shared" si="2"/>
        <v>2452495.5</v>
      </c>
      <c r="J23" s="29">
        <f t="shared" si="3"/>
        <v>0.40401540154015403</v>
      </c>
      <c r="K23" s="54">
        <f t="array" ref="K23">IF(DataConsolidated[[#This Row],[Scenario]]="Forecast (Base)", 0, DataConsolidated[[#This Row],[Revenue]] - INDEX(DataConsolidated[Revenue], MATCH(1, (DataConsolidated[Month]=DataConsolidated[[#This Row],[Month]]) * (DataConsolidated[Product]=DataConsolidated[[#This Row],[Product]]) * (DataConsolidated[Scenario]="Forecast (Base)"), 0)))</f>
        <v>1870302</v>
      </c>
      <c r="L23" s="54">
        <f t="array" ref="L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1108495.5</v>
      </c>
      <c r="M23" s="55">
        <f t="array" ref="M23">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24" spans="1:13" x14ac:dyDescent="0.25">
      <c r="A24" s="132" t="s">
        <v>28</v>
      </c>
      <c r="B24" s="133" t="s">
        <v>4</v>
      </c>
      <c r="C24" s="133" t="s">
        <v>45</v>
      </c>
      <c r="D24" s="134">
        <f>Actual_Under_2026!C40</f>
        <v>1197</v>
      </c>
      <c r="E24" s="135">
        <f>Actual_Under_2026!D40</f>
        <v>2300</v>
      </c>
      <c r="F24" s="135">
        <f>Actual_Under_2026!E40</f>
        <v>1800</v>
      </c>
      <c r="G24" s="28">
        <f t="shared" si="0"/>
        <v>2753100</v>
      </c>
      <c r="H24" s="28">
        <f t="shared" si="1"/>
        <v>2154600</v>
      </c>
      <c r="I24" s="28">
        <f t="shared" si="2"/>
        <v>598500</v>
      </c>
      <c r="J24" s="29">
        <f t="shared" si="3"/>
        <v>0.21739130434782608</v>
      </c>
      <c r="K24" s="54">
        <f t="array" ref="K24">IF(DataConsolidated[[#This Row],[Scenario]]="Forecast (Base)", 0, DataConsolidated[[#This Row],[Revenue]] - INDEX(DataConsolidated[Revenue], MATCH(1, (DataConsolidated[Month]=DataConsolidated[[#This Row],[Month]]) * (DataConsolidated[Product]=DataConsolidated[[#This Row],[Product]]) * (DataConsolidated[Scenario]="Forecast (Base)"), 0)))</f>
        <v>-1446900</v>
      </c>
      <c r="L24" s="54">
        <f t="array" ref="L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-745500</v>
      </c>
      <c r="M24" s="55">
        <f t="array" ref="M24">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-0.10260869565217393</v>
      </c>
    </row>
    <row r="25" spans="1:13" x14ac:dyDescent="0.25">
      <c r="A25" s="132" t="s">
        <v>34</v>
      </c>
      <c r="B25" s="133" t="s">
        <v>4</v>
      </c>
      <c r="C25" s="133" t="s">
        <v>209</v>
      </c>
      <c r="D25" s="134">
        <f>Forecasting_Base!C39</f>
        <v>1760.0000000000002</v>
      </c>
      <c r="E25" s="135">
        <f>Forecasting_Base!D39</f>
        <v>2500</v>
      </c>
      <c r="F25" s="135">
        <f>Forecasting_Base!E39</f>
        <v>1700</v>
      </c>
      <c r="G25" s="28">
        <f t="shared" si="0"/>
        <v>4400000.0000000009</v>
      </c>
      <c r="H25" s="28">
        <f t="shared" si="1"/>
        <v>2992000.0000000005</v>
      </c>
      <c r="I25" s="28">
        <f t="shared" si="2"/>
        <v>1408000.0000000005</v>
      </c>
      <c r="J25" s="29">
        <f t="shared" si="3"/>
        <v>0.32000000000000006</v>
      </c>
      <c r="K25" s="54">
        <f t="array" ref="K25">IF(DataConsolidated[[#This Row],[Scenario]]="Forecast (Base)", 0, DataConsolidated[[#This Row],[Revenue]] - INDEX(DataConsolidated[Revenue], MATCH(1, (DataConsolidated[Month]=DataConsolidated[[#This Row],[Month]]) * (DataConsolidated[Product]=DataConsolidated[[#This Row],[Product]]) * (DataConsolidated[Scenario]="Forecast (Base)"), 0)))</f>
        <v>0</v>
      </c>
      <c r="L25" s="54">
        <f t="array" ref="L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5" s="55">
        <f t="array" ref="M2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6" spans="1:13" x14ac:dyDescent="0.25">
      <c r="A26" s="132" t="s">
        <v>34</v>
      </c>
      <c r="B26" s="133" t="s">
        <v>4</v>
      </c>
      <c r="C26" s="133" t="s">
        <v>122</v>
      </c>
      <c r="D26" s="134">
        <f>Actual_Over_2026!C46</f>
        <v>2420</v>
      </c>
      <c r="E26" s="135">
        <f>Actual_Over_2026!D46</f>
        <v>2727</v>
      </c>
      <c r="F26" s="135">
        <f>Actual_Over_2026!E46</f>
        <v>1625.25</v>
      </c>
      <c r="G26" s="28">
        <f t="shared" si="0"/>
        <v>6599340</v>
      </c>
      <c r="H26" s="28">
        <f t="shared" si="1"/>
        <v>3933105</v>
      </c>
      <c r="I26" s="28">
        <f t="shared" si="2"/>
        <v>2666235</v>
      </c>
      <c r="J26" s="29">
        <f t="shared" si="3"/>
        <v>0.40401540154015403</v>
      </c>
      <c r="K26" s="54">
        <f t="array" ref="K26">IF(DataConsolidated[[#This Row],[Scenario]]="Forecast (Base)", 0, DataConsolidated[[#This Row],[Revenue]] - INDEX(DataConsolidated[Revenue], MATCH(1, (DataConsolidated[Month]=DataConsolidated[[#This Row],[Month]]) * (DataConsolidated[Product]=DataConsolidated[[#This Row],[Product]]) * (DataConsolidated[Scenario]="Forecast (Base)"), 0)))</f>
        <v>2199339.9999999991</v>
      </c>
      <c r="L26" s="54">
        <f t="array" ref="L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1258234.9999999995</v>
      </c>
      <c r="M26" s="55">
        <f t="array" ref="M26">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8.4015401540153967E-2</v>
      </c>
    </row>
    <row r="27" spans="1:13" x14ac:dyDescent="0.25">
      <c r="A27" s="132" t="s">
        <v>34</v>
      </c>
      <c r="B27" s="133" t="s">
        <v>4</v>
      </c>
      <c r="C27" s="133" t="s">
        <v>45</v>
      </c>
      <c r="D27" s="134">
        <f>Actual_Under_2026!C46</f>
        <v>1254</v>
      </c>
      <c r="E27" s="135">
        <f>Actual_Under_2026!D46</f>
        <v>2300</v>
      </c>
      <c r="F27" s="135">
        <f>Actual_Under_2026!E46</f>
        <v>1800</v>
      </c>
      <c r="G27" s="28">
        <f t="shared" si="0"/>
        <v>2884200</v>
      </c>
      <c r="H27" s="28">
        <f t="shared" si="1"/>
        <v>2257200</v>
      </c>
      <c r="I27" s="28">
        <f t="shared" si="2"/>
        <v>627000</v>
      </c>
      <c r="J27" s="29">
        <f t="shared" si="3"/>
        <v>0.21739130434782608</v>
      </c>
      <c r="K27" s="54">
        <f t="array" ref="K27">IF(DataConsolidated[[#This Row],[Scenario]]="Forecast (Base)", 0, DataConsolidated[[#This Row],[Revenue]] - INDEX(DataConsolidated[Revenue], MATCH(1, (DataConsolidated[Month]=DataConsolidated[[#This Row],[Month]]) * (DataConsolidated[Product]=DataConsolidated[[#This Row],[Product]]) * (DataConsolidated[Scenario]="Forecast (Base)"), 0)))</f>
        <v>-1515800.0000000009</v>
      </c>
      <c r="L27" s="54">
        <f t="array" ref="L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-781000.00000000047</v>
      </c>
      <c r="M27" s="55">
        <f t="array" ref="M27">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-0.10260869565217398</v>
      </c>
    </row>
    <row r="28" spans="1:13" x14ac:dyDescent="0.25">
      <c r="A28" s="132" t="s">
        <v>35</v>
      </c>
      <c r="B28" s="133" t="s">
        <v>4</v>
      </c>
      <c r="C28" s="133" t="s">
        <v>209</v>
      </c>
      <c r="D28" s="134">
        <f>Forecasting_Base!C44</f>
        <v>1839.9999999999998</v>
      </c>
      <c r="E28" s="135">
        <f>Forecasting_Base!D44</f>
        <v>2500</v>
      </c>
      <c r="F28" s="135">
        <f>Forecasting_Base!E44</f>
        <v>1700</v>
      </c>
      <c r="G28" s="28">
        <f t="shared" si="0"/>
        <v>4599999.9999999991</v>
      </c>
      <c r="H28" s="28">
        <f t="shared" si="1"/>
        <v>3127999.9999999995</v>
      </c>
      <c r="I28" s="28">
        <f t="shared" si="2"/>
        <v>1471999.9999999995</v>
      </c>
      <c r="J28" s="29">
        <f t="shared" si="3"/>
        <v>0.31999999999999995</v>
      </c>
      <c r="K28" s="54">
        <f t="array" ref="K28">IF(DataConsolidated[[#This Row],[Scenario]]="Forecast (Base)", 0, DataConsolidated[[#This Row],[Revenue]] - INDEX(DataConsolidated[Revenue], MATCH(1, (DataConsolidated[Month]=DataConsolidated[[#This Row],[Month]]) * (DataConsolidated[Product]=DataConsolidated[[#This Row],[Product]]) * (DataConsolidated[Scenario]="Forecast (Base)"), 0)))</f>
        <v>0</v>
      </c>
      <c r="L28" s="54">
        <f t="array" ref="L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28" s="55">
        <f t="array" ref="M2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29" spans="1:13" x14ac:dyDescent="0.25">
      <c r="A29" s="132" t="s">
        <v>35</v>
      </c>
      <c r="B29" s="133" t="s">
        <v>4</v>
      </c>
      <c r="C29" s="133" t="s">
        <v>122</v>
      </c>
      <c r="D29" s="134">
        <f>Actual_Over_2026!C52</f>
        <v>2415</v>
      </c>
      <c r="E29" s="135">
        <f>Actual_Over_2026!D52</f>
        <v>2700</v>
      </c>
      <c r="F29" s="135">
        <f>Actual_Over_2026!E52</f>
        <v>1650</v>
      </c>
      <c r="G29" s="28">
        <f t="shared" si="0"/>
        <v>6520500</v>
      </c>
      <c r="H29" s="28">
        <f t="shared" si="1"/>
        <v>3984750</v>
      </c>
      <c r="I29" s="28">
        <f t="shared" si="2"/>
        <v>2535750</v>
      </c>
      <c r="J29" s="29">
        <f t="shared" si="3"/>
        <v>0.3888888888888889</v>
      </c>
      <c r="K29" s="54">
        <f t="array" ref="K29">IF(DataConsolidated[[#This Row],[Scenario]]="Forecast (Base)", 0, DataConsolidated[[#This Row],[Revenue]] - INDEX(DataConsolidated[Revenue], MATCH(1, (DataConsolidated[Month]=DataConsolidated[[#This Row],[Month]]) * (DataConsolidated[Product]=DataConsolidated[[#This Row],[Product]]) * (DataConsolidated[Scenario]="Forecast (Base)"), 0)))</f>
        <v>1920500.0000000009</v>
      </c>
      <c r="L29" s="54">
        <f t="array" ref="L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1063750.0000000005</v>
      </c>
      <c r="M29" s="55">
        <f t="array" ref="M29">IF(DataConsolidated[[#This Row],[Scenario]]="Forecast (Base)", 0, DataConsolidated[[#This Row],[Margin %]] -
  INDEX(DataConsolidated[Margin %], MATCH(1, (DataConsolidated[Month]=DataConsolidated[[#This Row],[Month]]) * (DataConsolidated[Product]=DataConsolidated[[#This Row],[Product]]) * (DataConsolidated[Scenario]="Forecast (Base)"), 0)))</f>
        <v>6.8888888888888944E-2</v>
      </c>
    </row>
    <row r="30" spans="1:13" x14ac:dyDescent="0.25">
      <c r="A30" s="132" t="s">
        <v>35</v>
      </c>
      <c r="B30" s="133" t="s">
        <v>4</v>
      </c>
      <c r="C30" s="133" t="s">
        <v>45</v>
      </c>
      <c r="D30" s="134">
        <f>Actual_Under_2026!C52</f>
        <v>1324.8</v>
      </c>
      <c r="E30" s="135">
        <f>Actual_Under_2026!D52</f>
        <v>2300</v>
      </c>
      <c r="F30" s="135">
        <f>Actual_Under_2026!E52</f>
        <v>1800</v>
      </c>
      <c r="G30" s="28">
        <f t="shared" si="0"/>
        <v>3047040</v>
      </c>
      <c r="H30" s="28">
        <f t="shared" si="1"/>
        <v>2384640</v>
      </c>
      <c r="I30" s="28">
        <f t="shared" si="2"/>
        <v>662400</v>
      </c>
      <c r="J30" s="29">
        <f t="shared" si="3"/>
        <v>0.21739130434782608</v>
      </c>
      <c r="K30" s="54">
        <f t="array" ref="K30">IF(DataConsolidated[[#This Row],[Scenario]]="Forecast (Base)", 0, DataConsolidated[[#This Row],[Revenue]] - INDEX(DataConsolidated[Revenue], MATCH(1, (DataConsolidated[Month]=DataConsolidated[[#This Row],[Month]]) * (DataConsolidated[Product]=DataConsolidated[[#This Row],[Product]]) * (DataConsolidated[Scenario]="Forecast (Base)"), 0)))</f>
        <v>-1552959.9999999991</v>
      </c>
      <c r="L30" s="54">
        <f t="array" ref="L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-809599.99999999953</v>
      </c>
      <c r="M30" s="55">
        <f t="array" ref="M30">IF(DataConsolidated[[#This Row],[Scenario]]="Forecast (Base)", 0, DataConsolidated[[#This Row],[Margin %]] -
  INDEX(DataConsolidated[Margin %], MATCH(1, (DataConsolidated[Month]=DataConsolidated[[#This Row],[Month]]) * (DataConsolidated[Product]=DataConsolidated[[#This Row],[Product]]) * (DataConsolidated[Scenario]="Forecast (Base)"), 0)))</f>
        <v>-0.10260869565217387</v>
      </c>
    </row>
    <row r="31" spans="1:13" x14ac:dyDescent="0.25">
      <c r="A31" s="132" t="s">
        <v>36</v>
      </c>
      <c r="B31" s="133" t="s">
        <v>4</v>
      </c>
      <c r="C31" s="133" t="s">
        <v>209</v>
      </c>
      <c r="D31" s="134">
        <f>Forecasting_Base!C49</f>
        <v>2080</v>
      </c>
      <c r="E31" s="135">
        <f>Forecasting_Base!D49</f>
        <v>2500</v>
      </c>
      <c r="F31" s="135">
        <f>Forecasting_Base!E49</f>
        <v>1700</v>
      </c>
      <c r="G31" s="28">
        <f t="shared" si="0"/>
        <v>5200000</v>
      </c>
      <c r="H31" s="28">
        <f t="shared" si="1"/>
        <v>3536000</v>
      </c>
      <c r="I31" s="28">
        <f t="shared" si="2"/>
        <v>1664000</v>
      </c>
      <c r="J31" s="29">
        <f t="shared" si="3"/>
        <v>0.32</v>
      </c>
      <c r="K31" s="54">
        <f t="array" ref="K31">IF(DataConsolidated[[#This Row],[Scenario]]="Forecast (Base)", 0, DataConsolidated[[#This Row],[Revenue]] - INDEX(DataConsolidated[Revenue], MATCH(1, (DataConsolidated[Month]=DataConsolidated[[#This Row],[Month]]) * (DataConsolidated[Product]=DataConsolidated[[#This Row],[Product]]) * (DataConsolidated[Scenario]="Forecast (Base)"), 0)))</f>
        <v>0</v>
      </c>
      <c r="L31" s="54">
        <f t="array" ref="L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1" s="55">
        <f t="array" ref="M3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2" spans="1:13" x14ac:dyDescent="0.25">
      <c r="A32" s="132" t="s">
        <v>36</v>
      </c>
      <c r="B32" s="133" t="s">
        <v>4</v>
      </c>
      <c r="C32" s="133" t="s">
        <v>122</v>
      </c>
      <c r="D32" s="134">
        <f>Actual_Over_2026!C58</f>
        <v>2989.9999999999995</v>
      </c>
      <c r="E32" s="135">
        <f>Actual_Over_2026!D58</f>
        <v>2754</v>
      </c>
      <c r="F32" s="135">
        <f>Actual_Over_2026!E58</f>
        <v>1608.75</v>
      </c>
      <c r="G32" s="28">
        <f t="shared" si="0"/>
        <v>8234459.9999999991</v>
      </c>
      <c r="H32" s="28">
        <f t="shared" si="1"/>
        <v>4810162.4999999991</v>
      </c>
      <c r="I32" s="28">
        <f t="shared" si="2"/>
        <v>3424297.5</v>
      </c>
      <c r="J32" s="29">
        <f t="shared" si="3"/>
        <v>0.4158496732026144</v>
      </c>
      <c r="K32" s="54">
        <f t="array" ref="K32">IF(DataConsolidated[[#This Row],[Scenario]]="Forecast (Base)", 0, DataConsolidated[[#This Row],[Revenue]] - INDEX(DataConsolidated[Revenue], MATCH(1, (DataConsolidated[Month]=DataConsolidated[[#This Row],[Month]]) * (DataConsolidated[Product]=DataConsolidated[[#This Row],[Product]]) * (DataConsolidated[Scenario]="Forecast (Base)"), 0)))</f>
        <v>3034459.9999999991</v>
      </c>
      <c r="L32" s="54">
        <f t="array" ref="L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1760297.5</v>
      </c>
      <c r="M32" s="55">
        <f t="array" ref="M32">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9.5849673202614394E-2</v>
      </c>
    </row>
    <row r="33" spans="1:13" x14ac:dyDescent="0.25">
      <c r="A33" s="132" t="s">
        <v>36</v>
      </c>
      <c r="B33" s="133" t="s">
        <v>4</v>
      </c>
      <c r="C33" s="133" t="s">
        <v>45</v>
      </c>
      <c r="D33" s="134">
        <f>Actual_Under_2026!C58</f>
        <v>1404</v>
      </c>
      <c r="E33" s="135">
        <f>Actual_Under_2026!D58</f>
        <v>2277</v>
      </c>
      <c r="F33" s="135">
        <f>Actual_Under_2026!E58</f>
        <v>1818</v>
      </c>
      <c r="G33" s="28">
        <f t="shared" si="0"/>
        <v>3196908</v>
      </c>
      <c r="H33" s="28">
        <f t="shared" si="1"/>
        <v>2552472</v>
      </c>
      <c r="I33" s="28">
        <f t="shared" si="2"/>
        <v>644436</v>
      </c>
      <c r="J33" s="29">
        <f t="shared" si="3"/>
        <v>0.20158102766798419</v>
      </c>
      <c r="K33" s="54">
        <f t="array" ref="K33">IF(DataConsolidated[[#This Row],[Scenario]]="Forecast (Base)", 0, DataConsolidated[[#This Row],[Revenue]] - INDEX(DataConsolidated[Revenue], MATCH(1, (DataConsolidated[Month]=DataConsolidated[[#This Row],[Month]]) * (DataConsolidated[Product]=DataConsolidated[[#This Row],[Product]]) * (DataConsolidated[Scenario]="Forecast (Base)"), 0)))</f>
        <v>-2003092</v>
      </c>
      <c r="L33" s="54">
        <f t="array" ref="L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-1019564</v>
      </c>
      <c r="M33" s="55">
        <f t="array" ref="M33">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4" spans="1:13" x14ac:dyDescent="0.25">
      <c r="A34" s="132" t="s">
        <v>37</v>
      </c>
      <c r="B34" s="133" t="s">
        <v>4</v>
      </c>
      <c r="C34" s="133" t="s">
        <v>209</v>
      </c>
      <c r="D34" s="134">
        <f>Forecasting_Base!C54</f>
        <v>2000</v>
      </c>
      <c r="E34" s="135">
        <f>Forecasting_Base!D54</f>
        <v>2500</v>
      </c>
      <c r="F34" s="135">
        <f>Forecasting_Base!E54</f>
        <v>1700</v>
      </c>
      <c r="G34" s="28">
        <f t="shared" si="0"/>
        <v>5000000</v>
      </c>
      <c r="H34" s="28">
        <f t="shared" si="1"/>
        <v>3400000</v>
      </c>
      <c r="I34" s="28">
        <f t="shared" si="2"/>
        <v>1600000</v>
      </c>
      <c r="J34" s="29">
        <f t="shared" si="3"/>
        <v>0.32</v>
      </c>
      <c r="K34" s="54">
        <f t="array" ref="K34">IF(DataConsolidated[[#This Row],[Scenario]]="Forecast (Base)", 0, DataConsolidated[[#This Row],[Revenue]] - INDEX(DataConsolidated[Revenue], MATCH(1, (DataConsolidated[Month]=DataConsolidated[[#This Row],[Month]]) * (DataConsolidated[Product]=DataConsolidated[[#This Row],[Product]]) * (DataConsolidated[Scenario]="Forecast (Base)"), 0)))</f>
        <v>0</v>
      </c>
      <c r="L34" s="54">
        <f t="array" ref="L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4" s="55">
        <f t="array" ref="M3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5" spans="1:13" x14ac:dyDescent="0.25">
      <c r="A35" s="132" t="s">
        <v>37</v>
      </c>
      <c r="B35" s="133" t="s">
        <v>4</v>
      </c>
      <c r="C35" s="133" t="s">
        <v>122</v>
      </c>
      <c r="D35" s="134">
        <f>Actual_Over_2026!C64</f>
        <v>2800.0000000000005</v>
      </c>
      <c r="E35" s="135">
        <f>Actual_Over_2026!D64</f>
        <v>2754</v>
      </c>
      <c r="F35" s="135">
        <f>Actual_Over_2026!E64</f>
        <v>1608.75</v>
      </c>
      <c r="G35" s="28">
        <f t="shared" si="0"/>
        <v>7711200.0000000009</v>
      </c>
      <c r="H35" s="28">
        <f t="shared" si="1"/>
        <v>4504500.0000000009</v>
      </c>
      <c r="I35" s="28">
        <f t="shared" si="2"/>
        <v>3206700</v>
      </c>
      <c r="J35" s="29">
        <f t="shared" si="3"/>
        <v>0.41584967320261434</v>
      </c>
      <c r="K35" s="54">
        <f t="array" ref="K35">IF(DataConsolidated[[#This Row],[Scenario]]="Forecast (Base)", 0, DataConsolidated[[#This Row],[Revenue]] - INDEX(DataConsolidated[Revenue], MATCH(1, (DataConsolidated[Month]=DataConsolidated[[#This Row],[Month]]) * (DataConsolidated[Product]=DataConsolidated[[#This Row],[Product]]) * (DataConsolidated[Scenario]="Forecast (Base)"), 0)))</f>
        <v>2711200.0000000009</v>
      </c>
      <c r="L35" s="54">
        <f t="array" ref="L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1606700</v>
      </c>
      <c r="M35" s="55">
        <f t="array" ref="M35">IF(DataConsolidated[[#This Row],[Scenario]]="Forecast (Base)", 0, DataConsolidated[[#This Row],[Margin %]] -
  INDEX(DataConsolidated[Margin %], MATCH(1, (DataConsolidated[Month]=DataConsolidated[[#This Row],[Month]]) * (DataConsolidated[Product]=DataConsolidated[[#This Row],[Product]]) * (DataConsolidated[Scenario]="Forecast (Base)"), 0)))</f>
        <v>9.5849673202614338E-2</v>
      </c>
    </row>
    <row r="36" spans="1:13" x14ac:dyDescent="0.25">
      <c r="A36" s="132" t="s">
        <v>37</v>
      </c>
      <c r="B36" s="133" t="s">
        <v>4</v>
      </c>
      <c r="C36" s="133" t="s">
        <v>45</v>
      </c>
      <c r="D36" s="134">
        <f>Actual_Under_2026!C64</f>
        <v>1410</v>
      </c>
      <c r="E36" s="135">
        <f>Actual_Under_2026!D64</f>
        <v>2277</v>
      </c>
      <c r="F36" s="135">
        <f>Actual_Under_2026!E64</f>
        <v>1818</v>
      </c>
      <c r="G36" s="28">
        <f t="shared" si="0"/>
        <v>3210570</v>
      </c>
      <c r="H36" s="28">
        <f t="shared" si="1"/>
        <v>2563380</v>
      </c>
      <c r="I36" s="28">
        <f t="shared" si="2"/>
        <v>647190</v>
      </c>
      <c r="J36" s="29">
        <f t="shared" si="3"/>
        <v>0.20158102766798419</v>
      </c>
      <c r="K36" s="54">
        <f t="array" ref="K36">IF(DataConsolidated[[#This Row],[Scenario]]="Forecast (Base)", 0, DataConsolidated[[#This Row],[Revenue]] - INDEX(DataConsolidated[Revenue], MATCH(1, (DataConsolidated[Month]=DataConsolidated[[#This Row],[Month]]) * (DataConsolidated[Product]=DataConsolidated[[#This Row],[Product]]) * (DataConsolidated[Scenario]="Forecast (Base)"), 0)))</f>
        <v>-1789430</v>
      </c>
      <c r="L36" s="54">
        <f t="array" ref="L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-952810</v>
      </c>
      <c r="M36" s="55">
        <f t="array" ref="M36">IF(DataConsolidated[[#This Row],[Scenario]]="Forecast (Base)", 0, DataConsolidated[[#This Row],[Margin %]] -
  INDEX(DataConsolidated[Margin %], MATCH(1, (DataConsolidated[Month]=DataConsolidated[[#This Row],[Month]]) * (DataConsolidated[Product]=DataConsolidated[[#This Row],[Product]]) * (DataConsolidated[Scenario]="Forecast (Base)"), 0)))</f>
        <v>-0.11841897233201581</v>
      </c>
    </row>
    <row r="37" spans="1:13" x14ac:dyDescent="0.25">
      <c r="A37" s="132" t="s">
        <v>38</v>
      </c>
      <c r="B37" s="133" t="s">
        <v>4</v>
      </c>
      <c r="C37" s="133" t="s">
        <v>209</v>
      </c>
      <c r="D37" s="134">
        <f>Forecasting_Base!C59</f>
        <v>1920</v>
      </c>
      <c r="E37" s="135">
        <f>Forecasting_Base!D59</f>
        <v>2500</v>
      </c>
      <c r="F37" s="135">
        <f>Forecasting_Base!E59</f>
        <v>1700</v>
      </c>
      <c r="G37" s="28">
        <f t="shared" si="0"/>
        <v>4800000</v>
      </c>
      <c r="H37" s="28">
        <f t="shared" si="1"/>
        <v>3264000</v>
      </c>
      <c r="I37" s="28">
        <f t="shared" si="2"/>
        <v>1536000</v>
      </c>
      <c r="J37" s="29">
        <f t="shared" si="3"/>
        <v>0.32</v>
      </c>
      <c r="K37" s="54">
        <f t="array" ref="K37">IF(DataConsolidated[[#This Row],[Scenario]]="Forecast (Base)", 0, DataConsolidated[[#This Row],[Revenue]] - INDEX(DataConsolidated[Revenue], MATCH(1, (DataConsolidated[Month]=DataConsolidated[[#This Row],[Month]]) * (DataConsolidated[Product]=DataConsolidated[[#This Row],[Product]]) * (DataConsolidated[Scenario]="Forecast (Base)"), 0)))</f>
        <v>0</v>
      </c>
      <c r="L37" s="54">
        <f t="array" ref="L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37" s="55">
        <f t="array" ref="M3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38" spans="1:13" x14ac:dyDescent="0.25">
      <c r="A38" s="132" t="s">
        <v>38</v>
      </c>
      <c r="B38" s="133" t="s">
        <v>4</v>
      </c>
      <c r="C38" s="133" t="s">
        <v>122</v>
      </c>
      <c r="D38" s="134">
        <f>Actual_Over_2026!C70</f>
        <v>2592</v>
      </c>
      <c r="E38" s="135">
        <f>Actual_Over_2026!D70</f>
        <v>2727</v>
      </c>
      <c r="F38" s="135">
        <f>Actual_Over_2026!E70</f>
        <v>1625.25</v>
      </c>
      <c r="G38" s="28">
        <f t="shared" si="0"/>
        <v>7068384</v>
      </c>
      <c r="H38" s="28">
        <f t="shared" si="1"/>
        <v>4212648</v>
      </c>
      <c r="I38" s="28">
        <f t="shared" si="2"/>
        <v>2855736</v>
      </c>
      <c r="J38" s="29">
        <f t="shared" si="3"/>
        <v>0.40401540154015403</v>
      </c>
      <c r="K38" s="54">
        <f t="array" ref="K38">IF(DataConsolidated[[#This Row],[Scenario]]="Forecast (Base)", 0, DataConsolidated[[#This Row],[Revenue]] - INDEX(DataConsolidated[Revenue], MATCH(1, (DataConsolidated[Month]=DataConsolidated[[#This Row],[Month]]) * (DataConsolidated[Product]=DataConsolidated[[#This Row],[Product]]) * (DataConsolidated[Scenario]="Forecast (Base)"), 0)))</f>
        <v>2268384</v>
      </c>
      <c r="L38" s="54">
        <f t="array" ref="L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1319736</v>
      </c>
      <c r="M38" s="55">
        <f t="array" ref="M38">IF(DataConsolidated[[#This Row],[Scenario]]="Forecast (Base)", 0, DataConsolidated[[#This Row],[Margin %]] -
  INDEX(DataConsolidated[Margin %], MATCH(1, (DataConsolidated[Month]=DataConsolidated[[#This Row],[Month]]) * (DataConsolidated[Product]=DataConsolidated[[#This Row],[Product]]) * (DataConsolidated[Scenario]="Forecast (Base)"), 0)))</f>
        <v>8.4015401540154022E-2</v>
      </c>
    </row>
    <row r="39" spans="1:13" x14ac:dyDescent="0.25">
      <c r="A39" s="132" t="s">
        <v>38</v>
      </c>
      <c r="B39" s="133" t="s">
        <v>4</v>
      </c>
      <c r="C39" s="133" t="s">
        <v>45</v>
      </c>
      <c r="D39" s="134">
        <f>Actual_Under_2026!C70</f>
        <v>1267.2</v>
      </c>
      <c r="E39" s="135">
        <f>Actual_Under_2026!D70</f>
        <v>2254</v>
      </c>
      <c r="F39" s="135">
        <f>Actual_Under_2026!E70</f>
        <v>1836</v>
      </c>
      <c r="G39" s="28">
        <f t="shared" si="0"/>
        <v>2856268.8000000003</v>
      </c>
      <c r="H39" s="28">
        <f t="shared" si="1"/>
        <v>2326579.2000000002</v>
      </c>
      <c r="I39" s="28">
        <f t="shared" si="2"/>
        <v>529689.60000000009</v>
      </c>
      <c r="J39" s="29">
        <f t="shared" si="3"/>
        <v>0.18544809228039044</v>
      </c>
      <c r="K39" s="54">
        <f t="array" ref="K39">IF(DataConsolidated[[#This Row],[Scenario]]="Forecast (Base)", 0, DataConsolidated[[#This Row],[Revenue]] - INDEX(DataConsolidated[Revenue], MATCH(1, (DataConsolidated[Month]=DataConsolidated[[#This Row],[Month]]) * (DataConsolidated[Product]=DataConsolidated[[#This Row],[Product]]) * (DataConsolidated[Scenario]="Forecast (Base)"), 0)))</f>
        <v>-1943731.1999999997</v>
      </c>
      <c r="L39" s="54">
        <f t="array" ref="L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-1006310.3999999999</v>
      </c>
      <c r="M39" s="55">
        <f t="array" ref="M39">IF(DataConsolidated[[#This Row],[Scenario]]="Forecast (Base)", 0, DataConsolidated[[#This Row],[Margin %]] -
  INDEX(DataConsolidated[Margin %], MATCH(1, (DataConsolidated[Month]=DataConsolidated[[#This Row],[Month]]) * (DataConsolidated[Product]=DataConsolidated[[#This Row],[Product]]) * (DataConsolidated[Scenario]="Forecast (Base)"), 0)))</f>
        <v>-0.13455190771960956</v>
      </c>
    </row>
    <row r="40" spans="1:13" x14ac:dyDescent="0.25">
      <c r="A40" s="132" t="s">
        <v>29</v>
      </c>
      <c r="B40" s="133" t="s">
        <v>5</v>
      </c>
      <c r="C40" s="133" t="s">
        <v>209</v>
      </c>
      <c r="D40" s="134">
        <f>Forecasting_Base!C5</f>
        <v>950</v>
      </c>
      <c r="E40" s="135">
        <f>Forecasting_Base!D5</f>
        <v>3500</v>
      </c>
      <c r="F40" s="135">
        <f>Forecasting_Base!E5</f>
        <v>2600</v>
      </c>
      <c r="G40" s="28">
        <f t="shared" si="0"/>
        <v>3325000</v>
      </c>
      <c r="H40" s="28">
        <f t="shared" si="1"/>
        <v>2470000</v>
      </c>
      <c r="I40" s="28">
        <f t="shared" si="2"/>
        <v>855000</v>
      </c>
      <c r="J40" s="29">
        <f t="shared" si="3"/>
        <v>0.25714285714285712</v>
      </c>
      <c r="K40" s="54">
        <f t="array" ref="K40">IF(DataConsolidated[[#This Row],[Scenario]]="Forecast (Base)", 0, DataConsolidated[[#This Row],[Revenue]] - INDEX(DataConsolidated[Revenue], MATCH(1, (DataConsolidated[Month]=DataConsolidated[[#This Row],[Month]]) * (DataConsolidated[Product]=DataConsolidated[[#This Row],[Product]]) * (DataConsolidated[Scenario]="Forecast (Base)"), 0)))</f>
        <v>0</v>
      </c>
      <c r="L40" s="54">
        <f t="array" ref="L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0" s="55">
        <f t="array" ref="M4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1" spans="1:13" x14ac:dyDescent="0.25">
      <c r="A41" s="132" t="s">
        <v>29</v>
      </c>
      <c r="B41" s="133" t="s">
        <v>5</v>
      </c>
      <c r="C41" s="133" t="s">
        <v>122</v>
      </c>
      <c r="D41" s="134">
        <f>Actual_Over_2026!C5</f>
        <v>1420.25</v>
      </c>
      <c r="E41" s="135">
        <f>Actual_Over_2026!D5</f>
        <v>3876</v>
      </c>
      <c r="F41" s="135">
        <f>Actual_Over_2026!E5</f>
        <v>2437.5</v>
      </c>
      <c r="G41" s="28">
        <f t="shared" si="0"/>
        <v>5504889</v>
      </c>
      <c r="H41" s="28">
        <f t="shared" si="1"/>
        <v>3461859.375</v>
      </c>
      <c r="I41" s="28">
        <f t="shared" si="2"/>
        <v>2043029.625</v>
      </c>
      <c r="J41" s="29">
        <f t="shared" si="3"/>
        <v>0.37113003095975233</v>
      </c>
      <c r="K41" s="54">
        <f t="array" ref="K41">IF(DataConsolidated[[#This Row],[Scenario]]="Forecast (Base)", 0, DataConsolidated[[#This Row],[Revenue]] - INDEX(DataConsolidated[Revenue], MATCH(1, (DataConsolidated[Month]=DataConsolidated[[#This Row],[Month]]) * (DataConsolidated[Product]=DataConsolidated[[#This Row],[Product]]) * (DataConsolidated[Scenario]="Forecast (Base)"), 0)))</f>
        <v>2179889</v>
      </c>
      <c r="L41" s="54">
        <f t="array" ref="L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1188029.625</v>
      </c>
      <c r="M41" s="55">
        <f t="array" ref="M41">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0.11398717381689522</v>
      </c>
    </row>
    <row r="42" spans="1:13" x14ac:dyDescent="0.25">
      <c r="A42" s="132" t="s">
        <v>29</v>
      </c>
      <c r="B42" s="133" t="s">
        <v>5</v>
      </c>
      <c r="C42" s="133" t="s">
        <v>45</v>
      </c>
      <c r="D42" s="134">
        <f>Actual_Under_2026!C5</f>
        <v>608</v>
      </c>
      <c r="E42" s="135">
        <f>Actual_Under_2026!D5</f>
        <v>3104</v>
      </c>
      <c r="F42" s="135">
        <f>Actual_Under_2026!E5</f>
        <v>2884</v>
      </c>
      <c r="G42" s="28">
        <f t="shared" si="0"/>
        <v>1887232</v>
      </c>
      <c r="H42" s="28">
        <f t="shared" si="1"/>
        <v>1753472</v>
      </c>
      <c r="I42" s="28">
        <f t="shared" si="2"/>
        <v>133760</v>
      </c>
      <c r="J42" s="29">
        <f t="shared" si="3"/>
        <v>7.0876288659793812E-2</v>
      </c>
      <c r="K42" s="54">
        <f t="array" ref="K42">IF(DataConsolidated[[#This Row],[Scenario]]="Forecast (Base)", 0, DataConsolidated[[#This Row],[Revenue]] - INDEX(DataConsolidated[Revenue], MATCH(1, (DataConsolidated[Month]=DataConsolidated[[#This Row],[Month]]) * (DataConsolidated[Product]=DataConsolidated[[#This Row],[Product]]) * (DataConsolidated[Scenario]="Forecast (Base)"), 0)))</f>
        <v>-1437768</v>
      </c>
      <c r="L42" s="54">
        <f t="array" ref="L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-721240</v>
      </c>
      <c r="M42" s="55">
        <f t="array" ref="M42">IF(DataConsolidated[[#This Row],[Scenario]]="Forecast (Base)", 0, DataConsolidated[[#This Row],[Margin %]] -
  INDEX(DataConsolidated[Margin %], MATCH(1, (DataConsolidated[Month]=DataConsolidated[[#This Row],[Month]]) * (DataConsolidated[Product]=DataConsolidated[[#This Row],[Product]]) * (DataConsolidated[Scenario]="Forecast (Base)"), 0)))</f>
        <v>-0.18626656848306331</v>
      </c>
    </row>
    <row r="43" spans="1:13" x14ac:dyDescent="0.25">
      <c r="A43" s="132" t="s">
        <v>30</v>
      </c>
      <c r="B43" s="133" t="s">
        <v>5</v>
      </c>
      <c r="C43" s="133" t="s">
        <v>209</v>
      </c>
      <c r="D43" s="134">
        <f>Forecasting_Base!C10</f>
        <v>900</v>
      </c>
      <c r="E43" s="135">
        <f>Forecasting_Base!D10</f>
        <v>3500</v>
      </c>
      <c r="F43" s="135">
        <f>Forecasting_Base!E10</f>
        <v>2600</v>
      </c>
      <c r="G43" s="28">
        <f t="shared" si="0"/>
        <v>3150000</v>
      </c>
      <c r="H43" s="28">
        <f t="shared" si="1"/>
        <v>2340000</v>
      </c>
      <c r="I43" s="28">
        <f t="shared" si="2"/>
        <v>810000</v>
      </c>
      <c r="J43" s="29">
        <f t="shared" si="3"/>
        <v>0.25714285714285712</v>
      </c>
      <c r="K43" s="54">
        <f t="array" ref="K43">IF(DataConsolidated[[#This Row],[Scenario]]="Forecast (Base)", 0, DataConsolidated[[#This Row],[Revenue]] - INDEX(DataConsolidated[Revenue], MATCH(1, (DataConsolidated[Month]=DataConsolidated[[#This Row],[Month]]) * (DataConsolidated[Product]=DataConsolidated[[#This Row],[Product]]) * (DataConsolidated[Scenario]="Forecast (Base)"), 0)))</f>
        <v>0</v>
      </c>
      <c r="L43" s="54">
        <f t="array" ref="L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3" s="55">
        <f t="array" ref="M4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4" spans="1:13" x14ac:dyDescent="0.25">
      <c r="A44" s="132" t="s">
        <v>30</v>
      </c>
      <c r="B44" s="133" t="s">
        <v>5</v>
      </c>
      <c r="C44" s="133" t="s">
        <v>122</v>
      </c>
      <c r="D44" s="134">
        <f>Actual_Over_2026!C11</f>
        <v>1228.5</v>
      </c>
      <c r="E44" s="135">
        <f>Actual_Over_2026!D11</f>
        <v>3800</v>
      </c>
      <c r="F44" s="135">
        <f>Actual_Over_2026!E11</f>
        <v>2500</v>
      </c>
      <c r="G44" s="28">
        <f t="shared" si="0"/>
        <v>4668300</v>
      </c>
      <c r="H44" s="28">
        <f t="shared" si="1"/>
        <v>3071250</v>
      </c>
      <c r="I44" s="28">
        <f t="shared" si="2"/>
        <v>1597050</v>
      </c>
      <c r="J44" s="29">
        <f t="shared" si="3"/>
        <v>0.34210526315789475</v>
      </c>
      <c r="K44" s="54">
        <f t="array" ref="K44">IF(DataConsolidated[[#This Row],[Scenario]]="Forecast (Base)", 0, DataConsolidated[[#This Row],[Revenue]] - INDEX(DataConsolidated[Revenue], MATCH(1, (DataConsolidated[Month]=DataConsolidated[[#This Row],[Month]]) * (DataConsolidated[Product]=DataConsolidated[[#This Row],[Product]]) * (DataConsolidated[Scenario]="Forecast (Base)"), 0)))</f>
        <v>1518300</v>
      </c>
      <c r="L44" s="54">
        <f t="array" ref="L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787050</v>
      </c>
      <c r="M44" s="55">
        <f t="array" ref="M44">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45" spans="1:13" x14ac:dyDescent="0.25">
      <c r="A45" s="132" t="s">
        <v>30</v>
      </c>
      <c r="B45" s="133" t="s">
        <v>5</v>
      </c>
      <c r="C45" s="133" t="s">
        <v>45</v>
      </c>
      <c r="D45" s="134">
        <f>Actual_Under_2026!C11</f>
        <v>612</v>
      </c>
      <c r="E45" s="135">
        <f>Actual_Under_2026!D11</f>
        <v>3136</v>
      </c>
      <c r="F45" s="135">
        <f>Actual_Under_2026!E11</f>
        <v>2856</v>
      </c>
      <c r="G45" s="28">
        <f t="shared" si="0"/>
        <v>1919232</v>
      </c>
      <c r="H45" s="28">
        <f t="shared" si="1"/>
        <v>1747872</v>
      </c>
      <c r="I45" s="28">
        <f t="shared" si="2"/>
        <v>171360</v>
      </c>
      <c r="J45" s="29">
        <f t="shared" si="3"/>
        <v>8.9285714285714288E-2</v>
      </c>
      <c r="K45" s="54">
        <f t="array" ref="K45">IF(DataConsolidated[[#This Row],[Scenario]]="Forecast (Base)", 0, DataConsolidated[[#This Row],[Revenue]] - INDEX(DataConsolidated[Revenue], MATCH(1, (DataConsolidated[Month]=DataConsolidated[[#This Row],[Month]]) * (DataConsolidated[Product]=DataConsolidated[[#This Row],[Product]]) * (DataConsolidated[Scenario]="Forecast (Base)"), 0)))</f>
        <v>-1230768</v>
      </c>
      <c r="L45" s="54">
        <f t="array" ref="L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-638640</v>
      </c>
      <c r="M45" s="55">
        <f t="array" ref="M4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46" spans="1:13" x14ac:dyDescent="0.25">
      <c r="A46" s="132" t="s">
        <v>31</v>
      </c>
      <c r="B46" s="133" t="s">
        <v>5</v>
      </c>
      <c r="C46" s="133" t="s">
        <v>209</v>
      </c>
      <c r="D46" s="134">
        <f>Forecasting_Base!C15</f>
        <v>1050</v>
      </c>
      <c r="E46" s="135">
        <f>Forecasting_Base!D15</f>
        <v>3500</v>
      </c>
      <c r="F46" s="135">
        <f>Forecasting_Base!E15</f>
        <v>2600</v>
      </c>
      <c r="G46" s="28">
        <f t="shared" si="0"/>
        <v>3675000</v>
      </c>
      <c r="H46" s="28">
        <f t="shared" si="1"/>
        <v>2730000</v>
      </c>
      <c r="I46" s="28">
        <f t="shared" si="2"/>
        <v>945000</v>
      </c>
      <c r="J46" s="29">
        <f t="shared" si="3"/>
        <v>0.25714285714285712</v>
      </c>
      <c r="K46" s="54">
        <f t="array" ref="K46">IF(DataConsolidated[[#This Row],[Scenario]]="Forecast (Base)", 0, DataConsolidated[[#This Row],[Revenue]] - INDEX(DataConsolidated[Revenue], MATCH(1, (DataConsolidated[Month]=DataConsolidated[[#This Row],[Month]]) * (DataConsolidated[Product]=DataConsolidated[[#This Row],[Product]]) * (DataConsolidated[Scenario]="Forecast (Base)"), 0)))</f>
        <v>0</v>
      </c>
      <c r="L46" s="54">
        <f t="array" ref="L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6" s="55">
        <f t="array" ref="M4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47" spans="1:13" x14ac:dyDescent="0.25">
      <c r="A47" s="132" t="s">
        <v>31</v>
      </c>
      <c r="B47" s="133" t="s">
        <v>5</v>
      </c>
      <c r="C47" s="133" t="s">
        <v>122</v>
      </c>
      <c r="D47" s="134">
        <f>Actual_Over_2026!C17</f>
        <v>1501.5000000000002</v>
      </c>
      <c r="E47" s="135">
        <f>Actual_Over_2026!D17</f>
        <v>3838</v>
      </c>
      <c r="F47" s="135">
        <f>Actual_Over_2026!E17</f>
        <v>2462.5</v>
      </c>
      <c r="G47" s="28">
        <f t="shared" si="0"/>
        <v>5762757.0000000009</v>
      </c>
      <c r="H47" s="28">
        <f t="shared" si="1"/>
        <v>3697443.7500000005</v>
      </c>
      <c r="I47" s="28">
        <f t="shared" si="2"/>
        <v>2065313.2500000005</v>
      </c>
      <c r="J47" s="29">
        <f t="shared" si="3"/>
        <v>0.35838978634705576</v>
      </c>
      <c r="K47" s="54">
        <f t="array" ref="K47">IF(DataConsolidated[[#This Row],[Scenario]]="Forecast (Base)", 0, DataConsolidated[[#This Row],[Revenue]] - INDEX(DataConsolidated[Revenue], MATCH(1, (DataConsolidated[Month]=DataConsolidated[[#This Row],[Month]]) * (DataConsolidated[Product]=DataConsolidated[[#This Row],[Product]]) * (DataConsolidated[Scenario]="Forecast (Base)"), 0)))</f>
        <v>2087757.0000000009</v>
      </c>
      <c r="L47" s="54">
        <f t="array" ref="L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1120313.2500000005</v>
      </c>
      <c r="M47" s="55">
        <f t="array" ref="M47">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0.10124692920419864</v>
      </c>
    </row>
    <row r="48" spans="1:13" x14ac:dyDescent="0.25">
      <c r="A48" s="132" t="s">
        <v>31</v>
      </c>
      <c r="B48" s="133" t="s">
        <v>5</v>
      </c>
      <c r="C48" s="133" t="s">
        <v>45</v>
      </c>
      <c r="D48" s="134">
        <f>Actual_Under_2026!C17</f>
        <v>756</v>
      </c>
      <c r="E48" s="135">
        <f>Actual_Under_2026!D17</f>
        <v>3168</v>
      </c>
      <c r="F48" s="135">
        <f>Actual_Under_2026!E17</f>
        <v>2828</v>
      </c>
      <c r="G48" s="28">
        <f t="shared" si="0"/>
        <v>2395008</v>
      </c>
      <c r="H48" s="28">
        <f t="shared" si="1"/>
        <v>2137968</v>
      </c>
      <c r="I48" s="28">
        <f t="shared" si="2"/>
        <v>257040</v>
      </c>
      <c r="J48" s="29">
        <f t="shared" si="3"/>
        <v>0.10732323232323232</v>
      </c>
      <c r="K48" s="54">
        <f t="array" ref="K48">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48" s="54">
        <f t="array" ref="L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48" s="55">
        <f t="array" ref="M48">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49" spans="1:13" x14ac:dyDescent="0.25">
      <c r="A49" s="132" t="s">
        <v>32</v>
      </c>
      <c r="B49" s="133" t="s">
        <v>5</v>
      </c>
      <c r="C49" s="133" t="s">
        <v>209</v>
      </c>
      <c r="D49" s="134">
        <f>Forecasting_Base!C20</f>
        <v>1100</v>
      </c>
      <c r="E49" s="135">
        <f>Forecasting_Base!D20</f>
        <v>3500</v>
      </c>
      <c r="F49" s="135">
        <f>Forecasting_Base!E20</f>
        <v>2600</v>
      </c>
      <c r="G49" s="28">
        <f t="shared" si="0"/>
        <v>3850000</v>
      </c>
      <c r="H49" s="28">
        <f t="shared" si="1"/>
        <v>2860000</v>
      </c>
      <c r="I49" s="28">
        <f t="shared" si="2"/>
        <v>990000</v>
      </c>
      <c r="J49" s="29">
        <f t="shared" si="3"/>
        <v>0.25714285714285712</v>
      </c>
      <c r="K49" s="54">
        <f t="array" ref="K49">IF(DataConsolidated[[#This Row],[Scenario]]="Forecast (Base)", 0, DataConsolidated[[#This Row],[Revenue]] - INDEX(DataConsolidated[Revenue], MATCH(1, (DataConsolidated[Month]=DataConsolidated[[#This Row],[Month]]) * (DataConsolidated[Product]=DataConsolidated[[#This Row],[Product]]) * (DataConsolidated[Scenario]="Forecast (Base)"), 0)))</f>
        <v>0</v>
      </c>
      <c r="L49" s="54">
        <f t="array" ref="L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49" s="55">
        <f t="array" ref="M4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0" spans="1:13" x14ac:dyDescent="0.25">
      <c r="A50" s="132" t="s">
        <v>32</v>
      </c>
      <c r="B50" s="133" t="s">
        <v>5</v>
      </c>
      <c r="C50" s="133" t="s">
        <v>122</v>
      </c>
      <c r="D50" s="134">
        <f>Actual_Over_2026!C23</f>
        <v>1716.0000000000002</v>
      </c>
      <c r="E50" s="135">
        <f>Actual_Over_2026!D23</f>
        <v>3914</v>
      </c>
      <c r="F50" s="135">
        <f>Actual_Over_2026!E23</f>
        <v>2400</v>
      </c>
      <c r="G50" s="28">
        <f t="shared" si="0"/>
        <v>6716424.0000000009</v>
      </c>
      <c r="H50" s="28">
        <f t="shared" si="1"/>
        <v>4118400.0000000005</v>
      </c>
      <c r="I50" s="28">
        <f t="shared" si="2"/>
        <v>2598024.0000000005</v>
      </c>
      <c r="J50" s="29">
        <f t="shared" si="3"/>
        <v>0.3868165559529893</v>
      </c>
      <c r="K50" s="54">
        <f t="array" ref="K50">IF(DataConsolidated[[#This Row],[Scenario]]="Forecast (Base)", 0, DataConsolidated[[#This Row],[Revenue]] - INDEX(DataConsolidated[Revenue], MATCH(1, (DataConsolidated[Month]=DataConsolidated[[#This Row],[Month]]) * (DataConsolidated[Product]=DataConsolidated[[#This Row],[Product]]) * (DataConsolidated[Scenario]="Forecast (Base)"), 0)))</f>
        <v>2866424.0000000009</v>
      </c>
      <c r="L50" s="54">
        <f t="array" ref="L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1608024.0000000005</v>
      </c>
      <c r="M50" s="55">
        <f t="array" ref="M50">IF(DataConsolidated[[#This Row],[Scenario]]="Forecast (Base)", 0, DataConsolidated[[#This Row],[Margin %]] -
  INDEX(DataConsolidated[Margin %], MATCH(1, (DataConsolidated[Month]=DataConsolidated[[#This Row],[Month]]) * (DataConsolidated[Product]=DataConsolidated[[#This Row],[Product]]) * (DataConsolidated[Scenario]="Forecast (Base)"), 0)))</f>
        <v>0.12967369881013219</v>
      </c>
    </row>
    <row r="51" spans="1:13" x14ac:dyDescent="0.25">
      <c r="A51" s="132" t="s">
        <v>32</v>
      </c>
      <c r="B51" s="133" t="s">
        <v>5</v>
      </c>
      <c r="C51" s="133" t="s">
        <v>45</v>
      </c>
      <c r="D51" s="134">
        <f>Actual_Under_2026!C23</f>
        <v>809.60000000000014</v>
      </c>
      <c r="E51" s="135">
        <f>Actual_Under_2026!D23</f>
        <v>3168</v>
      </c>
      <c r="F51" s="135">
        <f>Actual_Under_2026!E23</f>
        <v>2828</v>
      </c>
      <c r="G51" s="28">
        <f t="shared" si="0"/>
        <v>2564812.8000000003</v>
      </c>
      <c r="H51" s="28">
        <f t="shared" si="1"/>
        <v>2289548.8000000003</v>
      </c>
      <c r="I51" s="28">
        <f t="shared" si="2"/>
        <v>275264</v>
      </c>
      <c r="J51" s="29">
        <f t="shared" si="3"/>
        <v>0.10732323232323231</v>
      </c>
      <c r="K51" s="54">
        <f t="array" ref="K51">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51" s="54">
        <f t="array" ref="L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51" s="55">
        <f t="array" ref="M51">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2" spans="1:13" x14ac:dyDescent="0.25">
      <c r="A52" s="132" t="s">
        <v>27</v>
      </c>
      <c r="B52" s="133" t="s">
        <v>5</v>
      </c>
      <c r="C52" s="133" t="s">
        <v>209</v>
      </c>
      <c r="D52" s="134">
        <f>Forecasting_Base!C25</f>
        <v>1200</v>
      </c>
      <c r="E52" s="135">
        <f>Forecasting_Base!D25</f>
        <v>3500</v>
      </c>
      <c r="F52" s="135">
        <f>Forecasting_Base!E25</f>
        <v>2600</v>
      </c>
      <c r="G52" s="28">
        <f t="shared" si="0"/>
        <v>4200000</v>
      </c>
      <c r="H52" s="28">
        <f t="shared" si="1"/>
        <v>3120000</v>
      </c>
      <c r="I52" s="28">
        <f t="shared" si="2"/>
        <v>1080000</v>
      </c>
      <c r="J52" s="29">
        <f t="shared" si="3"/>
        <v>0.25714285714285712</v>
      </c>
      <c r="K52" s="54">
        <f t="array" ref="K52">IF(DataConsolidated[[#This Row],[Scenario]]="Forecast (Base)", 0, DataConsolidated[[#This Row],[Revenue]] - INDEX(DataConsolidated[Revenue], MATCH(1, (DataConsolidated[Month]=DataConsolidated[[#This Row],[Month]]) * (DataConsolidated[Product]=DataConsolidated[[#This Row],[Product]]) * (DataConsolidated[Scenario]="Forecast (Base)"), 0)))</f>
        <v>0</v>
      </c>
      <c r="L52" s="54">
        <f t="array" ref="L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2" s="55">
        <f t="array" ref="M5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3" spans="1:13" x14ac:dyDescent="0.25">
      <c r="A53" s="132" t="s">
        <v>27</v>
      </c>
      <c r="B53" s="133" t="s">
        <v>5</v>
      </c>
      <c r="C53" s="133" t="s">
        <v>122</v>
      </c>
      <c r="D53" s="134">
        <f>Actual_Over_2026!C29</f>
        <v>1793.9999999999998</v>
      </c>
      <c r="E53" s="135">
        <f>Actual_Over_2026!D29</f>
        <v>3876</v>
      </c>
      <c r="F53" s="135">
        <f>Actual_Over_2026!E29</f>
        <v>2437.5</v>
      </c>
      <c r="G53" s="28">
        <f t="shared" si="0"/>
        <v>6953543.9999999991</v>
      </c>
      <c r="H53" s="28">
        <f t="shared" si="1"/>
        <v>4372874.9999999991</v>
      </c>
      <c r="I53" s="28">
        <f t="shared" si="2"/>
        <v>2580669</v>
      </c>
      <c r="J53" s="29">
        <f t="shared" si="3"/>
        <v>0.37113003095975239</v>
      </c>
      <c r="K53" s="54">
        <f t="array" ref="K53">IF(DataConsolidated[[#This Row],[Scenario]]="Forecast (Base)", 0, DataConsolidated[[#This Row],[Revenue]] - INDEX(DataConsolidated[Revenue], MATCH(1, (DataConsolidated[Month]=DataConsolidated[[#This Row],[Month]]) * (DataConsolidated[Product]=DataConsolidated[[#This Row],[Product]]) * (DataConsolidated[Scenario]="Forecast (Base)"), 0)))</f>
        <v>2753543.9999999991</v>
      </c>
      <c r="L53" s="54">
        <f t="array" ref="L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1500669</v>
      </c>
      <c r="M53" s="55">
        <f t="array" ref="M53">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0.11398717381689527</v>
      </c>
    </row>
    <row r="54" spans="1:13" x14ac:dyDescent="0.25">
      <c r="A54" s="132" t="s">
        <v>27</v>
      </c>
      <c r="B54" s="133" t="s">
        <v>5</v>
      </c>
      <c r="C54" s="133" t="s">
        <v>45</v>
      </c>
      <c r="D54" s="134">
        <f>Actual_Under_2026!C29</f>
        <v>864</v>
      </c>
      <c r="E54" s="135">
        <f>Actual_Under_2026!D29</f>
        <v>3168</v>
      </c>
      <c r="F54" s="135">
        <f>Actual_Under_2026!E29</f>
        <v>2828</v>
      </c>
      <c r="G54" s="28">
        <f t="shared" si="0"/>
        <v>2737152</v>
      </c>
      <c r="H54" s="28">
        <f t="shared" si="1"/>
        <v>2443392</v>
      </c>
      <c r="I54" s="28">
        <f t="shared" si="2"/>
        <v>293760</v>
      </c>
      <c r="J54" s="29">
        <f t="shared" si="3"/>
        <v>0.10732323232323232</v>
      </c>
      <c r="K54" s="54">
        <f t="array" ref="K54">IF(DataConsolidated[[#This Row],[Scenario]]="Forecast (Base)", 0, DataConsolidated[[#This Row],[Revenue]] - INDEX(DataConsolidated[Revenue], MATCH(1, (DataConsolidated[Month]=DataConsolidated[[#This Row],[Month]]) * (DataConsolidated[Product]=DataConsolidated[[#This Row],[Product]]) * (DataConsolidated[Scenario]="Forecast (Base)"), 0)))</f>
        <v>-1462848</v>
      </c>
      <c r="L54" s="54">
        <f t="array" ref="L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-786240</v>
      </c>
      <c r="M54" s="55">
        <f t="array" ref="M54">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55" spans="1:13" x14ac:dyDescent="0.25">
      <c r="A55" s="132" t="s">
        <v>33</v>
      </c>
      <c r="B55" s="133" t="s">
        <v>5</v>
      </c>
      <c r="C55" s="133" t="s">
        <v>209</v>
      </c>
      <c r="D55" s="134">
        <f>Forecasting_Base!C30</f>
        <v>1150</v>
      </c>
      <c r="E55" s="135">
        <f>Forecasting_Base!D30</f>
        <v>3500</v>
      </c>
      <c r="F55" s="135">
        <f>Forecasting_Base!E30</f>
        <v>2600</v>
      </c>
      <c r="G55" s="28">
        <f t="shared" si="0"/>
        <v>4025000</v>
      </c>
      <c r="H55" s="28">
        <f t="shared" si="1"/>
        <v>2990000</v>
      </c>
      <c r="I55" s="28">
        <f t="shared" si="2"/>
        <v>1035000</v>
      </c>
      <c r="J55" s="29">
        <f t="shared" si="3"/>
        <v>0.25714285714285712</v>
      </c>
      <c r="K55" s="54">
        <f t="array" ref="K55">IF(DataConsolidated[[#This Row],[Scenario]]="Forecast (Base)", 0, DataConsolidated[[#This Row],[Revenue]] - INDEX(DataConsolidated[Revenue], MATCH(1, (DataConsolidated[Month]=DataConsolidated[[#This Row],[Month]]) * (DataConsolidated[Product]=DataConsolidated[[#This Row],[Product]]) * (DataConsolidated[Scenario]="Forecast (Base)"), 0)))</f>
        <v>0</v>
      </c>
      <c r="L55" s="54">
        <f t="array" ref="L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5" s="55">
        <f t="array" ref="M5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6" spans="1:13" x14ac:dyDescent="0.25">
      <c r="A56" s="132" t="s">
        <v>33</v>
      </c>
      <c r="B56" s="133" t="s">
        <v>5</v>
      </c>
      <c r="C56" s="133" t="s">
        <v>122</v>
      </c>
      <c r="D56" s="134">
        <f>Actual_Over_2026!C41</f>
        <v>1433.25</v>
      </c>
      <c r="E56" s="135">
        <f>Actual_Over_2026!D41</f>
        <v>3800</v>
      </c>
      <c r="F56" s="135">
        <f>Actual_Over_2026!E41</f>
        <v>2500</v>
      </c>
      <c r="G56" s="28">
        <f t="shared" si="0"/>
        <v>5446350</v>
      </c>
      <c r="H56" s="28">
        <f t="shared" si="1"/>
        <v>3583125</v>
      </c>
      <c r="I56" s="28">
        <f t="shared" si="2"/>
        <v>1863225</v>
      </c>
      <c r="J56" s="29">
        <f t="shared" si="3"/>
        <v>0.34210526315789475</v>
      </c>
      <c r="K56" s="54">
        <f t="array" ref="K56">IF(DataConsolidated[[#This Row],[Scenario]]="Forecast (Base)", 0, DataConsolidated[[#This Row],[Revenue]] - INDEX(DataConsolidated[Revenue], MATCH(1, (DataConsolidated[Month]=DataConsolidated[[#This Row],[Month]]) * (DataConsolidated[Product]=DataConsolidated[[#This Row],[Product]]) * (DataConsolidated[Scenario]="Forecast (Base)"), 0)))</f>
        <v>1421350</v>
      </c>
      <c r="L56" s="54">
        <f t="array" ref="L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828225</v>
      </c>
      <c r="M56" s="55">
        <f t="array" ref="M56">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57" spans="1:13" x14ac:dyDescent="0.25">
      <c r="A57" s="132" t="s">
        <v>33</v>
      </c>
      <c r="B57" s="133" t="s">
        <v>5</v>
      </c>
      <c r="C57" s="133" t="s">
        <v>45</v>
      </c>
      <c r="D57" s="134">
        <f>Actual_Under_2026!C35</f>
        <v>809.59999999999991</v>
      </c>
      <c r="E57" s="135">
        <f>Actual_Under_2026!D35</f>
        <v>3136</v>
      </c>
      <c r="F57" s="135">
        <f>Actual_Under_2026!E35</f>
        <v>2856</v>
      </c>
      <c r="G57" s="28">
        <f t="shared" si="0"/>
        <v>2538905.5999999996</v>
      </c>
      <c r="H57" s="28">
        <f t="shared" si="1"/>
        <v>2312217.5999999996</v>
      </c>
      <c r="I57" s="28">
        <f t="shared" si="2"/>
        <v>226688</v>
      </c>
      <c r="J57" s="29">
        <f t="shared" si="3"/>
        <v>8.9285714285714302E-2</v>
      </c>
      <c r="K57" s="54">
        <f t="array" ref="K57">IF(DataConsolidated[[#This Row],[Scenario]]="Forecast (Base)", 0, DataConsolidated[[#This Row],[Revenue]] - INDEX(DataConsolidated[Revenue], MATCH(1, (DataConsolidated[Month]=DataConsolidated[[#This Row],[Month]]) * (DataConsolidated[Product]=DataConsolidated[[#This Row],[Product]]) * (DataConsolidated[Scenario]="Forecast (Base)"), 0)))</f>
        <v>-1486094.4000000004</v>
      </c>
      <c r="L57" s="54">
        <f t="array" ref="L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-808312</v>
      </c>
      <c r="M57" s="55">
        <f t="array" ref="M57">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58" spans="1:13" x14ac:dyDescent="0.25">
      <c r="A58" s="132" t="s">
        <v>28</v>
      </c>
      <c r="B58" s="133" t="s">
        <v>5</v>
      </c>
      <c r="C58" s="133" t="s">
        <v>209</v>
      </c>
      <c r="D58" s="134">
        <f>Forecasting_Base!C35</f>
        <v>1050</v>
      </c>
      <c r="E58" s="135">
        <f>Forecasting_Base!D35</f>
        <v>3500</v>
      </c>
      <c r="F58" s="135">
        <f>Forecasting_Base!E35</f>
        <v>2600</v>
      </c>
      <c r="G58" s="28">
        <f t="shared" si="0"/>
        <v>3675000</v>
      </c>
      <c r="H58" s="28">
        <f t="shared" si="1"/>
        <v>2730000</v>
      </c>
      <c r="I58" s="28">
        <f t="shared" si="2"/>
        <v>945000</v>
      </c>
      <c r="J58" s="29">
        <f t="shared" si="3"/>
        <v>0.25714285714285712</v>
      </c>
      <c r="K58" s="54">
        <f t="array" ref="K58">IF(DataConsolidated[[#This Row],[Scenario]]="Forecast (Base)", 0, DataConsolidated[[#This Row],[Revenue]] - INDEX(DataConsolidated[Revenue], MATCH(1, (DataConsolidated[Month]=DataConsolidated[[#This Row],[Month]]) * (DataConsolidated[Product]=DataConsolidated[[#This Row],[Product]]) * (DataConsolidated[Scenario]="Forecast (Base)"), 0)))</f>
        <v>0</v>
      </c>
      <c r="L58" s="54">
        <f t="array" ref="L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58" s="55">
        <f t="array" ref="M5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59" spans="1:13" x14ac:dyDescent="0.25">
      <c r="A59" s="132" t="s">
        <v>28</v>
      </c>
      <c r="B59" s="133" t="s">
        <v>5</v>
      </c>
      <c r="C59" s="133" t="s">
        <v>122</v>
      </c>
      <c r="D59" s="134">
        <f>Actual_Over_2026!C41</f>
        <v>1433.25</v>
      </c>
      <c r="E59" s="135">
        <f>Actual_Over_2026!D41</f>
        <v>3800</v>
      </c>
      <c r="F59" s="135">
        <f>Actual_Over_2026!E41</f>
        <v>2500</v>
      </c>
      <c r="G59" s="28">
        <f t="shared" si="0"/>
        <v>5446350</v>
      </c>
      <c r="H59" s="28">
        <f t="shared" si="1"/>
        <v>3583125</v>
      </c>
      <c r="I59" s="28">
        <f t="shared" si="2"/>
        <v>1863225</v>
      </c>
      <c r="J59" s="29">
        <f t="shared" si="3"/>
        <v>0.34210526315789475</v>
      </c>
      <c r="K59" s="54">
        <f t="array" ref="K59">IF(DataConsolidated[[#This Row],[Scenario]]="Forecast (Base)", 0, DataConsolidated[[#This Row],[Revenue]] - INDEX(DataConsolidated[Revenue], MATCH(1, (DataConsolidated[Month]=DataConsolidated[[#This Row],[Month]]) * (DataConsolidated[Product]=DataConsolidated[[#This Row],[Product]]) * (DataConsolidated[Scenario]="Forecast (Base)"), 0)))</f>
        <v>1771350</v>
      </c>
      <c r="L59" s="54">
        <f t="array" ref="L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918225</v>
      </c>
      <c r="M59" s="55">
        <f t="array" ref="M59">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8.4962406015037628E-2</v>
      </c>
    </row>
    <row r="60" spans="1:13" x14ac:dyDescent="0.25">
      <c r="A60" s="132" t="s">
        <v>28</v>
      </c>
      <c r="B60" s="133" t="s">
        <v>5</v>
      </c>
      <c r="C60" s="133" t="s">
        <v>45</v>
      </c>
      <c r="D60" s="134">
        <f>Actual_Under_2026!C41</f>
        <v>756</v>
      </c>
      <c r="E60" s="135">
        <f>Actual_Under_2026!D41</f>
        <v>3168</v>
      </c>
      <c r="F60" s="135">
        <f>Actual_Under_2026!E41</f>
        <v>2828</v>
      </c>
      <c r="G60" s="28">
        <f t="shared" si="0"/>
        <v>2395008</v>
      </c>
      <c r="H60" s="28">
        <f t="shared" si="1"/>
        <v>2137968</v>
      </c>
      <c r="I60" s="28">
        <f t="shared" si="2"/>
        <v>257040</v>
      </c>
      <c r="J60" s="29">
        <f t="shared" si="3"/>
        <v>0.10732323232323232</v>
      </c>
      <c r="K60" s="54">
        <f t="array" ref="K60">IF(DataConsolidated[[#This Row],[Scenario]]="Forecast (Base)", 0, DataConsolidated[[#This Row],[Revenue]] - INDEX(DataConsolidated[Revenue], MATCH(1, (DataConsolidated[Month]=DataConsolidated[[#This Row],[Month]]) * (DataConsolidated[Product]=DataConsolidated[[#This Row],[Product]]) * (DataConsolidated[Scenario]="Forecast (Base)"), 0)))</f>
        <v>-1279992</v>
      </c>
      <c r="L60" s="54">
        <f t="array" ref="L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-687960</v>
      </c>
      <c r="M60" s="55">
        <f t="array" ref="M60">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1" spans="1:13" x14ac:dyDescent="0.25">
      <c r="A61" s="132" t="s">
        <v>34</v>
      </c>
      <c r="B61" s="133" t="s">
        <v>5</v>
      </c>
      <c r="C61" s="133" t="s">
        <v>209</v>
      </c>
      <c r="D61" s="134">
        <f>Forecasting_Base!C40</f>
        <v>1100</v>
      </c>
      <c r="E61" s="135">
        <f>Forecasting_Base!D40</f>
        <v>3500</v>
      </c>
      <c r="F61" s="135">
        <f>Forecasting_Base!E40</f>
        <v>2600</v>
      </c>
      <c r="G61" s="28">
        <f t="shared" si="0"/>
        <v>3850000</v>
      </c>
      <c r="H61" s="28">
        <f t="shared" si="1"/>
        <v>2860000</v>
      </c>
      <c r="I61" s="28">
        <f t="shared" si="2"/>
        <v>990000</v>
      </c>
      <c r="J61" s="29">
        <f t="shared" si="3"/>
        <v>0.25714285714285712</v>
      </c>
      <c r="K61" s="54">
        <f t="array" ref="K61">IF(DataConsolidated[[#This Row],[Scenario]]="Forecast (Base)", 0, DataConsolidated[[#This Row],[Revenue]] - INDEX(DataConsolidated[Revenue], MATCH(1, (DataConsolidated[Month]=DataConsolidated[[#This Row],[Month]]) * (DataConsolidated[Product]=DataConsolidated[[#This Row],[Product]]) * (DataConsolidated[Scenario]="Forecast (Base)"), 0)))</f>
        <v>0</v>
      </c>
      <c r="L61" s="54">
        <f t="array" ref="L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1" s="55">
        <f t="array" ref="M6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2" spans="1:13" x14ac:dyDescent="0.25">
      <c r="A62" s="132" t="s">
        <v>34</v>
      </c>
      <c r="B62" s="133" t="s">
        <v>5</v>
      </c>
      <c r="C62" s="133" t="s">
        <v>122</v>
      </c>
      <c r="D62" s="134">
        <f>Actual_Over_2026!C47</f>
        <v>1544.4000000000003</v>
      </c>
      <c r="E62" s="135">
        <f>Actual_Over_2026!D47</f>
        <v>3838</v>
      </c>
      <c r="F62" s="135">
        <f>Actual_Over_2026!E47</f>
        <v>2462.5</v>
      </c>
      <c r="G62" s="28">
        <f t="shared" si="0"/>
        <v>5927407.2000000011</v>
      </c>
      <c r="H62" s="28">
        <f t="shared" si="1"/>
        <v>3803085.0000000009</v>
      </c>
      <c r="I62" s="28">
        <f t="shared" si="2"/>
        <v>2124322.2000000002</v>
      </c>
      <c r="J62" s="29">
        <f t="shared" si="3"/>
        <v>0.35838978634705571</v>
      </c>
      <c r="K62" s="54">
        <f t="array" ref="K62">IF(DataConsolidated[[#This Row],[Scenario]]="Forecast (Base)", 0, DataConsolidated[[#This Row],[Revenue]] - INDEX(DataConsolidated[Revenue], MATCH(1, (DataConsolidated[Month]=DataConsolidated[[#This Row],[Month]]) * (DataConsolidated[Product]=DataConsolidated[[#This Row],[Product]]) * (DataConsolidated[Scenario]="Forecast (Base)"), 0)))</f>
        <v>2077407.2000000011</v>
      </c>
      <c r="L62" s="54">
        <f t="array" ref="L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1134322.2000000002</v>
      </c>
      <c r="M62" s="55">
        <f t="array" ref="M62">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3" spans="1:13" x14ac:dyDescent="0.25">
      <c r="A63" s="132" t="s">
        <v>34</v>
      </c>
      <c r="B63" s="133" t="s">
        <v>5</v>
      </c>
      <c r="C63" s="133" t="s">
        <v>45</v>
      </c>
      <c r="D63" s="134">
        <f>Actual_Under_2026!C47</f>
        <v>809.60000000000014</v>
      </c>
      <c r="E63" s="135">
        <f>Actual_Under_2026!D47</f>
        <v>3168</v>
      </c>
      <c r="F63" s="135">
        <f>Actual_Under_2026!E47</f>
        <v>2828</v>
      </c>
      <c r="G63" s="28">
        <f t="shared" si="0"/>
        <v>2564812.8000000003</v>
      </c>
      <c r="H63" s="28">
        <f t="shared" si="1"/>
        <v>2289548.8000000003</v>
      </c>
      <c r="I63" s="28">
        <f t="shared" si="2"/>
        <v>275264</v>
      </c>
      <c r="J63" s="29">
        <f t="shared" si="3"/>
        <v>0.10732323232323231</v>
      </c>
      <c r="K63" s="54">
        <f t="array" ref="K63">IF(DataConsolidated[[#This Row],[Scenario]]="Forecast (Base)", 0, DataConsolidated[[#This Row],[Revenue]] - INDEX(DataConsolidated[Revenue], MATCH(1, (DataConsolidated[Month]=DataConsolidated[[#This Row],[Month]]) * (DataConsolidated[Product]=DataConsolidated[[#This Row],[Product]]) * (DataConsolidated[Scenario]="Forecast (Base)"), 0)))</f>
        <v>-1285187.1999999997</v>
      </c>
      <c r="L63" s="54">
        <f t="array" ref="L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-714736</v>
      </c>
      <c r="M63" s="55">
        <f t="array" ref="M63">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64" spans="1:13" x14ac:dyDescent="0.25">
      <c r="A64" s="132" t="s">
        <v>35</v>
      </c>
      <c r="B64" s="133" t="s">
        <v>5</v>
      </c>
      <c r="C64" s="133" t="s">
        <v>209</v>
      </c>
      <c r="D64" s="134">
        <f>Forecasting_Base!C45</f>
        <v>1150</v>
      </c>
      <c r="E64" s="135">
        <f>Forecasting_Base!D45</f>
        <v>3500</v>
      </c>
      <c r="F64" s="135">
        <f>Forecasting_Base!E45</f>
        <v>2600</v>
      </c>
      <c r="G64" s="28">
        <f t="shared" si="0"/>
        <v>4025000</v>
      </c>
      <c r="H64" s="28">
        <f t="shared" si="1"/>
        <v>2990000</v>
      </c>
      <c r="I64" s="28">
        <f t="shared" si="2"/>
        <v>1035000</v>
      </c>
      <c r="J64" s="29">
        <f t="shared" si="3"/>
        <v>0.25714285714285712</v>
      </c>
      <c r="K64" s="54">
        <f t="array" ref="K64">IF(DataConsolidated[[#This Row],[Scenario]]="Forecast (Base)", 0, DataConsolidated[[#This Row],[Revenue]] - INDEX(DataConsolidated[Revenue], MATCH(1, (DataConsolidated[Month]=DataConsolidated[[#This Row],[Month]]) * (DataConsolidated[Product]=DataConsolidated[[#This Row],[Product]]) * (DataConsolidated[Scenario]="Forecast (Base)"), 0)))</f>
        <v>0</v>
      </c>
      <c r="L64" s="54">
        <f t="array" ref="L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4" s="55">
        <f t="array" ref="M6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5" spans="1:13" x14ac:dyDescent="0.25">
      <c r="A65" s="132" t="s">
        <v>35</v>
      </c>
      <c r="B65" s="133" t="s">
        <v>5</v>
      </c>
      <c r="C65" s="133" t="s">
        <v>122</v>
      </c>
      <c r="D65" s="134">
        <f>Actual_Over_2026!C53</f>
        <v>1569.7499999999998</v>
      </c>
      <c r="E65" s="135">
        <f>Actual_Over_2026!D53</f>
        <v>3800</v>
      </c>
      <c r="F65" s="135">
        <f>Actual_Over_2026!E53</f>
        <v>2500</v>
      </c>
      <c r="G65" s="28">
        <f t="shared" si="0"/>
        <v>5965049.9999999991</v>
      </c>
      <c r="H65" s="28">
        <f t="shared" si="1"/>
        <v>3924374.9999999995</v>
      </c>
      <c r="I65" s="28">
        <f t="shared" si="2"/>
        <v>2040674.9999999995</v>
      </c>
      <c r="J65" s="29">
        <f t="shared" si="3"/>
        <v>0.34210526315789469</v>
      </c>
      <c r="K65" s="54">
        <f t="array" ref="K65">IF(DataConsolidated[[#This Row],[Scenario]]="Forecast (Base)", 0, DataConsolidated[[#This Row],[Revenue]] - INDEX(DataConsolidated[Revenue], MATCH(1, (DataConsolidated[Month]=DataConsolidated[[#This Row],[Month]]) * (DataConsolidated[Product]=DataConsolidated[[#This Row],[Product]]) * (DataConsolidated[Scenario]="Forecast (Base)"), 0)))</f>
        <v>1940049.9999999991</v>
      </c>
      <c r="L65" s="54">
        <f t="array" ref="L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1005674.9999999995</v>
      </c>
      <c r="M65" s="55">
        <f t="array" ref="M65">IF(DataConsolidated[[#This Row],[Scenario]]="Forecast (Base)", 0, DataConsolidated[[#This Row],[Margin %]] -
  INDEX(DataConsolidated[Margin %], MATCH(1, (DataConsolidated[Month]=DataConsolidated[[#This Row],[Month]]) * (DataConsolidated[Product]=DataConsolidated[[#This Row],[Product]]) * (DataConsolidated[Scenario]="Forecast (Base)"), 0)))</f>
        <v>8.4962406015037573E-2</v>
      </c>
    </row>
    <row r="66" spans="1:13" x14ac:dyDescent="0.25">
      <c r="A66" s="132" t="s">
        <v>35</v>
      </c>
      <c r="B66" s="133" t="s">
        <v>5</v>
      </c>
      <c r="C66" s="133" t="s">
        <v>45</v>
      </c>
      <c r="D66" s="134">
        <f>Actual_Under_2026!C53</f>
        <v>864.79999999999984</v>
      </c>
      <c r="E66" s="135">
        <f>Actual_Under_2026!D53</f>
        <v>3168</v>
      </c>
      <c r="F66" s="135">
        <f>Actual_Under_2026!E53</f>
        <v>2828</v>
      </c>
      <c r="G66" s="28">
        <f t="shared" si="0"/>
        <v>2739686.3999999994</v>
      </c>
      <c r="H66" s="28">
        <f t="shared" si="1"/>
        <v>2445654.3999999994</v>
      </c>
      <c r="I66" s="28">
        <f t="shared" si="2"/>
        <v>294032</v>
      </c>
      <c r="J66" s="29">
        <f t="shared" si="3"/>
        <v>0.10732323232323235</v>
      </c>
      <c r="K66" s="54">
        <f t="array" ref="K66">IF(DataConsolidated[[#This Row],[Scenario]]="Forecast (Base)", 0, DataConsolidated[[#This Row],[Revenue]] - INDEX(DataConsolidated[Revenue], MATCH(1, (DataConsolidated[Month]=DataConsolidated[[#This Row],[Month]]) * (DataConsolidated[Product]=DataConsolidated[[#This Row],[Product]]) * (DataConsolidated[Scenario]="Forecast (Base)"), 0)))</f>
        <v>-1285313.6000000006</v>
      </c>
      <c r="L66" s="54">
        <f t="array" ref="L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-740968</v>
      </c>
      <c r="M66" s="55">
        <f t="array" ref="M66">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-0.14981962481962477</v>
      </c>
    </row>
    <row r="67" spans="1:13" x14ac:dyDescent="0.25">
      <c r="A67" s="132" t="s">
        <v>36</v>
      </c>
      <c r="B67" s="133" t="s">
        <v>5</v>
      </c>
      <c r="C67" s="133" t="s">
        <v>209</v>
      </c>
      <c r="D67" s="134">
        <f>Forecasting_Base!C50</f>
        <v>1300</v>
      </c>
      <c r="E67" s="135">
        <f>Forecasting_Base!D50</f>
        <v>3500</v>
      </c>
      <c r="F67" s="135">
        <f>Forecasting_Base!E50</f>
        <v>2600</v>
      </c>
      <c r="G67" s="28">
        <f t="shared" si="0"/>
        <v>4550000</v>
      </c>
      <c r="H67" s="28">
        <f t="shared" si="1"/>
        <v>3380000</v>
      </c>
      <c r="I67" s="28">
        <f t="shared" si="2"/>
        <v>1170000</v>
      </c>
      <c r="J67" s="29">
        <f t="shared" si="3"/>
        <v>0.25714285714285712</v>
      </c>
      <c r="K67" s="54">
        <f t="array" ref="K67">IF(DataConsolidated[[#This Row],[Scenario]]="Forecast (Base)", 0, DataConsolidated[[#This Row],[Revenue]] - INDEX(DataConsolidated[Revenue], MATCH(1, (DataConsolidated[Month]=DataConsolidated[[#This Row],[Month]]) * (DataConsolidated[Product]=DataConsolidated[[#This Row],[Product]]) * (DataConsolidated[Scenario]="Forecast (Base)"), 0)))</f>
        <v>0</v>
      </c>
      <c r="L67" s="54">
        <f t="array" ref="L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67" s="55">
        <f t="array" ref="M6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68" spans="1:13" x14ac:dyDescent="0.25">
      <c r="A68" s="132" t="s">
        <v>36</v>
      </c>
      <c r="B68" s="133" t="s">
        <v>5</v>
      </c>
      <c r="C68" s="133" t="s">
        <v>122</v>
      </c>
      <c r="D68" s="134">
        <f>Actual_Over_2026!C59</f>
        <v>1859.0000000000002</v>
      </c>
      <c r="E68" s="135">
        <f>Actual_Over_2026!D59</f>
        <v>3838</v>
      </c>
      <c r="F68" s="135">
        <f>Actual_Over_2026!E59</f>
        <v>2462.5</v>
      </c>
      <c r="G68" s="28">
        <f t="shared" si="0"/>
        <v>7134842.0000000009</v>
      </c>
      <c r="H68" s="28">
        <f t="shared" si="1"/>
        <v>4577787.5000000009</v>
      </c>
      <c r="I68" s="28">
        <f t="shared" si="2"/>
        <v>2557054.5</v>
      </c>
      <c r="J68" s="29">
        <f t="shared" si="3"/>
        <v>0.35838978634705571</v>
      </c>
      <c r="K68" s="54">
        <f t="array" ref="K68">IF(DataConsolidated[[#This Row],[Scenario]]="Forecast (Base)", 0, DataConsolidated[[#This Row],[Revenue]] - INDEX(DataConsolidated[Revenue], MATCH(1, (DataConsolidated[Month]=DataConsolidated[[#This Row],[Month]]) * (DataConsolidated[Product]=DataConsolidated[[#This Row],[Product]]) * (DataConsolidated[Scenario]="Forecast (Base)"), 0)))</f>
        <v>2584842.0000000009</v>
      </c>
      <c r="L68" s="54">
        <f t="array" ref="L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1387054.5</v>
      </c>
      <c r="M68" s="55">
        <f t="array" ref="M68">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69" spans="1:13" x14ac:dyDescent="0.25">
      <c r="A69" s="132" t="s">
        <v>36</v>
      </c>
      <c r="B69" s="133" t="s">
        <v>5</v>
      </c>
      <c r="C69" s="133" t="s">
        <v>45</v>
      </c>
      <c r="D69" s="134">
        <f>Actual_Under_2026!C59</f>
        <v>915.2</v>
      </c>
      <c r="E69" s="135">
        <f>Actual_Under_2026!D59</f>
        <v>3136</v>
      </c>
      <c r="F69" s="135">
        <f>Actual_Under_2026!E59</f>
        <v>2856</v>
      </c>
      <c r="G69" s="28">
        <f t="shared" ref="G69:G132" si="4">D69*E69</f>
        <v>2870067.2000000002</v>
      </c>
      <c r="H69" s="28">
        <f t="shared" ref="H69:H132" si="5">D69*F69</f>
        <v>2613811.2000000002</v>
      </c>
      <c r="I69" s="28">
        <f t="shared" ref="I69:I132" si="6">G69-H69</f>
        <v>256256</v>
      </c>
      <c r="J69" s="29">
        <f t="shared" ref="J69:J132" si="7">IF(G69=0,0,I69/G69)</f>
        <v>8.9285714285714274E-2</v>
      </c>
      <c r="K69" s="54">
        <f t="array" ref="K69">IF(DataConsolidated[[#This Row],[Scenario]]="Forecast (Base)", 0, DataConsolidated[[#This Row],[Revenue]] - INDEX(DataConsolidated[Revenue], MATCH(1, (DataConsolidated[Month]=DataConsolidated[[#This Row],[Month]]) * (DataConsolidated[Product]=DataConsolidated[[#This Row],[Product]]) * (DataConsolidated[Scenario]="Forecast (Base)"), 0)))</f>
        <v>-1679932.7999999998</v>
      </c>
      <c r="L69" s="54">
        <f t="array" ref="L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-913744</v>
      </c>
      <c r="M69" s="55">
        <f t="array" ref="M69">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-0.16785714285714284</v>
      </c>
    </row>
    <row r="70" spans="1:13" x14ac:dyDescent="0.25">
      <c r="A70" s="132" t="s">
        <v>37</v>
      </c>
      <c r="B70" s="133" t="s">
        <v>5</v>
      </c>
      <c r="C70" s="133" t="s">
        <v>209</v>
      </c>
      <c r="D70" s="134">
        <f>Forecasting_Base!C55</f>
        <v>1250</v>
      </c>
      <c r="E70" s="135">
        <f>Forecasting_Base!D55</f>
        <v>3500</v>
      </c>
      <c r="F70" s="135">
        <f>Forecasting_Base!E55</f>
        <v>2600</v>
      </c>
      <c r="G70" s="28">
        <f t="shared" si="4"/>
        <v>4375000</v>
      </c>
      <c r="H70" s="28">
        <f t="shared" si="5"/>
        <v>3250000</v>
      </c>
      <c r="I70" s="28">
        <f t="shared" si="6"/>
        <v>1125000</v>
      </c>
      <c r="J70" s="29">
        <f t="shared" si="7"/>
        <v>0.25714285714285712</v>
      </c>
      <c r="K70" s="54">
        <f t="array" ref="K70">IF(DataConsolidated[[#This Row],[Scenario]]="Forecast (Base)", 0, DataConsolidated[[#This Row],[Revenue]] - INDEX(DataConsolidated[Revenue], MATCH(1, (DataConsolidated[Month]=DataConsolidated[[#This Row],[Month]]) * (DataConsolidated[Product]=DataConsolidated[[#This Row],[Product]]) * (DataConsolidated[Scenario]="Forecast (Base)"), 0)))</f>
        <v>0</v>
      </c>
      <c r="L70" s="54">
        <f t="array" ref="L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0" s="55">
        <f t="array" ref="M7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1" spans="1:13" x14ac:dyDescent="0.25">
      <c r="A71" s="132" t="s">
        <v>37</v>
      </c>
      <c r="B71" s="133" t="s">
        <v>5</v>
      </c>
      <c r="C71" s="133" t="s">
        <v>122</v>
      </c>
      <c r="D71" s="134">
        <f>Actual_Over_2026!C65</f>
        <v>1787.5000000000002</v>
      </c>
      <c r="E71" s="135">
        <f>Actual_Over_2026!D65</f>
        <v>3838</v>
      </c>
      <c r="F71" s="135">
        <f>Actual_Over_2026!E65</f>
        <v>2462.5</v>
      </c>
      <c r="G71" s="28">
        <f t="shared" si="4"/>
        <v>6860425.0000000009</v>
      </c>
      <c r="H71" s="28">
        <f t="shared" si="5"/>
        <v>4401718.7500000009</v>
      </c>
      <c r="I71" s="28">
        <f t="shared" si="6"/>
        <v>2458706.25</v>
      </c>
      <c r="J71" s="29">
        <f t="shared" si="7"/>
        <v>0.35838978634705571</v>
      </c>
      <c r="K71" s="54">
        <f t="array" ref="K71">IF(DataConsolidated[[#This Row],[Scenario]]="Forecast (Base)", 0, DataConsolidated[[#This Row],[Revenue]] - INDEX(DataConsolidated[Revenue], MATCH(1, (DataConsolidated[Month]=DataConsolidated[[#This Row],[Month]]) * (DataConsolidated[Product]=DataConsolidated[[#This Row],[Product]]) * (DataConsolidated[Scenario]="Forecast (Base)"), 0)))</f>
        <v>2485425.0000000009</v>
      </c>
      <c r="L71" s="54">
        <f t="array" ref="L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1333706.25</v>
      </c>
      <c r="M71" s="55">
        <f t="array" ref="M71">IF(DataConsolidated[[#This Row],[Scenario]]="Forecast (Base)", 0, DataConsolidated[[#This Row],[Margin %]] -
  INDEX(DataConsolidated[Margin %], MATCH(1, (DataConsolidated[Month]=DataConsolidated[[#This Row],[Month]]) * (DataConsolidated[Product]=DataConsolidated[[#This Row],[Product]]) * (DataConsolidated[Scenario]="Forecast (Base)"), 0)))</f>
        <v>0.10124692920419859</v>
      </c>
    </row>
    <row r="72" spans="1:13" x14ac:dyDescent="0.25">
      <c r="A72" s="132" t="s">
        <v>37</v>
      </c>
      <c r="B72" s="133" t="s">
        <v>5</v>
      </c>
      <c r="C72" s="133" t="s">
        <v>45</v>
      </c>
      <c r="D72" s="134">
        <f>Actual_Under_2026!C65</f>
        <v>920</v>
      </c>
      <c r="E72" s="135">
        <f>Actual_Under_2026!D65</f>
        <v>3168</v>
      </c>
      <c r="F72" s="135">
        <f>Actual_Under_2026!E65</f>
        <v>2828</v>
      </c>
      <c r="G72" s="28">
        <f t="shared" si="4"/>
        <v>2914560</v>
      </c>
      <c r="H72" s="28">
        <f t="shared" si="5"/>
        <v>2601760</v>
      </c>
      <c r="I72" s="28">
        <f t="shared" si="6"/>
        <v>312800</v>
      </c>
      <c r="J72" s="29">
        <f t="shared" si="7"/>
        <v>0.10732323232323232</v>
      </c>
      <c r="K72" s="54">
        <f t="array" ref="K72">IF(DataConsolidated[[#This Row],[Scenario]]="Forecast (Base)", 0, DataConsolidated[[#This Row],[Revenue]] - INDEX(DataConsolidated[Revenue], MATCH(1, (DataConsolidated[Month]=DataConsolidated[[#This Row],[Month]]) * (DataConsolidated[Product]=DataConsolidated[[#This Row],[Product]]) * (DataConsolidated[Scenario]="Forecast (Base)"), 0)))</f>
        <v>-1460440</v>
      </c>
      <c r="L72" s="54">
        <f t="array" ref="L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-812200</v>
      </c>
      <c r="M72" s="55">
        <f t="array" ref="M72">IF(DataConsolidated[[#This Row],[Scenario]]="Forecast (Base)", 0, DataConsolidated[[#This Row],[Margin %]] -
  INDEX(DataConsolidated[Margin %], MATCH(1, (DataConsolidated[Month]=DataConsolidated[[#This Row],[Month]]) * (DataConsolidated[Product]=DataConsolidated[[#This Row],[Product]]) * (DataConsolidated[Scenario]="Forecast (Base)"), 0)))</f>
        <v>-0.1498196248196248</v>
      </c>
    </row>
    <row r="73" spans="1:13" x14ac:dyDescent="0.25">
      <c r="A73" s="132" t="s">
        <v>38</v>
      </c>
      <c r="B73" s="133" t="s">
        <v>5</v>
      </c>
      <c r="C73" s="133" t="s">
        <v>209</v>
      </c>
      <c r="D73" s="134">
        <f>Forecasting_Base!C60</f>
        <v>1200</v>
      </c>
      <c r="E73" s="135">
        <f>Forecasting_Base!D60</f>
        <v>3500</v>
      </c>
      <c r="F73" s="135">
        <f>Forecasting_Base!E60</f>
        <v>2600</v>
      </c>
      <c r="G73" s="28">
        <f t="shared" si="4"/>
        <v>4200000</v>
      </c>
      <c r="H73" s="28">
        <f t="shared" si="5"/>
        <v>3120000</v>
      </c>
      <c r="I73" s="28">
        <f t="shared" si="6"/>
        <v>1080000</v>
      </c>
      <c r="J73" s="29">
        <f t="shared" si="7"/>
        <v>0.25714285714285712</v>
      </c>
      <c r="K73" s="54">
        <f t="array" ref="K73">IF(DataConsolidated[[#This Row],[Scenario]]="Forecast (Base)", 0, DataConsolidated[[#This Row],[Revenue]] - INDEX(DataConsolidated[Revenue], MATCH(1, (DataConsolidated[Month]=DataConsolidated[[#This Row],[Month]]) * (DataConsolidated[Product]=DataConsolidated[[#This Row],[Product]]) * (DataConsolidated[Scenario]="Forecast (Base)"), 0)))</f>
        <v>0</v>
      </c>
      <c r="L73" s="54">
        <f t="array" ref="L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3" s="55">
        <f t="array" ref="M7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4" spans="1:13" x14ac:dyDescent="0.25">
      <c r="A74" s="132" t="s">
        <v>38</v>
      </c>
      <c r="B74" s="133" t="s">
        <v>5</v>
      </c>
      <c r="C74" s="133" t="s">
        <v>122</v>
      </c>
      <c r="D74" s="134">
        <f>Actual_Over_2026!C71</f>
        <v>1747.2000000000003</v>
      </c>
      <c r="E74" s="135">
        <f>Actual_Over_2026!D71</f>
        <v>3876</v>
      </c>
      <c r="F74" s="135">
        <f>Actual_Over_2026!E71</f>
        <v>2437.5</v>
      </c>
      <c r="G74" s="28">
        <f t="shared" si="4"/>
        <v>6772147.2000000011</v>
      </c>
      <c r="H74" s="28">
        <f t="shared" si="5"/>
        <v>4258800.0000000009</v>
      </c>
      <c r="I74" s="28">
        <f t="shared" si="6"/>
        <v>2513347.2000000002</v>
      </c>
      <c r="J74" s="29">
        <f t="shared" si="7"/>
        <v>0.37113003095975228</v>
      </c>
      <c r="K74" s="54">
        <f t="array" ref="K74">IF(DataConsolidated[[#This Row],[Scenario]]="Forecast (Base)", 0, DataConsolidated[[#This Row],[Revenue]] - INDEX(DataConsolidated[Revenue], MATCH(1, (DataConsolidated[Month]=DataConsolidated[[#This Row],[Month]]) * (DataConsolidated[Product]=DataConsolidated[[#This Row],[Product]]) * (DataConsolidated[Scenario]="Forecast (Base)"), 0)))</f>
        <v>2572147.2000000011</v>
      </c>
      <c r="L74" s="54">
        <f t="array" ref="L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1433347.2000000002</v>
      </c>
      <c r="M74" s="55">
        <f t="array" ref="M74">IF(DataConsolidated[[#This Row],[Scenario]]="Forecast (Base)", 0, DataConsolidated[[#This Row],[Margin %]] -
  INDEX(DataConsolidated[Margin %], MATCH(1, (DataConsolidated[Month]=DataConsolidated[[#This Row],[Month]]) * (DataConsolidated[Product]=DataConsolidated[[#This Row],[Product]]) * (DataConsolidated[Scenario]="Forecast (Base)"), 0)))</f>
        <v>0.11398717381689516</v>
      </c>
    </row>
    <row r="75" spans="1:13" x14ac:dyDescent="0.25">
      <c r="A75" s="132" t="s">
        <v>38</v>
      </c>
      <c r="B75" s="133" t="s">
        <v>5</v>
      </c>
      <c r="C75" s="133" t="s">
        <v>45</v>
      </c>
      <c r="D75" s="134">
        <f>Actual_Under_2026!C71</f>
        <v>816</v>
      </c>
      <c r="E75" s="135">
        <f>Actual_Under_2026!D71</f>
        <v>3136</v>
      </c>
      <c r="F75" s="135">
        <f>Actual_Under_2026!E71</f>
        <v>2856</v>
      </c>
      <c r="G75" s="28">
        <f t="shared" si="4"/>
        <v>2558976</v>
      </c>
      <c r="H75" s="28">
        <f t="shared" si="5"/>
        <v>2330496</v>
      </c>
      <c r="I75" s="28">
        <f t="shared" si="6"/>
        <v>228480</v>
      </c>
      <c r="J75" s="29">
        <f t="shared" si="7"/>
        <v>8.9285714285714288E-2</v>
      </c>
      <c r="K75" s="54">
        <f t="array" ref="K75">IF(DataConsolidated[[#This Row],[Scenario]]="Forecast (Base)", 0, DataConsolidated[[#This Row],[Revenue]] - INDEX(DataConsolidated[Revenue], MATCH(1, (DataConsolidated[Month]=DataConsolidated[[#This Row],[Month]]) * (DataConsolidated[Product]=DataConsolidated[[#This Row],[Product]]) * (DataConsolidated[Scenario]="Forecast (Base)"), 0)))</f>
        <v>-1641024</v>
      </c>
      <c r="L75" s="54">
        <f t="array" ref="L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-851520</v>
      </c>
      <c r="M75" s="55">
        <f t="array" ref="M75">IF(DataConsolidated[[#This Row],[Scenario]]="Forecast (Base)", 0, DataConsolidated[[#This Row],[Margin %]] -
  INDEX(DataConsolidated[Margin %], MATCH(1, (DataConsolidated[Month]=DataConsolidated[[#This Row],[Month]]) * (DataConsolidated[Product]=DataConsolidated[[#This Row],[Product]]) * (DataConsolidated[Scenario]="Forecast (Base)"), 0)))</f>
        <v>-0.16785714285714282</v>
      </c>
    </row>
    <row r="76" spans="1:13" x14ac:dyDescent="0.25">
      <c r="A76" s="132" t="s">
        <v>29</v>
      </c>
      <c r="B76" s="133" t="s">
        <v>210</v>
      </c>
      <c r="C76" s="133" t="s">
        <v>209</v>
      </c>
      <c r="D76" s="134">
        <f>Forecasting_Base!C6</f>
        <v>1045</v>
      </c>
      <c r="E76" s="135">
        <f>Forecasting_Base!D6</f>
        <v>2600</v>
      </c>
      <c r="F76" s="135">
        <f>Forecasting_Base!E6</f>
        <v>1800</v>
      </c>
      <c r="G76" s="28">
        <f t="shared" si="4"/>
        <v>2717000</v>
      </c>
      <c r="H76" s="28">
        <f t="shared" si="5"/>
        <v>1881000</v>
      </c>
      <c r="I76" s="28">
        <f t="shared" si="6"/>
        <v>836000</v>
      </c>
      <c r="J76" s="29">
        <f t="shared" si="7"/>
        <v>0.30769230769230771</v>
      </c>
      <c r="K76" s="54">
        <f t="array" ref="K76">IF(DataConsolidated[[#This Row],[Scenario]]="Forecast (Base)", 0, DataConsolidated[[#This Row],[Revenue]] - INDEX(DataConsolidated[Revenue], MATCH(1, (DataConsolidated[Month]=DataConsolidated[[#This Row],[Month]]) * (DataConsolidated[Product]=DataConsolidated[[#This Row],[Product]]) * (DataConsolidated[Scenario]="Forecast (Base)"), 0)))</f>
        <v>0</v>
      </c>
      <c r="L76" s="54">
        <f t="array" ref="L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6" s="55">
        <f t="array" ref="M7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77" spans="1:13" x14ac:dyDescent="0.25">
      <c r="A77" s="132" t="s">
        <v>29</v>
      </c>
      <c r="B77" s="133" t="s">
        <v>210</v>
      </c>
      <c r="C77" s="133" t="s">
        <v>122</v>
      </c>
      <c r="D77" s="134">
        <f>Actual_Over_2026!C6</f>
        <v>1330</v>
      </c>
      <c r="E77" s="135">
        <f>Actual_Over_2026!D6</f>
        <v>3000</v>
      </c>
      <c r="F77" s="135">
        <f>Actual_Over_2026!E6</f>
        <v>1700</v>
      </c>
      <c r="G77" s="28">
        <f t="shared" si="4"/>
        <v>3990000</v>
      </c>
      <c r="H77" s="28">
        <f t="shared" si="5"/>
        <v>2261000</v>
      </c>
      <c r="I77" s="28">
        <f t="shared" si="6"/>
        <v>1729000</v>
      </c>
      <c r="J77" s="29">
        <f t="shared" si="7"/>
        <v>0.43333333333333335</v>
      </c>
      <c r="K77" s="54">
        <f t="array" ref="K77">IF(DataConsolidated[[#This Row],[Scenario]]="Forecast (Base)", 0, DataConsolidated[[#This Row],[Revenue]] - INDEX(DataConsolidated[Revenue], MATCH(1, (DataConsolidated[Month]=DataConsolidated[[#This Row],[Month]]) * (DataConsolidated[Product]=DataConsolidated[[#This Row],[Product]]) * (DataConsolidated[Scenario]="Forecast (Base)"), 0)))</f>
        <v>1273000</v>
      </c>
      <c r="L77" s="54">
        <f t="array" ref="L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893000</v>
      </c>
      <c r="M77" s="55">
        <f t="array" ref="M77">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78" spans="1:13" x14ac:dyDescent="0.25">
      <c r="A78" s="132" t="s">
        <v>29</v>
      </c>
      <c r="B78" s="133" t="s">
        <v>210</v>
      </c>
      <c r="C78" s="133" t="s">
        <v>45</v>
      </c>
      <c r="D78" s="134">
        <f>Actual_Under_2026!C6</f>
        <v>812.25</v>
      </c>
      <c r="E78" s="135">
        <f>Actual_Under_2026!D6</f>
        <v>2300</v>
      </c>
      <c r="F78" s="135">
        <f>Actual_Under_2026!E6</f>
        <v>2100</v>
      </c>
      <c r="G78" s="28">
        <f t="shared" si="4"/>
        <v>1868175</v>
      </c>
      <c r="H78" s="28">
        <f t="shared" si="5"/>
        <v>1705725</v>
      </c>
      <c r="I78" s="28">
        <f t="shared" si="6"/>
        <v>162450</v>
      </c>
      <c r="J78" s="29">
        <f t="shared" si="7"/>
        <v>8.6956521739130432E-2</v>
      </c>
      <c r="K78" s="54">
        <f t="array" ref="K78">IF(DataConsolidated[[#This Row],[Scenario]]="Forecast (Base)", 0, DataConsolidated[[#This Row],[Revenue]] - INDEX(DataConsolidated[Revenue], MATCH(1, (DataConsolidated[Month]=DataConsolidated[[#This Row],[Month]]) * (DataConsolidated[Product]=DataConsolidated[[#This Row],[Product]]) * (DataConsolidated[Scenario]="Forecast (Base)"), 0)))</f>
        <v>-848825</v>
      </c>
      <c r="L78" s="54">
        <f t="array" ref="L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-673550</v>
      </c>
      <c r="M78" s="55">
        <f t="array" ref="M7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79" spans="1:13" x14ac:dyDescent="0.25">
      <c r="A79" s="132" t="s">
        <v>30</v>
      </c>
      <c r="B79" s="133" t="s">
        <v>210</v>
      </c>
      <c r="C79" s="133" t="s">
        <v>209</v>
      </c>
      <c r="D79" s="134">
        <f>Forecasting_Base!C11</f>
        <v>990</v>
      </c>
      <c r="E79" s="135">
        <f>Forecasting_Base!D11</f>
        <v>2600</v>
      </c>
      <c r="F79" s="135">
        <f>Forecasting_Base!E11</f>
        <v>1800</v>
      </c>
      <c r="G79" s="28">
        <f t="shared" si="4"/>
        <v>2574000</v>
      </c>
      <c r="H79" s="28">
        <f t="shared" si="5"/>
        <v>1782000</v>
      </c>
      <c r="I79" s="28">
        <f t="shared" si="6"/>
        <v>792000</v>
      </c>
      <c r="J79" s="29">
        <f t="shared" si="7"/>
        <v>0.30769230769230771</v>
      </c>
      <c r="K79" s="54">
        <f t="array" ref="K79">IF(DataConsolidated[[#This Row],[Scenario]]="Forecast (Base)", 0, DataConsolidated[[#This Row],[Revenue]] - INDEX(DataConsolidated[Revenue], MATCH(1, (DataConsolidated[Month]=DataConsolidated[[#This Row],[Month]]) * (DataConsolidated[Product]=DataConsolidated[[#This Row],[Product]]) * (DataConsolidated[Scenario]="Forecast (Base)"), 0)))</f>
        <v>0</v>
      </c>
      <c r="L79" s="54">
        <f t="array" ref="L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79" s="55">
        <f t="array" ref="M7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0" spans="1:13" x14ac:dyDescent="0.25">
      <c r="A80" s="132" t="s">
        <v>30</v>
      </c>
      <c r="B80" s="133" t="s">
        <v>210</v>
      </c>
      <c r="C80" s="133" t="s">
        <v>122</v>
      </c>
      <c r="D80" s="134">
        <f>Actual_Over_2026!C12</f>
        <v>1449</v>
      </c>
      <c r="E80" s="135">
        <f>Actual_Over_2026!D12</f>
        <v>3060</v>
      </c>
      <c r="F80" s="135">
        <f>Actual_Over_2026!E12</f>
        <v>1657.5</v>
      </c>
      <c r="G80" s="28">
        <f t="shared" si="4"/>
        <v>4433940</v>
      </c>
      <c r="H80" s="28">
        <f t="shared" si="5"/>
        <v>2401717.5</v>
      </c>
      <c r="I80" s="28">
        <f t="shared" si="6"/>
        <v>2032222.5</v>
      </c>
      <c r="J80" s="29">
        <f t="shared" si="7"/>
        <v>0.45833333333333331</v>
      </c>
      <c r="K80" s="54">
        <f t="array" ref="K80">IF(DataConsolidated[[#This Row],[Scenario]]="Forecast (Base)", 0, DataConsolidated[[#This Row],[Revenue]] - INDEX(DataConsolidated[Revenue], MATCH(1, (DataConsolidated[Month]=DataConsolidated[[#This Row],[Month]]) * (DataConsolidated[Product]=DataConsolidated[[#This Row],[Product]]) * (DataConsolidated[Scenario]="Forecast (Base)"), 0)))</f>
        <v>1859940</v>
      </c>
      <c r="L80" s="54">
        <f t="array" ref="L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1240222.5</v>
      </c>
      <c r="M80" s="55">
        <f t="array" ref="M80">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81" spans="1:13" x14ac:dyDescent="0.25">
      <c r="A81" s="132" t="s">
        <v>30</v>
      </c>
      <c r="B81" s="133" t="s">
        <v>210</v>
      </c>
      <c r="C81" s="133" t="s">
        <v>45</v>
      </c>
      <c r="D81" s="134">
        <f>Actual_Under_2026!C12</f>
        <v>648</v>
      </c>
      <c r="E81" s="135">
        <f>Actual_Under_2026!D12</f>
        <v>2231</v>
      </c>
      <c r="F81" s="135">
        <f>Actual_Under_2026!E12</f>
        <v>2163</v>
      </c>
      <c r="G81" s="28">
        <f t="shared" si="4"/>
        <v>1445688</v>
      </c>
      <c r="H81" s="28">
        <f t="shared" si="5"/>
        <v>1401624</v>
      </c>
      <c r="I81" s="28">
        <f t="shared" si="6"/>
        <v>44064</v>
      </c>
      <c r="J81" s="29">
        <f t="shared" si="7"/>
        <v>3.0479605558045721E-2</v>
      </c>
      <c r="K81" s="54">
        <f t="array" ref="K81">IF(DataConsolidated[[#This Row],[Scenario]]="Forecast (Base)", 0, DataConsolidated[[#This Row],[Revenue]] - INDEX(DataConsolidated[Revenue], MATCH(1, (DataConsolidated[Month]=DataConsolidated[[#This Row],[Month]]) * (DataConsolidated[Product]=DataConsolidated[[#This Row],[Product]]) * (DataConsolidated[Scenario]="Forecast (Base)"), 0)))</f>
        <v>-1128312</v>
      </c>
      <c r="L81" s="54">
        <f t="array" ref="L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-747936</v>
      </c>
      <c r="M81" s="55">
        <f t="array" ref="M81">IF(DataConsolidated[[#This Row],[Scenario]]="Forecast (Base)", 0, DataConsolidated[[#This Row],[Margin %]] -
  INDEX(DataConsolidated[Margin %], MATCH(1, (DataConsolidated[Month]=DataConsolidated[[#This Row],[Month]]) * (DataConsolidated[Product]=DataConsolidated[[#This Row],[Product]]) * (DataConsolidated[Scenario]="Forecast (Base)"), 0)))</f>
        <v>-0.27721270213426197</v>
      </c>
    </row>
    <row r="82" spans="1:13" x14ac:dyDescent="0.25">
      <c r="A82" s="132" t="s">
        <v>31</v>
      </c>
      <c r="B82" s="133" t="s">
        <v>210</v>
      </c>
      <c r="C82" s="133" t="s">
        <v>209</v>
      </c>
      <c r="D82" s="134">
        <f>Forecasting_Base!C16</f>
        <v>1155</v>
      </c>
      <c r="E82" s="135">
        <f>Forecasting_Base!D16</f>
        <v>2600</v>
      </c>
      <c r="F82" s="135">
        <f>Forecasting_Base!E16</f>
        <v>1800</v>
      </c>
      <c r="G82" s="28">
        <f t="shared" si="4"/>
        <v>3003000</v>
      </c>
      <c r="H82" s="28">
        <f t="shared" si="5"/>
        <v>2079000</v>
      </c>
      <c r="I82" s="28">
        <f t="shared" si="6"/>
        <v>924000</v>
      </c>
      <c r="J82" s="29">
        <f t="shared" si="7"/>
        <v>0.30769230769230771</v>
      </c>
      <c r="K82" s="54">
        <f t="array" ref="K82">IF(DataConsolidated[[#This Row],[Scenario]]="Forecast (Base)", 0, DataConsolidated[[#This Row],[Revenue]] - INDEX(DataConsolidated[Revenue], MATCH(1, (DataConsolidated[Month]=DataConsolidated[[#This Row],[Month]]) * (DataConsolidated[Product]=DataConsolidated[[#This Row],[Product]]) * (DataConsolidated[Scenario]="Forecast (Base)"), 0)))</f>
        <v>0</v>
      </c>
      <c r="L82" s="54">
        <f t="array" ref="L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2" s="55">
        <f t="array" ref="M8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3" spans="1:13" x14ac:dyDescent="0.25">
      <c r="A83" s="132" t="s">
        <v>31</v>
      </c>
      <c r="B83" s="133" t="s">
        <v>210</v>
      </c>
      <c r="C83" s="133" t="s">
        <v>122</v>
      </c>
      <c r="D83" s="134">
        <f>Actual_Over_2026!C18</f>
        <v>1617.0000000000002</v>
      </c>
      <c r="E83" s="135">
        <f>Actual_Over_2026!D18</f>
        <v>3030</v>
      </c>
      <c r="F83" s="135">
        <f>Actual_Over_2026!E18</f>
        <v>1674.5</v>
      </c>
      <c r="G83" s="28">
        <f t="shared" si="4"/>
        <v>4899510.0000000009</v>
      </c>
      <c r="H83" s="28">
        <f t="shared" si="5"/>
        <v>2707666.5000000005</v>
      </c>
      <c r="I83" s="28">
        <f t="shared" si="6"/>
        <v>2191843.5000000005</v>
      </c>
      <c r="J83" s="29">
        <f t="shared" si="7"/>
        <v>0.44735973597359735</v>
      </c>
      <c r="K83" s="54">
        <f t="array" ref="K83">IF(DataConsolidated[[#This Row],[Scenario]]="Forecast (Base)", 0, DataConsolidated[[#This Row],[Revenue]] - INDEX(DataConsolidated[Revenue], MATCH(1, (DataConsolidated[Month]=DataConsolidated[[#This Row],[Month]]) * (DataConsolidated[Product]=DataConsolidated[[#This Row],[Product]]) * (DataConsolidated[Scenario]="Forecast (Base)"), 0)))</f>
        <v>1896510.0000000009</v>
      </c>
      <c r="L83" s="54">
        <f t="array" ref="L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1267843.5000000005</v>
      </c>
      <c r="M83" s="55">
        <f t="array" ref="M83">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84" spans="1:13" x14ac:dyDescent="0.25">
      <c r="A84" s="132" t="s">
        <v>31</v>
      </c>
      <c r="B84" s="133" t="s">
        <v>210</v>
      </c>
      <c r="C84" s="133" t="s">
        <v>45</v>
      </c>
      <c r="D84" s="134">
        <f>Actual_Under_2026!C18</f>
        <v>803.25</v>
      </c>
      <c r="E84" s="135">
        <f>Actual_Under_2026!D18</f>
        <v>2254</v>
      </c>
      <c r="F84" s="135">
        <f>Actual_Under_2026!E18</f>
        <v>2142</v>
      </c>
      <c r="G84" s="28">
        <f t="shared" si="4"/>
        <v>1810525.5</v>
      </c>
      <c r="H84" s="28">
        <f t="shared" si="5"/>
        <v>1720561.5</v>
      </c>
      <c r="I84" s="28">
        <f t="shared" si="6"/>
        <v>89964</v>
      </c>
      <c r="J84" s="29">
        <f t="shared" si="7"/>
        <v>4.9689440993788817E-2</v>
      </c>
      <c r="K84" s="54">
        <f t="array" ref="K84">IF(DataConsolidated[[#This Row],[Scenario]]="Forecast (Base)", 0, DataConsolidated[[#This Row],[Revenue]] - INDEX(DataConsolidated[Revenue], MATCH(1, (DataConsolidated[Month]=DataConsolidated[[#This Row],[Month]]) * (DataConsolidated[Product]=DataConsolidated[[#This Row],[Product]]) * (DataConsolidated[Scenario]="Forecast (Base)"), 0)))</f>
        <v>-1192474.5</v>
      </c>
      <c r="L84" s="54">
        <f t="array" ref="L8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-834036</v>
      </c>
      <c r="M84" s="55">
        <f t="array" ref="M84">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-0.25800286669851891</v>
      </c>
    </row>
    <row r="85" spans="1:13" x14ac:dyDescent="0.25">
      <c r="A85" s="132" t="s">
        <v>32</v>
      </c>
      <c r="B85" s="133" t="s">
        <v>210</v>
      </c>
      <c r="C85" s="133" t="s">
        <v>209</v>
      </c>
      <c r="D85" s="134">
        <f>Forecasting_Base!C21</f>
        <v>1210</v>
      </c>
      <c r="E85" s="135">
        <f>Forecasting_Base!D21</f>
        <v>2600</v>
      </c>
      <c r="F85" s="135">
        <f>Forecasting_Base!E21</f>
        <v>1800</v>
      </c>
      <c r="G85" s="28">
        <f t="shared" si="4"/>
        <v>3146000</v>
      </c>
      <c r="H85" s="28">
        <f t="shared" si="5"/>
        <v>2178000</v>
      </c>
      <c r="I85" s="28">
        <f t="shared" si="6"/>
        <v>968000</v>
      </c>
      <c r="J85" s="29">
        <f t="shared" si="7"/>
        <v>0.30769230769230771</v>
      </c>
      <c r="K85" s="54">
        <f t="array" ref="K85">IF(DataConsolidated[[#This Row],[Scenario]]="Forecast (Base)", 0, DataConsolidated[[#This Row],[Revenue]] - INDEX(DataConsolidated[Revenue], MATCH(1, (DataConsolidated[Month]=DataConsolidated[[#This Row],[Month]]) * (DataConsolidated[Product]=DataConsolidated[[#This Row],[Product]]) * (DataConsolidated[Scenario]="Forecast (Base)"), 0)))</f>
        <v>0</v>
      </c>
      <c r="L85" s="54">
        <f t="array" ref="L8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5" s="55">
        <f t="array" ref="M8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6" spans="1:13" x14ac:dyDescent="0.25">
      <c r="A86" s="132" t="s">
        <v>32</v>
      </c>
      <c r="B86" s="133" t="s">
        <v>210</v>
      </c>
      <c r="C86" s="133" t="s">
        <v>122</v>
      </c>
      <c r="D86" s="134">
        <f>Actual_Over_2026!C24</f>
        <v>1540.0000000000002</v>
      </c>
      <c r="E86" s="135">
        <f>Actual_Over_2026!D24</f>
        <v>3000</v>
      </c>
      <c r="F86" s="135">
        <f>Actual_Over_2026!E24</f>
        <v>1700</v>
      </c>
      <c r="G86" s="28">
        <f t="shared" si="4"/>
        <v>4620000.0000000009</v>
      </c>
      <c r="H86" s="28">
        <f t="shared" si="5"/>
        <v>2618000.0000000005</v>
      </c>
      <c r="I86" s="28">
        <f t="shared" si="6"/>
        <v>2002000.0000000005</v>
      </c>
      <c r="J86" s="29">
        <f t="shared" si="7"/>
        <v>0.43333333333333335</v>
      </c>
      <c r="K86" s="54">
        <f t="array" ref="K86">IF(DataConsolidated[[#This Row],[Scenario]]="Forecast (Base)", 0, DataConsolidated[[#This Row],[Revenue]] - INDEX(DataConsolidated[Revenue], MATCH(1, (DataConsolidated[Month]=DataConsolidated[[#This Row],[Month]]) * (DataConsolidated[Product]=DataConsolidated[[#This Row],[Product]]) * (DataConsolidated[Scenario]="Forecast (Base)"), 0)))</f>
        <v>1474000.0000000009</v>
      </c>
      <c r="L86" s="54">
        <f t="array" ref="L8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1034000.0000000005</v>
      </c>
      <c r="M86" s="55">
        <f t="array" ref="M86">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87" spans="1:13" x14ac:dyDescent="0.25">
      <c r="A87" s="132" t="s">
        <v>32</v>
      </c>
      <c r="B87" s="133" t="s">
        <v>210</v>
      </c>
      <c r="C87" s="133" t="s">
        <v>45</v>
      </c>
      <c r="D87" s="134">
        <f>Actual_Under_2026!C24</f>
        <v>891.00000000000011</v>
      </c>
      <c r="E87" s="135">
        <f>Actual_Under_2026!D24</f>
        <v>2277</v>
      </c>
      <c r="F87" s="135">
        <f>Actual_Under_2026!E24</f>
        <v>2121</v>
      </c>
      <c r="G87" s="28">
        <f t="shared" si="4"/>
        <v>2028807.0000000002</v>
      </c>
      <c r="H87" s="28">
        <f t="shared" si="5"/>
        <v>1889811.0000000002</v>
      </c>
      <c r="I87" s="28">
        <f t="shared" si="6"/>
        <v>138996</v>
      </c>
      <c r="J87" s="29">
        <f t="shared" si="7"/>
        <v>6.8511198945981552E-2</v>
      </c>
      <c r="K87" s="54">
        <f t="array" ref="K87">IF(DataConsolidated[[#This Row],[Scenario]]="Forecast (Base)", 0, DataConsolidated[[#This Row],[Revenue]] - INDEX(DataConsolidated[Revenue], MATCH(1, (DataConsolidated[Month]=DataConsolidated[[#This Row],[Month]]) * (DataConsolidated[Product]=DataConsolidated[[#This Row],[Product]]) * (DataConsolidated[Scenario]="Forecast (Base)"), 0)))</f>
        <v>-1117192.9999999998</v>
      </c>
      <c r="L87" s="54">
        <f t="array" ref="L8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-829004</v>
      </c>
      <c r="M87" s="55">
        <f t="array" ref="M87">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88" spans="1:13" x14ac:dyDescent="0.25">
      <c r="A88" s="132" t="s">
        <v>27</v>
      </c>
      <c r="B88" s="133" t="s">
        <v>210</v>
      </c>
      <c r="C88" s="133" t="s">
        <v>209</v>
      </c>
      <c r="D88" s="134">
        <f>Forecasting_Base!C26</f>
        <v>1320</v>
      </c>
      <c r="E88" s="135">
        <f>Forecasting_Base!D26</f>
        <v>2600</v>
      </c>
      <c r="F88" s="135">
        <f>Forecasting_Base!E26</f>
        <v>1800</v>
      </c>
      <c r="G88" s="28">
        <f t="shared" si="4"/>
        <v>3432000</v>
      </c>
      <c r="H88" s="28">
        <f t="shared" si="5"/>
        <v>2376000</v>
      </c>
      <c r="I88" s="28">
        <f t="shared" si="6"/>
        <v>1056000</v>
      </c>
      <c r="J88" s="29">
        <f t="shared" si="7"/>
        <v>0.30769230769230771</v>
      </c>
      <c r="K88" s="54">
        <f t="array" ref="K88">IF(DataConsolidated[[#This Row],[Scenario]]="Forecast (Base)", 0, DataConsolidated[[#This Row],[Revenue]] - INDEX(DataConsolidated[Revenue], MATCH(1, (DataConsolidated[Month]=DataConsolidated[[#This Row],[Month]]) * (DataConsolidated[Product]=DataConsolidated[[#This Row],[Product]]) * (DataConsolidated[Scenario]="Forecast (Base)"), 0)))</f>
        <v>0</v>
      </c>
      <c r="L88" s="54">
        <f t="array" ref="L8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88" s="55">
        <f t="array" ref="M8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89" spans="1:13" x14ac:dyDescent="0.25">
      <c r="A89" s="132" t="s">
        <v>27</v>
      </c>
      <c r="B89" s="133" t="s">
        <v>210</v>
      </c>
      <c r="C89" s="133" t="s">
        <v>122</v>
      </c>
      <c r="D89" s="134">
        <f>Actual_Over_2026!C30</f>
        <v>1680</v>
      </c>
      <c r="E89" s="135">
        <f>Actual_Over_2026!D30</f>
        <v>3000</v>
      </c>
      <c r="F89" s="135">
        <f>Actual_Over_2026!E30</f>
        <v>1700</v>
      </c>
      <c r="G89" s="28">
        <f t="shared" si="4"/>
        <v>5040000</v>
      </c>
      <c r="H89" s="28">
        <f t="shared" si="5"/>
        <v>2856000</v>
      </c>
      <c r="I89" s="28">
        <f t="shared" si="6"/>
        <v>2184000</v>
      </c>
      <c r="J89" s="29">
        <f t="shared" si="7"/>
        <v>0.43333333333333335</v>
      </c>
      <c r="K89" s="54">
        <f t="array" ref="K89">IF(DataConsolidated[[#This Row],[Scenario]]="Forecast (Base)", 0, DataConsolidated[[#This Row],[Revenue]] - INDEX(DataConsolidated[Revenue], MATCH(1, (DataConsolidated[Month]=DataConsolidated[[#This Row],[Month]]) * (DataConsolidated[Product]=DataConsolidated[[#This Row],[Product]]) * (DataConsolidated[Scenario]="Forecast (Base)"), 0)))</f>
        <v>1608000</v>
      </c>
      <c r="L89" s="54">
        <f t="array" ref="L8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1128000</v>
      </c>
      <c r="M89" s="55">
        <f t="array" ref="M89">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0" spans="1:13" x14ac:dyDescent="0.25">
      <c r="A90" s="132" t="s">
        <v>27</v>
      </c>
      <c r="B90" s="133" t="s">
        <v>210</v>
      </c>
      <c r="C90" s="133" t="s">
        <v>45</v>
      </c>
      <c r="D90" s="134">
        <f>Actual_Under_2026!C30</f>
        <v>950.4</v>
      </c>
      <c r="E90" s="135">
        <f>Actual_Under_2026!D30</f>
        <v>2254</v>
      </c>
      <c r="F90" s="135">
        <f>Actual_Under_2026!E30</f>
        <v>2142</v>
      </c>
      <c r="G90" s="28">
        <f t="shared" si="4"/>
        <v>2142201.6</v>
      </c>
      <c r="H90" s="28">
        <f t="shared" si="5"/>
        <v>2035756.8</v>
      </c>
      <c r="I90" s="28">
        <f t="shared" si="6"/>
        <v>106444.80000000005</v>
      </c>
      <c r="J90" s="29">
        <f t="shared" si="7"/>
        <v>4.9689440993788837E-2</v>
      </c>
      <c r="K90" s="54">
        <f t="array" ref="K90">IF(DataConsolidated[[#This Row],[Scenario]]="Forecast (Base)", 0, DataConsolidated[[#This Row],[Revenue]] - INDEX(DataConsolidated[Revenue], MATCH(1, (DataConsolidated[Month]=DataConsolidated[[#This Row],[Month]]) * (DataConsolidated[Product]=DataConsolidated[[#This Row],[Product]]) * (DataConsolidated[Scenario]="Forecast (Base)"), 0)))</f>
        <v>-1289798.3999999999</v>
      </c>
      <c r="L90" s="54">
        <f t="array" ref="L9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-949555.19999999995</v>
      </c>
      <c r="M90" s="55">
        <f t="array" ref="M90">IF(DataConsolidated[[#This Row],[Scenario]]="Forecast (Base)", 0, DataConsolidated[[#This Row],[Margin %]] -
  INDEX(DataConsolidated[Margin %], MATCH(1, (DataConsolidated[Month]=DataConsolidated[[#This Row],[Month]]) * (DataConsolidated[Product]=DataConsolidated[[#This Row],[Product]]) * (DataConsolidated[Scenario]="Forecast (Base)"), 0)))</f>
        <v>-0.25800286669851885</v>
      </c>
    </row>
    <row r="91" spans="1:13" x14ac:dyDescent="0.25">
      <c r="A91" s="132" t="s">
        <v>33</v>
      </c>
      <c r="B91" s="133" t="s">
        <v>210</v>
      </c>
      <c r="C91" s="133" t="s">
        <v>209</v>
      </c>
      <c r="D91" s="134">
        <f>Forecasting_Base!C31</f>
        <v>1265</v>
      </c>
      <c r="E91" s="135">
        <f>Forecasting_Base!D31</f>
        <v>2600</v>
      </c>
      <c r="F91" s="135">
        <f>Forecasting_Base!E31</f>
        <v>1800</v>
      </c>
      <c r="G91" s="28">
        <f t="shared" si="4"/>
        <v>3289000</v>
      </c>
      <c r="H91" s="28">
        <f t="shared" si="5"/>
        <v>2277000</v>
      </c>
      <c r="I91" s="28">
        <f t="shared" si="6"/>
        <v>1012000</v>
      </c>
      <c r="J91" s="29">
        <f t="shared" si="7"/>
        <v>0.30769230769230771</v>
      </c>
      <c r="K91" s="54">
        <f t="array" ref="K91">IF(DataConsolidated[[#This Row],[Scenario]]="Forecast (Base)", 0, DataConsolidated[[#This Row],[Revenue]] - INDEX(DataConsolidated[Revenue], MATCH(1, (DataConsolidated[Month]=DataConsolidated[[#This Row],[Month]]) * (DataConsolidated[Product]=DataConsolidated[[#This Row],[Product]]) * (DataConsolidated[Scenario]="Forecast (Base)"), 0)))</f>
        <v>0</v>
      </c>
      <c r="L91" s="54">
        <f t="array" ref="L9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1" s="55">
        <f t="array" ref="M9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2" spans="1:13" x14ac:dyDescent="0.25">
      <c r="A92" s="132" t="s">
        <v>33</v>
      </c>
      <c r="B92" s="133" t="s">
        <v>210</v>
      </c>
      <c r="C92" s="133" t="s">
        <v>122</v>
      </c>
      <c r="D92" s="134">
        <f>Actual_Over_2026!C36</f>
        <v>1609.9999999999998</v>
      </c>
      <c r="E92" s="135">
        <f>Actual_Over_2026!D36</f>
        <v>3000</v>
      </c>
      <c r="F92" s="135">
        <f>Actual_Over_2026!E36</f>
        <v>1700</v>
      </c>
      <c r="G92" s="28">
        <f t="shared" si="4"/>
        <v>4829999.9999999991</v>
      </c>
      <c r="H92" s="28">
        <f t="shared" si="5"/>
        <v>2736999.9999999995</v>
      </c>
      <c r="I92" s="28">
        <f t="shared" si="6"/>
        <v>2092999.9999999995</v>
      </c>
      <c r="J92" s="29">
        <f t="shared" si="7"/>
        <v>0.43333333333333335</v>
      </c>
      <c r="K92" s="54">
        <f t="array" ref="K92">IF(DataConsolidated[[#This Row],[Scenario]]="Forecast (Base)", 0, DataConsolidated[[#This Row],[Revenue]] - INDEX(DataConsolidated[Revenue], MATCH(1, (DataConsolidated[Month]=DataConsolidated[[#This Row],[Month]]) * (DataConsolidated[Product]=DataConsolidated[[#This Row],[Product]]) * (DataConsolidated[Scenario]="Forecast (Base)"), 0)))</f>
        <v>1540999.9999999991</v>
      </c>
      <c r="L92" s="54">
        <f t="array" ref="L9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1080999.9999999995</v>
      </c>
      <c r="M92" s="55">
        <f t="array" ref="M92">IF(DataConsolidated[[#This Row],[Scenario]]="Forecast (Base)", 0, DataConsolidated[[#This Row],[Margin %]] -
  INDEX(DataConsolidated[Margin %], MATCH(1, (DataConsolidated[Month]=DataConsolidated[[#This Row],[Month]]) * (DataConsolidated[Product]=DataConsolidated[[#This Row],[Product]]) * (DataConsolidated[Scenario]="Forecast (Base)"), 0)))</f>
        <v>0.12564102564102564</v>
      </c>
    </row>
    <row r="93" spans="1:13" x14ac:dyDescent="0.25">
      <c r="A93" s="132" t="s">
        <v>33</v>
      </c>
      <c r="B93" s="133" t="s">
        <v>210</v>
      </c>
      <c r="C93" s="133" t="s">
        <v>45</v>
      </c>
      <c r="D93" s="134">
        <f>Actual_Under_2026!C36</f>
        <v>931.5</v>
      </c>
      <c r="E93" s="135">
        <f>Actual_Under_2026!D36</f>
        <v>2277</v>
      </c>
      <c r="F93" s="135">
        <f>Actual_Under_2026!E36</f>
        <v>2121</v>
      </c>
      <c r="G93" s="28">
        <f t="shared" si="4"/>
        <v>2121025.5</v>
      </c>
      <c r="H93" s="28">
        <f t="shared" si="5"/>
        <v>1975711.5</v>
      </c>
      <c r="I93" s="28">
        <f t="shared" si="6"/>
        <v>145314</v>
      </c>
      <c r="J93" s="29">
        <f t="shared" si="7"/>
        <v>6.8511198945981552E-2</v>
      </c>
      <c r="K93" s="54">
        <f t="array" ref="K93">IF(DataConsolidated[[#This Row],[Scenario]]="Forecast (Base)", 0, DataConsolidated[[#This Row],[Revenue]] - INDEX(DataConsolidated[Revenue], MATCH(1, (DataConsolidated[Month]=DataConsolidated[[#This Row],[Month]]) * (DataConsolidated[Product]=DataConsolidated[[#This Row],[Product]]) * (DataConsolidated[Scenario]="Forecast (Base)"), 0)))</f>
        <v>-1167974.5</v>
      </c>
      <c r="L93" s="54">
        <f t="array" ref="L9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-866686</v>
      </c>
      <c r="M93" s="55">
        <f t="array" ref="M93">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4" spans="1:13" x14ac:dyDescent="0.25">
      <c r="A94" s="132" t="s">
        <v>28</v>
      </c>
      <c r="B94" s="133" t="s">
        <v>210</v>
      </c>
      <c r="C94" s="133" t="s">
        <v>209</v>
      </c>
      <c r="D94" s="134">
        <f>Forecasting_Base!C36</f>
        <v>1155</v>
      </c>
      <c r="E94" s="135">
        <f>Forecasting_Base!D36</f>
        <v>2600</v>
      </c>
      <c r="F94" s="135">
        <f>Forecasting_Base!E36</f>
        <v>1800</v>
      </c>
      <c r="G94" s="28">
        <f t="shared" si="4"/>
        <v>3003000</v>
      </c>
      <c r="H94" s="28">
        <f t="shared" si="5"/>
        <v>2079000</v>
      </c>
      <c r="I94" s="28">
        <f t="shared" si="6"/>
        <v>924000</v>
      </c>
      <c r="J94" s="29">
        <f t="shared" si="7"/>
        <v>0.30769230769230771</v>
      </c>
      <c r="K94" s="54">
        <f t="array" ref="K94">IF(DataConsolidated[[#This Row],[Scenario]]="Forecast (Base)", 0, DataConsolidated[[#This Row],[Revenue]] - INDEX(DataConsolidated[Revenue], MATCH(1, (DataConsolidated[Month]=DataConsolidated[[#This Row],[Month]]) * (DataConsolidated[Product]=DataConsolidated[[#This Row],[Product]]) * (DataConsolidated[Scenario]="Forecast (Base)"), 0)))</f>
        <v>0</v>
      </c>
      <c r="L94" s="54">
        <f t="array" ref="L9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4" s="55">
        <f t="array" ref="M9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5" spans="1:13" x14ac:dyDescent="0.25">
      <c r="A95" s="132" t="s">
        <v>28</v>
      </c>
      <c r="B95" s="133" t="s">
        <v>210</v>
      </c>
      <c r="C95" s="133" t="s">
        <v>122</v>
      </c>
      <c r="D95" s="134">
        <f>Actual_Over_2026!C42</f>
        <v>1617.0000000000002</v>
      </c>
      <c r="E95" s="135">
        <f>Actual_Over_2026!D42</f>
        <v>3030</v>
      </c>
      <c r="F95" s="135">
        <f>Actual_Over_2026!E42</f>
        <v>1674.5</v>
      </c>
      <c r="G95" s="28">
        <f t="shared" si="4"/>
        <v>4899510.0000000009</v>
      </c>
      <c r="H95" s="28">
        <f t="shared" si="5"/>
        <v>2707666.5000000005</v>
      </c>
      <c r="I95" s="28">
        <f t="shared" si="6"/>
        <v>2191843.5000000005</v>
      </c>
      <c r="J95" s="29">
        <f t="shared" si="7"/>
        <v>0.44735973597359735</v>
      </c>
      <c r="K95" s="54">
        <f t="array" ref="K95">IF(DataConsolidated[[#This Row],[Scenario]]="Forecast (Base)", 0, DataConsolidated[[#This Row],[Revenue]] - INDEX(DataConsolidated[Revenue], MATCH(1, (DataConsolidated[Month]=DataConsolidated[[#This Row],[Month]]) * (DataConsolidated[Product]=DataConsolidated[[#This Row],[Product]]) * (DataConsolidated[Scenario]="Forecast (Base)"), 0)))</f>
        <v>1896510.0000000009</v>
      </c>
      <c r="L95" s="54">
        <f t="array" ref="L9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1267843.5000000005</v>
      </c>
      <c r="M95" s="55">
        <f t="array" ref="M95">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96" spans="1:13" x14ac:dyDescent="0.25">
      <c r="A96" s="132" t="s">
        <v>28</v>
      </c>
      <c r="B96" s="133" t="s">
        <v>210</v>
      </c>
      <c r="C96" s="133" t="s">
        <v>45</v>
      </c>
      <c r="D96" s="134">
        <f>Actual_Under_2026!C42</f>
        <v>850.5</v>
      </c>
      <c r="E96" s="135">
        <f>Actual_Under_2026!D42</f>
        <v>2277</v>
      </c>
      <c r="F96" s="135">
        <f>Actual_Under_2026!E42</f>
        <v>2121</v>
      </c>
      <c r="G96" s="28">
        <f t="shared" si="4"/>
        <v>1936588.5</v>
      </c>
      <c r="H96" s="28">
        <f t="shared" si="5"/>
        <v>1803910.5</v>
      </c>
      <c r="I96" s="28">
        <f t="shared" si="6"/>
        <v>132678</v>
      </c>
      <c r="J96" s="29">
        <f t="shared" si="7"/>
        <v>6.8511198945981552E-2</v>
      </c>
      <c r="K96" s="54">
        <f t="array" ref="K96">IF(DataConsolidated[[#This Row],[Scenario]]="Forecast (Base)", 0, DataConsolidated[[#This Row],[Revenue]] - INDEX(DataConsolidated[Revenue], MATCH(1, (DataConsolidated[Month]=DataConsolidated[[#This Row],[Month]]) * (DataConsolidated[Product]=DataConsolidated[[#This Row],[Product]]) * (DataConsolidated[Scenario]="Forecast (Base)"), 0)))</f>
        <v>-1066411.5</v>
      </c>
      <c r="L96" s="54">
        <f t="array" ref="L9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-791322</v>
      </c>
      <c r="M96" s="55">
        <f t="array" ref="M96">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97" spans="1:13" x14ac:dyDescent="0.25">
      <c r="A97" s="132" t="s">
        <v>34</v>
      </c>
      <c r="B97" s="133" t="s">
        <v>210</v>
      </c>
      <c r="C97" s="133" t="s">
        <v>209</v>
      </c>
      <c r="D97" s="134">
        <f>Forecasting_Base!C41</f>
        <v>1210</v>
      </c>
      <c r="E97" s="135">
        <f>Forecasting_Base!D41</f>
        <v>2600</v>
      </c>
      <c r="F97" s="135">
        <f>Forecasting_Base!E41</f>
        <v>1800</v>
      </c>
      <c r="G97" s="28">
        <f t="shared" si="4"/>
        <v>3146000</v>
      </c>
      <c r="H97" s="28">
        <f t="shared" si="5"/>
        <v>2178000</v>
      </c>
      <c r="I97" s="28">
        <f t="shared" si="6"/>
        <v>968000</v>
      </c>
      <c r="J97" s="29">
        <f t="shared" si="7"/>
        <v>0.30769230769230771</v>
      </c>
      <c r="K97" s="54">
        <f t="array" ref="K97">IF(DataConsolidated[[#This Row],[Scenario]]="Forecast (Base)", 0, DataConsolidated[[#This Row],[Revenue]] - INDEX(DataConsolidated[Revenue], MATCH(1, (DataConsolidated[Month]=DataConsolidated[[#This Row],[Month]]) * (DataConsolidated[Product]=DataConsolidated[[#This Row],[Product]]) * (DataConsolidated[Scenario]="Forecast (Base)"), 0)))</f>
        <v>0</v>
      </c>
      <c r="L97" s="54">
        <f t="array" ref="L9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97" s="55">
        <f t="array" ref="M9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98" spans="1:13" x14ac:dyDescent="0.25">
      <c r="A98" s="132" t="s">
        <v>34</v>
      </c>
      <c r="B98" s="133" t="s">
        <v>210</v>
      </c>
      <c r="C98" s="133" t="s">
        <v>122</v>
      </c>
      <c r="D98" s="134">
        <f>Actual_Over_2026!C48</f>
        <v>1724.8000000000004</v>
      </c>
      <c r="E98" s="135">
        <f>Actual_Over_2026!D48</f>
        <v>3060</v>
      </c>
      <c r="F98" s="135">
        <f>Actual_Over_2026!E48</f>
        <v>1657.5</v>
      </c>
      <c r="G98" s="28">
        <f t="shared" si="4"/>
        <v>5277888.0000000009</v>
      </c>
      <c r="H98" s="28">
        <f t="shared" si="5"/>
        <v>2858856.0000000005</v>
      </c>
      <c r="I98" s="28">
        <f t="shared" si="6"/>
        <v>2419032.0000000005</v>
      </c>
      <c r="J98" s="29">
        <f t="shared" si="7"/>
        <v>0.45833333333333331</v>
      </c>
      <c r="K98" s="54">
        <f t="array" ref="K98">IF(DataConsolidated[[#This Row],[Scenario]]="Forecast (Base)", 0, DataConsolidated[[#This Row],[Revenue]] - INDEX(DataConsolidated[Revenue], MATCH(1, (DataConsolidated[Month]=DataConsolidated[[#This Row],[Month]]) * (DataConsolidated[Product]=DataConsolidated[[#This Row],[Product]]) * (DataConsolidated[Scenario]="Forecast (Base)"), 0)))</f>
        <v>2131888.0000000009</v>
      </c>
      <c r="L98" s="54">
        <f t="array" ref="L9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1451032.0000000005</v>
      </c>
      <c r="M98" s="55">
        <f t="array" ref="M98">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99" spans="1:13" x14ac:dyDescent="0.25">
      <c r="A99" s="132" t="s">
        <v>34</v>
      </c>
      <c r="B99" s="133" t="s">
        <v>210</v>
      </c>
      <c r="C99" s="133" t="s">
        <v>45</v>
      </c>
      <c r="D99" s="134">
        <f>Actual_Under_2026!C48</f>
        <v>940.50000000000011</v>
      </c>
      <c r="E99" s="135">
        <f>Actual_Under_2026!D48</f>
        <v>2300</v>
      </c>
      <c r="F99" s="135">
        <f>Actual_Under_2026!E48</f>
        <v>2100</v>
      </c>
      <c r="G99" s="28">
        <f t="shared" si="4"/>
        <v>2163150.0000000005</v>
      </c>
      <c r="H99" s="28">
        <f t="shared" si="5"/>
        <v>1975050.0000000002</v>
      </c>
      <c r="I99" s="28">
        <f t="shared" si="6"/>
        <v>188100.00000000023</v>
      </c>
      <c r="J99" s="29">
        <f t="shared" si="7"/>
        <v>8.695652173913053E-2</v>
      </c>
      <c r="K99" s="54">
        <f t="array" ref="K99">IF(DataConsolidated[[#This Row],[Scenario]]="Forecast (Base)", 0, DataConsolidated[[#This Row],[Revenue]] - INDEX(DataConsolidated[Revenue], MATCH(1, (DataConsolidated[Month]=DataConsolidated[[#This Row],[Month]]) * (DataConsolidated[Product]=DataConsolidated[[#This Row],[Product]]) * (DataConsolidated[Scenario]="Forecast (Base)"), 0)))</f>
        <v>-982849.99999999953</v>
      </c>
      <c r="L99" s="54">
        <f t="array" ref="L9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-779899.99999999977</v>
      </c>
      <c r="M99" s="55">
        <f t="array" ref="M99">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-0.22073578595317717</v>
      </c>
    </row>
    <row r="100" spans="1:13" x14ac:dyDescent="0.25">
      <c r="A100" s="132" t="s">
        <v>35</v>
      </c>
      <c r="B100" s="133" t="s">
        <v>210</v>
      </c>
      <c r="C100" s="133" t="s">
        <v>209</v>
      </c>
      <c r="D100" s="134">
        <f>Forecasting_Base!C46</f>
        <v>1265</v>
      </c>
      <c r="E100" s="135">
        <f>Forecasting_Base!D46</f>
        <v>2600</v>
      </c>
      <c r="F100" s="135">
        <f>Forecasting_Base!E46</f>
        <v>1800</v>
      </c>
      <c r="G100" s="28">
        <f t="shared" si="4"/>
        <v>3289000</v>
      </c>
      <c r="H100" s="28">
        <f t="shared" si="5"/>
        <v>2277000</v>
      </c>
      <c r="I100" s="28">
        <f t="shared" si="6"/>
        <v>1012000</v>
      </c>
      <c r="J100" s="29">
        <f t="shared" si="7"/>
        <v>0.30769230769230771</v>
      </c>
      <c r="K100" s="54">
        <f t="array" ref="K10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0" s="54">
        <f t="array" ref="L10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0" s="55">
        <f t="array" ref="M10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1" spans="1:13" x14ac:dyDescent="0.25">
      <c r="A101" s="132" t="s">
        <v>35</v>
      </c>
      <c r="B101" s="133" t="s">
        <v>210</v>
      </c>
      <c r="C101" s="133" t="s">
        <v>122</v>
      </c>
      <c r="D101" s="134">
        <f>Actual_Over_2026!C54</f>
        <v>1771</v>
      </c>
      <c r="E101" s="135">
        <f>Actual_Over_2026!D54</f>
        <v>3030</v>
      </c>
      <c r="F101" s="135">
        <f>Actual_Over_2026!E54</f>
        <v>1674.5</v>
      </c>
      <c r="G101" s="28">
        <f t="shared" si="4"/>
        <v>5366130</v>
      </c>
      <c r="H101" s="28">
        <f t="shared" si="5"/>
        <v>2965539.5</v>
      </c>
      <c r="I101" s="28">
        <f t="shared" si="6"/>
        <v>2400590.5</v>
      </c>
      <c r="J101" s="29">
        <f t="shared" si="7"/>
        <v>0.44735973597359735</v>
      </c>
      <c r="K101" s="54">
        <f t="array" ref="K101">IF(DataConsolidated[[#This Row],[Scenario]]="Forecast (Base)", 0, DataConsolidated[[#This Row],[Revenue]] - INDEX(DataConsolidated[Revenue], MATCH(1, (DataConsolidated[Month]=DataConsolidated[[#This Row],[Month]]) * (DataConsolidated[Product]=DataConsolidated[[#This Row],[Product]]) * (DataConsolidated[Scenario]="Forecast (Base)"), 0)))</f>
        <v>2077130</v>
      </c>
      <c r="L101" s="54">
        <f t="array" ref="L10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1388590.5</v>
      </c>
      <c r="M101" s="55">
        <f t="array" ref="M101">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02" spans="1:13" x14ac:dyDescent="0.25">
      <c r="A102" s="132" t="s">
        <v>35</v>
      </c>
      <c r="B102" s="133" t="s">
        <v>210</v>
      </c>
      <c r="C102" s="133" t="s">
        <v>45</v>
      </c>
      <c r="D102" s="134">
        <f>Actual_Under_2026!C54</f>
        <v>962.55</v>
      </c>
      <c r="E102" s="135">
        <f>Actual_Under_2026!D54</f>
        <v>2277</v>
      </c>
      <c r="F102" s="135">
        <f>Actual_Under_2026!E54</f>
        <v>2121</v>
      </c>
      <c r="G102" s="28">
        <f t="shared" si="4"/>
        <v>2191726.35</v>
      </c>
      <c r="H102" s="28">
        <f t="shared" si="5"/>
        <v>2041568.5499999998</v>
      </c>
      <c r="I102" s="28">
        <f t="shared" si="6"/>
        <v>150157.80000000028</v>
      </c>
      <c r="J102" s="29">
        <f t="shared" si="7"/>
        <v>6.8511198945981677E-2</v>
      </c>
      <c r="K102" s="54">
        <f t="array" ref="K102">IF(DataConsolidated[[#This Row],[Scenario]]="Forecast (Base)", 0, DataConsolidated[[#This Row],[Revenue]] - INDEX(DataConsolidated[Revenue], MATCH(1, (DataConsolidated[Month]=DataConsolidated[[#This Row],[Month]]) * (DataConsolidated[Product]=DataConsolidated[[#This Row],[Product]]) * (DataConsolidated[Scenario]="Forecast (Base)"), 0)))</f>
        <v>-1097273.6499999999</v>
      </c>
      <c r="L102" s="54">
        <f t="array" ref="L10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-861842.19999999972</v>
      </c>
      <c r="M102" s="55">
        <f t="array" ref="M102">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-0.23918110874632603</v>
      </c>
    </row>
    <row r="103" spans="1:13" x14ac:dyDescent="0.25">
      <c r="A103" s="132" t="s">
        <v>36</v>
      </c>
      <c r="B103" s="133" t="s">
        <v>210</v>
      </c>
      <c r="C103" s="133" t="s">
        <v>209</v>
      </c>
      <c r="D103" s="134">
        <f>Forecasting_Base!C51</f>
        <v>1430</v>
      </c>
      <c r="E103" s="135">
        <f>Forecasting_Base!D51</f>
        <v>2600</v>
      </c>
      <c r="F103" s="135">
        <f>Forecasting_Base!E51</f>
        <v>1800</v>
      </c>
      <c r="G103" s="28">
        <f t="shared" si="4"/>
        <v>3718000</v>
      </c>
      <c r="H103" s="28">
        <f t="shared" si="5"/>
        <v>2574000</v>
      </c>
      <c r="I103" s="28">
        <f t="shared" si="6"/>
        <v>1144000</v>
      </c>
      <c r="J103" s="29">
        <f t="shared" si="7"/>
        <v>0.30769230769230771</v>
      </c>
      <c r="K103" s="54">
        <f t="array" ref="K10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3" s="54">
        <f t="array" ref="L10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3" s="55">
        <f t="array" ref="M10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4" spans="1:13" x14ac:dyDescent="0.25">
      <c r="A104" s="132" t="s">
        <v>36</v>
      </c>
      <c r="B104" s="133" t="s">
        <v>210</v>
      </c>
      <c r="C104" s="133" t="s">
        <v>122</v>
      </c>
      <c r="D104" s="134">
        <f>Actual_Over_2026!C60</f>
        <v>2093</v>
      </c>
      <c r="E104" s="135">
        <f>Actual_Over_2026!D60</f>
        <v>3060</v>
      </c>
      <c r="F104" s="135">
        <f>Actual_Over_2026!E60</f>
        <v>1657.5</v>
      </c>
      <c r="G104" s="28">
        <f t="shared" si="4"/>
        <v>6404580</v>
      </c>
      <c r="H104" s="28">
        <f t="shared" si="5"/>
        <v>3469147.5</v>
      </c>
      <c r="I104" s="28">
        <f t="shared" si="6"/>
        <v>2935432.5</v>
      </c>
      <c r="J104" s="29">
        <f t="shared" si="7"/>
        <v>0.45833333333333331</v>
      </c>
      <c r="K104" s="54">
        <f t="array" ref="K104">IF(DataConsolidated[[#This Row],[Scenario]]="Forecast (Base)", 0, DataConsolidated[[#This Row],[Revenue]] - INDEX(DataConsolidated[Revenue], MATCH(1, (DataConsolidated[Month]=DataConsolidated[[#This Row],[Month]]) * (DataConsolidated[Product]=DataConsolidated[[#This Row],[Product]]) * (DataConsolidated[Scenario]="Forecast (Base)"), 0)))</f>
        <v>2686580</v>
      </c>
      <c r="L104" s="54">
        <f t="array" ref="L10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1791432.5</v>
      </c>
      <c r="M104" s="55">
        <f t="array" ref="M104">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5" spans="1:13" x14ac:dyDescent="0.25">
      <c r="A105" s="132" t="s">
        <v>36</v>
      </c>
      <c r="B105" s="133" t="s">
        <v>210</v>
      </c>
      <c r="C105" s="133" t="s">
        <v>45</v>
      </c>
      <c r="D105" s="134">
        <f>Actual_Under_2026!C60</f>
        <v>1076.4000000000001</v>
      </c>
      <c r="E105" s="135">
        <f>Actual_Under_2026!D60</f>
        <v>2277</v>
      </c>
      <c r="F105" s="135">
        <f>Actual_Under_2026!E60</f>
        <v>2121</v>
      </c>
      <c r="G105" s="28">
        <f t="shared" si="4"/>
        <v>2450962.8000000003</v>
      </c>
      <c r="H105" s="28">
        <f t="shared" si="5"/>
        <v>2283044.4000000004</v>
      </c>
      <c r="I105" s="28">
        <f t="shared" si="6"/>
        <v>167918.39999999991</v>
      </c>
      <c r="J105" s="29">
        <f t="shared" si="7"/>
        <v>6.8511198945981511E-2</v>
      </c>
      <c r="K105" s="54">
        <f t="array" ref="K105">IF(DataConsolidated[[#This Row],[Scenario]]="Forecast (Base)", 0, DataConsolidated[[#This Row],[Revenue]] - INDEX(DataConsolidated[Revenue], MATCH(1, (DataConsolidated[Month]=DataConsolidated[[#This Row],[Month]]) * (DataConsolidated[Product]=DataConsolidated[[#This Row],[Product]]) * (DataConsolidated[Scenario]="Forecast (Base)"), 0)))</f>
        <v>-1267037.1999999997</v>
      </c>
      <c r="L105" s="54">
        <f t="array" ref="L10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-976081.60000000009</v>
      </c>
      <c r="M105" s="55">
        <f t="array" ref="M105">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-0.2391811087463262</v>
      </c>
    </row>
    <row r="106" spans="1:13" x14ac:dyDescent="0.25">
      <c r="A106" s="132" t="s">
        <v>37</v>
      </c>
      <c r="B106" s="133" t="s">
        <v>210</v>
      </c>
      <c r="C106" s="133" t="s">
        <v>209</v>
      </c>
      <c r="D106" s="134">
        <f>Forecasting_Base!C56</f>
        <v>1375</v>
      </c>
      <c r="E106" s="135">
        <f>Forecasting_Base!D56</f>
        <v>2600</v>
      </c>
      <c r="F106" s="135">
        <f>Forecasting_Base!E56</f>
        <v>1800</v>
      </c>
      <c r="G106" s="28">
        <f t="shared" si="4"/>
        <v>3575000</v>
      </c>
      <c r="H106" s="28">
        <f t="shared" si="5"/>
        <v>2475000</v>
      </c>
      <c r="I106" s="28">
        <f t="shared" si="6"/>
        <v>1100000</v>
      </c>
      <c r="J106" s="29">
        <f t="shared" si="7"/>
        <v>0.30769230769230771</v>
      </c>
      <c r="K106" s="54">
        <f t="array" ref="K10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6" s="54">
        <f t="array" ref="L10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6" s="55">
        <f t="array" ref="M10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07" spans="1:13" x14ac:dyDescent="0.25">
      <c r="A107" s="132" t="s">
        <v>37</v>
      </c>
      <c r="B107" s="133" t="s">
        <v>210</v>
      </c>
      <c r="C107" s="133" t="s">
        <v>122</v>
      </c>
      <c r="D107" s="134">
        <f>Actual_Over_2026!C66</f>
        <v>1960.0000000000002</v>
      </c>
      <c r="E107" s="135">
        <f>Actual_Over_2026!D66</f>
        <v>3060</v>
      </c>
      <c r="F107" s="135">
        <f>Actual_Over_2026!E66</f>
        <v>1657.5</v>
      </c>
      <c r="G107" s="28">
        <f t="shared" si="4"/>
        <v>5997600.0000000009</v>
      </c>
      <c r="H107" s="28">
        <f t="shared" si="5"/>
        <v>3248700.0000000005</v>
      </c>
      <c r="I107" s="28">
        <f t="shared" si="6"/>
        <v>2748900.0000000005</v>
      </c>
      <c r="J107" s="29">
        <f t="shared" si="7"/>
        <v>0.45833333333333331</v>
      </c>
      <c r="K107" s="54">
        <f t="array" ref="K107">IF(DataConsolidated[[#This Row],[Scenario]]="Forecast (Base)", 0, DataConsolidated[[#This Row],[Revenue]] - INDEX(DataConsolidated[Revenue], MATCH(1, (DataConsolidated[Month]=DataConsolidated[[#This Row],[Month]]) * (DataConsolidated[Product]=DataConsolidated[[#This Row],[Product]]) * (DataConsolidated[Scenario]="Forecast (Base)"), 0)))</f>
        <v>2422600.0000000009</v>
      </c>
      <c r="L107" s="54">
        <f t="array" ref="L10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1648900.0000000005</v>
      </c>
      <c r="M107" s="55">
        <f t="array" ref="M107">IF(DataConsolidated[[#This Row],[Scenario]]="Forecast (Base)", 0, DataConsolidated[[#This Row],[Margin %]] -
  INDEX(DataConsolidated[Margin %], MATCH(1, (DataConsolidated[Month]=DataConsolidated[[#This Row],[Month]]) * (DataConsolidated[Product]=DataConsolidated[[#This Row],[Product]]) * (DataConsolidated[Scenario]="Forecast (Base)"), 0)))</f>
        <v>0.15064102564102561</v>
      </c>
    </row>
    <row r="108" spans="1:13" x14ac:dyDescent="0.25">
      <c r="A108" s="132" t="s">
        <v>37</v>
      </c>
      <c r="B108" s="133" t="s">
        <v>210</v>
      </c>
      <c r="C108" s="133" t="s">
        <v>45</v>
      </c>
      <c r="D108" s="134">
        <f>Actual_Under_2026!C66</f>
        <v>1068.75</v>
      </c>
      <c r="E108" s="135">
        <f>Actual_Under_2026!D66</f>
        <v>2300</v>
      </c>
      <c r="F108" s="135">
        <f>Actual_Under_2026!E66</f>
        <v>2100</v>
      </c>
      <c r="G108" s="28">
        <f t="shared" si="4"/>
        <v>2458125</v>
      </c>
      <c r="H108" s="28">
        <f t="shared" si="5"/>
        <v>2244375</v>
      </c>
      <c r="I108" s="28">
        <f t="shared" si="6"/>
        <v>213750</v>
      </c>
      <c r="J108" s="29">
        <f t="shared" si="7"/>
        <v>8.6956521739130432E-2</v>
      </c>
      <c r="K108" s="54">
        <f t="array" ref="K108">IF(DataConsolidated[[#This Row],[Scenario]]="Forecast (Base)", 0, DataConsolidated[[#This Row],[Revenue]] - INDEX(DataConsolidated[Revenue], MATCH(1, (DataConsolidated[Month]=DataConsolidated[[#This Row],[Month]]) * (DataConsolidated[Product]=DataConsolidated[[#This Row],[Product]]) * (DataConsolidated[Scenario]="Forecast (Base)"), 0)))</f>
        <v>-1116875</v>
      </c>
      <c r="L108" s="54">
        <f t="array" ref="L10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-886250</v>
      </c>
      <c r="M108" s="55">
        <f t="array" ref="M108">IF(DataConsolidated[[#This Row],[Scenario]]="Forecast (Base)", 0, DataConsolidated[[#This Row],[Margin %]] -
  INDEX(DataConsolidated[Margin %], MATCH(1, (DataConsolidated[Month]=DataConsolidated[[#This Row],[Month]]) * (DataConsolidated[Product]=DataConsolidated[[#This Row],[Product]]) * (DataConsolidated[Scenario]="Forecast (Base)"), 0)))</f>
        <v>-0.22073578595317728</v>
      </c>
    </row>
    <row r="109" spans="1:13" x14ac:dyDescent="0.25">
      <c r="A109" s="132" t="s">
        <v>38</v>
      </c>
      <c r="B109" s="133" t="s">
        <v>210</v>
      </c>
      <c r="C109" s="133" t="s">
        <v>209</v>
      </c>
      <c r="D109" s="134">
        <f>Forecasting_Base!C61</f>
        <v>1320</v>
      </c>
      <c r="E109" s="135">
        <f>Forecasting_Base!D61</f>
        <v>2600</v>
      </c>
      <c r="F109" s="135">
        <f>Forecasting_Base!E61</f>
        <v>1800</v>
      </c>
      <c r="G109" s="28">
        <f t="shared" si="4"/>
        <v>3432000</v>
      </c>
      <c r="H109" s="28">
        <f t="shared" si="5"/>
        <v>2376000</v>
      </c>
      <c r="I109" s="28">
        <f t="shared" si="6"/>
        <v>1056000</v>
      </c>
      <c r="J109" s="29">
        <f t="shared" si="7"/>
        <v>0.30769230769230771</v>
      </c>
      <c r="K109" s="54">
        <f t="array" ref="K10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09" s="54">
        <f t="array" ref="L10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09" s="55">
        <f t="array" ref="M10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0" spans="1:13" x14ac:dyDescent="0.25">
      <c r="A110" s="132" t="s">
        <v>38</v>
      </c>
      <c r="B110" s="133" t="s">
        <v>210</v>
      </c>
      <c r="C110" s="133" t="s">
        <v>122</v>
      </c>
      <c r="D110" s="134">
        <f>Actual_Over_2026!C72</f>
        <v>1848.0000000000002</v>
      </c>
      <c r="E110" s="135">
        <f>Actual_Over_2026!D72</f>
        <v>3030</v>
      </c>
      <c r="F110" s="135">
        <f>Actual_Over_2026!E72</f>
        <v>1674.5</v>
      </c>
      <c r="G110" s="28">
        <f t="shared" si="4"/>
        <v>5599440.0000000009</v>
      </c>
      <c r="H110" s="28">
        <f t="shared" si="5"/>
        <v>3094476.0000000005</v>
      </c>
      <c r="I110" s="28">
        <f t="shared" si="6"/>
        <v>2504964.0000000005</v>
      </c>
      <c r="J110" s="29">
        <f t="shared" si="7"/>
        <v>0.44735973597359735</v>
      </c>
      <c r="K110" s="54">
        <f t="array" ref="K110">IF(DataConsolidated[[#This Row],[Scenario]]="Forecast (Base)", 0, DataConsolidated[[#This Row],[Revenue]] - INDEX(DataConsolidated[Revenue], MATCH(1, (DataConsolidated[Month]=DataConsolidated[[#This Row],[Month]]) * (DataConsolidated[Product]=DataConsolidated[[#This Row],[Product]]) * (DataConsolidated[Scenario]="Forecast (Base)"), 0)))</f>
        <v>2167440.0000000009</v>
      </c>
      <c r="L110" s="54">
        <f t="array" ref="L11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1448964.0000000005</v>
      </c>
      <c r="M110" s="55">
        <f t="array" ref="M110">IF(DataConsolidated[[#This Row],[Scenario]]="Forecast (Base)", 0, DataConsolidated[[#This Row],[Margin %]] -
  INDEX(DataConsolidated[Margin %], MATCH(1, (DataConsolidated[Month]=DataConsolidated[[#This Row],[Month]]) * (DataConsolidated[Product]=DataConsolidated[[#This Row],[Product]]) * (DataConsolidated[Scenario]="Forecast (Base)"), 0)))</f>
        <v>0.13966742828128964</v>
      </c>
    </row>
    <row r="111" spans="1:13" x14ac:dyDescent="0.25">
      <c r="A111" s="132" t="s">
        <v>38</v>
      </c>
      <c r="B111" s="133" t="s">
        <v>210</v>
      </c>
      <c r="C111" s="133" t="s">
        <v>45</v>
      </c>
      <c r="D111" s="134">
        <f>Actual_Under_2026!C72</f>
        <v>972</v>
      </c>
      <c r="E111" s="135">
        <f>Actual_Under_2026!D72</f>
        <v>2277</v>
      </c>
      <c r="F111" s="135">
        <f>Actual_Under_2026!E72</f>
        <v>2121</v>
      </c>
      <c r="G111" s="28">
        <f t="shared" si="4"/>
        <v>2213244</v>
      </c>
      <c r="H111" s="28">
        <f t="shared" si="5"/>
        <v>2061612</v>
      </c>
      <c r="I111" s="28">
        <f t="shared" si="6"/>
        <v>151632</v>
      </c>
      <c r="J111" s="29">
        <f t="shared" si="7"/>
        <v>6.8511198945981552E-2</v>
      </c>
      <c r="K111" s="54">
        <f t="array" ref="K111">IF(DataConsolidated[[#This Row],[Scenario]]="Forecast (Base)", 0, DataConsolidated[[#This Row],[Revenue]] - INDEX(DataConsolidated[Revenue], MATCH(1, (DataConsolidated[Month]=DataConsolidated[[#This Row],[Month]]) * (DataConsolidated[Product]=DataConsolidated[[#This Row],[Product]]) * (DataConsolidated[Scenario]="Forecast (Base)"), 0)))</f>
        <v>-1218756</v>
      </c>
      <c r="L111" s="54">
        <f t="array" ref="L11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-904368</v>
      </c>
      <c r="M111" s="55">
        <f t="array" ref="M111">IF(DataConsolidated[[#This Row],[Scenario]]="Forecast (Base)", 0, DataConsolidated[[#This Row],[Margin %]] -
  INDEX(DataConsolidated[Margin %], MATCH(1, (DataConsolidated[Month]=DataConsolidated[[#This Row],[Month]]) * (DataConsolidated[Product]=DataConsolidated[[#This Row],[Product]]) * (DataConsolidated[Scenario]="Forecast (Base)"), 0)))</f>
        <v>-0.23918110874632614</v>
      </c>
    </row>
    <row r="112" spans="1:13" x14ac:dyDescent="0.25">
      <c r="A112" s="132" t="s">
        <v>29</v>
      </c>
      <c r="B112" s="133" t="s">
        <v>39</v>
      </c>
      <c r="C112" s="133" t="s">
        <v>209</v>
      </c>
      <c r="D112" s="134">
        <f>Forecasting_Base!C7</f>
        <v>1900</v>
      </c>
      <c r="E112" s="135">
        <f>Forecasting_Base!D7</f>
        <v>1200</v>
      </c>
      <c r="F112" s="135">
        <f>Forecasting_Base!E7</f>
        <v>700</v>
      </c>
      <c r="G112" s="28">
        <f t="shared" si="4"/>
        <v>2280000</v>
      </c>
      <c r="H112" s="28">
        <f t="shared" si="5"/>
        <v>1330000</v>
      </c>
      <c r="I112" s="28">
        <f t="shared" si="6"/>
        <v>950000</v>
      </c>
      <c r="J112" s="29">
        <f t="shared" si="7"/>
        <v>0.41666666666666669</v>
      </c>
      <c r="K112" s="54">
        <f t="array" ref="K11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2" s="54">
        <f t="array" ref="L11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2" s="55">
        <f t="array" ref="M11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3" spans="1:13" x14ac:dyDescent="0.25">
      <c r="A113" s="132" t="s">
        <v>29</v>
      </c>
      <c r="B113" s="133" t="s">
        <v>39</v>
      </c>
      <c r="C113" s="133" t="s">
        <v>122</v>
      </c>
      <c r="D113" s="134">
        <f>Actual_Over_2026!C7</f>
        <v>2612.5</v>
      </c>
      <c r="E113" s="135">
        <f>Actual_Over_2026!D7</f>
        <v>1414</v>
      </c>
      <c r="F113" s="135">
        <f>Actual_Over_2026!E7</f>
        <v>640.25</v>
      </c>
      <c r="G113" s="28">
        <f t="shared" si="4"/>
        <v>3694075</v>
      </c>
      <c r="H113" s="28">
        <f t="shared" si="5"/>
        <v>1672653.125</v>
      </c>
      <c r="I113" s="28">
        <f t="shared" si="6"/>
        <v>2021421.875</v>
      </c>
      <c r="J113" s="29">
        <f t="shared" si="7"/>
        <v>0.54720650636492218</v>
      </c>
      <c r="K113" s="54">
        <f t="array" ref="K113">IF(DataConsolidated[[#This Row],[Scenario]]="Forecast (Base)", 0, DataConsolidated[[#This Row],[Revenue]] - INDEX(DataConsolidated[Revenue], MATCH(1, (DataConsolidated[Month]=DataConsolidated[[#This Row],[Month]]) * (DataConsolidated[Product]=DataConsolidated[[#This Row],[Product]]) * (DataConsolidated[Scenario]="Forecast (Base)"), 0)))</f>
        <v>1414075</v>
      </c>
      <c r="L113" s="54">
        <f t="array" ref="L11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1071421.875</v>
      </c>
      <c r="M113" s="55">
        <f t="array" ref="M113">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4" spans="1:13" x14ac:dyDescent="0.25">
      <c r="A114" s="132" t="s">
        <v>29</v>
      </c>
      <c r="B114" s="133" t="s">
        <v>39</v>
      </c>
      <c r="C114" s="133" t="s">
        <v>45</v>
      </c>
      <c r="D114" s="134">
        <f>Actual_Under_2026!C7</f>
        <v>1282.5</v>
      </c>
      <c r="E114" s="135">
        <f>Actual_Under_2026!D7</f>
        <v>990</v>
      </c>
      <c r="F114" s="135">
        <f>Actual_Under_2026!E7</f>
        <v>808</v>
      </c>
      <c r="G114" s="28">
        <f t="shared" si="4"/>
        <v>1269675</v>
      </c>
      <c r="H114" s="28">
        <f t="shared" si="5"/>
        <v>1036260</v>
      </c>
      <c r="I114" s="28">
        <f t="shared" si="6"/>
        <v>233415</v>
      </c>
      <c r="J114" s="29">
        <f t="shared" si="7"/>
        <v>0.18383838383838383</v>
      </c>
      <c r="K114" s="54">
        <f t="array" ref="K114">IF(DataConsolidated[[#This Row],[Scenario]]="Forecast (Base)", 0, DataConsolidated[[#This Row],[Revenue]] - INDEX(DataConsolidated[Revenue], MATCH(1, (DataConsolidated[Month]=DataConsolidated[[#This Row],[Month]]) * (DataConsolidated[Product]=DataConsolidated[[#This Row],[Product]]) * (DataConsolidated[Scenario]="Forecast (Base)"), 0)))</f>
        <v>-1010325</v>
      </c>
      <c r="L114" s="54">
        <f t="array" ref="L11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-716585</v>
      </c>
      <c r="M114" s="55">
        <f t="array" ref="M11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15" spans="1:13" x14ac:dyDescent="0.25">
      <c r="A115" s="132" t="s">
        <v>30</v>
      </c>
      <c r="B115" s="133" t="s">
        <v>39</v>
      </c>
      <c r="C115" s="133" t="s">
        <v>209</v>
      </c>
      <c r="D115" s="134">
        <f>Forecasting_Base!C12</f>
        <v>1800</v>
      </c>
      <c r="E115" s="135">
        <f>Forecasting_Base!D12</f>
        <v>1200</v>
      </c>
      <c r="F115" s="135">
        <f>Forecasting_Base!E12</f>
        <v>700</v>
      </c>
      <c r="G115" s="28">
        <f t="shared" si="4"/>
        <v>2160000</v>
      </c>
      <c r="H115" s="28">
        <f t="shared" si="5"/>
        <v>1260000</v>
      </c>
      <c r="I115" s="28">
        <f t="shared" si="6"/>
        <v>900000</v>
      </c>
      <c r="J115" s="29">
        <f t="shared" si="7"/>
        <v>0.41666666666666669</v>
      </c>
      <c r="K115" s="54">
        <f t="array" ref="K11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5" s="54">
        <f t="array" ref="L11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5" s="55">
        <f t="array" ref="M11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6" spans="1:13" x14ac:dyDescent="0.25">
      <c r="A116" s="132" t="s">
        <v>30</v>
      </c>
      <c r="B116" s="133" t="s">
        <v>39</v>
      </c>
      <c r="C116" s="133" t="s">
        <v>122</v>
      </c>
      <c r="D116" s="134">
        <f>Actual_Over_2026!C13</f>
        <v>2475</v>
      </c>
      <c r="E116" s="135">
        <f>Actual_Over_2026!D13</f>
        <v>1414</v>
      </c>
      <c r="F116" s="135">
        <f>Actual_Over_2026!E13</f>
        <v>640.25</v>
      </c>
      <c r="G116" s="28">
        <f t="shared" si="4"/>
        <v>3499650</v>
      </c>
      <c r="H116" s="28">
        <f t="shared" si="5"/>
        <v>1584618.75</v>
      </c>
      <c r="I116" s="28">
        <f t="shared" si="6"/>
        <v>1915031.25</v>
      </c>
      <c r="J116" s="29">
        <f t="shared" si="7"/>
        <v>0.54720650636492218</v>
      </c>
      <c r="K116" s="54">
        <f t="array" ref="K116">IF(DataConsolidated[[#This Row],[Scenario]]="Forecast (Base)", 0, DataConsolidated[[#This Row],[Revenue]] - INDEX(DataConsolidated[Revenue], MATCH(1, (DataConsolidated[Month]=DataConsolidated[[#This Row],[Month]]) * (DataConsolidated[Product]=DataConsolidated[[#This Row],[Product]]) * (DataConsolidated[Scenario]="Forecast (Base)"), 0)))</f>
        <v>1339650</v>
      </c>
      <c r="L116" s="54">
        <f t="array" ref="L11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1015031.25</v>
      </c>
      <c r="M116" s="55">
        <f t="array" ref="M11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17" spans="1:13" x14ac:dyDescent="0.25">
      <c r="A117" s="132" t="s">
        <v>30</v>
      </c>
      <c r="B117" s="133" t="s">
        <v>39</v>
      </c>
      <c r="C117" s="133" t="s">
        <v>45</v>
      </c>
      <c r="D117" s="134">
        <f>Actual_Under_2026!C13</f>
        <v>1188</v>
      </c>
      <c r="E117" s="135">
        <f>Actual_Under_2026!D13</f>
        <v>980</v>
      </c>
      <c r="F117" s="135">
        <f>Actual_Under_2026!E13</f>
        <v>816</v>
      </c>
      <c r="G117" s="28">
        <f t="shared" si="4"/>
        <v>1164240</v>
      </c>
      <c r="H117" s="28">
        <f t="shared" si="5"/>
        <v>969408</v>
      </c>
      <c r="I117" s="28">
        <f t="shared" si="6"/>
        <v>194832</v>
      </c>
      <c r="J117" s="29">
        <f t="shared" si="7"/>
        <v>0.16734693877551021</v>
      </c>
      <c r="K117" s="54">
        <f t="array" ref="K117">IF(DataConsolidated[[#This Row],[Scenario]]="Forecast (Base)", 0, DataConsolidated[[#This Row],[Revenue]] - INDEX(DataConsolidated[Revenue], MATCH(1, (DataConsolidated[Month]=DataConsolidated[[#This Row],[Month]]) * (DataConsolidated[Product]=DataConsolidated[[#This Row],[Product]]) * (DataConsolidated[Scenario]="Forecast (Base)"), 0)))</f>
        <v>-995760</v>
      </c>
      <c r="L117" s="54">
        <f t="array" ref="L11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-705168</v>
      </c>
      <c r="M117" s="55">
        <f t="array" ref="M11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18" spans="1:13" x14ac:dyDescent="0.25">
      <c r="A118" s="132" t="s">
        <v>31</v>
      </c>
      <c r="B118" s="133" t="s">
        <v>39</v>
      </c>
      <c r="C118" s="133" t="s">
        <v>209</v>
      </c>
      <c r="D118" s="134">
        <f>Forecasting_Base!C17</f>
        <v>2100</v>
      </c>
      <c r="E118" s="135">
        <f>Forecasting_Base!D17</f>
        <v>1200</v>
      </c>
      <c r="F118" s="135">
        <f>Forecasting_Base!E17</f>
        <v>700</v>
      </c>
      <c r="G118" s="28">
        <f t="shared" si="4"/>
        <v>2520000</v>
      </c>
      <c r="H118" s="28">
        <f t="shared" si="5"/>
        <v>1470000</v>
      </c>
      <c r="I118" s="28">
        <f t="shared" si="6"/>
        <v>1050000</v>
      </c>
      <c r="J118" s="29">
        <f t="shared" si="7"/>
        <v>0.41666666666666669</v>
      </c>
      <c r="K118" s="54">
        <f t="array" ref="K11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18" s="54">
        <f t="array" ref="L11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18" s="55">
        <f t="array" ref="M11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19" spans="1:13" x14ac:dyDescent="0.25">
      <c r="A119" s="132" t="s">
        <v>31</v>
      </c>
      <c r="B119" s="133" t="s">
        <v>39</v>
      </c>
      <c r="C119" s="133" t="s">
        <v>122</v>
      </c>
      <c r="D119" s="134">
        <f>Actual_Over_2026!C19</f>
        <v>3018.7499999999995</v>
      </c>
      <c r="E119" s="135">
        <f>Actual_Over_2026!D19</f>
        <v>1428</v>
      </c>
      <c r="F119" s="135">
        <f>Actual_Over_2026!E19</f>
        <v>633.75</v>
      </c>
      <c r="G119" s="28">
        <f t="shared" si="4"/>
        <v>4310774.9999999991</v>
      </c>
      <c r="H119" s="28">
        <f t="shared" si="5"/>
        <v>1913132.8124999998</v>
      </c>
      <c r="I119" s="28">
        <f t="shared" si="6"/>
        <v>2397642.1874999991</v>
      </c>
      <c r="J119" s="29">
        <f t="shared" si="7"/>
        <v>0.55619747899159655</v>
      </c>
      <c r="K119" s="54">
        <f t="array" ref="K119">IF(DataConsolidated[[#This Row],[Scenario]]="Forecast (Base)", 0, DataConsolidated[[#This Row],[Revenue]] - INDEX(DataConsolidated[Revenue], MATCH(1, (DataConsolidated[Month]=DataConsolidated[[#This Row],[Month]]) * (DataConsolidated[Product]=DataConsolidated[[#This Row],[Product]]) * (DataConsolidated[Scenario]="Forecast (Base)"), 0)))</f>
        <v>1790774.9999999991</v>
      </c>
      <c r="L119" s="54">
        <f t="array" ref="L11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1347642.1874999991</v>
      </c>
      <c r="M119" s="55">
        <f t="array" ref="M119">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20" spans="1:13" x14ac:dyDescent="0.25">
      <c r="A120" s="132" t="s">
        <v>31</v>
      </c>
      <c r="B120" s="133" t="s">
        <v>39</v>
      </c>
      <c r="C120" s="133" t="s">
        <v>45</v>
      </c>
      <c r="D120" s="134">
        <f>Actual_Under_2026!C19</f>
        <v>1449</v>
      </c>
      <c r="E120" s="135">
        <f>Actual_Under_2026!D19</f>
        <v>990</v>
      </c>
      <c r="F120" s="135">
        <f>Actual_Under_2026!E19</f>
        <v>808</v>
      </c>
      <c r="G120" s="28">
        <f t="shared" si="4"/>
        <v>1434510</v>
      </c>
      <c r="H120" s="28">
        <f t="shared" si="5"/>
        <v>1170792</v>
      </c>
      <c r="I120" s="28">
        <f t="shared" si="6"/>
        <v>263718</v>
      </c>
      <c r="J120" s="29">
        <f t="shared" si="7"/>
        <v>0.18383838383838383</v>
      </c>
      <c r="K120" s="54">
        <f t="array" ref="K120">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20" s="54">
        <f t="array" ref="L12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20" s="55">
        <f t="array" ref="M120">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1" spans="1:13" x14ac:dyDescent="0.25">
      <c r="A121" s="132" t="s">
        <v>32</v>
      </c>
      <c r="B121" s="133" t="s">
        <v>39</v>
      </c>
      <c r="C121" s="133" t="s">
        <v>209</v>
      </c>
      <c r="D121" s="134">
        <f>Forecasting_Base!C22</f>
        <v>2200</v>
      </c>
      <c r="E121" s="135">
        <f>Forecasting_Base!D22</f>
        <v>1200</v>
      </c>
      <c r="F121" s="135">
        <f>Forecasting_Base!E22</f>
        <v>700</v>
      </c>
      <c r="G121" s="28">
        <f t="shared" si="4"/>
        <v>2640000</v>
      </c>
      <c r="H121" s="28">
        <f t="shared" si="5"/>
        <v>1540000</v>
      </c>
      <c r="I121" s="28">
        <f t="shared" si="6"/>
        <v>1100000</v>
      </c>
      <c r="J121" s="29">
        <f t="shared" si="7"/>
        <v>0.41666666666666669</v>
      </c>
      <c r="K121" s="54">
        <f t="array" ref="K12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1" s="54">
        <f t="array" ref="L12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1" s="55">
        <f t="array" ref="M12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2" spans="1:13" x14ac:dyDescent="0.25">
      <c r="A122" s="132" t="s">
        <v>32</v>
      </c>
      <c r="B122" s="133" t="s">
        <v>39</v>
      </c>
      <c r="C122" s="133" t="s">
        <v>122</v>
      </c>
      <c r="D122" s="134">
        <f>Actual_Over_2026!C25</f>
        <v>2887.5</v>
      </c>
      <c r="E122" s="135">
        <f>Actual_Over_2026!D25</f>
        <v>1400</v>
      </c>
      <c r="F122" s="135">
        <f>Actual_Over_2026!E25</f>
        <v>650</v>
      </c>
      <c r="G122" s="28">
        <f t="shared" si="4"/>
        <v>4042500</v>
      </c>
      <c r="H122" s="28">
        <f t="shared" si="5"/>
        <v>1876875</v>
      </c>
      <c r="I122" s="28">
        <f t="shared" si="6"/>
        <v>2165625</v>
      </c>
      <c r="J122" s="29">
        <f t="shared" si="7"/>
        <v>0.5357142857142857</v>
      </c>
      <c r="K122" s="54">
        <f t="array" ref="K122">IF(DataConsolidated[[#This Row],[Scenario]]="Forecast (Base)", 0, DataConsolidated[[#This Row],[Revenue]] - INDEX(DataConsolidated[Revenue], MATCH(1, (DataConsolidated[Month]=DataConsolidated[[#This Row],[Month]]) * (DataConsolidated[Product]=DataConsolidated[[#This Row],[Product]]) * (DataConsolidated[Scenario]="Forecast (Base)"), 0)))</f>
        <v>1402500</v>
      </c>
      <c r="L122" s="54">
        <f t="array" ref="L12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1065625</v>
      </c>
      <c r="M122" s="55">
        <f t="array" ref="M122">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3" spans="1:13" x14ac:dyDescent="0.25">
      <c r="A123" s="132" t="s">
        <v>32</v>
      </c>
      <c r="B123" s="133" t="s">
        <v>39</v>
      </c>
      <c r="C123" s="133" t="s">
        <v>45</v>
      </c>
      <c r="D123" s="134">
        <f>Actual_Under_2026!C25</f>
        <v>1551.0000000000002</v>
      </c>
      <c r="E123" s="135">
        <f>Actual_Under_2026!D25</f>
        <v>990</v>
      </c>
      <c r="F123" s="135">
        <f>Actual_Under_2026!E25</f>
        <v>808</v>
      </c>
      <c r="G123" s="28">
        <f t="shared" si="4"/>
        <v>1535490.0000000002</v>
      </c>
      <c r="H123" s="28">
        <f t="shared" si="5"/>
        <v>1253208.0000000002</v>
      </c>
      <c r="I123" s="28">
        <f t="shared" si="6"/>
        <v>282282</v>
      </c>
      <c r="J123" s="29">
        <f t="shared" si="7"/>
        <v>0.1838383838383838</v>
      </c>
      <c r="K123" s="54">
        <f t="array" ref="K123">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23" s="54">
        <f t="array" ref="L12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23" s="55">
        <f t="array" ref="M123">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24" spans="1:13" x14ac:dyDescent="0.25">
      <c r="A124" s="132" t="s">
        <v>27</v>
      </c>
      <c r="B124" s="133" t="s">
        <v>39</v>
      </c>
      <c r="C124" s="133" t="s">
        <v>209</v>
      </c>
      <c r="D124" s="134">
        <f>Forecasting_Base!C27</f>
        <v>2400</v>
      </c>
      <c r="E124" s="135">
        <f>Forecasting_Base!D27</f>
        <v>1200</v>
      </c>
      <c r="F124" s="135">
        <f>Forecasting_Base!E27</f>
        <v>700</v>
      </c>
      <c r="G124" s="28">
        <f t="shared" si="4"/>
        <v>2880000</v>
      </c>
      <c r="H124" s="28">
        <f t="shared" si="5"/>
        <v>1680000</v>
      </c>
      <c r="I124" s="28">
        <f t="shared" si="6"/>
        <v>1200000</v>
      </c>
      <c r="J124" s="29">
        <f t="shared" si="7"/>
        <v>0.41666666666666669</v>
      </c>
      <c r="K124" s="54">
        <f t="array" ref="K12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4" s="54">
        <f t="array" ref="L12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4" s="55">
        <f t="array" ref="M12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5" spans="1:13" x14ac:dyDescent="0.25">
      <c r="A125" s="132" t="s">
        <v>27</v>
      </c>
      <c r="B125" s="133" t="s">
        <v>39</v>
      </c>
      <c r="C125" s="133" t="s">
        <v>122</v>
      </c>
      <c r="D125" s="134">
        <f>Actual_Over_2026!C31</f>
        <v>3150</v>
      </c>
      <c r="E125" s="135">
        <f>Actual_Over_2026!D31</f>
        <v>1400</v>
      </c>
      <c r="F125" s="135">
        <f>Actual_Over_2026!E31</f>
        <v>650</v>
      </c>
      <c r="G125" s="28">
        <f t="shared" si="4"/>
        <v>4410000</v>
      </c>
      <c r="H125" s="28">
        <f t="shared" si="5"/>
        <v>2047500</v>
      </c>
      <c r="I125" s="28">
        <f t="shared" si="6"/>
        <v>2362500</v>
      </c>
      <c r="J125" s="29">
        <f t="shared" si="7"/>
        <v>0.5357142857142857</v>
      </c>
      <c r="K125" s="54">
        <f t="array" ref="K125">IF(DataConsolidated[[#This Row],[Scenario]]="Forecast (Base)", 0, DataConsolidated[[#This Row],[Revenue]] - INDEX(DataConsolidated[Revenue], MATCH(1, (DataConsolidated[Month]=DataConsolidated[[#This Row],[Month]]) * (DataConsolidated[Product]=DataConsolidated[[#This Row],[Product]]) * (DataConsolidated[Scenario]="Forecast (Base)"), 0)))</f>
        <v>1530000</v>
      </c>
      <c r="L125" s="54">
        <f t="array" ref="L12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1162500</v>
      </c>
      <c r="M125" s="55">
        <f t="array" ref="M125">IF(DataConsolidated[[#This Row],[Scenario]]="Forecast (Base)", 0, DataConsolidated[[#This Row],[Margin %]] -
  INDEX(DataConsolidated[Margin %], MATCH(1, (DataConsolidated[Month]=DataConsolidated[[#This Row],[Month]]) * (DataConsolidated[Product]=DataConsolidated[[#This Row],[Product]]) * (DataConsolidated[Scenario]="Forecast (Base)"), 0)))</f>
        <v>0.11904761904761901</v>
      </c>
    </row>
    <row r="126" spans="1:13" x14ac:dyDescent="0.25">
      <c r="A126" s="132" t="s">
        <v>27</v>
      </c>
      <c r="B126" s="133" t="s">
        <v>39</v>
      </c>
      <c r="C126" s="133" t="s">
        <v>45</v>
      </c>
      <c r="D126" s="134">
        <f>Actual_Under_2026!C31</f>
        <v>1638</v>
      </c>
      <c r="E126" s="135">
        <f>Actual_Under_2026!D31</f>
        <v>990</v>
      </c>
      <c r="F126" s="135">
        <f>Actual_Under_2026!E31</f>
        <v>808</v>
      </c>
      <c r="G126" s="28">
        <f t="shared" si="4"/>
        <v>1621620</v>
      </c>
      <c r="H126" s="28">
        <f t="shared" si="5"/>
        <v>1323504</v>
      </c>
      <c r="I126" s="28">
        <f t="shared" si="6"/>
        <v>298116</v>
      </c>
      <c r="J126" s="29">
        <f t="shared" si="7"/>
        <v>0.18383838383838383</v>
      </c>
      <c r="K126" s="54">
        <f t="array" ref="K126">IF(DataConsolidated[[#This Row],[Scenario]]="Forecast (Base)", 0, DataConsolidated[[#This Row],[Revenue]] - INDEX(DataConsolidated[Revenue], MATCH(1, (DataConsolidated[Month]=DataConsolidated[[#This Row],[Month]]) * (DataConsolidated[Product]=DataConsolidated[[#This Row],[Product]]) * (DataConsolidated[Scenario]="Forecast (Base)"), 0)))</f>
        <v>-1258380</v>
      </c>
      <c r="L126" s="54">
        <f t="array" ref="L12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-901884</v>
      </c>
      <c r="M126" s="55">
        <f t="array" ref="M126">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27" spans="1:13" x14ac:dyDescent="0.25">
      <c r="A127" s="132" t="s">
        <v>33</v>
      </c>
      <c r="B127" s="133" t="s">
        <v>39</v>
      </c>
      <c r="C127" s="133" t="s">
        <v>209</v>
      </c>
      <c r="D127" s="134">
        <f>Forecasting_Base!C32</f>
        <v>2300</v>
      </c>
      <c r="E127" s="135">
        <f>Forecasting_Base!D32</f>
        <v>1200</v>
      </c>
      <c r="F127" s="135">
        <f>Forecasting_Base!E32</f>
        <v>700</v>
      </c>
      <c r="G127" s="28">
        <f t="shared" si="4"/>
        <v>2760000</v>
      </c>
      <c r="H127" s="28">
        <f t="shared" si="5"/>
        <v>1610000</v>
      </c>
      <c r="I127" s="28">
        <f t="shared" si="6"/>
        <v>1150000</v>
      </c>
      <c r="J127" s="29">
        <f t="shared" si="7"/>
        <v>0.41666666666666669</v>
      </c>
      <c r="K127" s="54">
        <f t="array" ref="K12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27" s="54">
        <f t="array" ref="L12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27" s="55">
        <f t="array" ref="M12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28" spans="1:13" x14ac:dyDescent="0.25">
      <c r="A128" s="132" t="s">
        <v>33</v>
      </c>
      <c r="B128" s="133" t="s">
        <v>39</v>
      </c>
      <c r="C128" s="133" t="s">
        <v>122</v>
      </c>
      <c r="D128" s="134">
        <f>Actual_Over_2026!C37</f>
        <v>3162.5000000000005</v>
      </c>
      <c r="E128" s="135">
        <f>Actual_Over_2026!D37</f>
        <v>1414</v>
      </c>
      <c r="F128" s="135">
        <f>Actual_Over_2026!E37</f>
        <v>640.25</v>
      </c>
      <c r="G128" s="28">
        <f t="shared" si="4"/>
        <v>4471775.0000000009</v>
      </c>
      <c r="H128" s="28">
        <f t="shared" si="5"/>
        <v>2024790.6250000002</v>
      </c>
      <c r="I128" s="28">
        <f t="shared" si="6"/>
        <v>2446984.3750000009</v>
      </c>
      <c r="J128" s="29">
        <f t="shared" si="7"/>
        <v>0.5472065063649223</v>
      </c>
      <c r="K128" s="54">
        <f t="array" ref="K128">IF(DataConsolidated[[#This Row],[Scenario]]="Forecast (Base)", 0, DataConsolidated[[#This Row],[Revenue]] - INDEX(DataConsolidated[Revenue], MATCH(1, (DataConsolidated[Month]=DataConsolidated[[#This Row],[Month]]) * (DataConsolidated[Product]=DataConsolidated[[#This Row],[Product]]) * (DataConsolidated[Scenario]="Forecast (Base)"), 0)))</f>
        <v>1711775.0000000009</v>
      </c>
      <c r="L128" s="54">
        <f t="array" ref="L12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1296984.3750000009</v>
      </c>
      <c r="M128" s="55">
        <f t="array" ref="M128">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0.13053983969825561</v>
      </c>
    </row>
    <row r="129" spans="1:13" x14ac:dyDescent="0.25">
      <c r="A129" s="132" t="s">
        <v>33</v>
      </c>
      <c r="B129" s="133" t="s">
        <v>39</v>
      </c>
      <c r="C129" s="133" t="s">
        <v>45</v>
      </c>
      <c r="D129" s="134">
        <f>Actual_Under_2026!C37</f>
        <v>1552.4999999999998</v>
      </c>
      <c r="E129" s="135">
        <f>Actual_Under_2026!D37</f>
        <v>990</v>
      </c>
      <c r="F129" s="135">
        <f>Actual_Under_2026!E37</f>
        <v>808</v>
      </c>
      <c r="G129" s="28">
        <f t="shared" si="4"/>
        <v>1536974.9999999998</v>
      </c>
      <c r="H129" s="28">
        <f t="shared" si="5"/>
        <v>1254419.9999999998</v>
      </c>
      <c r="I129" s="28">
        <f t="shared" si="6"/>
        <v>282555</v>
      </c>
      <c r="J129" s="29">
        <f t="shared" si="7"/>
        <v>0.18383838383838386</v>
      </c>
      <c r="K129" s="54">
        <f t="array" ref="K129">IF(DataConsolidated[[#This Row],[Scenario]]="Forecast (Base)", 0, DataConsolidated[[#This Row],[Revenue]] - INDEX(DataConsolidated[Revenue], MATCH(1, (DataConsolidated[Month]=DataConsolidated[[#This Row],[Month]]) * (DataConsolidated[Product]=DataConsolidated[[#This Row],[Product]]) * (DataConsolidated[Scenario]="Forecast (Base)"), 0)))</f>
        <v>-1223025.0000000002</v>
      </c>
      <c r="L129" s="54">
        <f t="array" ref="L12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-867445</v>
      </c>
      <c r="M129" s="55">
        <f t="array" ref="M129">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30" spans="1:13" x14ac:dyDescent="0.25">
      <c r="A130" s="132" t="s">
        <v>28</v>
      </c>
      <c r="B130" s="133" t="s">
        <v>39</v>
      </c>
      <c r="C130" s="133" t="s">
        <v>209</v>
      </c>
      <c r="D130" s="134">
        <f>Forecasting_Base!C37</f>
        <v>2100</v>
      </c>
      <c r="E130" s="135">
        <f>Forecasting_Base!D37</f>
        <v>1200</v>
      </c>
      <c r="F130" s="135">
        <f>Forecasting_Base!E37</f>
        <v>700</v>
      </c>
      <c r="G130" s="28">
        <f t="shared" si="4"/>
        <v>2520000</v>
      </c>
      <c r="H130" s="28">
        <f t="shared" si="5"/>
        <v>1470000</v>
      </c>
      <c r="I130" s="28">
        <f t="shared" si="6"/>
        <v>1050000</v>
      </c>
      <c r="J130" s="29">
        <f t="shared" si="7"/>
        <v>0.41666666666666669</v>
      </c>
      <c r="K130" s="54">
        <f t="array" ref="K13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0" s="54">
        <f t="array" ref="L13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0" s="55">
        <f t="array" ref="M13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1" spans="1:13" x14ac:dyDescent="0.25">
      <c r="A131" s="132" t="s">
        <v>28</v>
      </c>
      <c r="B131" s="133" t="s">
        <v>39</v>
      </c>
      <c r="C131" s="133" t="s">
        <v>122</v>
      </c>
      <c r="D131" s="134">
        <f>Actual_Over_2026!C43</f>
        <v>3018.7499999999995</v>
      </c>
      <c r="E131" s="135">
        <f>Actual_Over_2026!D43</f>
        <v>1428</v>
      </c>
      <c r="F131" s="135">
        <f>Actual_Over_2026!E43</f>
        <v>633.75</v>
      </c>
      <c r="G131" s="28">
        <f t="shared" si="4"/>
        <v>4310774.9999999991</v>
      </c>
      <c r="H131" s="28">
        <f t="shared" si="5"/>
        <v>1913132.8124999998</v>
      </c>
      <c r="I131" s="28">
        <f t="shared" si="6"/>
        <v>2397642.1874999991</v>
      </c>
      <c r="J131" s="29">
        <f t="shared" si="7"/>
        <v>0.55619747899159655</v>
      </c>
      <c r="K131" s="54">
        <f t="array" ref="K131">IF(DataConsolidated[[#This Row],[Scenario]]="Forecast (Base)", 0, DataConsolidated[[#This Row],[Revenue]] - INDEX(DataConsolidated[Revenue], MATCH(1, (DataConsolidated[Month]=DataConsolidated[[#This Row],[Month]]) * (DataConsolidated[Product]=DataConsolidated[[#This Row],[Product]]) * (DataConsolidated[Scenario]="Forecast (Base)"), 0)))</f>
        <v>1790774.9999999991</v>
      </c>
      <c r="L131" s="54">
        <f t="array" ref="L13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1347642.1874999991</v>
      </c>
      <c r="M131" s="55">
        <f t="array" ref="M131">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32" spans="1:13" x14ac:dyDescent="0.25">
      <c r="A132" s="132" t="s">
        <v>28</v>
      </c>
      <c r="B132" s="133" t="s">
        <v>39</v>
      </c>
      <c r="C132" s="133" t="s">
        <v>45</v>
      </c>
      <c r="D132" s="134">
        <f>Actual_Under_2026!C43</f>
        <v>1449</v>
      </c>
      <c r="E132" s="135">
        <f>Actual_Under_2026!D43</f>
        <v>990</v>
      </c>
      <c r="F132" s="135">
        <f>Actual_Under_2026!E43</f>
        <v>808</v>
      </c>
      <c r="G132" s="28">
        <f t="shared" si="4"/>
        <v>1434510</v>
      </c>
      <c r="H132" s="28">
        <f t="shared" si="5"/>
        <v>1170792</v>
      </c>
      <c r="I132" s="28">
        <f t="shared" si="6"/>
        <v>263718</v>
      </c>
      <c r="J132" s="29">
        <f t="shared" si="7"/>
        <v>0.18383838383838383</v>
      </c>
      <c r="K132" s="54">
        <f t="array" ref="K132">IF(DataConsolidated[[#This Row],[Scenario]]="Forecast (Base)", 0, DataConsolidated[[#This Row],[Revenue]] - INDEX(DataConsolidated[Revenue], MATCH(1, (DataConsolidated[Month]=DataConsolidated[[#This Row],[Month]]) * (DataConsolidated[Product]=DataConsolidated[[#This Row],[Product]]) * (DataConsolidated[Scenario]="Forecast (Base)"), 0)))</f>
        <v>-1085490</v>
      </c>
      <c r="L132" s="54">
        <f t="array" ref="L13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-786282</v>
      </c>
      <c r="M132" s="55">
        <f t="array" ref="M132">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-0.23282828282828286</v>
      </c>
    </row>
    <row r="133" spans="1:13" x14ac:dyDescent="0.25">
      <c r="A133" s="132" t="s">
        <v>34</v>
      </c>
      <c r="B133" s="133" t="s">
        <v>39</v>
      </c>
      <c r="C133" s="133" t="s">
        <v>209</v>
      </c>
      <c r="D133" s="134">
        <f>Forecasting_Base!C42</f>
        <v>2200</v>
      </c>
      <c r="E133" s="135">
        <f>Forecasting_Base!D42</f>
        <v>1200</v>
      </c>
      <c r="F133" s="135">
        <f>Forecasting_Base!E42</f>
        <v>700</v>
      </c>
      <c r="G133" s="28">
        <f t="shared" ref="G133:G183" si="8">D133*E133</f>
        <v>2640000</v>
      </c>
      <c r="H133" s="28">
        <f t="shared" ref="H133:H183" si="9">D133*F133</f>
        <v>1540000</v>
      </c>
      <c r="I133" s="28">
        <f t="shared" ref="I133:I183" si="10">G133-H133</f>
        <v>1100000</v>
      </c>
      <c r="J133" s="29">
        <f t="shared" ref="J133:J183" si="11">IF(G133=0,0,I133/G133)</f>
        <v>0.41666666666666669</v>
      </c>
      <c r="K133" s="54">
        <f t="array" ref="K13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3" s="54">
        <f t="array" ref="L13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3" s="55">
        <f t="array" ref="M13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4" spans="1:13" x14ac:dyDescent="0.25">
      <c r="A134" s="132" t="s">
        <v>34</v>
      </c>
      <c r="B134" s="133" t="s">
        <v>39</v>
      </c>
      <c r="C134" s="133" t="s">
        <v>122</v>
      </c>
      <c r="D134" s="134">
        <f>Actual_Over_2026!C49</f>
        <v>3300</v>
      </c>
      <c r="E134" s="135">
        <f>Actual_Over_2026!D49</f>
        <v>1442</v>
      </c>
      <c r="F134" s="135">
        <f>Actual_Over_2026!E49</f>
        <v>624</v>
      </c>
      <c r="G134" s="28">
        <f t="shared" si="8"/>
        <v>4758600</v>
      </c>
      <c r="H134" s="28">
        <f t="shared" si="9"/>
        <v>2059200</v>
      </c>
      <c r="I134" s="28">
        <f t="shared" si="10"/>
        <v>2699400</v>
      </c>
      <c r="J134" s="29">
        <f t="shared" si="11"/>
        <v>0.56726768377253811</v>
      </c>
      <c r="K134" s="54">
        <f t="array" ref="K134">IF(DataConsolidated[[#This Row],[Scenario]]="Forecast (Base)", 0, DataConsolidated[[#This Row],[Revenue]] - INDEX(DataConsolidated[Revenue], MATCH(1, (DataConsolidated[Month]=DataConsolidated[[#This Row],[Month]]) * (DataConsolidated[Product]=DataConsolidated[[#This Row],[Product]]) * (DataConsolidated[Scenario]="Forecast (Base)"), 0)))</f>
        <v>2118600</v>
      </c>
      <c r="L134" s="54">
        <f t="array" ref="L13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1599400</v>
      </c>
      <c r="M134" s="55">
        <f t="array" ref="M134">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35" spans="1:13" x14ac:dyDescent="0.25">
      <c r="A135" s="132" t="s">
        <v>34</v>
      </c>
      <c r="B135" s="133" t="s">
        <v>39</v>
      </c>
      <c r="C135" s="133" t="s">
        <v>45</v>
      </c>
      <c r="D135" s="134">
        <f>Actual_Under_2026!C49</f>
        <v>1551.0000000000002</v>
      </c>
      <c r="E135" s="135">
        <f>Actual_Under_2026!D49</f>
        <v>990</v>
      </c>
      <c r="F135" s="135">
        <f>Actual_Under_2026!E49</f>
        <v>808</v>
      </c>
      <c r="G135" s="28">
        <f t="shared" si="8"/>
        <v>1535490.0000000002</v>
      </c>
      <c r="H135" s="28">
        <f t="shared" si="9"/>
        <v>1253208.0000000002</v>
      </c>
      <c r="I135" s="28">
        <f t="shared" si="10"/>
        <v>282282</v>
      </c>
      <c r="J135" s="29">
        <f t="shared" si="11"/>
        <v>0.1838383838383838</v>
      </c>
      <c r="K135" s="54">
        <f t="array" ref="K135">IF(DataConsolidated[[#This Row],[Scenario]]="Forecast (Base)", 0, DataConsolidated[[#This Row],[Revenue]] - INDEX(DataConsolidated[Revenue], MATCH(1, (DataConsolidated[Month]=DataConsolidated[[#This Row],[Month]]) * (DataConsolidated[Product]=DataConsolidated[[#This Row],[Product]]) * (DataConsolidated[Scenario]="Forecast (Base)"), 0)))</f>
        <v>-1104509.9999999998</v>
      </c>
      <c r="L135" s="54">
        <f t="array" ref="L13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-817718</v>
      </c>
      <c r="M135" s="55">
        <f t="array" ref="M135">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-0.23282828282828288</v>
      </c>
    </row>
    <row r="136" spans="1:13" x14ac:dyDescent="0.25">
      <c r="A136" s="132" t="s">
        <v>35</v>
      </c>
      <c r="B136" s="133" t="s">
        <v>39</v>
      </c>
      <c r="C136" s="133" t="s">
        <v>209</v>
      </c>
      <c r="D136" s="134">
        <f>Forecasting_Base!C47</f>
        <v>2300</v>
      </c>
      <c r="E136" s="135">
        <f>Forecasting_Base!D47</f>
        <v>1200</v>
      </c>
      <c r="F136" s="135">
        <f>Forecasting_Base!E47</f>
        <v>700</v>
      </c>
      <c r="G136" s="28">
        <f t="shared" si="8"/>
        <v>2760000</v>
      </c>
      <c r="H136" s="28">
        <f t="shared" si="9"/>
        <v>1610000</v>
      </c>
      <c r="I136" s="28">
        <f t="shared" si="10"/>
        <v>1150000</v>
      </c>
      <c r="J136" s="29">
        <f t="shared" si="11"/>
        <v>0.41666666666666669</v>
      </c>
      <c r="K136" s="54">
        <f t="array" ref="K13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6" s="54">
        <f t="array" ref="L13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6" s="55">
        <f t="array" ref="M13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37" spans="1:13" x14ac:dyDescent="0.25">
      <c r="A137" s="132" t="s">
        <v>35</v>
      </c>
      <c r="B137" s="133" t="s">
        <v>39</v>
      </c>
      <c r="C137" s="133" t="s">
        <v>122</v>
      </c>
      <c r="D137" s="134">
        <f>Actual_Over_2026!C55</f>
        <v>3306.2499999999995</v>
      </c>
      <c r="E137" s="135">
        <f>Actual_Over_2026!D55</f>
        <v>1428</v>
      </c>
      <c r="F137" s="135">
        <f>Actual_Over_2026!E55</f>
        <v>633.75</v>
      </c>
      <c r="G137" s="28">
        <f t="shared" si="8"/>
        <v>4721324.9999999991</v>
      </c>
      <c r="H137" s="28">
        <f t="shared" si="9"/>
        <v>2095335.9374999998</v>
      </c>
      <c r="I137" s="28">
        <f t="shared" si="10"/>
        <v>2625989.0624999991</v>
      </c>
      <c r="J137" s="29">
        <f t="shared" si="11"/>
        <v>0.55619747899159655</v>
      </c>
      <c r="K137" s="54">
        <f t="array" ref="K137">IF(DataConsolidated[[#This Row],[Scenario]]="Forecast (Base)", 0, DataConsolidated[[#This Row],[Revenue]] - INDEX(DataConsolidated[Revenue], MATCH(1, (DataConsolidated[Month]=DataConsolidated[[#This Row],[Month]]) * (DataConsolidated[Product]=DataConsolidated[[#This Row],[Product]]) * (DataConsolidated[Scenario]="Forecast (Base)"), 0)))</f>
        <v>1961324.9999999991</v>
      </c>
      <c r="L137" s="54">
        <f t="array" ref="L13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1475989.0624999991</v>
      </c>
      <c r="M137" s="55">
        <f t="array" ref="M137">IF(DataConsolidated[[#This Row],[Scenario]]="Forecast (Base)", 0, DataConsolidated[[#This Row],[Margin %]] -
  INDEX(DataConsolidated[Margin %], MATCH(1, (DataConsolidated[Month]=DataConsolidated[[#This Row],[Month]]) * (DataConsolidated[Product]=DataConsolidated[[#This Row],[Product]]) * (DataConsolidated[Scenario]="Forecast (Base)"), 0)))</f>
        <v>0.13953081232492986</v>
      </c>
    </row>
    <row r="138" spans="1:13" x14ac:dyDescent="0.25">
      <c r="A138" s="132" t="s">
        <v>35</v>
      </c>
      <c r="B138" s="133" t="s">
        <v>39</v>
      </c>
      <c r="C138" s="133" t="s">
        <v>45</v>
      </c>
      <c r="D138" s="134">
        <f>Actual_Under_2026!C55</f>
        <v>1638.7499999999998</v>
      </c>
      <c r="E138" s="135">
        <f>Actual_Under_2026!D55</f>
        <v>1000</v>
      </c>
      <c r="F138" s="135">
        <f>Actual_Under_2026!E55</f>
        <v>800</v>
      </c>
      <c r="G138" s="28">
        <f t="shared" si="8"/>
        <v>1638749.9999999998</v>
      </c>
      <c r="H138" s="28">
        <f t="shared" si="9"/>
        <v>1310999.9999999998</v>
      </c>
      <c r="I138" s="28">
        <f t="shared" si="10"/>
        <v>327750</v>
      </c>
      <c r="J138" s="29">
        <f t="shared" si="11"/>
        <v>0.20000000000000004</v>
      </c>
      <c r="K138" s="54">
        <f t="array" ref="K138">IF(DataConsolidated[[#This Row],[Scenario]]="Forecast (Base)", 0, DataConsolidated[[#This Row],[Revenue]] - INDEX(DataConsolidated[Revenue], MATCH(1, (DataConsolidated[Month]=DataConsolidated[[#This Row],[Month]]) * (DataConsolidated[Product]=DataConsolidated[[#This Row],[Product]]) * (DataConsolidated[Scenario]="Forecast (Base)"), 0)))</f>
        <v>-1121250.0000000002</v>
      </c>
      <c r="L138" s="54">
        <f t="array" ref="L13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-822250</v>
      </c>
      <c r="M138" s="55">
        <f t="array" ref="M138">IF(DataConsolidated[[#This Row],[Scenario]]="Forecast (Base)", 0, DataConsolidated[[#This Row],[Margin %]] -
  INDEX(DataConsolidated[Margin %], MATCH(1, (DataConsolidated[Month]=DataConsolidated[[#This Row],[Month]]) * (DataConsolidated[Product]=DataConsolidated[[#This Row],[Product]]) * (DataConsolidated[Scenario]="Forecast (Base)"), 0)))</f>
        <v>-0.21666666666666665</v>
      </c>
    </row>
    <row r="139" spans="1:13" x14ac:dyDescent="0.25">
      <c r="A139" s="132" t="s">
        <v>36</v>
      </c>
      <c r="B139" s="133" t="s">
        <v>39</v>
      </c>
      <c r="C139" s="133" t="s">
        <v>209</v>
      </c>
      <c r="D139" s="134">
        <f>Forecasting_Base!C52</f>
        <v>2600</v>
      </c>
      <c r="E139" s="135">
        <f>Forecasting_Base!D52</f>
        <v>1200</v>
      </c>
      <c r="F139" s="135">
        <f>Forecasting_Base!E52</f>
        <v>700</v>
      </c>
      <c r="G139" s="28">
        <f t="shared" si="8"/>
        <v>3120000</v>
      </c>
      <c r="H139" s="28">
        <f t="shared" si="9"/>
        <v>1820000</v>
      </c>
      <c r="I139" s="28">
        <f t="shared" si="10"/>
        <v>1300000</v>
      </c>
      <c r="J139" s="29">
        <f t="shared" si="11"/>
        <v>0.41666666666666669</v>
      </c>
      <c r="K139" s="54">
        <f t="array" ref="K13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39" s="54">
        <f t="array" ref="L13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39" s="55">
        <f t="array" ref="M13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0" spans="1:13" x14ac:dyDescent="0.25">
      <c r="A140" s="132" t="s">
        <v>36</v>
      </c>
      <c r="B140" s="133" t="s">
        <v>39</v>
      </c>
      <c r="C140" s="133" t="s">
        <v>122</v>
      </c>
      <c r="D140" s="134">
        <f>Actual_Over_2026!C61</f>
        <v>4062.5</v>
      </c>
      <c r="E140" s="135">
        <f>Actual_Over_2026!D61</f>
        <v>1456</v>
      </c>
      <c r="F140" s="135">
        <f>Actual_Over_2026!E61</f>
        <v>617.5</v>
      </c>
      <c r="G140" s="28">
        <f t="shared" si="8"/>
        <v>5915000</v>
      </c>
      <c r="H140" s="28">
        <f t="shared" si="9"/>
        <v>2508593.75</v>
      </c>
      <c r="I140" s="28">
        <f t="shared" si="10"/>
        <v>3406406.25</v>
      </c>
      <c r="J140" s="29">
        <f t="shared" si="11"/>
        <v>0.5758928571428571</v>
      </c>
      <c r="K140" s="54">
        <f t="array" ref="K140">IF(DataConsolidated[[#This Row],[Scenario]]="Forecast (Base)", 0, DataConsolidated[[#This Row],[Revenue]] - INDEX(DataConsolidated[Revenue], MATCH(1, (DataConsolidated[Month]=DataConsolidated[[#This Row],[Month]]) * (DataConsolidated[Product]=DataConsolidated[[#This Row],[Product]]) * (DataConsolidated[Scenario]="Forecast (Base)"), 0)))</f>
        <v>2795000</v>
      </c>
      <c r="L140" s="54">
        <f t="array" ref="L14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2106406.25</v>
      </c>
      <c r="M140" s="55">
        <f t="array" ref="M140">IF(DataConsolidated[[#This Row],[Scenario]]="Forecast (Base)", 0, DataConsolidated[[#This Row],[Margin %]] -
  INDEX(DataConsolidated[Margin %], MATCH(1, (DataConsolidated[Month]=DataConsolidated[[#This Row],[Month]]) * (DataConsolidated[Product]=DataConsolidated[[#This Row],[Product]]) * (DataConsolidated[Scenario]="Forecast (Base)"), 0)))</f>
        <v>0.15922619047619041</v>
      </c>
    </row>
    <row r="141" spans="1:13" x14ac:dyDescent="0.25">
      <c r="A141" s="132" t="s">
        <v>36</v>
      </c>
      <c r="B141" s="133" t="s">
        <v>39</v>
      </c>
      <c r="C141" s="133" t="s">
        <v>45</v>
      </c>
      <c r="D141" s="134">
        <f>Actual_Under_2026!C61</f>
        <v>1716</v>
      </c>
      <c r="E141" s="135">
        <f>Actual_Under_2026!D61</f>
        <v>980</v>
      </c>
      <c r="F141" s="135">
        <f>Actual_Under_2026!E61</f>
        <v>816</v>
      </c>
      <c r="G141" s="28">
        <f t="shared" si="8"/>
        <v>1681680</v>
      </c>
      <c r="H141" s="28">
        <f t="shared" si="9"/>
        <v>1400256</v>
      </c>
      <c r="I141" s="28">
        <f t="shared" si="10"/>
        <v>281424</v>
      </c>
      <c r="J141" s="29">
        <f t="shared" si="11"/>
        <v>0.16734693877551021</v>
      </c>
      <c r="K141" s="54">
        <f t="array" ref="K141">IF(DataConsolidated[[#This Row],[Scenario]]="Forecast (Base)", 0, DataConsolidated[[#This Row],[Revenue]] - INDEX(DataConsolidated[Revenue], MATCH(1, (DataConsolidated[Month]=DataConsolidated[[#This Row],[Month]]) * (DataConsolidated[Product]=DataConsolidated[[#This Row],[Product]]) * (DataConsolidated[Scenario]="Forecast (Base)"), 0)))</f>
        <v>-1438320</v>
      </c>
      <c r="L141" s="54">
        <f t="array" ref="L14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-1018576</v>
      </c>
      <c r="M141" s="55">
        <f t="array" ref="M141">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2" spans="1:13" x14ac:dyDescent="0.25">
      <c r="A142" s="132" t="s">
        <v>37</v>
      </c>
      <c r="B142" s="133" t="s">
        <v>39</v>
      </c>
      <c r="C142" s="133" t="s">
        <v>209</v>
      </c>
      <c r="D142" s="134">
        <f>Forecasting_Base!C57</f>
        <v>2500</v>
      </c>
      <c r="E142" s="135">
        <f>Forecasting_Base!D57</f>
        <v>1200</v>
      </c>
      <c r="F142" s="135">
        <f>Forecasting_Base!E57</f>
        <v>700</v>
      </c>
      <c r="G142" s="28">
        <f t="shared" si="8"/>
        <v>3000000</v>
      </c>
      <c r="H142" s="28">
        <f t="shared" si="9"/>
        <v>1750000</v>
      </c>
      <c r="I142" s="28">
        <f t="shared" si="10"/>
        <v>1250000</v>
      </c>
      <c r="J142" s="29">
        <f t="shared" si="11"/>
        <v>0.41666666666666669</v>
      </c>
      <c r="K142" s="54">
        <f t="array" ref="K14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2" s="54">
        <f t="array" ref="L14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2" s="55">
        <f t="array" ref="M14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3" spans="1:13" x14ac:dyDescent="0.25">
      <c r="A143" s="132" t="s">
        <v>37</v>
      </c>
      <c r="B143" s="133" t="s">
        <v>39</v>
      </c>
      <c r="C143" s="133" t="s">
        <v>122</v>
      </c>
      <c r="D143" s="134">
        <f>Actual_Over_2026!C67</f>
        <v>3750</v>
      </c>
      <c r="E143" s="135">
        <f>Actual_Over_2026!D67</f>
        <v>1442</v>
      </c>
      <c r="F143" s="135">
        <f>Actual_Over_2026!E67</f>
        <v>624</v>
      </c>
      <c r="G143" s="28">
        <f t="shared" si="8"/>
        <v>5407500</v>
      </c>
      <c r="H143" s="28">
        <f t="shared" si="9"/>
        <v>2340000</v>
      </c>
      <c r="I143" s="28">
        <f t="shared" si="10"/>
        <v>3067500</v>
      </c>
      <c r="J143" s="29">
        <f t="shared" si="11"/>
        <v>0.56726768377253811</v>
      </c>
      <c r="K143" s="54">
        <f t="array" ref="K143">IF(DataConsolidated[[#This Row],[Scenario]]="Forecast (Base)", 0, DataConsolidated[[#This Row],[Revenue]] - INDEX(DataConsolidated[Revenue], MATCH(1, (DataConsolidated[Month]=DataConsolidated[[#This Row],[Month]]) * (DataConsolidated[Product]=DataConsolidated[[#This Row],[Product]]) * (DataConsolidated[Scenario]="Forecast (Base)"), 0)))</f>
        <v>2407500</v>
      </c>
      <c r="L143" s="54">
        <f t="array" ref="L14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1817500</v>
      </c>
      <c r="M143" s="55">
        <f t="array" ref="M143">IF(DataConsolidated[[#This Row],[Scenario]]="Forecast (Base)", 0, DataConsolidated[[#This Row],[Margin %]] -
  INDEX(DataConsolidated[Margin %], MATCH(1, (DataConsolidated[Month]=DataConsolidated[[#This Row],[Month]]) * (DataConsolidated[Product]=DataConsolidated[[#This Row],[Product]]) * (DataConsolidated[Scenario]="Forecast (Base)"), 0)))</f>
        <v>0.15060101710587143</v>
      </c>
    </row>
    <row r="144" spans="1:13" x14ac:dyDescent="0.25">
      <c r="A144" s="132" t="s">
        <v>37</v>
      </c>
      <c r="B144" s="133" t="s">
        <v>39</v>
      </c>
      <c r="C144" s="133" t="s">
        <v>45</v>
      </c>
      <c r="D144" s="134">
        <f>Actual_Under_2026!C67</f>
        <v>1743.7499999999998</v>
      </c>
      <c r="E144" s="135">
        <f>Actual_Under_2026!D67</f>
        <v>990</v>
      </c>
      <c r="F144" s="135">
        <f>Actual_Under_2026!E67</f>
        <v>808</v>
      </c>
      <c r="G144" s="28">
        <f t="shared" si="8"/>
        <v>1726312.4999999998</v>
      </c>
      <c r="H144" s="28">
        <f t="shared" si="9"/>
        <v>1408949.9999999998</v>
      </c>
      <c r="I144" s="28">
        <f t="shared" si="10"/>
        <v>317362.5</v>
      </c>
      <c r="J144" s="29">
        <f t="shared" si="11"/>
        <v>0.18383838383838386</v>
      </c>
      <c r="K144" s="54">
        <f t="array" ref="K144">IF(DataConsolidated[[#This Row],[Scenario]]="Forecast (Base)", 0, DataConsolidated[[#This Row],[Revenue]] - INDEX(DataConsolidated[Revenue], MATCH(1, (DataConsolidated[Month]=DataConsolidated[[#This Row],[Month]]) * (DataConsolidated[Product]=DataConsolidated[[#This Row],[Product]]) * (DataConsolidated[Scenario]="Forecast (Base)"), 0)))</f>
        <v>-1273687.5000000002</v>
      </c>
      <c r="L144" s="54">
        <f t="array" ref="L14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-932637.5</v>
      </c>
      <c r="M144" s="55">
        <f t="array" ref="M144">IF(DataConsolidated[[#This Row],[Scenario]]="Forecast (Base)", 0, DataConsolidated[[#This Row],[Margin %]] -
  INDEX(DataConsolidated[Margin %], MATCH(1, (DataConsolidated[Month]=DataConsolidated[[#This Row],[Month]]) * (DataConsolidated[Product]=DataConsolidated[[#This Row],[Product]]) * (DataConsolidated[Scenario]="Forecast (Base)"), 0)))</f>
        <v>-0.23282828282828283</v>
      </c>
    </row>
    <row r="145" spans="1:13" x14ac:dyDescent="0.25">
      <c r="A145" s="132" t="s">
        <v>38</v>
      </c>
      <c r="B145" s="133" t="s">
        <v>39</v>
      </c>
      <c r="C145" s="133" t="s">
        <v>209</v>
      </c>
      <c r="D145" s="134">
        <f>Forecasting_Base!C62</f>
        <v>2400</v>
      </c>
      <c r="E145" s="135">
        <f>Forecasting_Base!D62</f>
        <v>1200</v>
      </c>
      <c r="F145" s="135">
        <f>Forecasting_Base!E62</f>
        <v>700</v>
      </c>
      <c r="G145" s="28">
        <f t="shared" si="8"/>
        <v>2880000</v>
      </c>
      <c r="H145" s="28">
        <f t="shared" si="9"/>
        <v>1680000</v>
      </c>
      <c r="I145" s="28">
        <f t="shared" si="10"/>
        <v>1200000</v>
      </c>
      <c r="J145" s="29">
        <f t="shared" si="11"/>
        <v>0.41666666666666669</v>
      </c>
      <c r="K145" s="54">
        <f t="array" ref="K14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5" s="54">
        <f t="array" ref="L14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5" s="55">
        <f t="array" ref="M14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6" spans="1:13" x14ac:dyDescent="0.25">
      <c r="A146" s="132" t="s">
        <v>38</v>
      </c>
      <c r="B146" s="133" t="s">
        <v>39</v>
      </c>
      <c r="C146" s="133" t="s">
        <v>122</v>
      </c>
      <c r="D146" s="134">
        <f>Actual_Over_2026!C73</f>
        <v>3300.0000000000005</v>
      </c>
      <c r="E146" s="135">
        <f>Actual_Over_2026!D73</f>
        <v>1414</v>
      </c>
      <c r="F146" s="135">
        <f>Actual_Over_2026!E73</f>
        <v>640.25</v>
      </c>
      <c r="G146" s="28">
        <f t="shared" si="8"/>
        <v>4666200.0000000009</v>
      </c>
      <c r="H146" s="28">
        <f t="shared" si="9"/>
        <v>2112825.0000000005</v>
      </c>
      <c r="I146" s="28">
        <f t="shared" si="10"/>
        <v>2553375.0000000005</v>
      </c>
      <c r="J146" s="29">
        <f t="shared" si="11"/>
        <v>0.54720650636492218</v>
      </c>
      <c r="K146" s="54">
        <f t="array" ref="K146">IF(DataConsolidated[[#This Row],[Scenario]]="Forecast (Base)", 0, DataConsolidated[[#This Row],[Revenue]] - INDEX(DataConsolidated[Revenue], MATCH(1, (DataConsolidated[Month]=DataConsolidated[[#This Row],[Month]]) * (DataConsolidated[Product]=DataConsolidated[[#This Row],[Product]]) * (DataConsolidated[Scenario]="Forecast (Base)"), 0)))</f>
        <v>1786200.0000000009</v>
      </c>
      <c r="L146" s="54">
        <f t="array" ref="L14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1353375.0000000005</v>
      </c>
      <c r="M146" s="55">
        <f t="array" ref="M146">IF(DataConsolidated[[#This Row],[Scenario]]="Forecast (Base)", 0, DataConsolidated[[#This Row],[Margin %]] -
  INDEX(DataConsolidated[Margin %], MATCH(1, (DataConsolidated[Month]=DataConsolidated[[#This Row],[Month]]) * (DataConsolidated[Product]=DataConsolidated[[#This Row],[Product]]) * (DataConsolidated[Scenario]="Forecast (Base)"), 0)))</f>
        <v>0.1305398396982555</v>
      </c>
    </row>
    <row r="147" spans="1:13" x14ac:dyDescent="0.25">
      <c r="A147" s="132" t="s">
        <v>38</v>
      </c>
      <c r="B147" s="133" t="s">
        <v>39</v>
      </c>
      <c r="C147" s="133" t="s">
        <v>45</v>
      </c>
      <c r="D147" s="134">
        <f>Actual_Under_2026!C73</f>
        <v>1530</v>
      </c>
      <c r="E147" s="135">
        <f>Actual_Under_2026!D73</f>
        <v>980</v>
      </c>
      <c r="F147" s="135">
        <f>Actual_Under_2026!E73</f>
        <v>816</v>
      </c>
      <c r="G147" s="28">
        <f t="shared" si="8"/>
        <v>1499400</v>
      </c>
      <c r="H147" s="28">
        <f t="shared" si="9"/>
        <v>1248480</v>
      </c>
      <c r="I147" s="28">
        <f t="shared" si="10"/>
        <v>250920</v>
      </c>
      <c r="J147" s="29">
        <f t="shared" si="11"/>
        <v>0.16734693877551021</v>
      </c>
      <c r="K147" s="54">
        <f t="array" ref="K147">IF(DataConsolidated[[#This Row],[Scenario]]="Forecast (Base)", 0, DataConsolidated[[#This Row],[Revenue]] - INDEX(DataConsolidated[Revenue], MATCH(1, (DataConsolidated[Month]=DataConsolidated[[#This Row],[Month]]) * (DataConsolidated[Product]=DataConsolidated[[#This Row],[Product]]) * (DataConsolidated[Scenario]="Forecast (Base)"), 0)))</f>
        <v>-1380600</v>
      </c>
      <c r="L147" s="54">
        <f t="array" ref="L14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-949080</v>
      </c>
      <c r="M147" s="55">
        <f t="array" ref="M147">IF(DataConsolidated[[#This Row],[Scenario]]="Forecast (Base)", 0, DataConsolidated[[#This Row],[Margin %]] -
  INDEX(DataConsolidated[Margin %], MATCH(1, (DataConsolidated[Month]=DataConsolidated[[#This Row],[Month]]) * (DataConsolidated[Product]=DataConsolidated[[#This Row],[Product]]) * (DataConsolidated[Scenario]="Forecast (Base)"), 0)))</f>
        <v>-0.24931972789115647</v>
      </c>
    </row>
    <row r="148" spans="1:13" x14ac:dyDescent="0.25">
      <c r="A148" s="132" t="s">
        <v>29</v>
      </c>
      <c r="B148" s="133" t="s">
        <v>6</v>
      </c>
      <c r="C148" s="133" t="s">
        <v>209</v>
      </c>
      <c r="D148" s="134">
        <f>Forecasting_Base!C8</f>
        <v>2660</v>
      </c>
      <c r="E148" s="135">
        <f>Forecasting_Base!D8</f>
        <v>500</v>
      </c>
      <c r="F148" s="135">
        <f>Forecasting_Base!E8</f>
        <v>300</v>
      </c>
      <c r="G148" s="28">
        <f t="shared" si="8"/>
        <v>1330000</v>
      </c>
      <c r="H148" s="28">
        <f t="shared" si="9"/>
        <v>798000</v>
      </c>
      <c r="I148" s="28">
        <f t="shared" si="10"/>
        <v>532000</v>
      </c>
      <c r="J148" s="29">
        <f t="shared" si="11"/>
        <v>0.4</v>
      </c>
      <c r="K148" s="54">
        <f t="array" ref="K14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48" s="54">
        <f t="array" ref="L14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48" s="55">
        <f t="array" ref="M14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49" spans="1:13" x14ac:dyDescent="0.25">
      <c r="A149" s="132" t="s">
        <v>29</v>
      </c>
      <c r="B149" s="133" t="s">
        <v>6</v>
      </c>
      <c r="C149" s="133" t="s">
        <v>122</v>
      </c>
      <c r="D149" s="134">
        <f>Actual_Over_2026!C8</f>
        <v>3990</v>
      </c>
      <c r="E149" s="135">
        <f>Actual_Over_2026!D8</f>
        <v>721</v>
      </c>
      <c r="F149" s="135">
        <f>Actual_Over_2026!E8</f>
        <v>240</v>
      </c>
      <c r="G149" s="28">
        <f t="shared" si="8"/>
        <v>2876790</v>
      </c>
      <c r="H149" s="28">
        <f t="shared" si="9"/>
        <v>957600</v>
      </c>
      <c r="I149" s="28">
        <f t="shared" si="10"/>
        <v>1919190</v>
      </c>
      <c r="J149" s="29">
        <f t="shared" si="11"/>
        <v>0.66712898751733707</v>
      </c>
      <c r="K149" s="54">
        <f t="array" ref="K149">IF(DataConsolidated[[#This Row],[Scenario]]="Forecast (Base)", 0, DataConsolidated[[#This Row],[Revenue]] - INDEX(DataConsolidated[Revenue], MATCH(1, (DataConsolidated[Month]=DataConsolidated[[#This Row],[Month]]) * (DataConsolidated[Product]=DataConsolidated[[#This Row],[Product]]) * (DataConsolidated[Scenario]="Forecast (Base)"), 0)))</f>
        <v>1546790</v>
      </c>
      <c r="L149" s="54">
        <f t="array" ref="L14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1387190</v>
      </c>
      <c r="M149" s="55">
        <f t="array" ref="M14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50" spans="1:13" x14ac:dyDescent="0.25">
      <c r="A150" s="132" t="s">
        <v>29</v>
      </c>
      <c r="B150" s="133" t="s">
        <v>6</v>
      </c>
      <c r="C150" s="133" t="s">
        <v>45</v>
      </c>
      <c r="D150" s="134">
        <f>Actual_Under_2026!C8</f>
        <v>1615</v>
      </c>
      <c r="E150" s="135">
        <f>Actual_Under_2026!D8</f>
        <v>392</v>
      </c>
      <c r="F150" s="135">
        <f>Actual_Under_2026!E8</f>
        <v>408</v>
      </c>
      <c r="G150" s="28">
        <f t="shared" si="8"/>
        <v>633080</v>
      </c>
      <c r="H150" s="28">
        <f t="shared" si="9"/>
        <v>658920</v>
      </c>
      <c r="I150" s="28">
        <f t="shared" si="10"/>
        <v>-25840</v>
      </c>
      <c r="J150" s="29">
        <f t="shared" si="11"/>
        <v>-4.0816326530612242E-2</v>
      </c>
      <c r="K150" s="54">
        <f t="array" ref="K150">IF(DataConsolidated[[#This Row],[Scenario]]="Forecast (Base)", 0, DataConsolidated[[#This Row],[Revenue]] - INDEX(DataConsolidated[Revenue], MATCH(1, (DataConsolidated[Month]=DataConsolidated[[#This Row],[Month]]) * (DataConsolidated[Product]=DataConsolidated[[#This Row],[Product]]) * (DataConsolidated[Scenario]="Forecast (Base)"), 0)))</f>
        <v>-696920</v>
      </c>
      <c r="L150" s="54">
        <f t="array" ref="L15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-557840</v>
      </c>
      <c r="M150" s="55">
        <f t="array" ref="M150">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-0.44081632653061226</v>
      </c>
    </row>
    <row r="151" spans="1:13" x14ac:dyDescent="0.25">
      <c r="A151" s="132" t="s">
        <v>30</v>
      </c>
      <c r="B151" s="133" t="s">
        <v>6</v>
      </c>
      <c r="C151" s="133" t="s">
        <v>209</v>
      </c>
      <c r="D151" s="134">
        <f>Forecasting_Base!C13</f>
        <v>2520</v>
      </c>
      <c r="E151" s="135">
        <f>Forecasting_Base!D13</f>
        <v>500</v>
      </c>
      <c r="F151" s="135">
        <f>Forecasting_Base!E13</f>
        <v>300</v>
      </c>
      <c r="G151" s="28">
        <f t="shared" si="8"/>
        <v>1260000</v>
      </c>
      <c r="H151" s="28">
        <f t="shared" si="9"/>
        <v>756000</v>
      </c>
      <c r="I151" s="28">
        <f t="shared" si="10"/>
        <v>504000</v>
      </c>
      <c r="J151" s="29">
        <f t="shared" si="11"/>
        <v>0.4</v>
      </c>
      <c r="K151" s="54">
        <f t="array" ref="K15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1" s="54">
        <f t="array" ref="L15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1" s="55">
        <f t="array" ref="M15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2" spans="1:13" x14ac:dyDescent="0.25">
      <c r="A152" s="132" t="s">
        <v>30</v>
      </c>
      <c r="B152" s="133" t="s">
        <v>6</v>
      </c>
      <c r="C152" s="133" t="s">
        <v>122</v>
      </c>
      <c r="D152" s="134">
        <f>Actual_Over_2026!C14</f>
        <v>3402</v>
      </c>
      <c r="E152" s="135">
        <f>Actual_Over_2026!D14</f>
        <v>707</v>
      </c>
      <c r="F152" s="135">
        <f>Actual_Over_2026!E14</f>
        <v>246.25</v>
      </c>
      <c r="G152" s="28">
        <f t="shared" si="8"/>
        <v>2405214</v>
      </c>
      <c r="H152" s="28">
        <f t="shared" si="9"/>
        <v>837742.5</v>
      </c>
      <c r="I152" s="28">
        <f t="shared" si="10"/>
        <v>1567471.5</v>
      </c>
      <c r="J152" s="29">
        <f t="shared" si="11"/>
        <v>0.65169731258840169</v>
      </c>
      <c r="K152" s="54">
        <f t="array" ref="K152">IF(DataConsolidated[[#This Row],[Scenario]]="Forecast (Base)", 0, DataConsolidated[[#This Row],[Revenue]] - INDEX(DataConsolidated[Revenue], MATCH(1, (DataConsolidated[Month]=DataConsolidated[[#This Row],[Month]]) * (DataConsolidated[Product]=DataConsolidated[[#This Row],[Product]]) * (DataConsolidated[Scenario]="Forecast (Base)"), 0)))</f>
        <v>1145214</v>
      </c>
      <c r="L152" s="54">
        <f t="array" ref="L15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1063471.5</v>
      </c>
      <c r="M152" s="55">
        <f t="array" ref="M15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53" spans="1:13" x14ac:dyDescent="0.25">
      <c r="A153" s="132" t="s">
        <v>30</v>
      </c>
      <c r="B153" s="133" t="s">
        <v>6</v>
      </c>
      <c r="C153" s="133" t="s">
        <v>45</v>
      </c>
      <c r="D153" s="134">
        <f>Actual_Under_2026!C14</f>
        <v>1620</v>
      </c>
      <c r="E153" s="135">
        <f>Actual_Under_2026!D14</f>
        <v>396</v>
      </c>
      <c r="F153" s="135">
        <f>Actual_Under_2026!E14</f>
        <v>404</v>
      </c>
      <c r="G153" s="28">
        <f t="shared" si="8"/>
        <v>641520</v>
      </c>
      <c r="H153" s="28">
        <f t="shared" si="9"/>
        <v>654480</v>
      </c>
      <c r="I153" s="28">
        <f t="shared" si="10"/>
        <v>-12960</v>
      </c>
      <c r="J153" s="29">
        <f t="shared" si="11"/>
        <v>-2.0202020202020204E-2</v>
      </c>
      <c r="K153" s="54">
        <f t="array" ref="K153">IF(DataConsolidated[[#This Row],[Scenario]]="Forecast (Base)", 0, DataConsolidated[[#This Row],[Revenue]] - INDEX(DataConsolidated[Revenue], MATCH(1, (DataConsolidated[Month]=DataConsolidated[[#This Row],[Month]]) * (DataConsolidated[Product]=DataConsolidated[[#This Row],[Product]]) * (DataConsolidated[Scenario]="Forecast (Base)"), 0)))</f>
        <v>-618480</v>
      </c>
      <c r="L153" s="54">
        <f t="array" ref="L15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-516960</v>
      </c>
      <c r="M153" s="55">
        <f t="array" ref="M15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4" spans="1:13" x14ac:dyDescent="0.25">
      <c r="A154" s="132" t="s">
        <v>31</v>
      </c>
      <c r="B154" s="133" t="s">
        <v>6</v>
      </c>
      <c r="C154" s="133" t="s">
        <v>209</v>
      </c>
      <c r="D154" s="134">
        <f>Forecasting_Base!C18</f>
        <v>2940</v>
      </c>
      <c r="E154" s="135">
        <f>Forecasting_Base!D18</f>
        <v>500</v>
      </c>
      <c r="F154" s="135">
        <f>Forecasting_Base!E18</f>
        <v>300</v>
      </c>
      <c r="G154" s="28">
        <f t="shared" si="8"/>
        <v>1470000</v>
      </c>
      <c r="H154" s="28">
        <f t="shared" si="9"/>
        <v>882000</v>
      </c>
      <c r="I154" s="28">
        <f t="shared" si="10"/>
        <v>588000</v>
      </c>
      <c r="J154" s="29">
        <f t="shared" si="11"/>
        <v>0.4</v>
      </c>
      <c r="K154" s="54">
        <f t="array" ref="K154">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4" s="54">
        <f t="array" ref="L15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4" s="55">
        <f t="array" ref="M154">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5" spans="1:13" x14ac:dyDescent="0.25">
      <c r="A155" s="132" t="s">
        <v>31</v>
      </c>
      <c r="B155" s="133" t="s">
        <v>6</v>
      </c>
      <c r="C155" s="133" t="s">
        <v>122</v>
      </c>
      <c r="D155" s="134">
        <f>Actual_Over_2026!C20</f>
        <v>4042.5000000000005</v>
      </c>
      <c r="E155" s="135">
        <f>Actual_Over_2026!D20</f>
        <v>707</v>
      </c>
      <c r="F155" s="135">
        <f>Actual_Over_2026!E20</f>
        <v>246.25</v>
      </c>
      <c r="G155" s="28">
        <f t="shared" si="8"/>
        <v>2858047.5000000005</v>
      </c>
      <c r="H155" s="28">
        <f t="shared" si="9"/>
        <v>995465.62500000012</v>
      </c>
      <c r="I155" s="28">
        <f t="shared" si="10"/>
        <v>1862581.8750000005</v>
      </c>
      <c r="J155" s="29">
        <f t="shared" si="11"/>
        <v>0.6516973125884018</v>
      </c>
      <c r="K155" s="54">
        <f t="array" ref="K155">IF(DataConsolidated[[#This Row],[Scenario]]="Forecast (Base)", 0, DataConsolidated[[#This Row],[Revenue]] - INDEX(DataConsolidated[Revenue], MATCH(1, (DataConsolidated[Month]=DataConsolidated[[#This Row],[Month]]) * (DataConsolidated[Product]=DataConsolidated[[#This Row],[Product]]) * (DataConsolidated[Scenario]="Forecast (Base)"), 0)))</f>
        <v>1388047.5000000005</v>
      </c>
      <c r="L155" s="54">
        <f t="array" ref="L15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1274581.8750000005</v>
      </c>
      <c r="M155" s="55">
        <f t="array" ref="M155">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0.25169731258840178</v>
      </c>
    </row>
    <row r="156" spans="1:13" x14ac:dyDescent="0.25">
      <c r="A156" s="132" t="s">
        <v>31</v>
      </c>
      <c r="B156" s="133" t="s">
        <v>6</v>
      </c>
      <c r="C156" s="133" t="s">
        <v>45</v>
      </c>
      <c r="D156" s="134">
        <f>Actual_Under_2026!C20</f>
        <v>1890</v>
      </c>
      <c r="E156" s="135">
        <f>Actual_Under_2026!D20</f>
        <v>396</v>
      </c>
      <c r="F156" s="135">
        <f>Actual_Under_2026!E20</f>
        <v>404</v>
      </c>
      <c r="G156" s="28">
        <f t="shared" si="8"/>
        <v>748440</v>
      </c>
      <c r="H156" s="28">
        <f t="shared" si="9"/>
        <v>763560</v>
      </c>
      <c r="I156" s="28">
        <f t="shared" si="10"/>
        <v>-15120</v>
      </c>
      <c r="J156" s="29">
        <f t="shared" si="11"/>
        <v>-2.0202020202020204E-2</v>
      </c>
      <c r="K156" s="54">
        <f t="array" ref="K156">IF(DataConsolidated[[#This Row],[Scenario]]="Forecast (Base)", 0, DataConsolidated[[#This Row],[Revenue]] - INDEX(DataConsolidated[Revenue], MATCH(1, (DataConsolidated[Month]=DataConsolidated[[#This Row],[Month]]) * (DataConsolidated[Product]=DataConsolidated[[#This Row],[Product]]) * (DataConsolidated[Scenario]="Forecast (Base)"), 0)))</f>
        <v>-721560</v>
      </c>
      <c r="L156" s="54">
        <f t="array" ref="L15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-603120</v>
      </c>
      <c r="M156" s="55">
        <f t="array" ref="M156">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57" spans="1:13" x14ac:dyDescent="0.25">
      <c r="A157" s="132" t="s">
        <v>32</v>
      </c>
      <c r="B157" s="133" t="s">
        <v>6</v>
      </c>
      <c r="C157" s="133" t="s">
        <v>209</v>
      </c>
      <c r="D157" s="134">
        <f>Forecasting_Base!C23</f>
        <v>3080.0000000000005</v>
      </c>
      <c r="E157" s="135">
        <f>Forecasting_Base!D23</f>
        <v>500</v>
      </c>
      <c r="F157" s="135">
        <f>Forecasting_Base!E23</f>
        <v>300</v>
      </c>
      <c r="G157" s="28">
        <f t="shared" si="8"/>
        <v>1540000.0000000002</v>
      </c>
      <c r="H157" s="28">
        <f t="shared" si="9"/>
        <v>924000.00000000012</v>
      </c>
      <c r="I157" s="28">
        <f t="shared" si="10"/>
        <v>616000.00000000012</v>
      </c>
      <c r="J157" s="29">
        <f t="shared" si="11"/>
        <v>0.4</v>
      </c>
      <c r="K157" s="54">
        <f t="array" ref="K157">IF(DataConsolidated[[#This Row],[Scenario]]="Forecast (Base)", 0, DataConsolidated[[#This Row],[Revenue]] - INDEX(DataConsolidated[Revenue], MATCH(1, (DataConsolidated[Month]=DataConsolidated[[#This Row],[Month]]) * (DataConsolidated[Product]=DataConsolidated[[#This Row],[Product]]) * (DataConsolidated[Scenario]="Forecast (Base)"), 0)))</f>
        <v>0</v>
      </c>
      <c r="L157" s="54">
        <f t="array" ref="L15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57" s="55">
        <f t="array" ref="M157">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58" spans="1:13" x14ac:dyDescent="0.25">
      <c r="A158" s="132" t="s">
        <v>32</v>
      </c>
      <c r="B158" s="133" t="s">
        <v>6</v>
      </c>
      <c r="C158" s="133" t="s">
        <v>122</v>
      </c>
      <c r="D158" s="134">
        <f>Actual_Over_2026!C26</f>
        <v>4812.5000000000009</v>
      </c>
      <c r="E158" s="135">
        <f>Actual_Over_2026!D26</f>
        <v>728</v>
      </c>
      <c r="F158" s="135">
        <f>Actual_Over_2026!E26</f>
        <v>237.5</v>
      </c>
      <c r="G158" s="28">
        <f t="shared" si="8"/>
        <v>3503500.0000000005</v>
      </c>
      <c r="H158" s="28">
        <f t="shared" si="9"/>
        <v>1142968.7500000002</v>
      </c>
      <c r="I158" s="28">
        <f t="shared" si="10"/>
        <v>2360531.25</v>
      </c>
      <c r="J158" s="29">
        <f t="shared" si="11"/>
        <v>0.6737637362637362</v>
      </c>
      <c r="K158" s="54">
        <f t="array" ref="K158">IF(DataConsolidated[[#This Row],[Scenario]]="Forecast (Base)", 0, DataConsolidated[[#This Row],[Revenue]] - INDEX(DataConsolidated[Revenue], MATCH(1, (DataConsolidated[Month]=DataConsolidated[[#This Row],[Month]]) * (DataConsolidated[Product]=DataConsolidated[[#This Row],[Product]]) * (DataConsolidated[Scenario]="Forecast (Base)"), 0)))</f>
        <v>1963500.0000000002</v>
      </c>
      <c r="L158" s="54">
        <f t="array" ref="L15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1744531.25</v>
      </c>
      <c r="M158" s="55">
        <f t="array" ref="M158">IF(DataConsolidated[[#This Row],[Scenario]]="Forecast (Base)", 0, DataConsolidated[[#This Row],[Margin %]] -
  INDEX(DataConsolidated[Margin %], MATCH(1, (DataConsolidated[Month]=DataConsolidated[[#This Row],[Month]]) * (DataConsolidated[Product]=DataConsolidated[[#This Row],[Product]]) * (DataConsolidated[Scenario]="Forecast (Base)"), 0)))</f>
        <v>0.27376373626373618</v>
      </c>
    </row>
    <row r="159" spans="1:13" x14ac:dyDescent="0.25">
      <c r="A159" s="132" t="s">
        <v>32</v>
      </c>
      <c r="B159" s="133" t="s">
        <v>6</v>
      </c>
      <c r="C159" s="133" t="s">
        <v>45</v>
      </c>
      <c r="D159" s="134">
        <f>Actual_Under_2026!C26</f>
        <v>2045.9999999999998</v>
      </c>
      <c r="E159" s="135">
        <f>Actual_Under_2026!D26</f>
        <v>396</v>
      </c>
      <c r="F159" s="135">
        <f>Actual_Under_2026!E26</f>
        <v>404</v>
      </c>
      <c r="G159" s="28">
        <f t="shared" si="8"/>
        <v>810215.99999999988</v>
      </c>
      <c r="H159" s="28">
        <f t="shared" si="9"/>
        <v>826583.99999999988</v>
      </c>
      <c r="I159" s="28">
        <f t="shared" si="10"/>
        <v>-16368</v>
      </c>
      <c r="J159" s="29">
        <f t="shared" si="11"/>
        <v>-2.0202020202020204E-2</v>
      </c>
      <c r="K159" s="54">
        <f t="array" ref="K159">IF(DataConsolidated[[#This Row],[Scenario]]="Forecast (Base)", 0, DataConsolidated[[#This Row],[Revenue]] - INDEX(DataConsolidated[Revenue], MATCH(1, (DataConsolidated[Month]=DataConsolidated[[#This Row],[Month]]) * (DataConsolidated[Product]=DataConsolidated[[#This Row],[Product]]) * (DataConsolidated[Scenario]="Forecast (Base)"), 0)))</f>
        <v>-729784.00000000035</v>
      </c>
      <c r="L159" s="54">
        <f t="array" ref="L15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-632368.00000000012</v>
      </c>
      <c r="M159" s="55">
        <f t="array" ref="M159">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0" spans="1:13" x14ac:dyDescent="0.25">
      <c r="A160" s="132" t="s">
        <v>27</v>
      </c>
      <c r="B160" s="133" t="s">
        <v>6</v>
      </c>
      <c r="C160" s="133" t="s">
        <v>209</v>
      </c>
      <c r="D160" s="134">
        <f>Forecasting_Base!C28</f>
        <v>3360</v>
      </c>
      <c r="E160" s="135">
        <f>Forecasting_Base!D28</f>
        <v>500</v>
      </c>
      <c r="F160" s="135">
        <f>Forecasting_Base!E28</f>
        <v>300</v>
      </c>
      <c r="G160" s="28">
        <f t="shared" si="8"/>
        <v>1680000</v>
      </c>
      <c r="H160" s="28">
        <f t="shared" si="9"/>
        <v>1008000</v>
      </c>
      <c r="I160" s="28">
        <f t="shared" si="10"/>
        <v>672000</v>
      </c>
      <c r="J160" s="29">
        <f t="shared" si="11"/>
        <v>0.4</v>
      </c>
      <c r="K160" s="54">
        <f t="array" ref="K160">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0" s="54">
        <f t="array" ref="L16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0" s="55">
        <f t="array" ref="M160">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1" spans="1:13" x14ac:dyDescent="0.25">
      <c r="A161" s="132" t="s">
        <v>27</v>
      </c>
      <c r="B161" s="133" t="s">
        <v>6</v>
      </c>
      <c r="C161" s="133" t="s">
        <v>122</v>
      </c>
      <c r="D161" s="134">
        <f>Actual_Over_2026!C32</f>
        <v>5040</v>
      </c>
      <c r="E161" s="135">
        <f>Actual_Over_2026!D32</f>
        <v>721</v>
      </c>
      <c r="F161" s="135">
        <f>Actual_Over_2026!E32</f>
        <v>240</v>
      </c>
      <c r="G161" s="28">
        <f t="shared" si="8"/>
        <v>3633840</v>
      </c>
      <c r="H161" s="28">
        <f t="shared" si="9"/>
        <v>1209600</v>
      </c>
      <c r="I161" s="28">
        <f t="shared" si="10"/>
        <v>2424240</v>
      </c>
      <c r="J161" s="29">
        <f t="shared" si="11"/>
        <v>0.66712898751733707</v>
      </c>
      <c r="K161" s="54">
        <f t="array" ref="K161">IF(DataConsolidated[[#This Row],[Scenario]]="Forecast (Base)", 0, DataConsolidated[[#This Row],[Revenue]] - INDEX(DataConsolidated[Revenue], MATCH(1, (DataConsolidated[Month]=DataConsolidated[[#This Row],[Month]]) * (DataConsolidated[Product]=DataConsolidated[[#This Row],[Product]]) * (DataConsolidated[Scenario]="Forecast (Base)"), 0)))</f>
        <v>1953840</v>
      </c>
      <c r="L161" s="54">
        <f t="array" ref="L16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1752240</v>
      </c>
      <c r="M161" s="55">
        <f t="array" ref="M161">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62" spans="1:13" x14ac:dyDescent="0.25">
      <c r="A162" s="132" t="s">
        <v>27</v>
      </c>
      <c r="B162" s="133" t="s">
        <v>6</v>
      </c>
      <c r="C162" s="133" t="s">
        <v>45</v>
      </c>
      <c r="D162" s="134">
        <f>Actual_Under_2026!C32</f>
        <v>2160</v>
      </c>
      <c r="E162" s="135">
        <f>Actual_Under_2026!D32</f>
        <v>396</v>
      </c>
      <c r="F162" s="135">
        <f>Actual_Under_2026!E32</f>
        <v>404</v>
      </c>
      <c r="G162" s="28">
        <f t="shared" si="8"/>
        <v>855360</v>
      </c>
      <c r="H162" s="28">
        <f t="shared" si="9"/>
        <v>872640</v>
      </c>
      <c r="I162" s="28">
        <f t="shared" si="10"/>
        <v>-17280</v>
      </c>
      <c r="J162" s="29">
        <f t="shared" si="11"/>
        <v>-2.0202020202020204E-2</v>
      </c>
      <c r="K162" s="54">
        <f t="array" ref="K162">IF(DataConsolidated[[#This Row],[Scenario]]="Forecast (Base)", 0, DataConsolidated[[#This Row],[Revenue]] - INDEX(DataConsolidated[Revenue], MATCH(1, (DataConsolidated[Month]=DataConsolidated[[#This Row],[Month]]) * (DataConsolidated[Product]=DataConsolidated[[#This Row],[Product]]) * (DataConsolidated[Scenario]="Forecast (Base)"), 0)))</f>
        <v>-824640</v>
      </c>
      <c r="L162" s="54">
        <f t="array" ref="L16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-689280</v>
      </c>
      <c r="M162" s="55">
        <f t="array" ref="M162">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3" spans="1:13" x14ac:dyDescent="0.25">
      <c r="A163" s="132" t="s">
        <v>33</v>
      </c>
      <c r="B163" s="133" t="s">
        <v>6</v>
      </c>
      <c r="C163" s="133" t="s">
        <v>209</v>
      </c>
      <c r="D163" s="134">
        <f>Forecasting_Base!C33</f>
        <v>3219.9999999999995</v>
      </c>
      <c r="E163" s="135">
        <f>Forecasting_Base!D33</f>
        <v>500</v>
      </c>
      <c r="F163" s="135">
        <f>Forecasting_Base!E33</f>
        <v>300</v>
      </c>
      <c r="G163" s="28">
        <f t="shared" si="8"/>
        <v>1609999.9999999998</v>
      </c>
      <c r="H163" s="28">
        <f t="shared" si="9"/>
        <v>965999.99999999988</v>
      </c>
      <c r="I163" s="28">
        <f t="shared" si="10"/>
        <v>643999.99999999988</v>
      </c>
      <c r="J163" s="29">
        <f t="shared" si="11"/>
        <v>0.39999999999999997</v>
      </c>
      <c r="K163" s="54">
        <f t="array" ref="K163">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3" s="54">
        <f t="array" ref="L16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3" s="55">
        <f t="array" ref="M163">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4" spans="1:13" x14ac:dyDescent="0.25">
      <c r="A164" s="132" t="s">
        <v>33</v>
      </c>
      <c r="B164" s="133" t="s">
        <v>6</v>
      </c>
      <c r="C164" s="133" t="s">
        <v>122</v>
      </c>
      <c r="D164" s="134">
        <f>Actual_Over_2026!C38</f>
        <v>4749.4999999999991</v>
      </c>
      <c r="E164" s="135">
        <f>Actual_Over_2026!D38</f>
        <v>721</v>
      </c>
      <c r="F164" s="135">
        <f>Actual_Over_2026!E38</f>
        <v>240</v>
      </c>
      <c r="G164" s="28">
        <f t="shared" si="8"/>
        <v>3424389.4999999995</v>
      </c>
      <c r="H164" s="28">
        <f t="shared" si="9"/>
        <v>1139879.9999999998</v>
      </c>
      <c r="I164" s="28">
        <f t="shared" si="10"/>
        <v>2284509.5</v>
      </c>
      <c r="J164" s="29">
        <f t="shared" si="11"/>
        <v>0.66712898751733707</v>
      </c>
      <c r="K164" s="54">
        <f t="array" ref="K164">IF(DataConsolidated[[#This Row],[Scenario]]="Forecast (Base)", 0, DataConsolidated[[#This Row],[Revenue]] - INDEX(DataConsolidated[Revenue], MATCH(1, (DataConsolidated[Month]=DataConsolidated[[#This Row],[Month]]) * (DataConsolidated[Product]=DataConsolidated[[#This Row],[Product]]) * (DataConsolidated[Scenario]="Forecast (Base)"), 0)))</f>
        <v>1814389.4999999998</v>
      </c>
      <c r="L164" s="54">
        <f t="array" ref="L16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1640509.5</v>
      </c>
      <c r="M164" s="55">
        <f t="array" ref="M164">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0.2671289875173371</v>
      </c>
    </row>
    <row r="165" spans="1:13" x14ac:dyDescent="0.25">
      <c r="A165" s="132" t="s">
        <v>33</v>
      </c>
      <c r="B165" s="133" t="s">
        <v>6</v>
      </c>
      <c r="C165" s="133" t="s">
        <v>45</v>
      </c>
      <c r="D165" s="134">
        <f>Actual_Under_2026!C38</f>
        <v>2024</v>
      </c>
      <c r="E165" s="135">
        <f>Actual_Under_2026!D38</f>
        <v>392</v>
      </c>
      <c r="F165" s="135">
        <f>Actual_Under_2026!E38</f>
        <v>408</v>
      </c>
      <c r="G165" s="28">
        <f t="shared" si="8"/>
        <v>793408</v>
      </c>
      <c r="H165" s="28">
        <f t="shared" si="9"/>
        <v>825792</v>
      </c>
      <c r="I165" s="28">
        <f t="shared" si="10"/>
        <v>-32384</v>
      </c>
      <c r="J165" s="29">
        <f t="shared" si="11"/>
        <v>-4.0816326530612242E-2</v>
      </c>
      <c r="K165" s="54">
        <f t="array" ref="K165">IF(DataConsolidated[[#This Row],[Scenario]]="Forecast (Base)", 0, DataConsolidated[[#This Row],[Revenue]] - INDEX(DataConsolidated[Revenue], MATCH(1, (DataConsolidated[Month]=DataConsolidated[[#This Row],[Month]]) * (DataConsolidated[Product]=DataConsolidated[[#This Row],[Product]]) * (DataConsolidated[Scenario]="Forecast (Base)"), 0)))</f>
        <v>-816591.99999999977</v>
      </c>
      <c r="L165" s="54">
        <f t="array" ref="L16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-676383.99999999988</v>
      </c>
      <c r="M165" s="55">
        <f t="array" ref="M165">IF(DataConsolidated[[#This Row],[Scenario]]="Forecast (Base)", 0, DataConsolidated[[#This Row],[Margin %]] -
  INDEX(DataConsolidated[Margin %], MATCH(1, (DataConsolidated[Month]=DataConsolidated[[#This Row],[Month]]) * (DataConsolidated[Product]=DataConsolidated[[#This Row],[Product]]) * (DataConsolidated[Scenario]="Forecast (Base)"), 0)))</f>
        <v>-0.4408163265306122</v>
      </c>
    </row>
    <row r="166" spans="1:13" x14ac:dyDescent="0.25">
      <c r="A166" s="132" t="s">
        <v>28</v>
      </c>
      <c r="B166" s="133" t="s">
        <v>6</v>
      </c>
      <c r="C166" s="133" t="s">
        <v>209</v>
      </c>
      <c r="D166" s="134">
        <f>Forecasting_Base!C38</f>
        <v>2940</v>
      </c>
      <c r="E166" s="135">
        <f>Forecasting_Base!D38</f>
        <v>500</v>
      </c>
      <c r="F166" s="135">
        <f>Forecasting_Base!E38</f>
        <v>300</v>
      </c>
      <c r="G166" s="28">
        <f t="shared" si="8"/>
        <v>1470000</v>
      </c>
      <c r="H166" s="28">
        <f t="shared" si="9"/>
        <v>882000</v>
      </c>
      <c r="I166" s="28">
        <f t="shared" si="10"/>
        <v>588000</v>
      </c>
      <c r="J166" s="29">
        <f t="shared" si="11"/>
        <v>0.4</v>
      </c>
      <c r="K166" s="54">
        <f t="array" ref="K166">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6" s="54">
        <f t="array" ref="L16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6" s="55">
        <f t="array" ref="M166">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67" spans="1:13" x14ac:dyDescent="0.25">
      <c r="A167" s="132" t="s">
        <v>28</v>
      </c>
      <c r="B167" s="133" t="s">
        <v>6</v>
      </c>
      <c r="C167" s="133" t="s">
        <v>122</v>
      </c>
      <c r="D167" s="134">
        <f>Actual_Over_2026!C44</f>
        <v>4042.5000000000005</v>
      </c>
      <c r="E167" s="135">
        <f>Actual_Over_2026!D44</f>
        <v>707</v>
      </c>
      <c r="F167" s="135">
        <f>Actual_Over_2026!E44</f>
        <v>246.25</v>
      </c>
      <c r="G167" s="28">
        <f t="shared" si="8"/>
        <v>2858047.5000000005</v>
      </c>
      <c r="H167" s="28">
        <f t="shared" si="9"/>
        <v>995465.62500000012</v>
      </c>
      <c r="I167" s="28">
        <f t="shared" si="10"/>
        <v>1862581.8750000005</v>
      </c>
      <c r="J167" s="29">
        <f t="shared" si="11"/>
        <v>0.6516973125884018</v>
      </c>
      <c r="K167" s="54">
        <f t="array" ref="K167">IF(DataConsolidated[[#This Row],[Scenario]]="Forecast (Base)", 0, DataConsolidated[[#This Row],[Revenue]] - INDEX(DataConsolidated[Revenue], MATCH(1, (DataConsolidated[Month]=DataConsolidated[[#This Row],[Month]]) * (DataConsolidated[Product]=DataConsolidated[[#This Row],[Product]]) * (DataConsolidated[Scenario]="Forecast (Base)"), 0)))</f>
        <v>1388047.5000000005</v>
      </c>
      <c r="L167" s="54">
        <f t="array" ref="L16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1274581.8750000005</v>
      </c>
      <c r="M167" s="55">
        <f t="array" ref="M167">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0.25169731258840178</v>
      </c>
    </row>
    <row r="168" spans="1:13" x14ac:dyDescent="0.25">
      <c r="A168" s="132" t="s">
        <v>28</v>
      </c>
      <c r="B168" s="133" t="s">
        <v>6</v>
      </c>
      <c r="C168" s="133" t="s">
        <v>45</v>
      </c>
      <c r="D168" s="134">
        <f>Actual_Under_2026!C44</f>
        <v>1974</v>
      </c>
      <c r="E168" s="135">
        <f>Actual_Under_2026!D44</f>
        <v>396</v>
      </c>
      <c r="F168" s="135">
        <f>Actual_Under_2026!E44</f>
        <v>404</v>
      </c>
      <c r="G168" s="28">
        <f t="shared" si="8"/>
        <v>781704</v>
      </c>
      <c r="H168" s="28">
        <f t="shared" si="9"/>
        <v>797496</v>
      </c>
      <c r="I168" s="28">
        <f t="shared" si="10"/>
        <v>-15792</v>
      </c>
      <c r="J168" s="29">
        <f t="shared" si="11"/>
        <v>-2.0202020202020204E-2</v>
      </c>
      <c r="K168" s="54">
        <f t="array" ref="K168">IF(DataConsolidated[[#This Row],[Scenario]]="Forecast (Base)", 0, DataConsolidated[[#This Row],[Revenue]] - INDEX(DataConsolidated[Revenue], MATCH(1, (DataConsolidated[Month]=DataConsolidated[[#This Row],[Month]]) * (DataConsolidated[Product]=DataConsolidated[[#This Row],[Product]]) * (DataConsolidated[Scenario]="Forecast (Base)"), 0)))</f>
        <v>-688296</v>
      </c>
      <c r="L168" s="54">
        <f t="array" ref="L16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-603792</v>
      </c>
      <c r="M168" s="55">
        <f t="array" ref="M168">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69" spans="1:13" x14ac:dyDescent="0.25">
      <c r="A169" s="132" t="s">
        <v>34</v>
      </c>
      <c r="B169" s="133" t="s">
        <v>6</v>
      </c>
      <c r="C169" s="133" t="s">
        <v>209</v>
      </c>
      <c r="D169" s="134">
        <f>Forecasting_Base!C43</f>
        <v>3080.0000000000005</v>
      </c>
      <c r="E169" s="135">
        <f>Forecasting_Base!D43</f>
        <v>500</v>
      </c>
      <c r="F169" s="135">
        <f>Forecasting_Base!E43</f>
        <v>300</v>
      </c>
      <c r="G169" s="28">
        <f t="shared" si="8"/>
        <v>1540000.0000000002</v>
      </c>
      <c r="H169" s="28">
        <f t="shared" si="9"/>
        <v>924000.00000000012</v>
      </c>
      <c r="I169" s="28">
        <f t="shared" si="10"/>
        <v>616000.00000000012</v>
      </c>
      <c r="J169" s="29">
        <f t="shared" si="11"/>
        <v>0.4</v>
      </c>
      <c r="K169" s="54">
        <f t="array" ref="K169">IF(DataConsolidated[[#This Row],[Scenario]]="Forecast (Base)", 0, DataConsolidated[[#This Row],[Revenue]] - INDEX(DataConsolidated[Revenue], MATCH(1, (DataConsolidated[Month]=DataConsolidated[[#This Row],[Month]]) * (DataConsolidated[Product]=DataConsolidated[[#This Row],[Product]]) * (DataConsolidated[Scenario]="Forecast (Base)"), 0)))</f>
        <v>0</v>
      </c>
      <c r="L169" s="54">
        <f t="array" ref="L16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69" s="55">
        <f t="array" ref="M169">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0" spans="1:13" x14ac:dyDescent="0.25">
      <c r="A170" s="132" t="s">
        <v>34</v>
      </c>
      <c r="B170" s="133" t="s">
        <v>6</v>
      </c>
      <c r="C170" s="133" t="s">
        <v>122</v>
      </c>
      <c r="D170" s="134">
        <f>Actual_Over_2026!C50</f>
        <v>4235.0000000000009</v>
      </c>
      <c r="E170" s="135">
        <f>Actual_Over_2026!D50</f>
        <v>707</v>
      </c>
      <c r="F170" s="135">
        <f>Actual_Over_2026!E50</f>
        <v>246.25</v>
      </c>
      <c r="G170" s="28">
        <f t="shared" si="8"/>
        <v>2994145.0000000005</v>
      </c>
      <c r="H170" s="28">
        <f t="shared" si="9"/>
        <v>1042868.7500000002</v>
      </c>
      <c r="I170" s="28">
        <f t="shared" si="10"/>
        <v>1951276.2500000002</v>
      </c>
      <c r="J170" s="29">
        <f t="shared" si="11"/>
        <v>0.65169731258840169</v>
      </c>
      <c r="K170" s="54">
        <f t="array" ref="K170">IF(DataConsolidated[[#This Row],[Scenario]]="Forecast (Base)", 0, DataConsolidated[[#This Row],[Revenue]] - INDEX(DataConsolidated[Revenue], MATCH(1, (DataConsolidated[Month]=DataConsolidated[[#This Row],[Month]]) * (DataConsolidated[Product]=DataConsolidated[[#This Row],[Product]]) * (DataConsolidated[Scenario]="Forecast (Base)"), 0)))</f>
        <v>1454145.0000000002</v>
      </c>
      <c r="L170" s="54">
        <f t="array" ref="L17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1335276.25</v>
      </c>
      <c r="M170" s="55">
        <f t="array" ref="M170">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71" spans="1:13" x14ac:dyDescent="0.25">
      <c r="A171" s="132" t="s">
        <v>34</v>
      </c>
      <c r="B171" s="133" t="s">
        <v>6</v>
      </c>
      <c r="C171" s="133" t="s">
        <v>45</v>
      </c>
      <c r="D171" s="134">
        <f>Actual_Under_2026!C50</f>
        <v>2090</v>
      </c>
      <c r="E171" s="135">
        <f>Actual_Under_2026!D50</f>
        <v>400</v>
      </c>
      <c r="F171" s="135">
        <f>Actual_Under_2026!E50</f>
        <v>400</v>
      </c>
      <c r="G171" s="28">
        <f t="shared" si="8"/>
        <v>836000</v>
      </c>
      <c r="H171" s="28">
        <f t="shared" si="9"/>
        <v>836000</v>
      </c>
      <c r="I171" s="28">
        <f t="shared" si="10"/>
        <v>0</v>
      </c>
      <c r="J171" s="29">
        <f t="shared" si="11"/>
        <v>0</v>
      </c>
      <c r="K171" s="54">
        <f t="array" ref="K171">IF(DataConsolidated[[#This Row],[Scenario]]="Forecast (Base)", 0, DataConsolidated[[#This Row],[Revenue]] - INDEX(DataConsolidated[Revenue], MATCH(1, (DataConsolidated[Month]=DataConsolidated[[#This Row],[Month]]) * (DataConsolidated[Product]=DataConsolidated[[#This Row],[Product]]) * (DataConsolidated[Scenario]="Forecast (Base)"), 0)))</f>
        <v>-704000.00000000023</v>
      </c>
      <c r="L171" s="54">
        <f t="array" ref="L17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-616000.00000000012</v>
      </c>
      <c r="M171" s="55">
        <f t="array" ref="M171">IF(DataConsolidated[[#This Row],[Scenario]]="Forecast (Base)", 0, DataConsolidated[[#This Row],[Margin %]] -
  INDEX(DataConsolidated[Margin %], MATCH(1, (DataConsolidated[Month]=DataConsolidated[[#This Row],[Month]]) * (DataConsolidated[Product]=DataConsolidated[[#This Row],[Product]]) * (DataConsolidated[Scenario]="Forecast (Base)"), 0)))</f>
        <v>-0.4</v>
      </c>
    </row>
    <row r="172" spans="1:13" x14ac:dyDescent="0.25">
      <c r="A172" s="132" t="s">
        <v>35</v>
      </c>
      <c r="B172" s="133" t="s">
        <v>6</v>
      </c>
      <c r="C172" s="133" t="s">
        <v>209</v>
      </c>
      <c r="D172" s="134">
        <f>Forecasting_Base!C48</f>
        <v>3219.9999999999995</v>
      </c>
      <c r="E172" s="135">
        <f>Forecasting_Base!D48</f>
        <v>500</v>
      </c>
      <c r="F172" s="135">
        <f>Forecasting_Base!E48</f>
        <v>300</v>
      </c>
      <c r="G172" s="28">
        <f t="shared" si="8"/>
        <v>1609999.9999999998</v>
      </c>
      <c r="H172" s="28">
        <f t="shared" si="9"/>
        <v>965999.99999999988</v>
      </c>
      <c r="I172" s="28">
        <f t="shared" si="10"/>
        <v>643999.99999999988</v>
      </c>
      <c r="J172" s="29">
        <f t="shared" si="11"/>
        <v>0.39999999999999997</v>
      </c>
      <c r="K172" s="54">
        <f t="array" ref="K172">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2" s="54">
        <f t="array" ref="L17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2" s="55">
        <f t="array" ref="M172">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3" spans="1:13" x14ac:dyDescent="0.25">
      <c r="A173" s="132" t="s">
        <v>35</v>
      </c>
      <c r="B173" s="133" t="s">
        <v>6</v>
      </c>
      <c r="C173" s="133" t="s">
        <v>122</v>
      </c>
      <c r="D173" s="134">
        <f>Actual_Over_2026!C56</f>
        <v>4347</v>
      </c>
      <c r="E173" s="135">
        <f>Actual_Over_2026!D56</f>
        <v>707</v>
      </c>
      <c r="F173" s="135">
        <f>Actual_Over_2026!E56</f>
        <v>246.25</v>
      </c>
      <c r="G173" s="28">
        <f t="shared" si="8"/>
        <v>3073329</v>
      </c>
      <c r="H173" s="28">
        <f t="shared" si="9"/>
        <v>1070448.75</v>
      </c>
      <c r="I173" s="28">
        <f t="shared" si="10"/>
        <v>2002880.25</v>
      </c>
      <c r="J173" s="29">
        <f t="shared" si="11"/>
        <v>0.65169731258840169</v>
      </c>
      <c r="K173" s="54">
        <f t="array" ref="K173">IF(DataConsolidated[[#This Row],[Scenario]]="Forecast (Base)", 0, DataConsolidated[[#This Row],[Revenue]] - INDEX(DataConsolidated[Revenue], MATCH(1, (DataConsolidated[Month]=DataConsolidated[[#This Row],[Month]]) * (DataConsolidated[Product]=DataConsolidated[[#This Row],[Product]]) * (DataConsolidated[Scenario]="Forecast (Base)"), 0)))</f>
        <v>1463329.0000000002</v>
      </c>
      <c r="L173" s="54">
        <f t="array" ref="L17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1358880.25</v>
      </c>
      <c r="M173" s="55">
        <f t="array" ref="M173">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0.25169731258840172</v>
      </c>
    </row>
    <row r="174" spans="1:13" x14ac:dyDescent="0.25">
      <c r="A174" s="132" t="s">
        <v>35</v>
      </c>
      <c r="B174" s="133" t="s">
        <v>6</v>
      </c>
      <c r="C174" s="133" t="s">
        <v>45</v>
      </c>
      <c r="D174" s="134">
        <f>Actual_Under_2026!C56</f>
        <v>2185</v>
      </c>
      <c r="E174" s="135">
        <f>Actual_Under_2026!D56</f>
        <v>400</v>
      </c>
      <c r="F174" s="135">
        <f>Actual_Under_2026!E56</f>
        <v>400</v>
      </c>
      <c r="G174" s="28">
        <f t="shared" si="8"/>
        <v>874000</v>
      </c>
      <c r="H174" s="28">
        <f t="shared" si="9"/>
        <v>874000</v>
      </c>
      <c r="I174" s="28">
        <f t="shared" si="10"/>
        <v>0</v>
      </c>
      <c r="J174" s="29">
        <f t="shared" si="11"/>
        <v>0</v>
      </c>
      <c r="K174" s="54">
        <f t="array" ref="K174">IF(DataConsolidated[[#This Row],[Scenario]]="Forecast (Base)", 0, DataConsolidated[[#This Row],[Revenue]] - INDEX(DataConsolidated[Revenue], MATCH(1, (DataConsolidated[Month]=DataConsolidated[[#This Row],[Month]]) * (DataConsolidated[Product]=DataConsolidated[[#This Row],[Product]]) * (DataConsolidated[Scenario]="Forecast (Base)"), 0)))</f>
        <v>-735999.99999999977</v>
      </c>
      <c r="L174" s="54">
        <f t="array" ref="L174">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-643999.99999999988</v>
      </c>
      <c r="M174" s="55">
        <f t="array" ref="M174">IF(DataConsolidated[[#This Row],[Scenario]]="Forecast (Base)", 0, DataConsolidated[[#This Row],[Margin %]] -
  INDEX(DataConsolidated[Margin %], MATCH(1, (DataConsolidated[Month]=DataConsolidated[[#This Row],[Month]]) * (DataConsolidated[Product]=DataConsolidated[[#This Row],[Product]]) * (DataConsolidated[Scenario]="Forecast (Base)"), 0)))</f>
        <v>-0.39999999999999997</v>
      </c>
    </row>
    <row r="175" spans="1:13" x14ac:dyDescent="0.25">
      <c r="A175" s="132" t="s">
        <v>36</v>
      </c>
      <c r="B175" s="133" t="s">
        <v>6</v>
      </c>
      <c r="C175" s="133" t="s">
        <v>209</v>
      </c>
      <c r="D175" s="134">
        <f>Forecasting_Base!C53</f>
        <v>3640</v>
      </c>
      <c r="E175" s="135">
        <f>Forecasting_Base!D53</f>
        <v>500</v>
      </c>
      <c r="F175" s="135">
        <f>Forecasting_Base!E53</f>
        <v>300</v>
      </c>
      <c r="G175" s="28">
        <f t="shared" si="8"/>
        <v>1820000</v>
      </c>
      <c r="H175" s="28">
        <f t="shared" si="9"/>
        <v>1092000</v>
      </c>
      <c r="I175" s="28">
        <f t="shared" si="10"/>
        <v>728000</v>
      </c>
      <c r="J175" s="29">
        <f t="shared" si="11"/>
        <v>0.4</v>
      </c>
      <c r="K175" s="54">
        <f t="array" ref="K175">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5" s="54">
        <f t="array" ref="L175">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5" s="55">
        <f t="array" ref="M175">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6" spans="1:13" x14ac:dyDescent="0.25">
      <c r="A176" s="132" t="s">
        <v>36</v>
      </c>
      <c r="B176" s="133" t="s">
        <v>6</v>
      </c>
      <c r="C176" s="133" t="s">
        <v>122</v>
      </c>
      <c r="D176" s="134">
        <f>Actual_Over_2026!C62</f>
        <v>5460</v>
      </c>
      <c r="E176" s="135">
        <f>Actual_Over_2026!D62</f>
        <v>721</v>
      </c>
      <c r="F176" s="135">
        <f>Actual_Over_2026!E62</f>
        <v>240</v>
      </c>
      <c r="G176" s="28">
        <f t="shared" si="8"/>
        <v>3936660</v>
      </c>
      <c r="H176" s="28">
        <f t="shared" si="9"/>
        <v>1310400</v>
      </c>
      <c r="I176" s="28">
        <f t="shared" si="10"/>
        <v>2626260</v>
      </c>
      <c r="J176" s="29">
        <f t="shared" si="11"/>
        <v>0.66712898751733707</v>
      </c>
      <c r="K176" s="54">
        <f t="array" ref="K176">IF(DataConsolidated[[#This Row],[Scenario]]="Forecast (Base)", 0, DataConsolidated[[#This Row],[Revenue]] - INDEX(DataConsolidated[Revenue], MATCH(1, (DataConsolidated[Month]=DataConsolidated[[#This Row],[Month]]) * (DataConsolidated[Product]=DataConsolidated[[#This Row],[Product]]) * (DataConsolidated[Scenario]="Forecast (Base)"), 0)))</f>
        <v>2116660</v>
      </c>
      <c r="L176" s="54">
        <f t="array" ref="L176">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1898260</v>
      </c>
      <c r="M176" s="55">
        <f t="array" ref="M176">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77" spans="1:13" x14ac:dyDescent="0.25">
      <c r="A177" s="132" t="s">
        <v>36</v>
      </c>
      <c r="B177" s="133" t="s">
        <v>6</v>
      </c>
      <c r="C177" s="133" t="s">
        <v>45</v>
      </c>
      <c r="D177" s="134">
        <f>Actual_Under_2026!C62</f>
        <v>2340</v>
      </c>
      <c r="E177" s="135">
        <f>Actual_Under_2026!D62</f>
        <v>396</v>
      </c>
      <c r="F177" s="135">
        <f>Actual_Under_2026!E62</f>
        <v>404</v>
      </c>
      <c r="G177" s="28">
        <f t="shared" si="8"/>
        <v>926640</v>
      </c>
      <c r="H177" s="28">
        <f t="shared" si="9"/>
        <v>945360</v>
      </c>
      <c r="I177" s="28">
        <f t="shared" si="10"/>
        <v>-18720</v>
      </c>
      <c r="J177" s="29">
        <f t="shared" si="11"/>
        <v>-2.0202020202020204E-2</v>
      </c>
      <c r="K177" s="54">
        <f t="array" ref="K177">IF(DataConsolidated[[#This Row],[Scenario]]="Forecast (Base)", 0, DataConsolidated[[#This Row],[Revenue]] - INDEX(DataConsolidated[Revenue], MATCH(1, (DataConsolidated[Month]=DataConsolidated[[#This Row],[Month]]) * (DataConsolidated[Product]=DataConsolidated[[#This Row],[Product]]) * (DataConsolidated[Scenario]="Forecast (Base)"), 0)))</f>
        <v>-893360</v>
      </c>
      <c r="L177" s="54">
        <f t="array" ref="L177">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-746720</v>
      </c>
      <c r="M177" s="55">
        <f t="array" ref="M177">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78" spans="1:13" x14ac:dyDescent="0.25">
      <c r="A178" s="132" t="s">
        <v>37</v>
      </c>
      <c r="B178" s="133" t="s">
        <v>6</v>
      </c>
      <c r="C178" s="133" t="s">
        <v>209</v>
      </c>
      <c r="D178" s="134">
        <f>Forecasting_Base!C58</f>
        <v>3500</v>
      </c>
      <c r="E178" s="135">
        <f>Forecasting_Base!D58</f>
        <v>500</v>
      </c>
      <c r="F178" s="135">
        <f>Forecasting_Base!E58</f>
        <v>300</v>
      </c>
      <c r="G178" s="28">
        <f t="shared" si="8"/>
        <v>1750000</v>
      </c>
      <c r="H178" s="28">
        <f t="shared" si="9"/>
        <v>1050000</v>
      </c>
      <c r="I178" s="28">
        <f t="shared" si="10"/>
        <v>700000</v>
      </c>
      <c r="J178" s="29">
        <f t="shared" si="11"/>
        <v>0.4</v>
      </c>
      <c r="K178" s="54">
        <f t="array" ref="K178">IF(DataConsolidated[[#This Row],[Scenario]]="Forecast (Base)", 0, DataConsolidated[[#This Row],[Revenue]] - INDEX(DataConsolidated[Revenue], MATCH(1, (DataConsolidated[Month]=DataConsolidated[[#This Row],[Month]]) * (DataConsolidated[Product]=DataConsolidated[[#This Row],[Product]]) * (DataConsolidated[Scenario]="Forecast (Base)"), 0)))</f>
        <v>0</v>
      </c>
      <c r="L178" s="54">
        <f t="array" ref="L178">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78" s="55">
        <f t="array" ref="M178">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79" spans="1:13" x14ac:dyDescent="0.25">
      <c r="A179" s="132" t="s">
        <v>37</v>
      </c>
      <c r="B179" s="133" t="s">
        <v>6</v>
      </c>
      <c r="C179" s="133" t="s">
        <v>122</v>
      </c>
      <c r="D179" s="134">
        <f>Actual_Over_2026!C68</f>
        <v>5162.5</v>
      </c>
      <c r="E179" s="135">
        <f>Actual_Over_2026!D68</f>
        <v>721</v>
      </c>
      <c r="F179" s="135">
        <f>Actual_Over_2026!E68</f>
        <v>240</v>
      </c>
      <c r="G179" s="28">
        <f t="shared" si="8"/>
        <v>3722162.5</v>
      </c>
      <c r="H179" s="28">
        <f t="shared" si="9"/>
        <v>1239000</v>
      </c>
      <c r="I179" s="28">
        <f t="shared" si="10"/>
        <v>2483162.5</v>
      </c>
      <c r="J179" s="29">
        <f t="shared" si="11"/>
        <v>0.66712898751733707</v>
      </c>
      <c r="K179" s="54">
        <f t="array" ref="K179">IF(DataConsolidated[[#This Row],[Scenario]]="Forecast (Base)", 0, DataConsolidated[[#This Row],[Revenue]] - INDEX(DataConsolidated[Revenue], MATCH(1, (DataConsolidated[Month]=DataConsolidated[[#This Row],[Month]]) * (DataConsolidated[Product]=DataConsolidated[[#This Row],[Product]]) * (DataConsolidated[Scenario]="Forecast (Base)"), 0)))</f>
        <v>1972162.5</v>
      </c>
      <c r="L179" s="54">
        <f t="array" ref="L179">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1783162.5</v>
      </c>
      <c r="M179" s="55">
        <f t="array" ref="M179">IF(DataConsolidated[[#This Row],[Scenario]]="Forecast (Base)", 0, DataConsolidated[[#This Row],[Margin %]] -
  INDEX(DataConsolidated[Margin %], MATCH(1, (DataConsolidated[Month]=DataConsolidated[[#This Row],[Month]]) * (DataConsolidated[Product]=DataConsolidated[[#This Row],[Product]]) * (DataConsolidated[Scenario]="Forecast (Base)"), 0)))</f>
        <v>0.26712898751733705</v>
      </c>
    </row>
    <row r="180" spans="1:13" x14ac:dyDescent="0.25">
      <c r="A180" s="132" t="s">
        <v>37</v>
      </c>
      <c r="B180" s="133" t="s">
        <v>6</v>
      </c>
      <c r="C180" s="133" t="s">
        <v>45</v>
      </c>
      <c r="D180" s="134">
        <f>Actual_Under_2026!C68</f>
        <v>2350</v>
      </c>
      <c r="E180" s="135">
        <f>Actual_Under_2026!D68</f>
        <v>396</v>
      </c>
      <c r="F180" s="135">
        <f>Actual_Under_2026!E68</f>
        <v>404</v>
      </c>
      <c r="G180" s="28">
        <f t="shared" si="8"/>
        <v>930600</v>
      </c>
      <c r="H180" s="28">
        <f t="shared" si="9"/>
        <v>949400</v>
      </c>
      <c r="I180" s="28">
        <f t="shared" si="10"/>
        <v>-18800</v>
      </c>
      <c r="J180" s="29">
        <f t="shared" si="11"/>
        <v>-2.0202020202020204E-2</v>
      </c>
      <c r="K180" s="54">
        <f t="array" ref="K180">IF(DataConsolidated[[#This Row],[Scenario]]="Forecast (Base)", 0, DataConsolidated[[#This Row],[Revenue]] - INDEX(DataConsolidated[Revenue], MATCH(1, (DataConsolidated[Month]=DataConsolidated[[#This Row],[Month]]) * (DataConsolidated[Product]=DataConsolidated[[#This Row],[Product]]) * (DataConsolidated[Scenario]="Forecast (Base)"), 0)))</f>
        <v>-819400</v>
      </c>
      <c r="L180" s="54">
        <f t="array" ref="L180">IF(DataConsolidated[[#This Row],[Scenario]]="Forecast (Base)", 0, DataConsolidated[[#This Row],[Gross Profit]] -
  INDEX(DataConsolidated[Gross Profit], MATCH(1, (DataConsolidated[Month]=DataConsolidated[[#This Row],[Month]]) * (DataConsolidated[Product]=DataConsolidated[[#This Row],[Product]]) * (DataConsolidated[Scenario]="Forecast (Base)"), 0)))</f>
        <v>-718800</v>
      </c>
      <c r="M180" s="55">
        <f t="array" ref="M180">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row r="181" spans="1:13" x14ac:dyDescent="0.25">
      <c r="A181" s="132" t="s">
        <v>38</v>
      </c>
      <c r="B181" s="133" t="s">
        <v>6</v>
      </c>
      <c r="C181" s="133" t="s">
        <v>209</v>
      </c>
      <c r="D181" s="134">
        <f>Forecasting_Base!C63</f>
        <v>3360</v>
      </c>
      <c r="E181" s="135">
        <f>Forecasting_Base!D63</f>
        <v>500</v>
      </c>
      <c r="F181" s="135">
        <f>Forecasting_Base!E63</f>
        <v>300</v>
      </c>
      <c r="G181" s="28">
        <f t="shared" si="8"/>
        <v>1680000</v>
      </c>
      <c r="H181" s="28">
        <f t="shared" si="9"/>
        <v>1008000</v>
      </c>
      <c r="I181" s="28">
        <f t="shared" si="10"/>
        <v>672000</v>
      </c>
      <c r="J181" s="29">
        <f t="shared" si="11"/>
        <v>0.4</v>
      </c>
      <c r="K181" s="54">
        <f t="array" ref="K181">IF(DataConsolidated[[#This Row],[Scenario]]="Forecast (Base)", 0, DataConsolidated[[#This Row],[Revenue]] - INDEX(DataConsolidated[Revenue], MATCH(1, (DataConsolidated[Month]=DataConsolidated[[#This Row],[Month]]) * (DataConsolidated[Product]=DataConsolidated[[#This Row],[Product]]) * (DataConsolidated[Scenario]="Forecast (Base)"), 0)))</f>
        <v>0</v>
      </c>
      <c r="L181" s="54">
        <f t="array" ref="L181">IF(DataConsolidated[[#This Row],[Scenario]]="Forecast (Base)", 0, DataConsolidated[[#This Row],[Gross Profit]] -
  INDEX(DataConsolidated[Gross Profit], MATCH(1, (DataConsolidated[Month]=DataConsolidated[[#This Row],[Month]]) * (DataConsolidated[Product]=DataConsolidated[[#This Row],[Product]]) * (DataConsolidated[Scenario]="Forecast (Base)"), 0)))</f>
        <v>0</v>
      </c>
      <c r="M181" s="55">
        <f t="array" ref="M181">IF(DataConsolidated[[#This Row],[Scenario]]="Forecast (Base)", 0, DataConsolidated[[#This Row],[Margin %]] -
  INDEX(DataConsolidated[Margin %], MATCH(1, (DataConsolidated[Month]=DataConsolidated[[#This Row],[Month]]) * (DataConsolidated[Product]=DataConsolidated[[#This Row],[Product]]) * (DataConsolidated[Scenario]="Forecast (Base)"), 0)))</f>
        <v>0</v>
      </c>
    </row>
    <row r="182" spans="1:13" x14ac:dyDescent="0.25">
      <c r="A182" s="132" t="s">
        <v>38</v>
      </c>
      <c r="B182" s="133" t="s">
        <v>6</v>
      </c>
      <c r="C182" s="133" t="s">
        <v>122</v>
      </c>
      <c r="D182" s="134">
        <f>Actual_Over_2026!C74</f>
        <v>4620</v>
      </c>
      <c r="E182" s="135">
        <f>Actual_Over_2026!D74</f>
        <v>707</v>
      </c>
      <c r="F182" s="135">
        <f>Actual_Over_2026!E74</f>
        <v>246.25</v>
      </c>
      <c r="G182" s="28">
        <f t="shared" si="8"/>
        <v>3266340</v>
      </c>
      <c r="H182" s="28">
        <f t="shared" si="9"/>
        <v>1137675</v>
      </c>
      <c r="I182" s="28">
        <f t="shared" si="10"/>
        <v>2128665</v>
      </c>
      <c r="J182" s="29">
        <f t="shared" si="11"/>
        <v>0.65169731258840169</v>
      </c>
      <c r="K182" s="54">
        <f t="array" ref="K182">IF(DataConsolidated[[#This Row],[Scenario]]="Forecast (Base)", 0, DataConsolidated[[#This Row],[Revenue]] - INDEX(DataConsolidated[Revenue], MATCH(1, (DataConsolidated[Month]=DataConsolidated[[#This Row],[Month]]) * (DataConsolidated[Product]=DataConsolidated[[#This Row],[Product]]) * (DataConsolidated[Scenario]="Forecast (Base)"), 0)))</f>
        <v>1586340</v>
      </c>
      <c r="L182" s="54">
        <f t="array" ref="L182">IF(DataConsolidated[[#This Row],[Scenario]]="Forecast (Base)", 0, DataConsolidated[[#This Row],[Gross Profit]] -
  INDEX(DataConsolidated[Gross Profit], MATCH(1, (DataConsolidated[Month]=DataConsolidated[[#This Row],[Month]]) * (DataConsolidated[Product]=DataConsolidated[[#This Row],[Product]]) * (DataConsolidated[Scenario]="Forecast (Base)"), 0)))</f>
        <v>1456665</v>
      </c>
      <c r="M182" s="55">
        <f t="array" ref="M182">IF(DataConsolidated[[#This Row],[Scenario]]="Forecast (Base)", 0, DataConsolidated[[#This Row],[Margin %]] -
  INDEX(DataConsolidated[Margin %], MATCH(1, (DataConsolidated[Month]=DataConsolidated[[#This Row],[Month]]) * (DataConsolidated[Product]=DataConsolidated[[#This Row],[Product]]) * (DataConsolidated[Scenario]="Forecast (Base)"), 0)))</f>
        <v>0.25169731258840167</v>
      </c>
    </row>
    <row r="183" spans="1:13" x14ac:dyDescent="0.25">
      <c r="A183" s="132" t="s">
        <v>38</v>
      </c>
      <c r="B183" s="133" t="s">
        <v>6</v>
      </c>
      <c r="C183" s="133" t="s">
        <v>45</v>
      </c>
      <c r="D183" s="134">
        <f>Actual_Under_2026!C74</f>
        <v>2208</v>
      </c>
      <c r="E183" s="135">
        <f>Actual_Under_2026!D74</f>
        <v>396</v>
      </c>
      <c r="F183" s="135">
        <f>Actual_Under_2026!E74</f>
        <v>404</v>
      </c>
      <c r="G183" s="28">
        <f t="shared" si="8"/>
        <v>874368</v>
      </c>
      <c r="H183" s="28">
        <f t="shared" si="9"/>
        <v>892032</v>
      </c>
      <c r="I183" s="28">
        <f t="shared" si="10"/>
        <v>-17664</v>
      </c>
      <c r="J183" s="29">
        <f t="shared" si="11"/>
        <v>-2.0202020202020204E-2</v>
      </c>
      <c r="K183" s="54">
        <f t="array" ref="K183">IF(DataConsolidated[[#This Row],[Scenario]]="Forecast (Base)", 0, DataConsolidated[[#This Row],[Revenue]] - INDEX(DataConsolidated[Revenue], MATCH(1, (DataConsolidated[Month]=DataConsolidated[[#This Row],[Month]]) * (DataConsolidated[Product]=DataConsolidated[[#This Row],[Product]]) * (DataConsolidated[Scenario]="Forecast (Base)"), 0)))</f>
        <v>-805632</v>
      </c>
      <c r="L183" s="54">
        <f t="array" ref="L183">IF(DataConsolidated[[#This Row],[Scenario]]="Forecast (Base)", 0, DataConsolidated[[#This Row],[Gross Profit]] -
  INDEX(DataConsolidated[Gross Profit], MATCH(1, (DataConsolidated[Month]=DataConsolidated[[#This Row],[Month]]) * (DataConsolidated[Product]=DataConsolidated[[#This Row],[Product]]) * (DataConsolidated[Scenario]="Forecast (Base)"), 0)))</f>
        <v>-689664</v>
      </c>
      <c r="M183" s="55">
        <f t="array" ref="M183">IF(DataConsolidated[[#This Row],[Scenario]]="Forecast (Base)", 0, DataConsolidated[[#This Row],[Margin %]] -
  INDEX(DataConsolidated[Margin %], MATCH(1, (DataConsolidated[Month]=DataConsolidated[[#This Row],[Month]]) * (DataConsolidated[Product]=DataConsolidated[[#This Row],[Product]]) * (DataConsolidated[Scenario]="Forecast (Base)"), 0)))</f>
        <v>-0.42020202020202024</v>
      </c>
    </row>
  </sheetData>
  <conditionalFormatting sqref="D1:D1048576">
    <cfRule type="dataBar" priority="8">
      <dataBar>
        <cfvo type="min"/>
        <cfvo type="max"/>
        <color theme="4" tint="0.59999389629810485"/>
      </dataBar>
      <extLst>
        <ext xmlns:x14="http://schemas.microsoft.com/office/spreadsheetml/2009/9/main" uri="{B025F937-C7B1-47D3-B67F-A62EFF666E3E}">
          <x14:id>{59809660-FE5A-417C-8AD0-B0DCD7128DA7}</x14:id>
        </ext>
      </extLst>
    </cfRule>
  </conditionalFormatting>
  <conditionalFormatting sqref="I1:I1048576">
    <cfRule type="dataBar" priority="9">
      <dataBar>
        <cfvo type="min"/>
        <cfvo type="max"/>
        <color theme="9" tint="0.59999389629810485"/>
      </dataBar>
      <extLst>
        <ext xmlns:x14="http://schemas.microsoft.com/office/spreadsheetml/2009/9/main" uri="{B025F937-C7B1-47D3-B67F-A62EFF666E3E}">
          <x14:id>{0F596C15-915C-45DE-BFFF-6420D2164618}</x14:id>
        </ext>
      </extLst>
    </cfRule>
  </conditionalFormatting>
  <conditionalFormatting sqref="K1:K2 K4:K1048576">
    <cfRule type="cellIs" dxfId="1086" priority="6" operator="greaterThan">
      <formula>0</formula>
    </cfRule>
    <cfRule type="cellIs" dxfId="1085" priority="7" operator="lessThan">
      <formula>0</formula>
    </cfRule>
  </conditionalFormatting>
  <conditionalFormatting sqref="J1:J1048576">
    <cfRule type="dataBar" priority="5">
      <dataBar>
        <cfvo type="min"/>
        <cfvo type="max"/>
        <color theme="8" tint="0.59999389629810485"/>
      </dataBar>
      <extLst>
        <ext xmlns:x14="http://schemas.microsoft.com/office/spreadsheetml/2009/9/main" uri="{B025F937-C7B1-47D3-B67F-A62EFF666E3E}">
          <x14:id>{85E8847B-B716-422D-A677-14F2923D8AFF}</x14:id>
        </ext>
      </extLst>
    </cfRule>
  </conditionalFormatting>
  <conditionalFormatting sqref="L1:L2 L4:L1048576">
    <cfRule type="cellIs" dxfId="1084" priority="3" operator="greaterThan">
      <formula>0</formula>
    </cfRule>
    <cfRule type="cellIs" dxfId="1083" priority="4" operator="lessThan">
      <formula>0</formula>
    </cfRule>
  </conditionalFormatting>
  <conditionalFormatting sqref="M1:M2 M4:M1048576">
    <cfRule type="cellIs" dxfId="1082" priority="1" operator="greaterThan">
      <formula>0</formula>
    </cfRule>
    <cfRule type="cellIs" dxfId="1081" priority="2" operator="lessThan">
      <formula>0</formula>
    </cfRule>
  </conditionalFormatting>
  <pageMargins left="0.7" right="0.7" top="0.75" bottom="0.75" header="0.3" footer="0.3"/>
  <pageSetup scale="19"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59809660-FE5A-417C-8AD0-B0DCD7128DA7}">
            <x14:dataBar minLength="0" maxLength="100" gradient="0">
              <x14:cfvo type="autoMin"/>
              <x14:cfvo type="autoMax"/>
              <x14:negativeFillColor rgb="FFFF0000"/>
              <x14:axisColor rgb="FF000000"/>
            </x14:dataBar>
          </x14:cfRule>
          <xm:sqref>D1:D1048576</xm:sqref>
        </x14:conditionalFormatting>
        <x14:conditionalFormatting xmlns:xm="http://schemas.microsoft.com/office/excel/2006/main">
          <x14:cfRule type="dataBar" id="{0F596C15-915C-45DE-BFFF-6420D2164618}">
            <x14:dataBar minLength="0" maxLength="100" gradient="0">
              <x14:cfvo type="autoMin"/>
              <x14:cfvo type="autoMax"/>
              <x14:negativeFillColor rgb="FFFF0000"/>
              <x14:axisColor rgb="FF000000"/>
            </x14:dataBar>
          </x14:cfRule>
          <xm:sqref>I1:I1048576</xm:sqref>
        </x14:conditionalFormatting>
        <x14:conditionalFormatting xmlns:xm="http://schemas.microsoft.com/office/excel/2006/main">
          <x14:cfRule type="dataBar" id="{85E8847B-B716-422D-A677-14F2923D8AFF}">
            <x14:dataBar minLength="0" maxLength="100" gradient="0">
              <x14:cfvo type="autoMin"/>
              <x14:cfvo type="autoMax"/>
              <x14:negativeFillColor rgb="FFFF0000"/>
              <x14:axisColor rgb="FF000000"/>
            </x14:dataBar>
          </x14:cfRule>
          <xm:sqref>J1:J1048576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Z93"/>
  <sheetViews>
    <sheetView topLeftCell="A56" zoomScale="80" zoomScaleNormal="80" workbookViewId="0">
      <selection sqref="A1:T1"/>
    </sheetView>
  </sheetViews>
  <sheetFormatPr defaultRowHeight="15" x14ac:dyDescent="0.25"/>
  <cols>
    <col min="1" max="1" width="24.42578125" style="171" customWidth="1"/>
    <col min="2" max="2" width="16.7109375" style="171" customWidth="1"/>
    <col min="3" max="3" width="17" style="171" customWidth="1"/>
    <col min="4" max="5" width="18.28515625" style="171" customWidth="1"/>
    <col min="6" max="6" width="17" style="171" bestFit="1" customWidth="1"/>
    <col min="7" max="16384" width="9.140625" style="171"/>
  </cols>
  <sheetData>
    <row r="1" spans="1:26" ht="31.5" x14ac:dyDescent="0.5">
      <c r="A1" s="235" t="s">
        <v>234</v>
      </c>
      <c r="B1" s="235"/>
      <c r="C1" s="235"/>
      <c r="D1" s="235"/>
      <c r="E1" s="235"/>
      <c r="F1" s="235"/>
      <c r="G1" s="235"/>
      <c r="H1" s="235"/>
      <c r="I1" s="235"/>
      <c r="J1" s="235"/>
      <c r="K1" s="235"/>
      <c r="L1" s="235"/>
      <c r="M1" s="235"/>
      <c r="N1" s="235"/>
      <c r="O1" s="235"/>
      <c r="P1" s="235"/>
      <c r="Q1" s="235"/>
      <c r="R1" s="235"/>
      <c r="S1" s="235"/>
      <c r="T1" s="235"/>
      <c r="U1" s="169"/>
      <c r="V1" s="170"/>
      <c r="W1" s="170"/>
      <c r="X1" s="170"/>
      <c r="Y1" s="170"/>
      <c r="Z1" s="170"/>
    </row>
    <row r="2" spans="1:26" ht="27" x14ac:dyDescent="0.45">
      <c r="A2" s="172"/>
      <c r="B2" s="172"/>
      <c r="C2" s="172"/>
      <c r="D2" s="172"/>
      <c r="E2" s="172"/>
      <c r="F2" s="172"/>
      <c r="G2" s="172"/>
      <c r="H2" s="172"/>
      <c r="I2" s="172"/>
      <c r="J2" s="172"/>
      <c r="K2" s="172"/>
      <c r="L2" s="172"/>
      <c r="M2" s="172"/>
      <c r="N2" s="172"/>
      <c r="O2" s="172"/>
      <c r="P2" s="172"/>
      <c r="Q2" s="172"/>
      <c r="R2" s="172"/>
      <c r="S2" s="238"/>
      <c r="T2" s="238"/>
      <c r="U2" s="172"/>
      <c r="V2" s="170"/>
      <c r="W2" s="170"/>
      <c r="X2" s="170"/>
      <c r="Y2" s="170"/>
      <c r="Z2" s="170"/>
    </row>
    <row r="8" spans="1:26" ht="21" x14ac:dyDescent="0.35">
      <c r="A8" s="237" t="s">
        <v>217</v>
      </c>
      <c r="B8" s="237"/>
      <c r="C8" s="237"/>
      <c r="D8" s="237"/>
      <c r="E8" s="173"/>
    </row>
    <row r="9" spans="1:26" x14ac:dyDescent="0.25">
      <c r="A9" s="194" t="s">
        <v>214</v>
      </c>
      <c r="B9" s="194" t="s">
        <v>213</v>
      </c>
      <c r="C9" s="194"/>
      <c r="D9" s="194"/>
    </row>
    <row r="10" spans="1:26" x14ac:dyDescent="0.25">
      <c r="A10" s="195" t="s">
        <v>211</v>
      </c>
      <c r="B10" s="195" t="s">
        <v>209</v>
      </c>
      <c r="C10" s="195" t="s">
        <v>122</v>
      </c>
      <c r="D10" s="195" t="s">
        <v>45</v>
      </c>
    </row>
    <row r="11" spans="1:26" x14ac:dyDescent="0.25">
      <c r="A11" s="174" t="s">
        <v>29</v>
      </c>
      <c r="B11" s="196">
        <v>13452000</v>
      </c>
      <c r="C11" s="196">
        <v>21452254</v>
      </c>
      <c r="D11" s="196">
        <v>7994364</v>
      </c>
    </row>
    <row r="12" spans="1:26" x14ac:dyDescent="0.25">
      <c r="A12" s="174" t="s">
        <v>30</v>
      </c>
      <c r="B12" s="196">
        <v>12744000</v>
      </c>
      <c r="C12" s="196">
        <v>20406564</v>
      </c>
      <c r="D12" s="196">
        <v>7312881.5999999996</v>
      </c>
    </row>
    <row r="13" spans="1:26" x14ac:dyDescent="0.25">
      <c r="A13" s="174" t="s">
        <v>31</v>
      </c>
      <c r="B13" s="196">
        <v>14868000</v>
      </c>
      <c r="C13" s="196">
        <v>24015925.5</v>
      </c>
      <c r="D13" s="196">
        <v>9027981.9000000004</v>
      </c>
    </row>
    <row r="14" spans="1:26" x14ac:dyDescent="0.25">
      <c r="A14" s="174" t="s">
        <v>32</v>
      </c>
      <c r="B14" s="196">
        <v>15576000</v>
      </c>
      <c r="C14" s="196">
        <v>25481764</v>
      </c>
      <c r="D14" s="196">
        <v>9823525.8000000007</v>
      </c>
    </row>
    <row r="15" spans="1:26" x14ac:dyDescent="0.25">
      <c r="A15" s="174" t="s">
        <v>27</v>
      </c>
      <c r="B15" s="196">
        <v>16992000</v>
      </c>
      <c r="C15" s="196">
        <v>27236664</v>
      </c>
      <c r="D15" s="196">
        <v>10438480.799999999</v>
      </c>
    </row>
    <row r="16" spans="1:26" x14ac:dyDescent="0.25">
      <c r="A16" s="174" t="s">
        <v>33</v>
      </c>
      <c r="B16" s="196">
        <v>16284000</v>
      </c>
      <c r="C16" s="196">
        <v>24946382.5</v>
      </c>
      <c r="D16" s="196">
        <v>9881193.2999999989</v>
      </c>
    </row>
    <row r="17" spans="1:5" x14ac:dyDescent="0.25">
      <c r="A17" s="174" t="s">
        <v>28</v>
      </c>
      <c r="B17" s="196">
        <v>14868000</v>
      </c>
      <c r="C17" s="196">
        <v>23584984.5</v>
      </c>
      <c r="D17" s="196">
        <v>9300910.5</v>
      </c>
    </row>
    <row r="18" spans="1:5" x14ac:dyDescent="0.25">
      <c r="A18" s="174" t="s">
        <v>34</v>
      </c>
      <c r="B18" s="196">
        <v>15576000</v>
      </c>
      <c r="C18" s="196">
        <v>25557380.200000003</v>
      </c>
      <c r="D18" s="196">
        <v>9983652.8000000007</v>
      </c>
    </row>
    <row r="19" spans="1:5" x14ac:dyDescent="0.25">
      <c r="A19" s="174" t="s">
        <v>35</v>
      </c>
      <c r="B19" s="196">
        <v>16284000</v>
      </c>
      <c r="C19" s="196">
        <v>25646334</v>
      </c>
      <c r="D19" s="196">
        <v>10491202.75</v>
      </c>
    </row>
    <row r="20" spans="1:5" x14ac:dyDescent="0.25">
      <c r="A20" s="174" t="s">
        <v>36</v>
      </c>
      <c r="B20" s="196">
        <v>18408000</v>
      </c>
      <c r="C20" s="196">
        <v>31625542</v>
      </c>
      <c r="D20" s="196">
        <v>11126258</v>
      </c>
    </row>
    <row r="21" spans="1:5" x14ac:dyDescent="0.25">
      <c r="A21" s="174" t="s">
        <v>37</v>
      </c>
      <c r="B21" s="196">
        <v>17700000</v>
      </c>
      <c r="C21" s="196">
        <v>29698887.500000004</v>
      </c>
      <c r="D21" s="196">
        <v>11240167.5</v>
      </c>
    </row>
    <row r="22" spans="1:5" x14ac:dyDescent="0.25">
      <c r="A22" s="174" t="s">
        <v>38</v>
      </c>
      <c r="B22" s="196">
        <v>16992000</v>
      </c>
      <c r="C22" s="196">
        <v>27372511.200000003</v>
      </c>
      <c r="D22" s="196">
        <v>10002256.800000001</v>
      </c>
    </row>
    <row r="23" spans="1:5" x14ac:dyDescent="0.25">
      <c r="A23" s="174" t="s">
        <v>212</v>
      </c>
      <c r="B23" s="197">
        <v>189744000</v>
      </c>
      <c r="C23" s="197">
        <v>307025193.39999998</v>
      </c>
      <c r="D23" s="197">
        <v>116622875.74999999</v>
      </c>
    </row>
    <row r="25" spans="1:5" ht="21" x14ac:dyDescent="0.35">
      <c r="A25" s="237" t="s">
        <v>218</v>
      </c>
      <c r="B25" s="237"/>
      <c r="C25" s="237"/>
      <c r="D25" s="237"/>
      <c r="E25" s="173"/>
    </row>
    <row r="26" spans="1:5" x14ac:dyDescent="0.25">
      <c r="A26" s="194" t="s">
        <v>215</v>
      </c>
      <c r="B26" s="194" t="s">
        <v>213</v>
      </c>
      <c r="C26" s="194"/>
      <c r="D26" s="194"/>
    </row>
    <row r="27" spans="1:5" x14ac:dyDescent="0.25">
      <c r="A27" s="195" t="s">
        <v>211</v>
      </c>
      <c r="B27" s="195" t="s">
        <v>209</v>
      </c>
      <c r="C27" s="195" t="s">
        <v>122</v>
      </c>
      <c r="D27" s="195" t="s">
        <v>45</v>
      </c>
    </row>
    <row r="28" spans="1:5" x14ac:dyDescent="0.25">
      <c r="A28" s="174" t="s">
        <v>6</v>
      </c>
      <c r="B28" s="197">
        <v>7504000</v>
      </c>
      <c r="C28" s="197">
        <v>25473350</v>
      </c>
      <c r="D28" s="197">
        <v>-190928</v>
      </c>
    </row>
    <row r="29" spans="1:5" x14ac:dyDescent="0.25">
      <c r="A29" s="174" t="s">
        <v>210</v>
      </c>
      <c r="B29" s="197">
        <v>11792000</v>
      </c>
      <c r="C29" s="197">
        <v>27432828.5</v>
      </c>
      <c r="D29" s="197">
        <v>1691469.0000000005</v>
      </c>
    </row>
    <row r="30" spans="1:5" x14ac:dyDescent="0.25">
      <c r="A30" s="174" t="s">
        <v>39</v>
      </c>
      <c r="B30" s="197">
        <v>13400000</v>
      </c>
      <c r="C30" s="197">
        <v>30059517.1875</v>
      </c>
      <c r="D30" s="197">
        <v>3278374.5</v>
      </c>
    </row>
    <row r="31" spans="1:5" x14ac:dyDescent="0.25">
      <c r="A31" s="174" t="s">
        <v>4</v>
      </c>
      <c r="B31" s="197">
        <v>17152000</v>
      </c>
      <c r="C31" s="197">
        <v>32227800</v>
      </c>
      <c r="D31" s="197">
        <v>6940538.4000000004</v>
      </c>
    </row>
    <row r="32" spans="1:5" x14ac:dyDescent="0.25">
      <c r="A32" s="174" t="s">
        <v>5</v>
      </c>
      <c r="B32" s="197">
        <v>12060000</v>
      </c>
      <c r="C32" s="197">
        <v>26304641.024999999</v>
      </c>
      <c r="D32" s="197">
        <v>2981744</v>
      </c>
    </row>
    <row r="33" spans="1:21" x14ac:dyDescent="0.25">
      <c r="A33" s="174" t="s">
        <v>212</v>
      </c>
      <c r="B33" s="197">
        <v>61908000</v>
      </c>
      <c r="C33" s="197">
        <v>141498136.71250001</v>
      </c>
      <c r="D33" s="197">
        <v>14701197.9</v>
      </c>
    </row>
    <row r="35" spans="1:21" ht="21" x14ac:dyDescent="0.35">
      <c r="A35" s="237" t="s">
        <v>219</v>
      </c>
      <c r="B35" s="237"/>
    </row>
    <row r="36" spans="1:21" x14ac:dyDescent="0.25">
      <c r="A36" s="198" t="s">
        <v>211</v>
      </c>
      <c r="B36" s="198" t="s">
        <v>216</v>
      </c>
    </row>
    <row r="37" spans="1:21" x14ac:dyDescent="0.25">
      <c r="A37" s="174" t="s">
        <v>6</v>
      </c>
      <c r="B37" s="199">
        <v>0.34656510374176247</v>
      </c>
    </row>
    <row r="38" spans="1:21" x14ac:dyDescent="0.25">
      <c r="A38" s="174" t="s">
        <v>210</v>
      </c>
      <c r="B38" s="199">
        <v>0.27361690414743489</v>
      </c>
    </row>
    <row r="39" spans="1:21" x14ac:dyDescent="0.25">
      <c r="A39" s="174" t="s">
        <v>39</v>
      </c>
      <c r="B39" s="199">
        <v>0.38366730959957174</v>
      </c>
    </row>
    <row r="40" spans="1:21" x14ac:dyDescent="0.25">
      <c r="A40" s="174" t="s">
        <v>4</v>
      </c>
      <c r="B40" s="199">
        <v>0.3092096640128954</v>
      </c>
    </row>
    <row r="41" spans="1:21" x14ac:dyDescent="0.25">
      <c r="A41" s="174" t="s">
        <v>5</v>
      </c>
      <c r="B41" s="199">
        <v>0.23797730290643371</v>
      </c>
    </row>
    <row r="42" spans="1:21" x14ac:dyDescent="0.25">
      <c r="A42" s="174" t="s">
        <v>212</v>
      </c>
      <c r="B42" s="199">
        <v>0.31020725688161993</v>
      </c>
    </row>
    <row r="43" spans="1:21" ht="34.5" x14ac:dyDescent="0.55000000000000004">
      <c r="A43" s="236" t="s">
        <v>229</v>
      </c>
      <c r="B43" s="236"/>
      <c r="C43" s="236"/>
      <c r="D43" s="236"/>
      <c r="E43" s="236"/>
      <c r="F43" s="236"/>
      <c r="G43" s="236"/>
      <c r="H43" s="236"/>
      <c r="I43" s="236"/>
      <c r="J43" s="236"/>
      <c r="K43" s="236"/>
      <c r="L43" s="236"/>
      <c r="M43" s="236"/>
      <c r="N43" s="236"/>
      <c r="O43" s="236"/>
      <c r="P43" s="236"/>
      <c r="Q43" s="236"/>
      <c r="R43" s="236"/>
      <c r="S43" s="236"/>
      <c r="T43" s="236"/>
      <c r="U43" s="175"/>
    </row>
    <row r="45" spans="1:21" ht="21" x14ac:dyDescent="0.35">
      <c r="A45" s="237" t="s">
        <v>226</v>
      </c>
      <c r="B45" s="237"/>
      <c r="C45" s="237"/>
      <c r="D45" s="173"/>
    </row>
    <row r="46" spans="1:21" x14ac:dyDescent="0.25">
      <c r="A46" s="176" t="s">
        <v>223</v>
      </c>
      <c r="B46" s="176" t="s">
        <v>213</v>
      </c>
      <c r="C46" s="176"/>
      <c r="D46" s="176"/>
    </row>
    <row r="47" spans="1:21" x14ac:dyDescent="0.25">
      <c r="A47" s="176" t="s">
        <v>211</v>
      </c>
      <c r="B47" s="176" t="s">
        <v>209</v>
      </c>
      <c r="C47" s="176" t="s">
        <v>122</v>
      </c>
      <c r="D47" s="176" t="s">
        <v>45</v>
      </c>
    </row>
    <row r="48" spans="1:21" x14ac:dyDescent="0.25">
      <c r="A48" s="177" t="s">
        <v>29</v>
      </c>
      <c r="B48" s="178">
        <v>0</v>
      </c>
      <c r="C48" s="178">
        <v>8000254</v>
      </c>
      <c r="D48" s="178">
        <v>-5457636</v>
      </c>
    </row>
    <row r="49" spans="1:4" x14ac:dyDescent="0.25">
      <c r="A49" s="177" t="s">
        <v>30</v>
      </c>
      <c r="B49" s="178">
        <v>0</v>
      </c>
      <c r="C49" s="178">
        <v>7662564.0000000009</v>
      </c>
      <c r="D49" s="178">
        <v>-5431118.4000000004</v>
      </c>
    </row>
    <row r="50" spans="1:4" x14ac:dyDescent="0.25">
      <c r="A50" s="177" t="s">
        <v>31</v>
      </c>
      <c r="B50" s="178">
        <v>0</v>
      </c>
      <c r="C50" s="178">
        <v>9147925.5000000019</v>
      </c>
      <c r="D50" s="178">
        <v>-5840018.0999999996</v>
      </c>
    </row>
    <row r="51" spans="1:4" x14ac:dyDescent="0.25">
      <c r="A51" s="177" t="s">
        <v>32</v>
      </c>
      <c r="B51" s="178">
        <v>0</v>
      </c>
      <c r="C51" s="178">
        <v>9905764.0000000019</v>
      </c>
      <c r="D51" s="178">
        <v>-5752474.2000000002</v>
      </c>
    </row>
    <row r="52" spans="1:4" x14ac:dyDescent="0.25">
      <c r="A52" s="177" t="s">
        <v>27</v>
      </c>
      <c r="B52" s="178">
        <v>0</v>
      </c>
      <c r="C52" s="178">
        <v>10244664</v>
      </c>
      <c r="D52" s="178">
        <v>-6553519.2000000002</v>
      </c>
    </row>
    <row r="53" spans="1:4" x14ac:dyDescent="0.25">
      <c r="A53" s="177" t="s">
        <v>33</v>
      </c>
      <c r="B53" s="178">
        <v>0</v>
      </c>
      <c r="C53" s="178">
        <v>8662382.5</v>
      </c>
      <c r="D53" s="178">
        <v>-6402806.6999999993</v>
      </c>
    </row>
    <row r="54" spans="1:4" x14ac:dyDescent="0.25">
      <c r="A54" s="177" t="s">
        <v>28</v>
      </c>
      <c r="B54" s="178">
        <v>0</v>
      </c>
      <c r="C54" s="178">
        <v>8716984.5</v>
      </c>
      <c r="D54" s="178">
        <v>-5567089.5</v>
      </c>
    </row>
    <row r="55" spans="1:4" x14ac:dyDescent="0.25">
      <c r="A55" s="177" t="s">
        <v>34</v>
      </c>
      <c r="B55" s="178">
        <v>0</v>
      </c>
      <c r="C55" s="178">
        <v>9981380.2000000011</v>
      </c>
      <c r="D55" s="178">
        <v>-5592347.2000000002</v>
      </c>
    </row>
    <row r="56" spans="1:4" x14ac:dyDescent="0.25">
      <c r="A56" s="177" t="s">
        <v>35</v>
      </c>
      <c r="B56" s="178">
        <v>0</v>
      </c>
      <c r="C56" s="178">
        <v>9362334</v>
      </c>
      <c r="D56" s="178">
        <v>-5792797.25</v>
      </c>
    </row>
    <row r="57" spans="1:4" x14ac:dyDescent="0.25">
      <c r="A57" s="177" t="s">
        <v>36</v>
      </c>
      <c r="B57" s="178">
        <v>0</v>
      </c>
      <c r="C57" s="178">
        <v>13217542</v>
      </c>
      <c r="D57" s="178">
        <v>-7281742</v>
      </c>
    </row>
    <row r="58" spans="1:4" x14ac:dyDescent="0.25">
      <c r="A58" s="177" t="s">
        <v>37</v>
      </c>
      <c r="B58" s="178">
        <v>0</v>
      </c>
      <c r="C58" s="178">
        <v>11998887.500000004</v>
      </c>
      <c r="D58" s="178">
        <v>-6459832.5</v>
      </c>
    </row>
    <row r="59" spans="1:4" x14ac:dyDescent="0.25">
      <c r="A59" s="177" t="s">
        <v>38</v>
      </c>
      <c r="B59" s="178">
        <v>0</v>
      </c>
      <c r="C59" s="178">
        <v>10380511.200000003</v>
      </c>
      <c r="D59" s="178">
        <v>-6989743.1999999993</v>
      </c>
    </row>
    <row r="60" spans="1:4" x14ac:dyDescent="0.25">
      <c r="A60" s="174" t="s">
        <v>212</v>
      </c>
      <c r="B60" s="179">
        <v>0</v>
      </c>
      <c r="C60" s="179">
        <v>117281193.40000001</v>
      </c>
      <c r="D60" s="179">
        <v>-73121124.25</v>
      </c>
    </row>
    <row r="62" spans="1:4" ht="21" x14ac:dyDescent="0.35">
      <c r="A62" s="237" t="s">
        <v>224</v>
      </c>
      <c r="B62" s="237"/>
      <c r="C62" s="237"/>
    </row>
    <row r="63" spans="1:4" x14ac:dyDescent="0.25">
      <c r="A63" s="171" t="s">
        <v>228</v>
      </c>
      <c r="B63" s="171" t="s">
        <v>213</v>
      </c>
    </row>
    <row r="64" spans="1:4" x14ac:dyDescent="0.25">
      <c r="A64" s="171" t="s">
        <v>211</v>
      </c>
      <c r="B64" s="171" t="s">
        <v>209</v>
      </c>
      <c r="C64" s="171" t="s">
        <v>122</v>
      </c>
      <c r="D64" s="171" t="s">
        <v>45</v>
      </c>
    </row>
    <row r="65" spans="1:4" x14ac:dyDescent="0.25">
      <c r="A65" s="177" t="s">
        <v>6</v>
      </c>
      <c r="B65" s="178">
        <v>0</v>
      </c>
      <c r="C65" s="178">
        <v>17969350</v>
      </c>
      <c r="D65" s="178">
        <v>-7694928</v>
      </c>
    </row>
    <row r="66" spans="1:4" x14ac:dyDescent="0.25">
      <c r="A66" s="177" t="s">
        <v>210</v>
      </c>
      <c r="B66" s="178">
        <v>0</v>
      </c>
      <c r="C66" s="178">
        <v>15640828.5</v>
      </c>
      <c r="D66" s="178">
        <v>-10100531</v>
      </c>
    </row>
    <row r="67" spans="1:4" x14ac:dyDescent="0.25">
      <c r="A67" s="177" t="s">
        <v>39</v>
      </c>
      <c r="B67" s="178">
        <v>0</v>
      </c>
      <c r="C67" s="178">
        <v>16659517.1875</v>
      </c>
      <c r="D67" s="178">
        <v>-10121625.5</v>
      </c>
    </row>
    <row r="68" spans="1:4" x14ac:dyDescent="0.25">
      <c r="A68" s="177" t="s">
        <v>4</v>
      </c>
      <c r="B68" s="178">
        <v>0</v>
      </c>
      <c r="C68" s="178">
        <v>15075800</v>
      </c>
      <c r="D68" s="178">
        <v>-10211461.600000001</v>
      </c>
    </row>
    <row r="69" spans="1:4" x14ac:dyDescent="0.25">
      <c r="A69" s="177" t="s">
        <v>5</v>
      </c>
      <c r="B69" s="178">
        <v>0</v>
      </c>
      <c r="C69" s="178">
        <v>14244641.025000002</v>
      </c>
      <c r="D69" s="178">
        <v>-9078256</v>
      </c>
    </row>
    <row r="70" spans="1:4" x14ac:dyDescent="0.25">
      <c r="A70" s="174" t="s">
        <v>212</v>
      </c>
      <c r="B70" s="179">
        <v>0</v>
      </c>
      <c r="C70" s="179">
        <v>79590136.712500006</v>
      </c>
      <c r="D70" s="179">
        <v>-47206802.100000001</v>
      </c>
    </row>
    <row r="72" spans="1:4" ht="21" x14ac:dyDescent="0.35">
      <c r="A72" s="237" t="s">
        <v>225</v>
      </c>
      <c r="B72" s="237"/>
      <c r="C72" s="237"/>
      <c r="D72" s="173"/>
    </row>
    <row r="73" spans="1:4" x14ac:dyDescent="0.25">
      <c r="A73" s="180" t="s">
        <v>227</v>
      </c>
      <c r="B73" s="180" t="s">
        <v>213</v>
      </c>
      <c r="C73" s="180"/>
      <c r="D73" s="180"/>
    </row>
    <row r="74" spans="1:4" x14ac:dyDescent="0.25">
      <c r="A74" s="180" t="s">
        <v>211</v>
      </c>
      <c r="B74" s="180" t="s">
        <v>209</v>
      </c>
      <c r="C74" s="180" t="s">
        <v>122</v>
      </c>
      <c r="D74" s="180" t="s">
        <v>45</v>
      </c>
    </row>
    <row r="75" spans="1:4" x14ac:dyDescent="0.25">
      <c r="A75" s="181" t="s">
        <v>6</v>
      </c>
      <c r="B75" s="182">
        <v>0</v>
      </c>
      <c r="C75" s="182">
        <v>0.25996604578173593</v>
      </c>
      <c r="D75" s="182">
        <v>-0.42027073455644887</v>
      </c>
    </row>
    <row r="76" spans="1:4" x14ac:dyDescent="0.25">
      <c r="A76" s="181" t="s">
        <v>210</v>
      </c>
      <c r="B76" s="182">
        <v>0</v>
      </c>
      <c r="C76" s="182">
        <v>0.13864982652111366</v>
      </c>
      <c r="D76" s="182">
        <v>-0.24087603715573233</v>
      </c>
    </row>
    <row r="77" spans="1:4" x14ac:dyDescent="0.25">
      <c r="A77" s="181" t="s">
        <v>39</v>
      </c>
      <c r="B77" s="182">
        <v>0</v>
      </c>
      <c r="C77" s="182">
        <v>0.13660627154591526</v>
      </c>
      <c r="D77" s="182">
        <v>-0.23560434274719991</v>
      </c>
    </row>
    <row r="78" spans="1:4" x14ac:dyDescent="0.25">
      <c r="A78" s="181" t="s">
        <v>4</v>
      </c>
      <c r="B78" s="182">
        <v>0</v>
      </c>
      <c r="C78" s="182">
        <v>8.3466694708686562E-2</v>
      </c>
      <c r="D78" s="182">
        <v>-0.11583770267000083</v>
      </c>
    </row>
    <row r="79" spans="1:4" x14ac:dyDescent="0.25">
      <c r="A79" s="181" t="s">
        <v>5</v>
      </c>
      <c r="B79" s="182">
        <v>0</v>
      </c>
      <c r="C79" s="182">
        <v>0.1013727134281469</v>
      </c>
      <c r="D79" s="182">
        <v>-0.15886937613741736</v>
      </c>
    </row>
    <row r="80" spans="1:4" x14ac:dyDescent="0.25">
      <c r="A80" s="181" t="s">
        <v>212</v>
      </c>
      <c r="B80" s="182">
        <v>0</v>
      </c>
      <c r="C80" s="182">
        <v>0.14401231039711959</v>
      </c>
      <c r="D80" s="182">
        <v>-0.23429163865335986</v>
      </c>
    </row>
    <row r="88" spans="2:7" x14ac:dyDescent="0.25">
      <c r="B88" s="183"/>
      <c r="C88" s="184"/>
      <c r="D88" s="184"/>
      <c r="E88" s="184"/>
      <c r="F88" s="184"/>
    </row>
    <row r="89" spans="2:7" x14ac:dyDescent="0.25">
      <c r="B89" s="183"/>
      <c r="C89" s="184"/>
      <c r="D89" s="184"/>
      <c r="E89" s="184"/>
      <c r="F89" s="184"/>
    </row>
    <row r="90" spans="2:7" x14ac:dyDescent="0.25">
      <c r="B90" s="183"/>
      <c r="C90" s="184"/>
      <c r="D90" s="184"/>
      <c r="E90" s="184"/>
      <c r="F90" s="184"/>
      <c r="G90" s="180"/>
    </row>
    <row r="91" spans="2:7" x14ac:dyDescent="0.25">
      <c r="B91" s="183"/>
      <c r="C91" s="184"/>
      <c r="D91" s="184"/>
      <c r="E91" s="184"/>
      <c r="F91" s="184"/>
    </row>
    <row r="92" spans="2:7" x14ac:dyDescent="0.25">
      <c r="B92" s="183"/>
      <c r="C92" s="184"/>
      <c r="D92" s="184"/>
      <c r="E92" s="184"/>
      <c r="F92" s="184"/>
    </row>
    <row r="93" spans="2:7" x14ac:dyDescent="0.25">
      <c r="B93" s="183"/>
      <c r="C93" s="184"/>
      <c r="D93" s="184"/>
      <c r="E93" s="184"/>
      <c r="F93" s="184"/>
    </row>
  </sheetData>
  <mergeCells count="9">
    <mergeCell ref="A1:T1"/>
    <mergeCell ref="A43:T43"/>
    <mergeCell ref="A62:C62"/>
    <mergeCell ref="A45:C45"/>
    <mergeCell ref="A72:C72"/>
    <mergeCell ref="A35:B35"/>
    <mergeCell ref="A8:D8"/>
    <mergeCell ref="A25:D25"/>
    <mergeCell ref="S2:T2"/>
  </mergeCells>
  <conditionalFormatting sqref="A28:A32">
    <cfRule type="dataBar" priority="5">
      <dataBar>
        <cfvo type="min"/>
        <cfvo type="max"/>
        <color rgb="FF638EC6"/>
      </dataBar>
      <extLst>
        <ext xmlns:x14="http://schemas.microsoft.com/office/spreadsheetml/2009/9/main" uri="{B025F937-C7B1-47D3-B67F-A62EFF666E3E}">
          <x14:id>{C6B71280-46AF-4539-A53D-0E1C1F17C060}</x14:id>
        </ext>
      </extLst>
    </cfRule>
  </conditionalFormatting>
  <conditionalFormatting sqref="A28:A32">
    <cfRule type="dataBar" priority="4">
      <dataBar>
        <cfvo type="min"/>
        <cfvo type="max"/>
        <color rgb="FF63C384"/>
      </dataBar>
      <extLst>
        <ext xmlns:x14="http://schemas.microsoft.com/office/spreadsheetml/2009/9/main" uri="{B025F937-C7B1-47D3-B67F-A62EFF666E3E}">
          <x14:id>{43496B78-99EC-4762-B930-FD24638B2CE1}</x14:id>
        </ext>
      </extLst>
    </cfRule>
  </conditionalFormatting>
  <pageMargins left="0.7" right="0.7" top="0.75" bottom="0.75" header="0.3" footer="0.3"/>
  <pageSetup scale="32" orientation="landscape" horizontalDpi="1200" verticalDpi="1200" r:id="rId7"/>
  <drawing r:id="rId8"/>
  <extLst>
    <ext xmlns:x14="http://schemas.microsoft.com/office/spreadsheetml/2009/9/main" uri="{78C0D931-6437-407d-A8EE-F0AAD7539E65}">
      <x14:conditionalFormattings>
        <x14:conditionalFormatting xmlns:xm="http://schemas.microsoft.com/office/excel/2006/main">
          <x14:cfRule type="dataBar" id="{C6B71280-46AF-4539-A53D-0E1C1F17C060}">
            <x14:dataBar minLength="0" maxLength="100" gradient="0">
              <x14:cfvo type="autoMin"/>
              <x14:cfvo type="autoMax"/>
              <x14:negativeFillColor rgb="FFFF0000"/>
              <x14:axisColor rgb="FF000000"/>
            </x14:dataBar>
          </x14:cfRule>
          <xm:sqref>A28:A32</xm:sqref>
        </x14:conditionalFormatting>
        <x14:conditionalFormatting xmlns:xm="http://schemas.microsoft.com/office/excel/2006/main">
          <x14:cfRule type="dataBar" id="{43496B78-99EC-4762-B930-FD24638B2CE1}">
            <x14:dataBar minLength="0" maxLength="100" gradient="0">
              <x14:cfvo type="autoMin"/>
              <x14:cfvo type="autoMax"/>
              <x14:negativeFillColor rgb="FFFF0000"/>
              <x14:axisColor rgb="FF000000"/>
            </x14:dataBar>
          </x14:cfRule>
          <xm:sqref>A28:A32</xm:sqref>
        </x14:conditionalFormatting>
      </x14:conditionalFormattings>
    </ext>
    <ext xmlns:x14="http://schemas.microsoft.com/office/spreadsheetml/2009/9/main" uri="{A8765BA9-456A-4dab-B4F3-ACF838C121DE}">
      <x14:slicerList>
        <x14:slicer r:id="rId9"/>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65"/>
  <sheetViews>
    <sheetView showGridLines="0" zoomScale="85" zoomScaleNormal="85" workbookViewId="0">
      <selection activeCell="D1" sqref="D1"/>
    </sheetView>
  </sheetViews>
  <sheetFormatPr defaultRowHeight="15" x14ac:dyDescent="0.25"/>
  <sheetData>
    <row r="1" spans="1:24" ht="31.5" x14ac:dyDescent="0.5">
      <c r="A1" s="186"/>
      <c r="B1" s="185"/>
      <c r="C1" s="185"/>
      <c r="D1" s="185"/>
      <c r="E1" s="239" t="s">
        <v>234</v>
      </c>
      <c r="F1" s="239"/>
      <c r="G1" s="239"/>
      <c r="H1" s="239"/>
      <c r="I1" s="239"/>
      <c r="J1" s="239"/>
      <c r="K1" s="239"/>
      <c r="L1" s="239"/>
      <c r="M1" s="239"/>
      <c r="N1" s="239"/>
      <c r="O1" s="239"/>
      <c r="P1" s="239"/>
      <c r="Q1" s="239"/>
      <c r="R1" s="239"/>
      <c r="S1" s="239"/>
      <c r="T1" s="239"/>
      <c r="U1" s="239"/>
      <c r="V1" s="239"/>
      <c r="W1" s="239"/>
      <c r="X1" s="240"/>
    </row>
    <row r="2" spans="1:24" x14ac:dyDescent="0.25">
      <c r="A2" s="186"/>
      <c r="B2" s="186"/>
      <c r="C2" s="186"/>
      <c r="D2" s="186"/>
      <c r="E2" s="1"/>
      <c r="F2" s="1"/>
      <c r="G2" s="1"/>
      <c r="H2" s="1"/>
      <c r="I2" s="1"/>
      <c r="J2" s="1"/>
      <c r="K2" s="1"/>
      <c r="L2" s="1"/>
      <c r="M2" s="1"/>
      <c r="N2" s="1"/>
      <c r="O2" s="1"/>
      <c r="P2" s="1"/>
      <c r="Q2" s="1"/>
      <c r="R2" s="1"/>
      <c r="S2" s="1"/>
      <c r="T2" s="1"/>
      <c r="U2" s="1"/>
      <c r="V2" s="1"/>
      <c r="W2" s="1"/>
      <c r="X2" s="188"/>
    </row>
    <row r="3" spans="1:24" x14ac:dyDescent="0.25">
      <c r="A3" s="186"/>
      <c r="B3" s="186"/>
      <c r="C3" s="186"/>
      <c r="D3" s="186"/>
      <c r="E3" s="1"/>
      <c r="F3" s="1"/>
      <c r="G3" s="1"/>
      <c r="H3" s="1"/>
      <c r="I3" s="1"/>
      <c r="J3" s="1"/>
      <c r="K3" s="1"/>
      <c r="L3" s="1"/>
      <c r="M3" s="1"/>
      <c r="N3" s="1"/>
      <c r="O3" s="1"/>
      <c r="P3" s="1"/>
      <c r="Q3" s="1"/>
      <c r="R3" s="1"/>
      <c r="S3" s="1"/>
      <c r="T3" s="1"/>
      <c r="U3" s="1"/>
      <c r="V3" s="1"/>
      <c r="W3" s="1"/>
      <c r="X3" s="188"/>
    </row>
    <row r="4" spans="1:24" x14ac:dyDescent="0.25">
      <c r="A4" s="186"/>
      <c r="B4" s="186"/>
      <c r="C4" s="186"/>
      <c r="D4" s="186"/>
      <c r="E4" s="1"/>
      <c r="F4" s="1"/>
      <c r="G4" s="1"/>
      <c r="H4" s="1"/>
      <c r="I4" s="1"/>
      <c r="J4" s="1"/>
      <c r="K4" s="1"/>
      <c r="L4" s="1"/>
      <c r="M4" s="1"/>
      <c r="N4" s="1"/>
      <c r="O4" s="1"/>
      <c r="P4" s="1"/>
      <c r="Q4" s="1"/>
      <c r="R4" s="1"/>
      <c r="S4" s="1"/>
      <c r="T4" s="1"/>
      <c r="U4" s="1"/>
      <c r="V4" s="1"/>
      <c r="W4" s="1"/>
      <c r="X4" s="188"/>
    </row>
    <row r="5" spans="1:24" x14ac:dyDescent="0.25">
      <c r="A5" s="186"/>
      <c r="B5" s="186"/>
      <c r="C5" s="186"/>
      <c r="D5" s="186"/>
      <c r="E5" s="1"/>
      <c r="F5" s="1"/>
      <c r="G5" s="1"/>
      <c r="H5" s="1"/>
      <c r="I5" s="1"/>
      <c r="J5" s="1"/>
      <c r="K5" s="1"/>
      <c r="L5" s="1"/>
      <c r="M5" s="1"/>
      <c r="N5" s="1"/>
      <c r="O5" s="1"/>
      <c r="P5" s="1"/>
      <c r="Q5" s="1"/>
      <c r="R5" s="1"/>
      <c r="S5" s="1"/>
      <c r="T5" s="1"/>
      <c r="U5" s="1"/>
      <c r="V5" s="1"/>
      <c r="W5" s="1"/>
      <c r="X5" s="188"/>
    </row>
    <row r="6" spans="1:24" x14ac:dyDescent="0.25">
      <c r="A6" s="186"/>
      <c r="B6" s="186"/>
      <c r="C6" s="186"/>
      <c r="D6" s="186"/>
      <c r="E6" s="1"/>
      <c r="F6" s="1"/>
      <c r="G6" s="1"/>
      <c r="H6" s="1"/>
      <c r="I6" s="1"/>
      <c r="J6" s="1"/>
      <c r="K6" s="1"/>
      <c r="L6" s="1"/>
      <c r="M6" s="1"/>
      <c r="N6" s="1"/>
      <c r="O6" s="1"/>
      <c r="P6" s="1"/>
      <c r="Q6" s="1"/>
      <c r="R6" s="1"/>
      <c r="S6" s="1"/>
      <c r="T6" s="1"/>
      <c r="U6" s="1"/>
      <c r="V6" s="1"/>
      <c r="W6" s="1"/>
      <c r="X6" s="188"/>
    </row>
    <row r="7" spans="1:24" x14ac:dyDescent="0.25">
      <c r="A7" s="186"/>
      <c r="B7" s="186"/>
      <c r="C7" s="186"/>
      <c r="D7" s="186"/>
      <c r="E7" s="1"/>
      <c r="F7" s="1"/>
      <c r="G7" s="1"/>
      <c r="H7" s="1"/>
      <c r="I7" s="1"/>
      <c r="J7" s="1"/>
      <c r="K7" s="1"/>
      <c r="L7" s="1"/>
      <c r="M7" s="1"/>
      <c r="N7" s="1"/>
      <c r="O7" s="1"/>
      <c r="P7" s="1"/>
      <c r="Q7" s="1"/>
      <c r="R7" s="1"/>
      <c r="S7" s="1"/>
      <c r="T7" s="1"/>
      <c r="U7" s="1"/>
      <c r="V7" s="1"/>
      <c r="W7" s="1"/>
      <c r="X7" s="188"/>
    </row>
    <row r="8" spans="1:24" x14ac:dyDescent="0.25">
      <c r="A8" s="186"/>
      <c r="B8" s="186"/>
      <c r="C8" s="186"/>
      <c r="D8" s="186"/>
      <c r="E8" s="1"/>
      <c r="F8" s="1"/>
      <c r="G8" s="1"/>
      <c r="H8" s="1"/>
      <c r="I8" s="1"/>
      <c r="J8" s="1"/>
      <c r="K8" s="1"/>
      <c r="L8" s="1"/>
      <c r="M8" s="1"/>
      <c r="N8" s="1"/>
      <c r="O8" s="1"/>
      <c r="P8" s="1"/>
      <c r="Q8" s="1"/>
      <c r="R8" s="1"/>
      <c r="S8" s="1"/>
      <c r="T8" s="1"/>
      <c r="U8" s="1"/>
      <c r="V8" s="1"/>
      <c r="W8" s="1"/>
      <c r="X8" s="188"/>
    </row>
    <row r="9" spans="1:24" x14ac:dyDescent="0.25">
      <c r="A9" s="190"/>
      <c r="B9" s="190"/>
      <c r="C9" s="190"/>
      <c r="D9" s="190"/>
      <c r="E9" s="1"/>
      <c r="F9" s="1"/>
      <c r="G9" s="1"/>
      <c r="H9" s="1"/>
      <c r="I9" s="1"/>
      <c r="J9" s="1"/>
      <c r="K9" s="1"/>
      <c r="L9" s="1"/>
      <c r="M9" s="1"/>
      <c r="N9" s="1"/>
      <c r="O9" s="1"/>
      <c r="P9" s="1"/>
      <c r="Q9" s="1"/>
      <c r="R9" s="1"/>
      <c r="S9" s="1"/>
      <c r="T9" s="1"/>
      <c r="U9" s="1"/>
      <c r="V9" s="1"/>
      <c r="W9" s="1"/>
      <c r="X9" s="188"/>
    </row>
    <row r="10" spans="1:24" x14ac:dyDescent="0.25">
      <c r="A10" s="190"/>
      <c r="B10" s="190"/>
      <c r="C10" s="190"/>
      <c r="D10" s="190"/>
      <c r="E10" s="1"/>
      <c r="F10" s="1"/>
      <c r="G10" s="1"/>
      <c r="H10" s="1"/>
      <c r="I10" s="1"/>
      <c r="J10" s="1"/>
      <c r="K10" s="1"/>
      <c r="L10" s="1"/>
      <c r="M10" s="1"/>
      <c r="N10" s="1"/>
      <c r="O10" s="1"/>
      <c r="P10" s="1"/>
      <c r="Q10" s="1"/>
      <c r="R10" s="1"/>
      <c r="S10" s="1"/>
      <c r="T10" s="1"/>
      <c r="U10" s="1"/>
      <c r="V10" s="1"/>
      <c r="W10" s="1"/>
      <c r="X10" s="188"/>
    </row>
    <row r="11" spans="1:24" x14ac:dyDescent="0.25">
      <c r="A11" s="190"/>
      <c r="B11" s="190"/>
      <c r="C11" s="190"/>
      <c r="D11" s="190"/>
      <c r="E11" s="1"/>
      <c r="F11" s="1"/>
      <c r="G11" s="1"/>
      <c r="H11" s="1"/>
      <c r="I11" s="1"/>
      <c r="J11" s="1"/>
      <c r="K11" s="1"/>
      <c r="L11" s="1"/>
      <c r="M11" s="1"/>
      <c r="N11" s="1"/>
      <c r="O11" s="1"/>
      <c r="P11" s="1"/>
      <c r="Q11" s="1"/>
      <c r="R11" s="1"/>
      <c r="S11" s="1"/>
      <c r="T11" s="1"/>
      <c r="U11" s="1"/>
      <c r="V11" s="1"/>
      <c r="W11" s="1"/>
      <c r="X11" s="188"/>
    </row>
    <row r="12" spans="1:24" x14ac:dyDescent="0.25">
      <c r="A12" s="190"/>
      <c r="B12" s="190"/>
      <c r="C12" s="190"/>
      <c r="D12" s="190"/>
      <c r="E12" s="1"/>
      <c r="F12" s="1"/>
      <c r="G12" s="1"/>
      <c r="H12" s="1"/>
      <c r="I12" s="1"/>
      <c r="J12" s="1"/>
      <c r="K12" s="1"/>
      <c r="L12" s="1"/>
      <c r="M12" s="1"/>
      <c r="N12" s="1"/>
      <c r="O12" s="1"/>
      <c r="P12" s="1"/>
      <c r="Q12" s="1"/>
      <c r="R12" s="1"/>
      <c r="S12" s="1"/>
      <c r="T12" s="1"/>
      <c r="U12" s="1"/>
      <c r="V12" s="1"/>
      <c r="W12" s="1"/>
      <c r="X12" s="188"/>
    </row>
    <row r="13" spans="1:24" x14ac:dyDescent="0.25">
      <c r="A13" s="190"/>
      <c r="B13" s="190"/>
      <c r="C13" s="190"/>
      <c r="D13" s="190"/>
      <c r="E13" s="1"/>
      <c r="F13" s="1"/>
      <c r="G13" s="1"/>
      <c r="H13" s="1"/>
      <c r="I13" s="1"/>
      <c r="J13" s="1"/>
      <c r="K13" s="1"/>
      <c r="L13" s="1"/>
      <c r="M13" s="1"/>
      <c r="N13" s="1"/>
      <c r="O13" s="1"/>
      <c r="P13" s="1"/>
      <c r="Q13" s="1"/>
      <c r="R13" s="1"/>
      <c r="S13" s="1"/>
      <c r="T13" s="1"/>
      <c r="U13" s="1"/>
      <c r="V13" s="1"/>
      <c r="W13" s="1"/>
      <c r="X13" s="188"/>
    </row>
    <row r="14" spans="1:24" x14ac:dyDescent="0.25">
      <c r="A14" s="190"/>
      <c r="B14" s="190"/>
      <c r="C14" s="190"/>
      <c r="D14" s="190"/>
      <c r="E14" s="1"/>
      <c r="F14" s="1"/>
      <c r="G14" s="1"/>
      <c r="H14" s="1"/>
      <c r="I14" s="1"/>
      <c r="J14" s="1"/>
      <c r="K14" s="1"/>
      <c r="L14" s="1"/>
      <c r="M14" s="1"/>
      <c r="N14" s="1"/>
      <c r="O14" s="1"/>
      <c r="P14" s="1"/>
      <c r="Q14" s="1"/>
      <c r="R14" s="1"/>
      <c r="S14" s="1"/>
      <c r="T14" s="1"/>
      <c r="U14" s="1"/>
      <c r="V14" s="1"/>
      <c r="W14" s="1"/>
      <c r="X14" s="188"/>
    </row>
    <row r="15" spans="1:24" x14ac:dyDescent="0.25">
      <c r="A15" s="190"/>
      <c r="B15" s="190"/>
      <c r="C15" s="190"/>
      <c r="D15" s="190"/>
      <c r="E15" s="1"/>
      <c r="F15" s="1"/>
      <c r="G15" s="1"/>
      <c r="H15" s="1"/>
      <c r="I15" s="1"/>
      <c r="J15" s="1"/>
      <c r="K15" s="1"/>
      <c r="L15" s="1"/>
      <c r="M15" s="1"/>
      <c r="N15" s="1"/>
      <c r="O15" s="1"/>
      <c r="P15" s="1"/>
      <c r="Q15" s="1"/>
      <c r="R15" s="1"/>
      <c r="S15" s="1"/>
      <c r="T15" s="1"/>
      <c r="U15" s="1"/>
      <c r="V15" s="1"/>
      <c r="W15" s="1"/>
      <c r="X15" s="188"/>
    </row>
    <row r="16" spans="1:24" x14ac:dyDescent="0.25">
      <c r="A16" s="190"/>
      <c r="B16" s="190"/>
      <c r="C16" s="190"/>
      <c r="D16" s="190"/>
      <c r="E16" s="1"/>
      <c r="F16" s="1"/>
      <c r="G16" s="1"/>
      <c r="H16" s="1"/>
      <c r="I16" s="1"/>
      <c r="J16" s="1"/>
      <c r="K16" s="1"/>
      <c r="L16" s="1"/>
      <c r="M16" s="1"/>
      <c r="N16" s="1"/>
      <c r="O16" s="1"/>
      <c r="P16" s="1"/>
      <c r="Q16" s="1"/>
      <c r="R16" s="1"/>
      <c r="S16" s="1"/>
      <c r="T16" s="1"/>
      <c r="U16" s="1"/>
      <c r="V16" s="1"/>
      <c r="W16" s="1"/>
      <c r="X16" s="188"/>
    </row>
    <row r="17" spans="1:24" x14ac:dyDescent="0.25">
      <c r="A17" s="190"/>
      <c r="B17" s="190"/>
      <c r="C17" s="190"/>
      <c r="D17" s="190"/>
      <c r="E17" s="1"/>
      <c r="F17" s="1"/>
      <c r="G17" s="1"/>
      <c r="H17" s="1"/>
      <c r="I17" s="1"/>
      <c r="J17" s="1"/>
      <c r="K17" s="1"/>
      <c r="L17" s="1"/>
      <c r="M17" s="1"/>
      <c r="N17" s="1"/>
      <c r="O17" s="1"/>
      <c r="P17" s="1"/>
      <c r="Q17" s="1"/>
      <c r="R17" s="1"/>
      <c r="S17" s="1"/>
      <c r="T17" s="1"/>
      <c r="U17" s="1"/>
      <c r="V17" s="1"/>
      <c r="W17" s="1"/>
      <c r="X17" s="188"/>
    </row>
    <row r="18" spans="1:24" x14ac:dyDescent="0.25">
      <c r="A18" s="190"/>
      <c r="B18" s="190"/>
      <c r="C18" s="190"/>
      <c r="D18" s="190"/>
      <c r="E18" s="1"/>
      <c r="F18" s="1"/>
      <c r="G18" s="1"/>
      <c r="H18" s="1"/>
      <c r="I18" s="1"/>
      <c r="J18" s="1"/>
      <c r="K18" s="1"/>
      <c r="L18" s="1"/>
      <c r="M18" s="1"/>
      <c r="N18" s="1"/>
      <c r="O18" s="1"/>
      <c r="P18" s="1"/>
      <c r="Q18" s="1"/>
      <c r="R18" s="1"/>
      <c r="S18" s="1"/>
      <c r="T18" s="1"/>
      <c r="U18" s="1"/>
      <c r="V18" s="1"/>
      <c r="W18" s="1"/>
      <c r="X18" s="188"/>
    </row>
    <row r="19" spans="1:24" x14ac:dyDescent="0.25">
      <c r="A19" s="190"/>
      <c r="B19" s="190"/>
      <c r="C19" s="190"/>
      <c r="D19" s="190"/>
      <c r="E19" s="1"/>
      <c r="F19" s="1"/>
      <c r="G19" s="1"/>
      <c r="H19" s="1"/>
      <c r="I19" s="1"/>
      <c r="J19" s="1"/>
      <c r="K19" s="1"/>
      <c r="L19" s="1"/>
      <c r="M19" s="1"/>
      <c r="N19" s="1"/>
      <c r="O19" s="1"/>
      <c r="P19" s="1"/>
      <c r="Q19" s="1"/>
      <c r="R19" s="1"/>
      <c r="S19" s="1"/>
      <c r="T19" s="1"/>
      <c r="U19" s="1"/>
      <c r="V19" s="1"/>
      <c r="W19" s="1"/>
      <c r="X19" s="188"/>
    </row>
    <row r="20" spans="1:24" x14ac:dyDescent="0.25">
      <c r="A20" s="190"/>
      <c r="B20" s="190"/>
      <c r="C20" s="190"/>
      <c r="D20" s="190"/>
      <c r="E20" s="1"/>
      <c r="F20" s="1"/>
      <c r="G20" s="1"/>
      <c r="H20" s="1"/>
      <c r="I20" s="1"/>
      <c r="J20" s="1"/>
      <c r="K20" s="1"/>
      <c r="L20" s="1"/>
      <c r="M20" s="1"/>
      <c r="N20" s="1"/>
      <c r="O20" s="1"/>
      <c r="P20" s="1"/>
      <c r="Q20" s="1"/>
      <c r="R20" s="1"/>
      <c r="S20" s="1"/>
      <c r="T20" s="1"/>
      <c r="U20" s="1"/>
      <c r="V20" s="1"/>
      <c r="W20" s="1"/>
      <c r="X20" s="188"/>
    </row>
    <row r="21" spans="1:24" x14ac:dyDescent="0.25">
      <c r="A21" s="191"/>
      <c r="B21" s="191"/>
      <c r="C21" s="191"/>
      <c r="D21" s="191"/>
      <c r="E21" s="1"/>
      <c r="F21" s="1"/>
      <c r="G21" s="1"/>
      <c r="H21" s="1"/>
      <c r="I21" s="1"/>
      <c r="J21" s="1"/>
      <c r="K21" s="1"/>
      <c r="L21" s="1"/>
      <c r="M21" s="1"/>
      <c r="N21" s="1"/>
      <c r="O21" s="1"/>
      <c r="P21" s="1"/>
      <c r="Q21" s="1"/>
      <c r="R21" s="1"/>
      <c r="S21" s="1"/>
      <c r="T21" s="1"/>
      <c r="U21" s="1"/>
      <c r="V21" s="1"/>
      <c r="W21" s="1"/>
      <c r="X21" s="188"/>
    </row>
    <row r="22" spans="1:24" x14ac:dyDescent="0.25">
      <c r="A22" s="191"/>
      <c r="B22" s="191"/>
      <c r="C22" s="191"/>
      <c r="D22" s="191"/>
      <c r="E22" s="1"/>
      <c r="F22" s="1"/>
      <c r="G22" s="1"/>
      <c r="H22" s="1"/>
      <c r="I22" s="1"/>
      <c r="J22" s="1"/>
      <c r="K22" s="1"/>
      <c r="L22" s="1"/>
      <c r="M22" s="1"/>
      <c r="N22" s="1"/>
      <c r="O22" s="1"/>
      <c r="P22" s="1"/>
      <c r="Q22" s="1"/>
      <c r="R22" s="1"/>
      <c r="S22" s="1"/>
      <c r="T22" s="1"/>
      <c r="U22" s="1"/>
      <c r="V22" s="1"/>
      <c r="W22" s="1"/>
      <c r="X22" s="188"/>
    </row>
    <row r="23" spans="1:24" x14ac:dyDescent="0.25">
      <c r="A23" s="191"/>
      <c r="B23" s="191"/>
      <c r="C23" s="191"/>
      <c r="D23" s="191"/>
      <c r="E23" s="1"/>
      <c r="F23" s="1"/>
      <c r="G23" s="1"/>
      <c r="H23" s="1"/>
      <c r="I23" s="1"/>
      <c r="J23" s="1"/>
      <c r="K23" s="1"/>
      <c r="L23" s="1"/>
      <c r="M23" s="1"/>
      <c r="N23" s="1"/>
      <c r="O23" s="1"/>
      <c r="P23" s="1"/>
      <c r="Q23" s="1"/>
      <c r="R23" s="1"/>
      <c r="S23" s="1"/>
      <c r="T23" s="1"/>
      <c r="U23" s="1"/>
      <c r="V23" s="1"/>
      <c r="W23" s="1"/>
      <c r="X23" s="188"/>
    </row>
    <row r="24" spans="1:24" x14ac:dyDescent="0.25">
      <c r="A24" s="191"/>
      <c r="B24" s="191"/>
      <c r="C24" s="191"/>
      <c r="D24" s="191"/>
      <c r="E24" s="1"/>
      <c r="F24" s="1"/>
      <c r="G24" s="1"/>
      <c r="H24" s="1"/>
      <c r="I24" s="1"/>
      <c r="J24" s="1"/>
      <c r="K24" s="1"/>
      <c r="L24" s="1"/>
      <c r="M24" s="1"/>
      <c r="N24" s="1"/>
      <c r="O24" s="1"/>
      <c r="P24" s="1"/>
      <c r="Q24" s="1"/>
      <c r="R24" s="1"/>
      <c r="S24" s="1"/>
      <c r="T24" s="1"/>
      <c r="U24" s="1"/>
      <c r="V24" s="1"/>
      <c r="W24" s="1"/>
      <c r="X24" s="188"/>
    </row>
    <row r="25" spans="1:24" x14ac:dyDescent="0.25">
      <c r="A25" s="191"/>
      <c r="B25" s="191"/>
      <c r="C25" s="191"/>
      <c r="D25" s="191"/>
      <c r="E25" s="1"/>
      <c r="F25" s="1"/>
      <c r="G25" s="1"/>
      <c r="H25" s="1"/>
      <c r="I25" s="1"/>
      <c r="J25" s="1"/>
      <c r="K25" s="1"/>
      <c r="L25" s="1"/>
      <c r="M25" s="1"/>
      <c r="N25" s="1"/>
      <c r="O25" s="1"/>
      <c r="P25" s="1"/>
      <c r="Q25" s="1"/>
      <c r="R25" s="1"/>
      <c r="S25" s="1"/>
      <c r="T25" s="1"/>
      <c r="U25" s="1"/>
      <c r="V25" s="1"/>
      <c r="W25" s="1"/>
      <c r="X25" s="188"/>
    </row>
    <row r="26" spans="1:24" x14ac:dyDescent="0.25">
      <c r="A26" s="191"/>
      <c r="B26" s="191"/>
      <c r="C26" s="191"/>
      <c r="D26" s="191"/>
      <c r="E26" s="1"/>
      <c r="F26" s="1"/>
      <c r="G26" s="1"/>
      <c r="H26" s="1"/>
      <c r="I26" s="1"/>
      <c r="J26" s="1"/>
      <c r="K26" s="1"/>
      <c r="L26" s="1"/>
      <c r="M26" s="1"/>
      <c r="N26" s="1"/>
      <c r="O26" s="1"/>
      <c r="P26" s="1"/>
      <c r="Q26" s="1"/>
      <c r="R26" s="1"/>
      <c r="S26" s="1"/>
      <c r="T26" s="1"/>
      <c r="U26" s="1"/>
      <c r="V26" s="1"/>
      <c r="W26" s="1"/>
      <c r="X26" s="188"/>
    </row>
    <row r="27" spans="1:24" x14ac:dyDescent="0.25">
      <c r="A27" s="191"/>
      <c r="B27" s="191"/>
      <c r="C27" s="191"/>
      <c r="D27" s="191"/>
      <c r="E27" s="1"/>
      <c r="F27" s="1"/>
      <c r="G27" s="1"/>
      <c r="H27" s="1"/>
      <c r="I27" s="1"/>
      <c r="J27" s="1"/>
      <c r="K27" s="1"/>
      <c r="L27" s="1"/>
      <c r="M27" s="1"/>
      <c r="N27" s="1"/>
      <c r="O27" s="1"/>
      <c r="P27" s="1"/>
      <c r="Q27" s="1"/>
      <c r="R27" s="1"/>
      <c r="S27" s="1"/>
      <c r="T27" s="1"/>
      <c r="U27" s="1"/>
      <c r="V27" s="1"/>
      <c r="W27" s="1"/>
      <c r="X27" s="188"/>
    </row>
    <row r="28" spans="1:24" x14ac:dyDescent="0.25">
      <c r="A28" s="191"/>
      <c r="B28" s="191"/>
      <c r="C28" s="191"/>
      <c r="D28" s="191"/>
      <c r="E28" s="1"/>
      <c r="F28" s="1"/>
      <c r="G28" s="1"/>
      <c r="H28" s="1"/>
      <c r="I28" s="1"/>
      <c r="J28" s="1"/>
      <c r="K28" s="1"/>
      <c r="L28" s="1"/>
      <c r="M28" s="1"/>
      <c r="N28" s="1"/>
      <c r="O28" s="1"/>
      <c r="P28" s="1"/>
      <c r="Q28" s="1"/>
      <c r="R28" s="1"/>
      <c r="S28" s="1"/>
      <c r="T28" s="1"/>
      <c r="U28" s="1"/>
      <c r="V28" s="1"/>
      <c r="W28" s="1"/>
      <c r="X28" s="188"/>
    </row>
    <row r="29" spans="1:24" x14ac:dyDescent="0.25">
      <c r="A29" s="223"/>
      <c r="B29" s="223"/>
      <c r="C29" s="223"/>
      <c r="D29" s="223"/>
      <c r="E29" s="1"/>
      <c r="F29" s="1"/>
      <c r="G29" s="1"/>
      <c r="H29" s="1"/>
      <c r="I29" s="1"/>
      <c r="J29" s="1"/>
      <c r="K29" s="1"/>
      <c r="L29" s="1"/>
      <c r="M29" s="1"/>
      <c r="N29" s="1"/>
      <c r="O29" s="1"/>
      <c r="P29" s="1"/>
      <c r="Q29" s="1"/>
      <c r="R29" s="1"/>
      <c r="S29" s="1"/>
      <c r="T29" s="1"/>
      <c r="U29" s="1"/>
      <c r="V29" s="1"/>
      <c r="W29" s="1"/>
      <c r="X29" s="188"/>
    </row>
    <row r="30" spans="1:24" x14ac:dyDescent="0.25">
      <c r="A30" s="223"/>
      <c r="B30" s="223"/>
      <c r="C30" s="223"/>
      <c r="D30" s="223"/>
      <c r="E30" s="1"/>
      <c r="F30" s="1"/>
      <c r="G30" s="1"/>
      <c r="H30" s="1"/>
      <c r="I30" s="1"/>
      <c r="J30" s="1"/>
      <c r="K30" s="1"/>
      <c r="L30" s="1"/>
      <c r="M30" s="1"/>
      <c r="N30" s="1"/>
      <c r="O30" s="1"/>
      <c r="P30" s="1"/>
      <c r="Q30" s="1"/>
      <c r="R30" s="1"/>
      <c r="S30" s="1"/>
      <c r="T30" s="1"/>
      <c r="U30" s="1"/>
      <c r="V30" s="1"/>
      <c r="W30" s="1"/>
      <c r="X30" s="188"/>
    </row>
    <row r="31" spans="1:24" x14ac:dyDescent="0.25">
      <c r="A31" s="223"/>
      <c r="B31" s="223"/>
      <c r="C31" s="223"/>
      <c r="D31" s="223"/>
      <c r="E31" s="1"/>
      <c r="F31" s="1"/>
      <c r="G31" s="1"/>
      <c r="H31" s="1"/>
      <c r="I31" s="1"/>
      <c r="J31" s="1"/>
      <c r="K31" s="1"/>
      <c r="L31" s="1"/>
      <c r="M31" s="1"/>
      <c r="N31" s="1"/>
      <c r="O31" s="1"/>
      <c r="P31" s="1"/>
      <c r="Q31" s="1"/>
      <c r="R31" s="1"/>
      <c r="S31" s="1"/>
      <c r="T31" s="1"/>
      <c r="U31" s="1"/>
      <c r="V31" s="1"/>
      <c r="W31" s="1"/>
      <c r="X31" s="188"/>
    </row>
    <row r="32" spans="1:24" x14ac:dyDescent="0.25">
      <c r="A32" s="223"/>
      <c r="B32" s="223"/>
      <c r="C32" s="223"/>
      <c r="D32" s="223"/>
      <c r="E32" s="1"/>
      <c r="F32" s="1"/>
      <c r="G32" s="1"/>
      <c r="H32" s="1"/>
      <c r="I32" s="1"/>
      <c r="J32" s="1"/>
      <c r="K32" s="1"/>
      <c r="L32" s="1"/>
      <c r="M32" s="1"/>
      <c r="N32" s="1"/>
      <c r="O32" s="1"/>
      <c r="P32" s="1"/>
      <c r="Q32" s="1"/>
      <c r="R32" s="1"/>
      <c r="S32" s="1"/>
      <c r="T32" s="1"/>
      <c r="U32" s="1"/>
      <c r="V32" s="1"/>
      <c r="W32" s="1"/>
      <c r="X32" s="188"/>
    </row>
    <row r="33" spans="1:24" x14ac:dyDescent="0.25">
      <c r="A33" s="223"/>
      <c r="B33" s="223"/>
      <c r="C33" s="223"/>
      <c r="D33" s="223"/>
      <c r="E33" s="1"/>
      <c r="F33" s="1"/>
      <c r="G33" s="1"/>
      <c r="H33" s="1"/>
      <c r="I33" s="1"/>
      <c r="J33" s="1"/>
      <c r="K33" s="1"/>
      <c r="L33" s="1"/>
      <c r="M33" s="1"/>
      <c r="N33" s="1"/>
      <c r="O33" s="1"/>
      <c r="P33" s="1"/>
      <c r="Q33" s="1"/>
      <c r="R33" s="1"/>
      <c r="S33" s="1"/>
      <c r="T33" s="1"/>
      <c r="U33" s="1"/>
      <c r="V33" s="1"/>
      <c r="W33" s="1"/>
      <c r="X33" s="188"/>
    </row>
    <row r="34" spans="1:24" x14ac:dyDescent="0.25">
      <c r="A34" s="223"/>
      <c r="B34" s="223"/>
      <c r="C34" s="223"/>
      <c r="D34" s="223"/>
      <c r="E34" s="1"/>
      <c r="F34" s="1"/>
      <c r="G34" s="1"/>
      <c r="H34" s="1"/>
      <c r="I34" s="1"/>
      <c r="J34" s="1"/>
      <c r="K34" s="1"/>
      <c r="L34" s="1"/>
      <c r="M34" s="1"/>
      <c r="N34" s="1"/>
      <c r="O34" s="1"/>
      <c r="P34" s="1"/>
      <c r="Q34" s="1"/>
      <c r="R34" s="1"/>
      <c r="S34" s="1"/>
      <c r="T34" s="1"/>
      <c r="U34" s="1"/>
      <c r="V34" s="1"/>
      <c r="W34" s="1"/>
      <c r="X34" s="188"/>
    </row>
    <row r="35" spans="1:24" x14ac:dyDescent="0.25">
      <c r="A35" s="223"/>
      <c r="B35" s="223"/>
      <c r="C35" s="223"/>
      <c r="D35" s="223"/>
      <c r="E35" s="1"/>
      <c r="F35" s="1"/>
      <c r="G35" s="1"/>
      <c r="H35" s="1"/>
      <c r="I35" s="1"/>
      <c r="J35" s="1"/>
      <c r="K35" s="1"/>
      <c r="L35" s="1"/>
      <c r="M35" s="1"/>
      <c r="N35" s="1"/>
      <c r="O35" s="1"/>
      <c r="P35" s="1"/>
      <c r="Q35" s="1"/>
      <c r="R35" s="1"/>
      <c r="S35" s="1"/>
      <c r="T35" s="1"/>
      <c r="U35" s="1"/>
      <c r="V35" s="1"/>
      <c r="W35" s="1"/>
      <c r="X35" s="188"/>
    </row>
    <row r="36" spans="1:24" x14ac:dyDescent="0.25">
      <c r="A36" s="223"/>
      <c r="B36" s="223"/>
      <c r="C36" s="223"/>
      <c r="D36" s="223"/>
      <c r="E36" s="1"/>
      <c r="F36" s="1"/>
      <c r="G36" s="1"/>
      <c r="H36" s="1"/>
      <c r="I36" s="1"/>
      <c r="J36" s="1"/>
      <c r="K36" s="1"/>
      <c r="L36" s="1"/>
      <c r="M36" s="1"/>
      <c r="N36" s="1"/>
      <c r="O36" s="1"/>
      <c r="P36" s="1"/>
      <c r="Q36" s="1"/>
      <c r="R36" s="1"/>
      <c r="S36" s="1"/>
      <c r="T36" s="1"/>
      <c r="U36" s="1"/>
      <c r="V36" s="1"/>
      <c r="W36" s="1"/>
      <c r="X36" s="188"/>
    </row>
    <row r="37" spans="1:24" x14ac:dyDescent="0.25">
      <c r="A37" s="223"/>
      <c r="B37" s="223"/>
      <c r="C37" s="223"/>
      <c r="D37" s="223"/>
      <c r="E37" s="1"/>
      <c r="F37" s="1"/>
      <c r="G37" s="1"/>
      <c r="H37" s="1"/>
      <c r="I37" s="1"/>
      <c r="J37" s="1"/>
      <c r="K37" s="1"/>
      <c r="L37" s="1"/>
      <c r="M37" s="1"/>
      <c r="N37" s="1"/>
      <c r="O37" s="1"/>
      <c r="P37" s="1"/>
      <c r="Q37" s="1"/>
      <c r="R37" s="1"/>
      <c r="S37" s="1"/>
      <c r="T37" s="1"/>
      <c r="U37" s="1"/>
      <c r="V37" s="1"/>
      <c r="W37" s="1"/>
      <c r="X37" s="188"/>
    </row>
    <row r="38" spans="1:24" x14ac:dyDescent="0.25">
      <c r="A38" s="223"/>
      <c r="B38" s="223"/>
      <c r="C38" s="223"/>
      <c r="D38" s="223"/>
      <c r="E38" s="1"/>
      <c r="F38" s="1"/>
      <c r="G38" s="1"/>
      <c r="H38" s="1"/>
      <c r="I38" s="1"/>
      <c r="J38" s="1"/>
      <c r="K38" s="1"/>
      <c r="L38" s="1"/>
      <c r="M38" s="1"/>
      <c r="N38" s="1"/>
      <c r="O38" s="1"/>
      <c r="P38" s="1"/>
      <c r="Q38" s="1"/>
      <c r="R38" s="1"/>
      <c r="S38" s="1"/>
      <c r="T38" s="1"/>
      <c r="U38" s="1"/>
      <c r="V38" s="1"/>
      <c r="W38" s="1"/>
      <c r="X38" s="188"/>
    </row>
    <row r="39" spans="1:24" x14ac:dyDescent="0.25">
      <c r="A39" s="223"/>
      <c r="B39" s="223"/>
      <c r="C39" s="223"/>
      <c r="D39" s="223"/>
      <c r="E39" s="1"/>
      <c r="F39" s="1"/>
      <c r="G39" s="1"/>
      <c r="H39" s="1"/>
      <c r="I39" s="1"/>
      <c r="J39" s="1"/>
      <c r="K39" s="1"/>
      <c r="L39" s="1"/>
      <c r="M39" s="1"/>
      <c r="N39" s="1"/>
      <c r="O39" s="1"/>
      <c r="P39" s="1"/>
      <c r="Q39" s="1"/>
      <c r="R39" s="1"/>
      <c r="S39" s="1"/>
      <c r="T39" s="1"/>
      <c r="U39" s="1"/>
      <c r="V39" s="1"/>
      <c r="W39" s="1"/>
      <c r="X39" s="188"/>
    </row>
    <row r="40" spans="1:24" x14ac:dyDescent="0.25">
      <c r="A40" s="31"/>
      <c r="B40" s="31"/>
      <c r="C40" s="31"/>
      <c r="D40" s="31"/>
      <c r="E40" s="1"/>
      <c r="F40" s="1"/>
      <c r="G40" s="1"/>
      <c r="H40" s="1"/>
      <c r="I40" s="1"/>
      <c r="J40" s="1"/>
      <c r="K40" s="1"/>
      <c r="L40" s="1"/>
      <c r="M40" s="1"/>
      <c r="N40" s="1"/>
      <c r="O40" s="1"/>
      <c r="P40" s="1"/>
      <c r="Q40" s="1"/>
      <c r="R40" s="1"/>
      <c r="S40" s="1"/>
      <c r="T40" s="1"/>
      <c r="U40" s="1"/>
      <c r="V40" s="1"/>
      <c r="W40" s="1"/>
      <c r="X40" s="188"/>
    </row>
    <row r="41" spans="1:24" x14ac:dyDescent="0.25">
      <c r="A41" s="31"/>
      <c r="B41" s="31"/>
      <c r="C41" s="31"/>
      <c r="D41" s="31"/>
      <c r="E41" s="1"/>
      <c r="F41" s="1"/>
      <c r="G41" s="1"/>
      <c r="H41" s="1"/>
      <c r="I41" s="1"/>
      <c r="J41" s="1"/>
      <c r="K41" s="1"/>
      <c r="L41" s="1"/>
      <c r="M41" s="1"/>
      <c r="N41" s="1"/>
      <c r="O41" s="1"/>
      <c r="P41" s="1"/>
      <c r="Q41" s="1"/>
      <c r="R41" s="1"/>
      <c r="S41" s="1"/>
      <c r="T41" s="1"/>
      <c r="U41" s="1"/>
      <c r="V41" s="1"/>
      <c r="W41" s="1"/>
      <c r="X41" s="188"/>
    </row>
    <row r="42" spans="1:24" x14ac:dyDescent="0.25">
      <c r="A42" s="31"/>
      <c r="B42" s="31"/>
      <c r="C42" s="31"/>
      <c r="D42" s="31"/>
      <c r="E42" s="1"/>
      <c r="F42" s="1"/>
      <c r="G42" s="1"/>
      <c r="H42" s="1"/>
      <c r="I42" s="1"/>
      <c r="J42" s="1"/>
      <c r="K42" s="1"/>
      <c r="L42" s="1"/>
      <c r="M42" s="1"/>
      <c r="N42" s="1"/>
      <c r="O42" s="1"/>
      <c r="P42" s="1"/>
      <c r="Q42" s="1"/>
      <c r="R42" s="1"/>
      <c r="S42" s="1"/>
      <c r="T42" s="1"/>
      <c r="U42" s="1"/>
      <c r="V42" s="1"/>
      <c r="W42" s="1"/>
      <c r="X42" s="188"/>
    </row>
    <row r="43" spans="1:24" x14ac:dyDescent="0.25">
      <c r="A43" s="31"/>
      <c r="B43" s="31"/>
      <c r="C43" s="31"/>
      <c r="D43" s="31"/>
      <c r="E43" s="1"/>
      <c r="F43" s="1"/>
      <c r="G43" s="1"/>
      <c r="H43" s="1"/>
      <c r="I43" s="1"/>
      <c r="J43" s="1"/>
      <c r="K43" s="1"/>
      <c r="L43" s="1"/>
      <c r="M43" s="1"/>
      <c r="N43" s="1"/>
      <c r="O43" s="1"/>
      <c r="P43" s="1"/>
      <c r="Q43" s="1"/>
      <c r="R43" s="1"/>
      <c r="S43" s="1"/>
      <c r="T43" s="1"/>
      <c r="U43" s="1"/>
      <c r="V43" s="1"/>
      <c r="W43" s="1"/>
      <c r="X43" s="188"/>
    </row>
    <row r="44" spans="1:24" x14ac:dyDescent="0.25">
      <c r="A44" s="31"/>
      <c r="B44" s="31"/>
      <c r="C44" s="31"/>
      <c r="D44" s="31"/>
      <c r="E44" s="1"/>
      <c r="F44" s="1"/>
      <c r="G44" s="1"/>
      <c r="H44" s="1"/>
      <c r="I44" s="1"/>
      <c r="J44" s="1"/>
      <c r="K44" s="1"/>
      <c r="L44" s="1"/>
      <c r="M44" s="1"/>
      <c r="N44" s="1"/>
      <c r="O44" s="1"/>
      <c r="P44" s="1"/>
      <c r="Q44" s="1"/>
      <c r="R44" s="1"/>
      <c r="S44" s="1"/>
      <c r="T44" s="1"/>
      <c r="U44" s="1"/>
      <c r="V44" s="1"/>
      <c r="W44" s="1"/>
      <c r="X44" s="188"/>
    </row>
    <row r="45" spans="1:24" x14ac:dyDescent="0.25">
      <c r="A45" s="31"/>
      <c r="B45" s="31"/>
      <c r="C45" s="31"/>
      <c r="D45" s="31"/>
      <c r="E45" s="1"/>
      <c r="F45" s="1"/>
      <c r="G45" s="1"/>
      <c r="H45" s="1"/>
      <c r="I45" s="1"/>
      <c r="J45" s="1"/>
      <c r="K45" s="1"/>
      <c r="L45" s="1"/>
      <c r="M45" s="1"/>
      <c r="N45" s="1"/>
      <c r="O45" s="1"/>
      <c r="P45" s="1"/>
      <c r="Q45" s="1"/>
      <c r="R45" s="1"/>
      <c r="S45" s="1"/>
      <c r="T45" s="1"/>
      <c r="U45" s="1"/>
      <c r="V45" s="1"/>
      <c r="W45" s="1"/>
      <c r="X45" s="188"/>
    </row>
    <row r="46" spans="1:24" x14ac:dyDescent="0.25">
      <c r="A46" s="31"/>
      <c r="B46" s="31"/>
      <c r="C46" s="31"/>
      <c r="D46" s="31"/>
      <c r="E46" s="1"/>
      <c r="F46" s="1"/>
      <c r="G46" s="1"/>
      <c r="H46" s="1"/>
      <c r="I46" s="1"/>
      <c r="J46" s="1"/>
      <c r="K46" s="1"/>
      <c r="L46" s="1"/>
      <c r="M46" s="1"/>
      <c r="N46" s="1"/>
      <c r="O46" s="1"/>
      <c r="P46" s="1"/>
      <c r="Q46" s="1"/>
      <c r="R46" s="1"/>
      <c r="S46" s="1"/>
      <c r="T46" s="1"/>
      <c r="U46" s="1"/>
      <c r="V46" s="1"/>
      <c r="W46" s="1"/>
      <c r="X46" s="188"/>
    </row>
    <row r="47" spans="1:24" x14ac:dyDescent="0.25">
      <c r="A47" s="31"/>
      <c r="B47" s="31"/>
      <c r="C47" s="31"/>
      <c r="D47" s="31"/>
      <c r="E47" s="1"/>
      <c r="F47" s="1"/>
      <c r="G47" s="1"/>
      <c r="H47" s="1"/>
      <c r="I47" s="1"/>
      <c r="J47" s="1"/>
      <c r="K47" s="1"/>
      <c r="L47" s="1"/>
      <c r="M47" s="1"/>
      <c r="N47" s="1"/>
      <c r="O47" s="1"/>
      <c r="P47" s="1"/>
      <c r="Q47" s="1"/>
      <c r="R47" s="1"/>
      <c r="S47" s="1"/>
      <c r="T47" s="1"/>
      <c r="U47" s="1"/>
      <c r="V47" s="1"/>
      <c r="W47" s="1"/>
      <c r="X47" s="188"/>
    </row>
    <row r="48" spans="1:24" x14ac:dyDescent="0.25">
      <c r="A48" s="31"/>
      <c r="B48" s="31"/>
      <c r="C48" s="31"/>
      <c r="D48" s="31"/>
      <c r="E48" s="1"/>
      <c r="F48" s="1"/>
      <c r="G48" s="1"/>
      <c r="H48" s="1"/>
      <c r="I48" s="1"/>
      <c r="J48" s="1"/>
      <c r="K48" s="1"/>
      <c r="L48" s="1"/>
      <c r="M48" s="1"/>
      <c r="N48" s="1"/>
      <c r="O48" s="1"/>
      <c r="P48" s="1"/>
      <c r="Q48" s="1"/>
      <c r="R48" s="1"/>
      <c r="S48" s="1"/>
      <c r="T48" s="1"/>
      <c r="U48" s="1"/>
      <c r="V48" s="1"/>
      <c r="W48" s="1"/>
      <c r="X48" s="188"/>
    </row>
    <row r="49" spans="1:24" x14ac:dyDescent="0.25">
      <c r="A49" s="31"/>
      <c r="B49" s="31"/>
      <c r="C49" s="31"/>
      <c r="D49" s="31"/>
      <c r="E49" s="1"/>
      <c r="F49" s="1"/>
      <c r="G49" s="1"/>
      <c r="H49" s="1"/>
      <c r="I49" s="1"/>
      <c r="J49" s="1"/>
      <c r="K49" s="1"/>
      <c r="L49" s="1"/>
      <c r="M49" s="1"/>
      <c r="N49" s="1"/>
      <c r="O49" s="1"/>
      <c r="P49" s="1"/>
      <c r="Q49" s="1"/>
      <c r="R49" s="1"/>
      <c r="S49" s="1"/>
      <c r="T49" s="1"/>
      <c r="U49" s="1"/>
      <c r="V49" s="1"/>
      <c r="W49" s="1"/>
      <c r="X49" s="188"/>
    </row>
    <row r="50" spans="1:24" x14ac:dyDescent="0.25">
      <c r="A50" s="31"/>
      <c r="B50" s="31"/>
      <c r="C50" s="31"/>
      <c r="D50" s="31"/>
      <c r="E50" s="1"/>
      <c r="F50" s="1"/>
      <c r="G50" s="1"/>
      <c r="H50" s="1"/>
      <c r="I50" s="1"/>
      <c r="J50" s="1"/>
      <c r="K50" s="1"/>
      <c r="L50" s="1"/>
      <c r="M50" s="1"/>
      <c r="N50" s="1"/>
      <c r="O50" s="1"/>
      <c r="P50" s="1"/>
      <c r="Q50" s="1"/>
      <c r="R50" s="1"/>
      <c r="S50" s="1"/>
      <c r="T50" s="1"/>
      <c r="U50" s="1"/>
      <c r="V50" s="1"/>
      <c r="W50" s="1"/>
      <c r="X50" s="188"/>
    </row>
    <row r="51" spans="1:24" x14ac:dyDescent="0.25">
      <c r="A51" s="31"/>
      <c r="B51" s="31"/>
      <c r="C51" s="31"/>
      <c r="D51" s="31"/>
      <c r="E51" s="1"/>
      <c r="F51" s="1"/>
      <c r="G51" s="1"/>
      <c r="H51" s="1"/>
      <c r="I51" s="1"/>
      <c r="J51" s="1"/>
      <c r="K51" s="1"/>
      <c r="L51" s="1"/>
      <c r="M51" s="1"/>
      <c r="N51" s="1"/>
      <c r="O51" s="1"/>
      <c r="P51" s="1"/>
      <c r="Q51" s="1"/>
      <c r="R51" s="1"/>
      <c r="S51" s="1"/>
      <c r="T51" s="1"/>
      <c r="U51" s="1"/>
      <c r="V51" s="1"/>
      <c r="W51" s="1"/>
      <c r="X51" s="188"/>
    </row>
    <row r="52" spans="1:24" x14ac:dyDescent="0.25">
      <c r="A52" s="31"/>
      <c r="B52" s="31"/>
      <c r="C52" s="31"/>
      <c r="D52" s="31"/>
      <c r="E52" s="1"/>
      <c r="F52" s="1"/>
      <c r="G52" s="1"/>
      <c r="H52" s="1"/>
      <c r="I52" s="1"/>
      <c r="J52" s="1"/>
      <c r="K52" s="1"/>
      <c r="L52" s="1"/>
      <c r="M52" s="1"/>
      <c r="N52" s="1"/>
      <c r="O52" s="1"/>
      <c r="P52" s="1"/>
      <c r="Q52" s="1"/>
      <c r="R52" s="1"/>
      <c r="S52" s="1"/>
      <c r="T52" s="1"/>
      <c r="U52" s="1"/>
      <c r="V52" s="1"/>
      <c r="W52" s="1"/>
      <c r="X52" s="188"/>
    </row>
    <row r="53" spans="1:24" x14ac:dyDescent="0.25">
      <c r="A53" s="31"/>
      <c r="B53" s="31"/>
      <c r="C53" s="31"/>
      <c r="D53" s="31"/>
      <c r="E53" s="1"/>
      <c r="F53" s="1"/>
      <c r="G53" s="1"/>
      <c r="H53" s="1"/>
      <c r="I53" s="1"/>
      <c r="J53" s="1"/>
      <c r="K53" s="1"/>
      <c r="L53" s="1"/>
      <c r="M53" s="1"/>
      <c r="N53" s="1"/>
      <c r="O53" s="1"/>
      <c r="P53" s="1"/>
      <c r="Q53" s="1"/>
      <c r="R53" s="1"/>
      <c r="S53" s="1"/>
      <c r="T53" s="1"/>
      <c r="U53" s="1"/>
      <c r="V53" s="1"/>
      <c r="W53" s="1"/>
      <c r="X53" s="188"/>
    </row>
    <row r="54" spans="1:24" x14ac:dyDescent="0.25">
      <c r="A54" s="192"/>
      <c r="B54" s="192"/>
      <c r="C54" s="192"/>
      <c r="D54" s="192"/>
      <c r="E54" s="187"/>
      <c r="F54" s="187"/>
      <c r="G54" s="187"/>
      <c r="H54" s="187"/>
      <c r="I54" s="187"/>
      <c r="J54" s="187"/>
      <c r="K54" s="187"/>
      <c r="L54" s="187"/>
      <c r="M54" s="187"/>
      <c r="N54" s="187"/>
      <c r="O54" s="187"/>
      <c r="P54" s="187"/>
      <c r="Q54" s="187"/>
      <c r="R54" s="187"/>
      <c r="S54" s="187"/>
      <c r="T54" s="187"/>
      <c r="U54" s="187"/>
      <c r="V54" s="187"/>
      <c r="W54" s="187"/>
      <c r="X54" s="189"/>
    </row>
    <row r="55" spans="1:24" x14ac:dyDescent="0.25">
      <c r="A55" s="168"/>
      <c r="B55" s="168"/>
      <c r="C55" s="168"/>
      <c r="D55" s="168"/>
    </row>
    <row r="56" spans="1:24" x14ac:dyDescent="0.25">
      <c r="A56" s="168"/>
      <c r="B56" s="168"/>
      <c r="C56" s="168"/>
      <c r="D56" s="168"/>
    </row>
    <row r="57" spans="1:24" x14ac:dyDescent="0.25">
      <c r="A57" s="168"/>
      <c r="B57" s="168"/>
      <c r="C57" s="168"/>
      <c r="D57" s="168"/>
    </row>
    <row r="58" spans="1:24" x14ac:dyDescent="0.25">
      <c r="A58" s="168"/>
      <c r="B58" s="168"/>
      <c r="C58" s="168"/>
      <c r="D58" s="168"/>
    </row>
    <row r="59" spans="1:24" x14ac:dyDescent="0.25">
      <c r="A59" s="168"/>
      <c r="B59" s="168"/>
      <c r="C59" s="168"/>
      <c r="D59" s="168"/>
    </row>
    <row r="60" spans="1:24" x14ac:dyDescent="0.25">
      <c r="A60" s="168"/>
      <c r="B60" s="168"/>
      <c r="C60" s="168"/>
      <c r="D60" s="168"/>
    </row>
    <row r="61" spans="1:24" x14ac:dyDescent="0.25">
      <c r="A61" s="168"/>
      <c r="B61" s="168"/>
      <c r="C61" s="168"/>
      <c r="D61" s="168"/>
    </row>
    <row r="62" spans="1:24" x14ac:dyDescent="0.25">
      <c r="A62" s="168"/>
      <c r="B62" s="168"/>
      <c r="C62" s="168"/>
      <c r="D62" s="168"/>
    </row>
    <row r="63" spans="1:24" x14ac:dyDescent="0.25">
      <c r="A63" s="168"/>
      <c r="B63" s="168"/>
      <c r="C63" s="168"/>
      <c r="D63" s="168"/>
    </row>
    <row r="64" spans="1:24" x14ac:dyDescent="0.25">
      <c r="A64" s="168"/>
      <c r="B64" s="168"/>
      <c r="C64" s="168"/>
      <c r="D64" s="168"/>
    </row>
    <row r="65" spans="1:4" x14ac:dyDescent="0.25">
      <c r="A65" s="168"/>
      <c r="B65" s="168"/>
      <c r="C65" s="168"/>
      <c r="D65" s="168"/>
    </row>
  </sheetData>
  <mergeCells count="1">
    <mergeCell ref="E1:X1"/>
  </mergeCells>
  <pageMargins left="0.7" right="0.7" top="0.75" bottom="0.75" header="0.3" footer="0.3"/>
  <pageSetup scale="53" orientation="landscape" horizontalDpi="1200" verticalDpi="1200"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2:C15"/>
  <sheetViews>
    <sheetView showGridLines="0" workbookViewId="0">
      <selection activeCell="C4" sqref="C4"/>
    </sheetView>
  </sheetViews>
  <sheetFormatPr defaultRowHeight="15.75" x14ac:dyDescent="0.25"/>
  <cols>
    <col min="1" max="1" width="1.85546875" style="193" customWidth="1"/>
    <col min="2" max="2" width="16" customWidth="1"/>
    <col min="3" max="3" width="21.28515625" customWidth="1"/>
  </cols>
  <sheetData>
    <row r="2" spans="2:3" ht="23.25" x14ac:dyDescent="0.35">
      <c r="B2" s="241" t="s">
        <v>44</v>
      </c>
      <c r="C2" s="242"/>
    </row>
    <row r="3" spans="2:3" ht="18.75" x14ac:dyDescent="0.3">
      <c r="B3" s="42" t="s">
        <v>41</v>
      </c>
      <c r="C3" s="43" t="s">
        <v>42</v>
      </c>
    </row>
    <row r="4" spans="2:3" x14ac:dyDescent="0.25">
      <c r="B4" s="44" t="s">
        <v>29</v>
      </c>
      <c r="C4" s="45">
        <v>0.95</v>
      </c>
    </row>
    <row r="5" spans="2:3" x14ac:dyDescent="0.25">
      <c r="B5" s="44" t="s">
        <v>30</v>
      </c>
      <c r="C5" s="45">
        <v>0.9</v>
      </c>
    </row>
    <row r="6" spans="2:3" x14ac:dyDescent="0.25">
      <c r="B6" s="44" t="s">
        <v>31</v>
      </c>
      <c r="C6" s="45">
        <v>1.05</v>
      </c>
    </row>
    <row r="7" spans="2:3" x14ac:dyDescent="0.25">
      <c r="B7" s="44" t="s">
        <v>32</v>
      </c>
      <c r="C7" s="45">
        <v>1.1000000000000001</v>
      </c>
    </row>
    <row r="8" spans="2:3" x14ac:dyDescent="0.25">
      <c r="B8" s="44" t="s">
        <v>27</v>
      </c>
      <c r="C8" s="45">
        <v>1.2</v>
      </c>
    </row>
    <row r="9" spans="2:3" x14ac:dyDescent="0.25">
      <c r="B9" s="44" t="s">
        <v>33</v>
      </c>
      <c r="C9" s="45">
        <v>1.1499999999999999</v>
      </c>
    </row>
    <row r="10" spans="2:3" x14ac:dyDescent="0.25">
      <c r="B10" s="44" t="s">
        <v>28</v>
      </c>
      <c r="C10" s="45">
        <v>1.05</v>
      </c>
    </row>
    <row r="11" spans="2:3" x14ac:dyDescent="0.25">
      <c r="B11" s="44" t="s">
        <v>34</v>
      </c>
      <c r="C11" s="45">
        <v>1.1000000000000001</v>
      </c>
    </row>
    <row r="12" spans="2:3" x14ac:dyDescent="0.25">
      <c r="B12" s="44" t="s">
        <v>35</v>
      </c>
      <c r="C12" s="45">
        <v>1.1499999999999999</v>
      </c>
    </row>
    <row r="13" spans="2:3" x14ac:dyDescent="0.25">
      <c r="B13" s="44" t="s">
        <v>36</v>
      </c>
      <c r="C13" s="45">
        <v>1.3</v>
      </c>
    </row>
    <row r="14" spans="2:3" x14ac:dyDescent="0.25">
      <c r="B14" s="44" t="s">
        <v>37</v>
      </c>
      <c r="C14" s="45">
        <v>1.25</v>
      </c>
    </row>
    <row r="15" spans="2:3" x14ac:dyDescent="0.25">
      <c r="B15" s="46" t="s">
        <v>38</v>
      </c>
      <c r="C15" s="47">
        <v>1.2</v>
      </c>
    </row>
  </sheetData>
  <mergeCells count="1">
    <mergeCell ref="B2:C2"/>
  </mergeCells>
  <pageMargins left="0.7" right="0.7" top="0.75" bottom="0.75" header="0.3" footer="0.3"/>
  <pageSetup orientation="landscape"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B2:I37"/>
  <sheetViews>
    <sheetView showGridLines="0" zoomScale="85" zoomScaleNormal="85" workbookViewId="0">
      <selection activeCell="E6" sqref="E6:E11"/>
    </sheetView>
  </sheetViews>
  <sheetFormatPr defaultRowHeight="15" x14ac:dyDescent="0.25"/>
  <cols>
    <col min="1" max="1" width="1.85546875" style="1" customWidth="1"/>
    <col min="2" max="2" width="12.5703125" style="36" customWidth="1"/>
    <col min="3" max="3" width="12.7109375" style="1" customWidth="1"/>
    <col min="4" max="4" width="14" style="1" bestFit="1" customWidth="1"/>
    <col min="5" max="5" width="83.7109375" style="1" customWidth="1"/>
    <col min="6" max="6" width="12.5703125" style="1" customWidth="1"/>
    <col min="7" max="7" width="12.7109375" style="1" customWidth="1"/>
    <col min="8" max="8" width="12.28515625" style="1" customWidth="1"/>
    <col min="9" max="9" width="52.5703125" style="1" customWidth="1"/>
    <col min="10" max="16384" width="9.140625" style="1"/>
  </cols>
  <sheetData>
    <row r="2" spans="2:9" s="35" customFormat="1" ht="31.5" x14ac:dyDescent="0.5">
      <c r="B2" s="244" t="s">
        <v>122</v>
      </c>
      <c r="C2" s="244"/>
      <c r="D2" s="244"/>
      <c r="E2" s="244"/>
      <c r="F2" s="244"/>
      <c r="G2" s="244"/>
      <c r="H2" s="244"/>
      <c r="I2" s="244"/>
    </row>
    <row r="3" spans="2:9" x14ac:dyDescent="0.25">
      <c r="B3" s="243" t="s">
        <v>119</v>
      </c>
      <c r="C3" s="243"/>
      <c r="D3" s="243"/>
      <c r="E3" s="243"/>
      <c r="F3" s="247" t="s">
        <v>120</v>
      </c>
      <c r="G3" s="247"/>
      <c r="H3" s="247"/>
      <c r="I3" s="247"/>
    </row>
    <row r="4" spans="2:9" x14ac:dyDescent="0.25">
      <c r="B4" s="245" t="s">
        <v>118</v>
      </c>
      <c r="C4" s="246"/>
      <c r="D4" s="17"/>
      <c r="E4" s="17"/>
      <c r="F4" s="243" t="s">
        <v>118</v>
      </c>
      <c r="G4" s="243"/>
      <c r="H4" s="10"/>
      <c r="I4" s="10"/>
    </row>
    <row r="5" spans="2:9" x14ac:dyDescent="0.25">
      <c r="B5" s="12" t="s">
        <v>107</v>
      </c>
      <c r="C5" s="12" t="s">
        <v>108</v>
      </c>
      <c r="D5" s="12" t="s">
        <v>109</v>
      </c>
      <c r="E5" s="20" t="s">
        <v>111</v>
      </c>
      <c r="F5" s="12" t="s">
        <v>107</v>
      </c>
      <c r="G5" s="12" t="s">
        <v>108</v>
      </c>
      <c r="H5" s="12" t="s">
        <v>110</v>
      </c>
      <c r="I5" s="12" t="s">
        <v>111</v>
      </c>
    </row>
    <row r="6" spans="2:9" x14ac:dyDescent="0.25">
      <c r="B6" s="13">
        <v>0</v>
      </c>
      <c r="C6" s="13">
        <v>0.05</v>
      </c>
      <c r="D6" s="13">
        <v>0</v>
      </c>
      <c r="E6" s="32" t="s">
        <v>196</v>
      </c>
      <c r="F6" s="13">
        <v>0</v>
      </c>
      <c r="G6" s="13">
        <v>0.05</v>
      </c>
      <c r="H6" s="13">
        <v>0</v>
      </c>
      <c r="I6" s="22" t="s">
        <v>112</v>
      </c>
    </row>
    <row r="7" spans="2:9" x14ac:dyDescent="0.25">
      <c r="B7" s="13">
        <v>0.06</v>
      </c>
      <c r="C7" s="13">
        <v>0.06</v>
      </c>
      <c r="D7" s="15">
        <v>-1.4999999999999999E-2</v>
      </c>
      <c r="E7" s="32" t="s">
        <v>197</v>
      </c>
      <c r="F7" s="13">
        <v>0.06</v>
      </c>
      <c r="G7" s="13">
        <v>0.1</v>
      </c>
      <c r="H7" s="13">
        <v>0.01</v>
      </c>
      <c r="I7" s="22" t="s">
        <v>113</v>
      </c>
    </row>
    <row r="8" spans="2:9" x14ac:dyDescent="0.25">
      <c r="B8" s="13">
        <v>0.11</v>
      </c>
      <c r="C8" s="13">
        <v>0.11</v>
      </c>
      <c r="D8" s="15">
        <v>-2.5000000000000001E-2</v>
      </c>
      <c r="E8" s="32" t="s">
        <v>198</v>
      </c>
      <c r="F8" s="13">
        <v>0.11</v>
      </c>
      <c r="G8" s="13">
        <v>0.15</v>
      </c>
      <c r="H8" s="13">
        <v>0.02</v>
      </c>
      <c r="I8" s="22" t="s">
        <v>114</v>
      </c>
    </row>
    <row r="9" spans="2:9" x14ac:dyDescent="0.25">
      <c r="B9" s="13">
        <v>0.16</v>
      </c>
      <c r="C9" s="13">
        <v>0.16</v>
      </c>
      <c r="D9" s="13">
        <v>-0.04</v>
      </c>
      <c r="E9" s="32" t="s">
        <v>199</v>
      </c>
      <c r="F9" s="13">
        <v>0.16</v>
      </c>
      <c r="G9" s="13">
        <v>0.2</v>
      </c>
      <c r="H9" s="13">
        <v>0.03</v>
      </c>
      <c r="I9" s="22" t="s">
        <v>115</v>
      </c>
    </row>
    <row r="10" spans="2:9" x14ac:dyDescent="0.25">
      <c r="B10" s="13">
        <v>0.21</v>
      </c>
      <c r="C10" s="13">
        <v>0.21</v>
      </c>
      <c r="D10" s="13">
        <v>-0.05</v>
      </c>
      <c r="E10" s="32" t="s">
        <v>200</v>
      </c>
      <c r="F10" s="13">
        <v>0.21</v>
      </c>
      <c r="G10" s="13">
        <v>0.25</v>
      </c>
      <c r="H10" s="13">
        <v>0.04</v>
      </c>
      <c r="I10" s="22" t="s">
        <v>116</v>
      </c>
    </row>
    <row r="11" spans="2:9" x14ac:dyDescent="0.25">
      <c r="B11" s="18" t="s">
        <v>106</v>
      </c>
      <c r="C11" s="18" t="s">
        <v>106</v>
      </c>
      <c r="D11" s="19">
        <v>-6.5000000000000002E-2</v>
      </c>
      <c r="E11" s="32" t="s">
        <v>201</v>
      </c>
      <c r="F11" s="14" t="s">
        <v>106</v>
      </c>
      <c r="G11" s="13">
        <v>1</v>
      </c>
      <c r="H11" s="13">
        <v>0.05</v>
      </c>
      <c r="I11" s="22" t="s">
        <v>117</v>
      </c>
    </row>
    <row r="13" spans="2:9" ht="31.5" x14ac:dyDescent="0.5">
      <c r="B13" s="244" t="s">
        <v>45</v>
      </c>
      <c r="C13" s="244"/>
      <c r="D13" s="244"/>
      <c r="E13" s="244"/>
      <c r="F13" s="244"/>
      <c r="G13" s="244"/>
      <c r="H13" s="244"/>
      <c r="I13" s="244"/>
    </row>
    <row r="14" spans="2:9" x14ac:dyDescent="0.25">
      <c r="B14" s="243" t="s">
        <v>120</v>
      </c>
      <c r="C14" s="243"/>
      <c r="D14" s="243"/>
      <c r="E14" s="243"/>
      <c r="F14" s="243" t="s">
        <v>119</v>
      </c>
      <c r="G14" s="243"/>
      <c r="H14" s="243"/>
      <c r="I14" s="243"/>
    </row>
    <row r="15" spans="2:9" x14ac:dyDescent="0.25">
      <c r="B15" s="243" t="s">
        <v>118</v>
      </c>
      <c r="C15" s="243"/>
      <c r="D15" s="10"/>
      <c r="E15" s="10"/>
      <c r="F15" s="243" t="s">
        <v>118</v>
      </c>
      <c r="G15" s="243"/>
      <c r="H15" s="10"/>
      <c r="I15" s="10"/>
    </row>
    <row r="16" spans="2:9" x14ac:dyDescent="0.25">
      <c r="B16" s="12" t="s">
        <v>107</v>
      </c>
      <c r="C16" s="12" t="s">
        <v>108</v>
      </c>
      <c r="D16" s="12" t="s">
        <v>110</v>
      </c>
      <c r="E16" s="20" t="s">
        <v>111</v>
      </c>
      <c r="F16" s="12" t="s">
        <v>107</v>
      </c>
      <c r="G16" s="12" t="s">
        <v>108</v>
      </c>
      <c r="H16" s="12" t="s">
        <v>123</v>
      </c>
      <c r="I16" s="20" t="s">
        <v>111</v>
      </c>
    </row>
    <row r="17" spans="2:9" x14ac:dyDescent="0.25">
      <c r="B17" s="13">
        <v>0</v>
      </c>
      <c r="C17" s="13">
        <v>0.05</v>
      </c>
      <c r="D17" s="13">
        <v>0</v>
      </c>
      <c r="E17" s="21" t="s">
        <v>124</v>
      </c>
      <c r="F17" s="13">
        <v>0</v>
      </c>
      <c r="G17" s="13">
        <v>0.05</v>
      </c>
      <c r="H17" s="13">
        <v>0</v>
      </c>
      <c r="I17" s="21" t="s">
        <v>130</v>
      </c>
    </row>
    <row r="18" spans="2:9" x14ac:dyDescent="0.25">
      <c r="B18" s="13">
        <v>0.06</v>
      </c>
      <c r="C18" s="13">
        <v>0.06</v>
      </c>
      <c r="D18" s="13">
        <v>-0.01</v>
      </c>
      <c r="E18" s="21" t="s">
        <v>125</v>
      </c>
      <c r="F18" s="13">
        <v>0.06</v>
      </c>
      <c r="G18" s="13">
        <v>0.1</v>
      </c>
      <c r="H18" s="13">
        <v>0.01</v>
      </c>
      <c r="I18" s="21" t="s">
        <v>131</v>
      </c>
    </row>
    <row r="19" spans="2:9" x14ac:dyDescent="0.25">
      <c r="B19" s="13">
        <v>0.11</v>
      </c>
      <c r="C19" s="13">
        <v>0.11</v>
      </c>
      <c r="D19" s="13">
        <v>-0.02</v>
      </c>
      <c r="E19" s="21" t="s">
        <v>126</v>
      </c>
      <c r="F19" s="13">
        <v>0.11</v>
      </c>
      <c r="G19" s="13">
        <v>0.15</v>
      </c>
      <c r="H19" s="13">
        <v>0.02</v>
      </c>
      <c r="I19" s="21" t="s">
        <v>132</v>
      </c>
    </row>
    <row r="20" spans="2:9" x14ac:dyDescent="0.25">
      <c r="B20" s="13">
        <v>0.16</v>
      </c>
      <c r="C20" s="13">
        <v>0.16</v>
      </c>
      <c r="D20" s="13">
        <v>-0.03</v>
      </c>
      <c r="E20" s="21" t="s">
        <v>127</v>
      </c>
      <c r="F20" s="13">
        <v>0.16</v>
      </c>
      <c r="G20" s="13">
        <v>0.2</v>
      </c>
      <c r="H20" s="13">
        <v>0.03</v>
      </c>
      <c r="I20" s="21" t="s">
        <v>133</v>
      </c>
    </row>
    <row r="21" spans="2:9" x14ac:dyDescent="0.25">
      <c r="B21" s="13">
        <v>0.21</v>
      </c>
      <c r="C21" s="13">
        <v>0.21</v>
      </c>
      <c r="D21" s="13">
        <v>-0.04</v>
      </c>
      <c r="E21" s="21" t="s">
        <v>128</v>
      </c>
      <c r="F21" s="13">
        <v>0.21</v>
      </c>
      <c r="G21" s="13">
        <v>0.25</v>
      </c>
      <c r="H21" s="13">
        <v>0.04</v>
      </c>
      <c r="I21" s="21" t="s">
        <v>134</v>
      </c>
    </row>
    <row r="22" spans="2:9" ht="30" x14ac:dyDescent="0.25">
      <c r="B22" s="14" t="s">
        <v>106</v>
      </c>
      <c r="C22" s="14" t="s">
        <v>106</v>
      </c>
      <c r="D22" s="13">
        <v>-0.05</v>
      </c>
      <c r="E22" s="21" t="s">
        <v>129</v>
      </c>
      <c r="F22" s="14" t="s">
        <v>106</v>
      </c>
      <c r="G22" s="13">
        <v>1</v>
      </c>
      <c r="H22" s="13">
        <v>0.05</v>
      </c>
      <c r="I22" s="24" t="s">
        <v>135</v>
      </c>
    </row>
    <row r="31" spans="2:9" x14ac:dyDescent="0.25">
      <c r="G31" s="34"/>
      <c r="H31" s="33"/>
    </row>
    <row r="32" spans="2:9" x14ac:dyDescent="0.25">
      <c r="G32" s="34"/>
      <c r="H32" s="33"/>
    </row>
    <row r="33" spans="2:8" x14ac:dyDescent="0.25">
      <c r="C33" s="34"/>
      <c r="D33" s="34"/>
      <c r="G33" s="34"/>
      <c r="H33" s="33"/>
    </row>
    <row r="34" spans="2:8" x14ac:dyDescent="0.25">
      <c r="B34" s="1"/>
      <c r="C34" s="34"/>
      <c r="D34" s="34"/>
      <c r="G34" s="34"/>
      <c r="H34" s="33"/>
    </row>
    <row r="35" spans="2:8" x14ac:dyDescent="0.25">
      <c r="B35" s="1"/>
      <c r="C35" s="34"/>
      <c r="D35" s="34"/>
      <c r="G35" s="34"/>
      <c r="H35" s="33"/>
    </row>
    <row r="36" spans="2:8" x14ac:dyDescent="0.25">
      <c r="B36" s="1"/>
      <c r="C36" s="34"/>
      <c r="D36" s="34"/>
    </row>
    <row r="37" spans="2:8" x14ac:dyDescent="0.25">
      <c r="B37" s="1"/>
      <c r="C37" s="34"/>
      <c r="D37" s="34"/>
    </row>
  </sheetData>
  <mergeCells count="10">
    <mergeCell ref="B4:C4"/>
    <mergeCell ref="F4:G4"/>
    <mergeCell ref="F3:I3"/>
    <mergeCell ref="B2:I2"/>
    <mergeCell ref="B3:E3"/>
    <mergeCell ref="B14:E14"/>
    <mergeCell ref="F14:I14"/>
    <mergeCell ref="B15:C15"/>
    <mergeCell ref="F15:G15"/>
    <mergeCell ref="B13:I13"/>
  </mergeCells>
  <pageMargins left="0.7" right="0.7" top="0.75" bottom="0.75" header="0.3" footer="0.3"/>
  <pageSetup scale="57" orientation="landscape"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7"/>
  <sheetViews>
    <sheetView showGridLines="0" zoomScaleNormal="100" workbookViewId="0">
      <pane ySplit="3" topLeftCell="A65" activePane="bottomLeft" state="frozen"/>
      <selection activeCell="E14" sqref="E14:F14"/>
      <selection pane="bottomLeft" activeCell="D78" sqref="D78"/>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60" t="s">
        <v>0</v>
      </c>
      <c r="C1" s="60" t="s">
        <v>7</v>
      </c>
    </row>
    <row r="2" spans="1:10" x14ac:dyDescent="0.25">
      <c r="A2" s="61"/>
      <c r="B2" s="61"/>
      <c r="C2" s="1"/>
      <c r="D2" s="62"/>
      <c r="E2" s="62"/>
      <c r="F2" s="62"/>
      <c r="G2" s="62"/>
      <c r="H2" s="62"/>
      <c r="I2" s="63"/>
      <c r="J2" s="64"/>
    </row>
    <row r="3" spans="1:10" x14ac:dyDescent="0.25">
      <c r="A3" s="77" t="s">
        <v>21</v>
      </c>
      <c r="B3" s="77" t="s">
        <v>1</v>
      </c>
      <c r="C3" s="77" t="s">
        <v>206</v>
      </c>
      <c r="D3" s="136" t="s">
        <v>2</v>
      </c>
      <c r="E3" s="136" t="s">
        <v>3</v>
      </c>
      <c r="F3" s="136" t="s">
        <v>23</v>
      </c>
      <c r="G3" s="136" t="s">
        <v>24</v>
      </c>
      <c r="H3" s="136" t="s">
        <v>25</v>
      </c>
      <c r="I3" s="137" t="s">
        <v>26</v>
      </c>
      <c r="J3" s="138" t="s">
        <v>43</v>
      </c>
    </row>
    <row r="4" spans="1:10" x14ac:dyDescent="0.25">
      <c r="A4" s="78" t="s">
        <v>29</v>
      </c>
      <c r="B4" s="65" t="s">
        <v>4</v>
      </c>
      <c r="C4" s="81">
        <f t="array" ref="C4">INDEX(Assumptions!$F$3:$F$18, MATCH(1, (Assumptions!$B$3:$B$18=Forecasting_Best!B4)*(Assumptions!$C$3:$C$18=Forecasting_Best!$C$1),0))*J4</f>
        <v>1900</v>
      </c>
      <c r="D4" s="82">
        <f t="array" ref="D4">INDEX(Assumptions!$D$3:$D$18, MATCH(1, (Assumptions!$B$3:$B$18=Forecasting_Best!B4)*(Assumptions!$C$3:$C$18=Forecasting_Best!$C$1),0))</f>
        <v>2700</v>
      </c>
      <c r="E4" s="82">
        <f t="array" ref="E4">INDEX(Assumptions!$E$3:$E$18, MATCH(1, (Assumptions!$B$3:$B$18=Forecasting_Best!B4)*(Assumptions!$C$3:$C$18=Forecasting_Best!$C$1),0))</f>
        <v>1650</v>
      </c>
      <c r="F4" s="82">
        <f t="shared" ref="F4:F41" si="0">C4*D4</f>
        <v>5130000</v>
      </c>
      <c r="G4" s="82">
        <f t="shared" ref="G4:G41" si="1">C4*E4</f>
        <v>3135000</v>
      </c>
      <c r="H4" s="82">
        <f t="shared" ref="H4:H41" si="2">F4-G4</f>
        <v>1995000</v>
      </c>
      <c r="I4" s="83">
        <f t="shared" ref="I4:I41" si="3">IF(F4=0, 0, H4/F4)</f>
        <v>0.3888888888888889</v>
      </c>
      <c r="J4" s="84">
        <f>VLOOKUP(A4,Seasonality!$B$4:$C$15,2,FALSE)</f>
        <v>0.95</v>
      </c>
    </row>
    <row r="5" spans="1:10" x14ac:dyDescent="0.25">
      <c r="A5" s="78" t="s">
        <v>29</v>
      </c>
      <c r="B5" s="65" t="s">
        <v>5</v>
      </c>
      <c r="C5" s="81">
        <f t="array" ref="C5">INDEX(Assumptions!$F$3:$F$18, MATCH(1, (Assumptions!$B$3:$B$18=Forecasting_Best!B5)*(Assumptions!$C$3:$C$18=Forecasting_Best!$C$1),0))*J5</f>
        <v>1235</v>
      </c>
      <c r="D5" s="82">
        <f t="array" ref="D5">INDEX(Assumptions!$D$3:$D$18, MATCH(1, (Assumptions!$B$3:$B$18=Forecasting_Best!B5)*(Assumptions!$C$3:$C$18=Forecasting_Best!$C$1),0))</f>
        <v>3800</v>
      </c>
      <c r="E5" s="82">
        <f t="array" ref="E5">INDEX(Assumptions!$E$3:$E$18, MATCH(1, (Assumptions!$B$3:$B$18=Forecasting_Best!B5)*(Assumptions!$C$3:$C$18=Forecasting_Best!$C$1),0))</f>
        <v>2500</v>
      </c>
      <c r="F5" s="82">
        <f t="shared" si="0"/>
        <v>4693000</v>
      </c>
      <c r="G5" s="82">
        <f t="shared" si="1"/>
        <v>3087500</v>
      </c>
      <c r="H5" s="82">
        <f t="shared" si="2"/>
        <v>1605500</v>
      </c>
      <c r="I5" s="83">
        <f t="shared" si="3"/>
        <v>0.34210526315789475</v>
      </c>
      <c r="J5" s="84">
        <f>VLOOKUP(A5,Seasonality!$B$4:$C$15,2,FALSE)</f>
        <v>0.95</v>
      </c>
    </row>
    <row r="6" spans="1:10" x14ac:dyDescent="0.25">
      <c r="A6" s="78" t="s">
        <v>29</v>
      </c>
      <c r="B6" s="65" t="s">
        <v>14</v>
      </c>
      <c r="C6" s="81">
        <f t="array" ref="C6">INDEX(Assumptions!$F$3:$F$18, MATCH(1, (Assumptions!$B$3:$B$18=Forecasting_Best!B6)*(Assumptions!$C$3:$C$18=Forecasting_Best!$C$1),0))*J6</f>
        <v>1330</v>
      </c>
      <c r="D6" s="82">
        <f t="array" ref="D6">INDEX(Assumptions!$D$3:$D$18, MATCH(1, (Assumptions!$B$3:$B$18=Forecasting_Best!B6)*(Assumptions!$C$3:$C$18=Forecasting_Best!$C$1),0))</f>
        <v>3000</v>
      </c>
      <c r="E6" s="82">
        <f t="array" ref="E6">INDEX(Assumptions!$E$3:$E$18, MATCH(1, (Assumptions!$B$3:$B$18=Forecasting_Best!B6)*(Assumptions!$C$3:$C$18=Forecasting_Best!$C$1),0))</f>
        <v>1700</v>
      </c>
      <c r="F6" s="82">
        <f t="shared" si="0"/>
        <v>3990000</v>
      </c>
      <c r="G6" s="82">
        <f t="shared" si="1"/>
        <v>2261000</v>
      </c>
      <c r="H6" s="82">
        <f t="shared" si="2"/>
        <v>1729000</v>
      </c>
      <c r="I6" s="83">
        <f t="shared" si="3"/>
        <v>0.43333333333333335</v>
      </c>
      <c r="J6" s="84">
        <f>VLOOKUP(A6,Seasonality!$B$4:$C$15,2,FALSE)</f>
        <v>0.95</v>
      </c>
    </row>
    <row r="7" spans="1:10" x14ac:dyDescent="0.25">
      <c r="A7" s="78" t="s">
        <v>29</v>
      </c>
      <c r="B7" s="65" t="s">
        <v>39</v>
      </c>
      <c r="C7" s="81">
        <f t="array" ref="C7">INDEX(Assumptions!$F$3:$F$18, MATCH(1, (Assumptions!$B$3:$B$18=Forecasting_Best!B7)*(Assumptions!$C$3:$C$18=Forecasting_Best!$C$1),0))*J7</f>
        <v>2375</v>
      </c>
      <c r="D7" s="82">
        <f t="array" ref="D7">INDEX(Assumptions!$D$3:$D$18, MATCH(1, (Assumptions!$B$3:$B$18=Forecasting_Best!B7)*(Assumptions!$C$3:$C$18=Forecasting_Best!$C$1),0))</f>
        <v>1400</v>
      </c>
      <c r="E7" s="82">
        <f t="array" ref="E7">INDEX(Assumptions!$E$3:$E$18, MATCH(1, (Assumptions!$B$3:$B$18=Forecasting_Best!B7)*(Assumptions!$C$3:$C$18=Forecasting_Best!$C$1),0))</f>
        <v>650</v>
      </c>
      <c r="F7" s="82">
        <f t="shared" si="0"/>
        <v>3325000</v>
      </c>
      <c r="G7" s="82">
        <f t="shared" si="1"/>
        <v>1543750</v>
      </c>
      <c r="H7" s="82">
        <f t="shared" si="2"/>
        <v>1781250</v>
      </c>
      <c r="I7" s="83">
        <f t="shared" si="3"/>
        <v>0.5357142857142857</v>
      </c>
      <c r="J7" s="84">
        <f>VLOOKUP(A7,Seasonality!$B$4:$C$15,2,FALSE)</f>
        <v>0.95</v>
      </c>
    </row>
    <row r="8" spans="1:10" x14ac:dyDescent="0.25">
      <c r="A8" s="78" t="s">
        <v>29</v>
      </c>
      <c r="B8" s="65" t="s">
        <v>6</v>
      </c>
      <c r="C8" s="81">
        <f t="array" ref="C8">INDEX(Assumptions!$F$3:$F$18, MATCH(1, (Assumptions!$B$3:$B$18=Forecasting_Best!B8)*(Assumptions!$C$3:$C$18=Forecasting_Best!$C$1),0))*J8</f>
        <v>3325</v>
      </c>
      <c r="D8" s="82">
        <f t="array" ref="D8">INDEX(Assumptions!$D$3:$D$18, MATCH(1, (Assumptions!$B$3:$B$18=Forecasting_Best!B8)*(Assumptions!$C$3:$C$18=Forecasting_Best!$C$1),0))</f>
        <v>700</v>
      </c>
      <c r="E8" s="82">
        <f t="array" ref="E8">INDEX(Assumptions!$E$3:$E$18, MATCH(1, (Assumptions!$B$3:$B$18=Forecasting_Best!B8)*(Assumptions!$C$3:$C$18=Forecasting_Best!$C$1),0))</f>
        <v>250</v>
      </c>
      <c r="F8" s="82">
        <f t="shared" si="0"/>
        <v>2327500</v>
      </c>
      <c r="G8" s="82">
        <f t="shared" si="1"/>
        <v>831250</v>
      </c>
      <c r="H8" s="82">
        <f t="shared" si="2"/>
        <v>1496250</v>
      </c>
      <c r="I8" s="83">
        <f t="shared" si="3"/>
        <v>0.6428571428571429</v>
      </c>
      <c r="J8" s="84">
        <f>VLOOKUP(A8,Seasonality!$B$4:$C$15,2,FALSE)</f>
        <v>0.95</v>
      </c>
    </row>
    <row r="9" spans="1:10" x14ac:dyDescent="0.25">
      <c r="A9" s="78" t="s">
        <v>40</v>
      </c>
      <c r="B9" s="65"/>
      <c r="C9" s="81">
        <f>SUM(C4:C8)</f>
        <v>10165</v>
      </c>
      <c r="D9" s="82"/>
      <c r="E9" s="82"/>
      <c r="F9" s="81">
        <f>SUM(F4:F8)</f>
        <v>19465500</v>
      </c>
      <c r="G9" s="81">
        <f t="shared" ref="G9:H9" si="4">SUM(G4:G8)</f>
        <v>10858500</v>
      </c>
      <c r="H9" s="81">
        <f t="shared" si="4"/>
        <v>8607000</v>
      </c>
      <c r="I9" s="83"/>
      <c r="J9" s="84"/>
    </row>
    <row r="10" spans="1:10" x14ac:dyDescent="0.25">
      <c r="A10" s="78" t="s">
        <v>30</v>
      </c>
      <c r="B10" s="65" t="s">
        <v>4</v>
      </c>
      <c r="C10" s="81">
        <f t="array" ref="C10">INDEX(Assumptions!$F$3:$F$18, MATCH(1, (Assumptions!$B$3:$B$18=Forecasting_Best!B10)*(Assumptions!$C$3:$C$18=Forecasting_Best!$C$1),0))*J10</f>
        <v>1800</v>
      </c>
      <c r="D10" s="82">
        <f t="array" ref="D10">INDEX(Assumptions!$D$3:$D$18, MATCH(1, (Assumptions!$B$3:$B$18=Forecasting_Best!B10)*(Assumptions!$C$3:$C$18=Forecasting_Best!$C$1),0))</f>
        <v>2700</v>
      </c>
      <c r="E10" s="82">
        <f t="array" ref="E10">INDEX(Assumptions!$E$3:$E$18, MATCH(1, (Assumptions!$B$3:$B$18=Forecasting_Best!B10)*(Assumptions!$C$3:$C$18=Forecasting_Best!$C$1),0))</f>
        <v>1650</v>
      </c>
      <c r="F10" s="82">
        <f t="shared" si="0"/>
        <v>4860000</v>
      </c>
      <c r="G10" s="82">
        <f t="shared" si="1"/>
        <v>2970000</v>
      </c>
      <c r="H10" s="82">
        <f t="shared" si="2"/>
        <v>1890000</v>
      </c>
      <c r="I10" s="83">
        <f t="shared" si="3"/>
        <v>0.3888888888888889</v>
      </c>
      <c r="J10" s="84">
        <f>VLOOKUP(A10,Seasonality!$B$4:$C$15,2,FALSE)</f>
        <v>0.9</v>
      </c>
    </row>
    <row r="11" spans="1:10" x14ac:dyDescent="0.25">
      <c r="A11" s="78" t="s">
        <v>30</v>
      </c>
      <c r="B11" s="65" t="s">
        <v>5</v>
      </c>
      <c r="C11" s="81">
        <f t="array" ref="C11">INDEX(Assumptions!$F$3:$F$18, MATCH(1, (Assumptions!$B$3:$B$18=Forecasting_Best!B11)*(Assumptions!$C$3:$C$18=Forecasting_Best!$C$1),0))*J11</f>
        <v>1170</v>
      </c>
      <c r="D11" s="82">
        <f t="array" ref="D11">INDEX(Assumptions!$D$3:$D$18, MATCH(1, (Assumptions!$B$3:$B$18=Forecasting_Best!B11)*(Assumptions!$C$3:$C$18=Forecasting_Best!$C$1),0))</f>
        <v>3800</v>
      </c>
      <c r="E11" s="82">
        <f t="array" ref="E11">INDEX(Assumptions!$E$3:$E$18, MATCH(1, (Assumptions!$B$3:$B$18=Forecasting_Best!B11)*(Assumptions!$C$3:$C$18=Forecasting_Best!$C$1),0))</f>
        <v>2500</v>
      </c>
      <c r="F11" s="82">
        <f t="shared" si="0"/>
        <v>4446000</v>
      </c>
      <c r="G11" s="82">
        <f t="shared" si="1"/>
        <v>2925000</v>
      </c>
      <c r="H11" s="82">
        <f t="shared" si="2"/>
        <v>1521000</v>
      </c>
      <c r="I11" s="83">
        <f t="shared" si="3"/>
        <v>0.34210526315789475</v>
      </c>
      <c r="J11" s="84">
        <f>VLOOKUP(A11,Seasonality!$B$4:$C$15,2,FALSE)</f>
        <v>0.9</v>
      </c>
    </row>
    <row r="12" spans="1:10" x14ac:dyDescent="0.25">
      <c r="A12" s="78" t="s">
        <v>30</v>
      </c>
      <c r="B12" s="65" t="s">
        <v>14</v>
      </c>
      <c r="C12" s="81">
        <f t="array" ref="C12">INDEX(Assumptions!$F$3:$F$18, MATCH(1, (Assumptions!$B$3:$B$18=Forecasting_Best!B12)*(Assumptions!$C$3:$C$18=Forecasting_Best!$C$1),0))*J12</f>
        <v>1260</v>
      </c>
      <c r="D12" s="82">
        <f t="array" ref="D12">INDEX(Assumptions!$D$3:$D$18, MATCH(1, (Assumptions!$B$3:$B$18=Forecasting_Best!B12)*(Assumptions!$C$3:$C$18=Forecasting_Best!$C$1),0))</f>
        <v>3000</v>
      </c>
      <c r="E12" s="82">
        <f t="array" ref="E12">INDEX(Assumptions!$E$3:$E$18, MATCH(1, (Assumptions!$B$3:$B$18=Forecasting_Best!B12)*(Assumptions!$C$3:$C$18=Forecasting_Best!$C$1),0))</f>
        <v>1700</v>
      </c>
      <c r="F12" s="82">
        <f t="shared" si="0"/>
        <v>3780000</v>
      </c>
      <c r="G12" s="82">
        <f t="shared" si="1"/>
        <v>2142000</v>
      </c>
      <c r="H12" s="82">
        <f t="shared" si="2"/>
        <v>1638000</v>
      </c>
      <c r="I12" s="83">
        <f t="shared" si="3"/>
        <v>0.43333333333333335</v>
      </c>
      <c r="J12" s="84">
        <f>VLOOKUP(A12,Seasonality!$B$4:$C$15,2,FALSE)</f>
        <v>0.9</v>
      </c>
    </row>
    <row r="13" spans="1:10" x14ac:dyDescent="0.25">
      <c r="A13" s="78" t="s">
        <v>30</v>
      </c>
      <c r="B13" s="65" t="s">
        <v>39</v>
      </c>
      <c r="C13" s="81">
        <f t="array" ref="C13">INDEX(Assumptions!$F$3:$F$18, MATCH(1, (Assumptions!$B$3:$B$18=Forecasting_Best!B13)*(Assumptions!$C$3:$C$18=Forecasting_Best!$C$1),0))*J13</f>
        <v>2250</v>
      </c>
      <c r="D13" s="82">
        <f t="array" ref="D13">INDEX(Assumptions!$D$3:$D$18, MATCH(1, (Assumptions!$B$3:$B$18=Forecasting_Best!B13)*(Assumptions!$C$3:$C$18=Forecasting_Best!$C$1),0))</f>
        <v>1400</v>
      </c>
      <c r="E13" s="82">
        <f t="array" ref="E13">INDEX(Assumptions!$E$3:$E$18, MATCH(1, (Assumptions!$B$3:$B$18=Forecasting_Best!B13)*(Assumptions!$C$3:$C$18=Forecasting_Best!$C$1),0))</f>
        <v>650</v>
      </c>
      <c r="F13" s="82">
        <f t="shared" si="0"/>
        <v>3150000</v>
      </c>
      <c r="G13" s="82">
        <f t="shared" si="1"/>
        <v>1462500</v>
      </c>
      <c r="H13" s="82">
        <f t="shared" si="2"/>
        <v>1687500</v>
      </c>
      <c r="I13" s="83">
        <f t="shared" si="3"/>
        <v>0.5357142857142857</v>
      </c>
      <c r="J13" s="84">
        <f>VLOOKUP(A13,Seasonality!$B$4:$C$15,2,FALSE)</f>
        <v>0.9</v>
      </c>
    </row>
    <row r="14" spans="1:10" x14ac:dyDescent="0.25">
      <c r="A14" s="78" t="s">
        <v>30</v>
      </c>
      <c r="B14" s="65" t="s">
        <v>6</v>
      </c>
      <c r="C14" s="81">
        <f t="array" ref="C14">INDEX(Assumptions!$F$3:$F$18, MATCH(1, (Assumptions!$B$3:$B$18=Forecasting_Best!B14)*(Assumptions!$C$3:$C$18=Forecasting_Best!$C$1),0))*J14</f>
        <v>3150</v>
      </c>
      <c r="D14" s="82">
        <f t="array" ref="D14">INDEX(Assumptions!$D$3:$D$18, MATCH(1, (Assumptions!$B$3:$B$18=Forecasting_Best!B14)*(Assumptions!$C$3:$C$18=Forecasting_Best!$C$1),0))</f>
        <v>700</v>
      </c>
      <c r="E14" s="82">
        <f t="array" ref="E14">INDEX(Assumptions!$E$3:$E$18, MATCH(1, (Assumptions!$B$3:$B$18=Forecasting_Best!B14)*(Assumptions!$C$3:$C$18=Forecasting_Best!$C$1),0))</f>
        <v>250</v>
      </c>
      <c r="F14" s="82">
        <f t="shared" si="0"/>
        <v>2205000</v>
      </c>
      <c r="G14" s="82">
        <f t="shared" si="1"/>
        <v>787500</v>
      </c>
      <c r="H14" s="82">
        <f t="shared" si="2"/>
        <v>1417500</v>
      </c>
      <c r="I14" s="83">
        <f t="shared" si="3"/>
        <v>0.6428571428571429</v>
      </c>
      <c r="J14" s="84">
        <f>VLOOKUP(A14,Seasonality!$B$4:$C$15,2,FALSE)</f>
        <v>0.9</v>
      </c>
    </row>
    <row r="15" spans="1:10" x14ac:dyDescent="0.25">
      <c r="A15" s="78" t="s">
        <v>40</v>
      </c>
      <c r="B15" s="65"/>
      <c r="C15" s="81">
        <f>SUM(C10:C14)</f>
        <v>9630</v>
      </c>
      <c r="D15" s="82"/>
      <c r="E15" s="82"/>
      <c r="F15" s="81">
        <f>SUM(F10:F14)</f>
        <v>18441000</v>
      </c>
      <c r="G15" s="81">
        <f t="shared" ref="G15" si="5">SUM(G10:G14)</f>
        <v>10287000</v>
      </c>
      <c r="H15" s="81">
        <f t="shared" ref="H15" si="6">SUM(H10:H14)</f>
        <v>8154000</v>
      </c>
      <c r="I15" s="83"/>
      <c r="J15" s="84"/>
    </row>
    <row r="16" spans="1:10" x14ac:dyDescent="0.25">
      <c r="A16" s="78" t="s">
        <v>31</v>
      </c>
      <c r="B16" s="65" t="s">
        <v>4</v>
      </c>
      <c r="C16" s="81">
        <f t="array" ref="C16">INDEX(Assumptions!$F$3:$F$18, MATCH(1, (Assumptions!$B$3:$B$18=Forecasting_Best!B16)*(Assumptions!$C$3:$C$18=Forecasting_Best!$C$1),0))*J16</f>
        <v>2100</v>
      </c>
      <c r="D16" s="82">
        <f t="array" ref="D16">INDEX(Assumptions!$D$3:$D$18, MATCH(1, (Assumptions!$B$3:$B$18=Forecasting_Best!B16)*(Assumptions!$C$3:$C$18=Forecasting_Best!$C$1),0))</f>
        <v>2700</v>
      </c>
      <c r="E16" s="82">
        <f t="array" ref="E16">INDEX(Assumptions!$E$3:$E$18, MATCH(1, (Assumptions!$B$3:$B$18=Forecasting_Best!B16)*(Assumptions!$C$3:$C$18=Forecasting_Best!$C$1),0))</f>
        <v>1650</v>
      </c>
      <c r="F16" s="82">
        <f t="shared" si="0"/>
        <v>5670000</v>
      </c>
      <c r="G16" s="82">
        <f t="shared" si="1"/>
        <v>3465000</v>
      </c>
      <c r="H16" s="82">
        <f t="shared" si="2"/>
        <v>2205000</v>
      </c>
      <c r="I16" s="83">
        <f t="shared" si="3"/>
        <v>0.3888888888888889</v>
      </c>
      <c r="J16" s="84">
        <f>VLOOKUP(A16,Seasonality!$B$4:$C$15,2,FALSE)</f>
        <v>1.05</v>
      </c>
    </row>
    <row r="17" spans="1:10" x14ac:dyDescent="0.25">
      <c r="A17" s="78" t="s">
        <v>31</v>
      </c>
      <c r="B17" s="65" t="s">
        <v>5</v>
      </c>
      <c r="C17" s="81">
        <f t="array" ref="C17">INDEX(Assumptions!$F$3:$F$18, MATCH(1, (Assumptions!$B$3:$B$18=Forecasting_Best!B17)*(Assumptions!$C$3:$C$18=Forecasting_Best!$C$1),0))*J17</f>
        <v>1365</v>
      </c>
      <c r="D17" s="82">
        <f t="array" ref="D17">INDEX(Assumptions!$D$3:$D$18, MATCH(1, (Assumptions!$B$3:$B$18=Forecasting_Best!B17)*(Assumptions!$C$3:$C$18=Forecasting_Best!$C$1),0))</f>
        <v>3800</v>
      </c>
      <c r="E17" s="82">
        <f t="array" ref="E17">INDEX(Assumptions!$E$3:$E$18, MATCH(1, (Assumptions!$B$3:$B$18=Forecasting_Best!B17)*(Assumptions!$C$3:$C$18=Forecasting_Best!$C$1),0))</f>
        <v>2500</v>
      </c>
      <c r="F17" s="82">
        <f t="shared" si="0"/>
        <v>5187000</v>
      </c>
      <c r="G17" s="82">
        <f t="shared" si="1"/>
        <v>3412500</v>
      </c>
      <c r="H17" s="82">
        <f t="shared" si="2"/>
        <v>1774500</v>
      </c>
      <c r="I17" s="83">
        <f t="shared" si="3"/>
        <v>0.34210526315789475</v>
      </c>
      <c r="J17" s="84">
        <f>VLOOKUP(A17,Seasonality!$B$4:$C$15,2,FALSE)</f>
        <v>1.05</v>
      </c>
    </row>
    <row r="18" spans="1:10" x14ac:dyDescent="0.25">
      <c r="A18" s="78" t="s">
        <v>31</v>
      </c>
      <c r="B18" s="65" t="s">
        <v>14</v>
      </c>
      <c r="C18" s="81">
        <f t="array" ref="C18">INDEX(Assumptions!$F$3:$F$18, MATCH(1, (Assumptions!$B$3:$B$18=Forecasting_Best!B18)*(Assumptions!$C$3:$C$18=Forecasting_Best!$C$1),0))*J18</f>
        <v>1470</v>
      </c>
      <c r="D18" s="82">
        <f t="array" ref="D18">INDEX(Assumptions!$D$3:$D$18, MATCH(1, (Assumptions!$B$3:$B$18=Forecasting_Best!B18)*(Assumptions!$C$3:$C$18=Forecasting_Best!$C$1),0))</f>
        <v>3000</v>
      </c>
      <c r="E18" s="82">
        <f t="array" ref="E18">INDEX(Assumptions!$E$3:$E$18, MATCH(1, (Assumptions!$B$3:$B$18=Forecasting_Best!B18)*(Assumptions!$C$3:$C$18=Forecasting_Best!$C$1),0))</f>
        <v>1700</v>
      </c>
      <c r="F18" s="82">
        <f t="shared" si="0"/>
        <v>4410000</v>
      </c>
      <c r="G18" s="82">
        <f t="shared" si="1"/>
        <v>2499000</v>
      </c>
      <c r="H18" s="82">
        <f t="shared" si="2"/>
        <v>1911000</v>
      </c>
      <c r="I18" s="83">
        <f t="shared" si="3"/>
        <v>0.43333333333333335</v>
      </c>
      <c r="J18" s="84">
        <f>VLOOKUP(A18,Seasonality!$B$4:$C$15,2,FALSE)</f>
        <v>1.05</v>
      </c>
    </row>
    <row r="19" spans="1:10" x14ac:dyDescent="0.25">
      <c r="A19" s="78" t="s">
        <v>31</v>
      </c>
      <c r="B19" s="65" t="s">
        <v>39</v>
      </c>
      <c r="C19" s="81">
        <f t="array" ref="C19">INDEX(Assumptions!$F$3:$F$18, MATCH(1, (Assumptions!$B$3:$B$18=Forecasting_Best!B19)*(Assumptions!$C$3:$C$18=Forecasting_Best!$C$1),0))*J19</f>
        <v>2625</v>
      </c>
      <c r="D19" s="82">
        <f t="array" ref="D19">INDEX(Assumptions!$D$3:$D$18, MATCH(1, (Assumptions!$B$3:$B$18=Forecasting_Best!B19)*(Assumptions!$C$3:$C$18=Forecasting_Best!$C$1),0))</f>
        <v>1400</v>
      </c>
      <c r="E19" s="82">
        <f t="array" ref="E19">INDEX(Assumptions!$E$3:$E$18, MATCH(1, (Assumptions!$B$3:$B$18=Forecasting_Best!B19)*(Assumptions!$C$3:$C$18=Forecasting_Best!$C$1),0))</f>
        <v>650</v>
      </c>
      <c r="F19" s="82">
        <f t="shared" si="0"/>
        <v>3675000</v>
      </c>
      <c r="G19" s="82">
        <f t="shared" si="1"/>
        <v>1706250</v>
      </c>
      <c r="H19" s="82">
        <f t="shared" si="2"/>
        <v>1968750</v>
      </c>
      <c r="I19" s="83">
        <f t="shared" si="3"/>
        <v>0.5357142857142857</v>
      </c>
      <c r="J19" s="84">
        <f>VLOOKUP(A19,Seasonality!$B$4:$C$15,2,FALSE)</f>
        <v>1.05</v>
      </c>
    </row>
    <row r="20" spans="1:10" x14ac:dyDescent="0.25">
      <c r="A20" s="78" t="s">
        <v>31</v>
      </c>
      <c r="B20" s="65" t="s">
        <v>6</v>
      </c>
      <c r="C20" s="81">
        <f t="array" ref="C20">INDEX(Assumptions!$F$3:$F$18, MATCH(1, (Assumptions!$B$3:$B$18=Forecasting_Best!B20)*(Assumptions!$C$3:$C$18=Forecasting_Best!$C$1),0))*J20</f>
        <v>3675</v>
      </c>
      <c r="D20" s="82">
        <f t="array" ref="D20">INDEX(Assumptions!$D$3:$D$18, MATCH(1, (Assumptions!$B$3:$B$18=Forecasting_Best!B20)*(Assumptions!$C$3:$C$18=Forecasting_Best!$C$1),0))</f>
        <v>700</v>
      </c>
      <c r="E20" s="82">
        <f t="array" ref="E20">INDEX(Assumptions!$E$3:$E$18, MATCH(1, (Assumptions!$B$3:$B$18=Forecasting_Best!B20)*(Assumptions!$C$3:$C$18=Forecasting_Best!$C$1),0))</f>
        <v>250</v>
      </c>
      <c r="F20" s="82">
        <f t="shared" si="0"/>
        <v>2572500</v>
      </c>
      <c r="G20" s="82">
        <f t="shared" si="1"/>
        <v>918750</v>
      </c>
      <c r="H20" s="82">
        <f t="shared" si="2"/>
        <v>1653750</v>
      </c>
      <c r="I20" s="83">
        <f t="shared" si="3"/>
        <v>0.6428571428571429</v>
      </c>
      <c r="J20" s="84">
        <f>VLOOKUP(A20,Seasonality!$B$4:$C$15,2,FALSE)</f>
        <v>1.05</v>
      </c>
    </row>
    <row r="21" spans="1:10" x14ac:dyDescent="0.25">
      <c r="A21" s="78" t="s">
        <v>40</v>
      </c>
      <c r="B21" s="65"/>
      <c r="C21" s="81">
        <f>SUM(C16:C20)</f>
        <v>11235</v>
      </c>
      <c r="D21" s="82"/>
      <c r="E21" s="82"/>
      <c r="F21" s="81">
        <f>SUM(F16:F20)</f>
        <v>21514500</v>
      </c>
      <c r="G21" s="81">
        <f t="shared" ref="G21" si="7">SUM(G16:G20)</f>
        <v>12001500</v>
      </c>
      <c r="H21" s="81">
        <f t="shared" ref="H21" si="8">SUM(H16:H20)</f>
        <v>9513000</v>
      </c>
      <c r="I21" s="83"/>
      <c r="J21" s="84"/>
    </row>
    <row r="22" spans="1:10" x14ac:dyDescent="0.25">
      <c r="A22" s="78" t="s">
        <v>32</v>
      </c>
      <c r="B22" s="65" t="s">
        <v>4</v>
      </c>
      <c r="C22" s="81">
        <f t="array" ref="C22">INDEX(Assumptions!$F$3:$F$18, MATCH(1, (Assumptions!$B$3:$B$18=Forecasting_Best!B22)*(Assumptions!$C$3:$C$18=Forecasting_Best!$C$1),0))*J22</f>
        <v>2200</v>
      </c>
      <c r="D22" s="82">
        <f t="array" ref="D22">INDEX(Assumptions!$D$3:$D$18, MATCH(1, (Assumptions!$B$3:$B$18=Forecasting_Best!B22)*(Assumptions!$C$3:$C$18=Forecasting_Best!$C$1),0))</f>
        <v>2700</v>
      </c>
      <c r="E22" s="82">
        <f t="array" ref="E22">INDEX(Assumptions!$E$3:$E$18, MATCH(1, (Assumptions!$B$3:$B$18=Forecasting_Best!B22)*(Assumptions!$C$3:$C$18=Forecasting_Best!$C$1),0))</f>
        <v>1650</v>
      </c>
      <c r="F22" s="82">
        <f t="shared" si="0"/>
        <v>5940000</v>
      </c>
      <c r="G22" s="82">
        <f t="shared" si="1"/>
        <v>3630000</v>
      </c>
      <c r="H22" s="82">
        <f t="shared" si="2"/>
        <v>2310000</v>
      </c>
      <c r="I22" s="83">
        <f t="shared" si="3"/>
        <v>0.3888888888888889</v>
      </c>
      <c r="J22" s="84">
        <f>VLOOKUP(A22,Seasonality!$B$4:$C$15,2,FALSE)</f>
        <v>1.1000000000000001</v>
      </c>
    </row>
    <row r="23" spans="1:10" x14ac:dyDescent="0.25">
      <c r="A23" s="78" t="s">
        <v>32</v>
      </c>
      <c r="B23" s="65" t="s">
        <v>5</v>
      </c>
      <c r="C23" s="81">
        <f t="array" ref="C23">INDEX(Assumptions!$F$3:$F$18, MATCH(1, (Assumptions!$B$3:$B$18=Forecasting_Best!B23)*(Assumptions!$C$3:$C$18=Forecasting_Best!$C$1),0))*J23</f>
        <v>1430.0000000000002</v>
      </c>
      <c r="D23" s="82">
        <f t="array" ref="D23">INDEX(Assumptions!$D$3:$D$18, MATCH(1, (Assumptions!$B$3:$B$18=Forecasting_Best!B23)*(Assumptions!$C$3:$C$18=Forecasting_Best!$C$1),0))</f>
        <v>3800</v>
      </c>
      <c r="E23" s="82">
        <f t="array" ref="E23">INDEX(Assumptions!$E$3:$E$18, MATCH(1, (Assumptions!$B$3:$B$18=Forecasting_Best!B23)*(Assumptions!$C$3:$C$18=Forecasting_Best!$C$1),0))</f>
        <v>2500</v>
      </c>
      <c r="F23" s="82">
        <f t="shared" si="0"/>
        <v>5434000.0000000009</v>
      </c>
      <c r="G23" s="82">
        <f t="shared" si="1"/>
        <v>3575000.0000000005</v>
      </c>
      <c r="H23" s="82">
        <f t="shared" si="2"/>
        <v>1859000.0000000005</v>
      </c>
      <c r="I23" s="83">
        <f t="shared" si="3"/>
        <v>0.34210526315789475</v>
      </c>
      <c r="J23" s="84">
        <f>VLOOKUP(A23,Seasonality!$B$4:$C$15,2,FALSE)</f>
        <v>1.1000000000000001</v>
      </c>
    </row>
    <row r="24" spans="1:10" x14ac:dyDescent="0.25">
      <c r="A24" s="78" t="s">
        <v>32</v>
      </c>
      <c r="B24" s="65" t="s">
        <v>14</v>
      </c>
      <c r="C24" s="81">
        <f t="array" ref="C24">INDEX(Assumptions!$F$3:$F$18, MATCH(1, (Assumptions!$B$3:$B$18=Forecasting_Best!B24)*(Assumptions!$C$3:$C$18=Forecasting_Best!$C$1),0))*J24</f>
        <v>1540.0000000000002</v>
      </c>
      <c r="D24" s="82">
        <f t="array" ref="D24">INDEX(Assumptions!$D$3:$D$18, MATCH(1, (Assumptions!$B$3:$B$18=Forecasting_Best!B24)*(Assumptions!$C$3:$C$18=Forecasting_Best!$C$1),0))</f>
        <v>3000</v>
      </c>
      <c r="E24" s="82">
        <f t="array" ref="E24">INDEX(Assumptions!$E$3:$E$18, MATCH(1, (Assumptions!$B$3:$B$18=Forecasting_Best!B24)*(Assumptions!$C$3:$C$18=Forecasting_Best!$C$1),0))</f>
        <v>1700</v>
      </c>
      <c r="F24" s="82">
        <f t="shared" si="0"/>
        <v>4620000.0000000009</v>
      </c>
      <c r="G24" s="82">
        <f t="shared" si="1"/>
        <v>2618000.0000000005</v>
      </c>
      <c r="H24" s="82">
        <f t="shared" si="2"/>
        <v>2002000.0000000005</v>
      </c>
      <c r="I24" s="83">
        <f t="shared" si="3"/>
        <v>0.43333333333333335</v>
      </c>
      <c r="J24" s="84">
        <f>VLOOKUP(A24,Seasonality!$B$4:$C$15,2,FALSE)</f>
        <v>1.1000000000000001</v>
      </c>
    </row>
    <row r="25" spans="1:10" x14ac:dyDescent="0.25">
      <c r="A25" s="78" t="s">
        <v>32</v>
      </c>
      <c r="B25" s="65" t="s">
        <v>39</v>
      </c>
      <c r="C25" s="81">
        <f t="array" ref="C25">INDEX(Assumptions!$F$3:$F$18, MATCH(1, (Assumptions!$B$3:$B$18=Forecasting_Best!B25)*(Assumptions!$C$3:$C$18=Forecasting_Best!$C$1),0))*J25</f>
        <v>2750</v>
      </c>
      <c r="D25" s="82">
        <f t="array" ref="D25">INDEX(Assumptions!$D$3:$D$18, MATCH(1, (Assumptions!$B$3:$B$18=Forecasting_Best!B25)*(Assumptions!$C$3:$C$18=Forecasting_Best!$C$1),0))</f>
        <v>1400</v>
      </c>
      <c r="E25" s="82">
        <f t="array" ref="E25">INDEX(Assumptions!$E$3:$E$18, MATCH(1, (Assumptions!$B$3:$B$18=Forecasting_Best!B25)*(Assumptions!$C$3:$C$18=Forecasting_Best!$C$1),0))</f>
        <v>650</v>
      </c>
      <c r="F25" s="82">
        <f t="shared" si="0"/>
        <v>3850000</v>
      </c>
      <c r="G25" s="82">
        <f t="shared" si="1"/>
        <v>1787500</v>
      </c>
      <c r="H25" s="82">
        <f t="shared" si="2"/>
        <v>2062500</v>
      </c>
      <c r="I25" s="83">
        <f t="shared" si="3"/>
        <v>0.5357142857142857</v>
      </c>
      <c r="J25" s="84">
        <f>VLOOKUP(A25,Seasonality!$B$4:$C$15,2,FALSE)</f>
        <v>1.1000000000000001</v>
      </c>
    </row>
    <row r="26" spans="1:10" x14ac:dyDescent="0.25">
      <c r="A26" s="78" t="s">
        <v>32</v>
      </c>
      <c r="B26" s="65" t="s">
        <v>6</v>
      </c>
      <c r="C26" s="81">
        <f t="array" ref="C26">INDEX(Assumptions!$F$3:$F$18, MATCH(1, (Assumptions!$B$3:$B$18=Forecasting_Best!B26)*(Assumptions!$C$3:$C$18=Forecasting_Best!$C$1),0))*J26</f>
        <v>3850.0000000000005</v>
      </c>
      <c r="D26" s="82">
        <f t="array" ref="D26">INDEX(Assumptions!$D$3:$D$18, MATCH(1, (Assumptions!$B$3:$B$18=Forecasting_Best!B26)*(Assumptions!$C$3:$C$18=Forecasting_Best!$C$1),0))</f>
        <v>700</v>
      </c>
      <c r="E26" s="82">
        <f t="array" ref="E26">INDEX(Assumptions!$E$3:$E$18, MATCH(1, (Assumptions!$B$3:$B$18=Forecasting_Best!B26)*(Assumptions!$C$3:$C$18=Forecasting_Best!$C$1),0))</f>
        <v>250</v>
      </c>
      <c r="F26" s="82">
        <f t="shared" si="0"/>
        <v>2695000.0000000005</v>
      </c>
      <c r="G26" s="82">
        <f t="shared" si="1"/>
        <v>962500.00000000012</v>
      </c>
      <c r="H26" s="82">
        <f t="shared" si="2"/>
        <v>1732500.0000000005</v>
      </c>
      <c r="I26" s="83">
        <f t="shared" si="3"/>
        <v>0.6428571428571429</v>
      </c>
      <c r="J26" s="84">
        <f>VLOOKUP(A26,Seasonality!$B$4:$C$15,2,FALSE)</f>
        <v>1.1000000000000001</v>
      </c>
    </row>
    <row r="27" spans="1:10" x14ac:dyDescent="0.25">
      <c r="A27" s="78" t="s">
        <v>40</v>
      </c>
      <c r="B27" s="65"/>
      <c r="C27" s="81">
        <f>SUM(C22:C26)</f>
        <v>11770</v>
      </c>
      <c r="D27" s="82"/>
      <c r="E27" s="82"/>
      <c r="F27" s="81">
        <f>SUM(F22:F26)</f>
        <v>22539000</v>
      </c>
      <c r="G27" s="81">
        <f t="shared" ref="G27" si="9">SUM(G22:G26)</f>
        <v>12573000</v>
      </c>
      <c r="H27" s="81">
        <f t="shared" ref="H27" si="10">SUM(H22:H26)</f>
        <v>9966000.0000000019</v>
      </c>
      <c r="I27" s="83"/>
      <c r="J27" s="84"/>
    </row>
    <row r="28" spans="1:10" x14ac:dyDescent="0.25">
      <c r="A28" s="78" t="s">
        <v>27</v>
      </c>
      <c r="B28" s="65" t="s">
        <v>4</v>
      </c>
      <c r="C28" s="81">
        <f t="array" ref="C28">INDEX(Assumptions!$F$3:$F$18, MATCH(1, (Assumptions!$B$3:$B$18=Forecasting_Best!B28)*(Assumptions!$C$3:$C$18=Forecasting_Best!$C$1),0))*J28</f>
        <v>2400</v>
      </c>
      <c r="D28" s="82">
        <f t="array" ref="D28">INDEX(Assumptions!$D$3:$D$18, MATCH(1, (Assumptions!$B$3:$B$18=Forecasting_Best!B28)*(Assumptions!$C$3:$C$18=Forecasting_Best!$C$1),0))</f>
        <v>2700</v>
      </c>
      <c r="E28" s="82">
        <f t="array" ref="E28">INDEX(Assumptions!$E$3:$E$18, MATCH(1, (Assumptions!$B$3:$B$18=Forecasting_Best!B28)*(Assumptions!$C$3:$C$18=Forecasting_Best!$C$1),0))</f>
        <v>1650</v>
      </c>
      <c r="F28" s="82">
        <f t="shared" si="0"/>
        <v>6480000</v>
      </c>
      <c r="G28" s="82">
        <f t="shared" si="1"/>
        <v>3960000</v>
      </c>
      <c r="H28" s="82">
        <f t="shared" si="2"/>
        <v>2520000</v>
      </c>
      <c r="I28" s="83">
        <f t="shared" si="3"/>
        <v>0.3888888888888889</v>
      </c>
      <c r="J28" s="84">
        <f>VLOOKUP(A28,Seasonality!$B$4:$C$15,2,FALSE)</f>
        <v>1.2</v>
      </c>
    </row>
    <row r="29" spans="1:10" x14ac:dyDescent="0.25">
      <c r="A29" s="78" t="s">
        <v>27</v>
      </c>
      <c r="B29" s="65" t="s">
        <v>5</v>
      </c>
      <c r="C29" s="81">
        <f t="array" ref="C29">INDEX(Assumptions!$F$3:$F$18, MATCH(1, (Assumptions!$B$3:$B$18=Forecasting_Best!B29)*(Assumptions!$C$3:$C$18=Forecasting_Best!$C$1),0))*J29</f>
        <v>1560</v>
      </c>
      <c r="D29" s="82">
        <f t="array" ref="D29">INDEX(Assumptions!$D$3:$D$18, MATCH(1, (Assumptions!$B$3:$B$18=Forecasting_Best!B29)*(Assumptions!$C$3:$C$18=Forecasting_Best!$C$1),0))</f>
        <v>3800</v>
      </c>
      <c r="E29" s="82">
        <f t="array" ref="E29">INDEX(Assumptions!$E$3:$E$18, MATCH(1, (Assumptions!$B$3:$B$18=Forecasting_Best!B29)*(Assumptions!$C$3:$C$18=Forecasting_Best!$C$1),0))</f>
        <v>2500</v>
      </c>
      <c r="F29" s="82">
        <f t="shared" si="0"/>
        <v>5928000</v>
      </c>
      <c r="G29" s="82">
        <f t="shared" si="1"/>
        <v>3900000</v>
      </c>
      <c r="H29" s="82">
        <f t="shared" si="2"/>
        <v>2028000</v>
      </c>
      <c r="I29" s="83">
        <f t="shared" si="3"/>
        <v>0.34210526315789475</v>
      </c>
      <c r="J29" s="84">
        <f>VLOOKUP(A29,Seasonality!$B$4:$C$15,2,FALSE)</f>
        <v>1.2</v>
      </c>
    </row>
    <row r="30" spans="1:10" x14ac:dyDescent="0.25">
      <c r="A30" s="78" t="s">
        <v>27</v>
      </c>
      <c r="B30" s="65" t="s">
        <v>14</v>
      </c>
      <c r="C30" s="81">
        <f t="array" ref="C30">INDEX(Assumptions!$F$3:$F$18, MATCH(1, (Assumptions!$B$3:$B$18=Forecasting_Best!B30)*(Assumptions!$C$3:$C$18=Forecasting_Best!$C$1),0))*J30</f>
        <v>1680</v>
      </c>
      <c r="D30" s="82">
        <f t="array" ref="D30">INDEX(Assumptions!$D$3:$D$18, MATCH(1, (Assumptions!$B$3:$B$18=Forecasting_Best!B30)*(Assumptions!$C$3:$C$18=Forecasting_Best!$C$1),0))</f>
        <v>3000</v>
      </c>
      <c r="E30" s="82">
        <f t="array" ref="E30">INDEX(Assumptions!$E$3:$E$18, MATCH(1, (Assumptions!$B$3:$B$18=Forecasting_Best!B30)*(Assumptions!$C$3:$C$18=Forecasting_Best!$C$1),0))</f>
        <v>1700</v>
      </c>
      <c r="F30" s="82">
        <f t="shared" si="0"/>
        <v>5040000</v>
      </c>
      <c r="G30" s="82">
        <f t="shared" si="1"/>
        <v>2856000</v>
      </c>
      <c r="H30" s="82">
        <f t="shared" si="2"/>
        <v>2184000</v>
      </c>
      <c r="I30" s="83">
        <f t="shared" si="3"/>
        <v>0.43333333333333335</v>
      </c>
      <c r="J30" s="84">
        <f>VLOOKUP(A30,Seasonality!$B$4:$C$15,2,FALSE)</f>
        <v>1.2</v>
      </c>
    </row>
    <row r="31" spans="1:10" x14ac:dyDescent="0.25">
      <c r="A31" s="78" t="s">
        <v>27</v>
      </c>
      <c r="B31" s="65" t="s">
        <v>39</v>
      </c>
      <c r="C31" s="81">
        <f t="array" ref="C31">INDEX(Assumptions!$F$3:$F$18, MATCH(1, (Assumptions!$B$3:$B$18=Forecasting_Best!B31)*(Assumptions!$C$3:$C$18=Forecasting_Best!$C$1),0))*J31</f>
        <v>3000</v>
      </c>
      <c r="D31" s="82">
        <f t="array" ref="D31">INDEX(Assumptions!$D$3:$D$18, MATCH(1, (Assumptions!$B$3:$B$18=Forecasting_Best!B31)*(Assumptions!$C$3:$C$18=Forecasting_Best!$C$1),0))</f>
        <v>1400</v>
      </c>
      <c r="E31" s="82">
        <f t="array" ref="E31">INDEX(Assumptions!$E$3:$E$18, MATCH(1, (Assumptions!$B$3:$B$18=Forecasting_Best!B31)*(Assumptions!$C$3:$C$18=Forecasting_Best!$C$1),0))</f>
        <v>650</v>
      </c>
      <c r="F31" s="82">
        <f t="shared" si="0"/>
        <v>4200000</v>
      </c>
      <c r="G31" s="82">
        <f t="shared" si="1"/>
        <v>1950000</v>
      </c>
      <c r="H31" s="82">
        <f t="shared" si="2"/>
        <v>2250000</v>
      </c>
      <c r="I31" s="83">
        <f t="shared" si="3"/>
        <v>0.5357142857142857</v>
      </c>
      <c r="J31" s="84">
        <f>VLOOKUP(A31,Seasonality!$B$4:$C$15,2,FALSE)</f>
        <v>1.2</v>
      </c>
    </row>
    <row r="32" spans="1:10" x14ac:dyDescent="0.25">
      <c r="A32" s="78" t="s">
        <v>27</v>
      </c>
      <c r="B32" s="65" t="s">
        <v>6</v>
      </c>
      <c r="C32" s="81">
        <f t="array" ref="C32">INDEX(Assumptions!$F$3:$F$18, MATCH(1, (Assumptions!$B$3:$B$18=Forecasting_Best!B32)*(Assumptions!$C$3:$C$18=Forecasting_Best!$C$1),0))*J32</f>
        <v>4200</v>
      </c>
      <c r="D32" s="82">
        <f t="array" ref="D32">INDEX(Assumptions!$D$3:$D$18, MATCH(1, (Assumptions!$B$3:$B$18=Forecasting_Best!B32)*(Assumptions!$C$3:$C$18=Forecasting_Best!$C$1),0))</f>
        <v>700</v>
      </c>
      <c r="E32" s="82">
        <f t="array" ref="E32">INDEX(Assumptions!$E$3:$E$18, MATCH(1, (Assumptions!$B$3:$B$18=Forecasting_Best!B32)*(Assumptions!$C$3:$C$18=Forecasting_Best!$C$1),0))</f>
        <v>250</v>
      </c>
      <c r="F32" s="82">
        <f t="shared" si="0"/>
        <v>2940000</v>
      </c>
      <c r="G32" s="82">
        <f t="shared" si="1"/>
        <v>1050000</v>
      </c>
      <c r="H32" s="82">
        <f t="shared" si="2"/>
        <v>1890000</v>
      </c>
      <c r="I32" s="83">
        <f t="shared" si="3"/>
        <v>0.6428571428571429</v>
      </c>
      <c r="J32" s="84">
        <f>VLOOKUP(A32,Seasonality!$B$4:$C$15,2,FALSE)</f>
        <v>1.2</v>
      </c>
    </row>
    <row r="33" spans="1:10" x14ac:dyDescent="0.25">
      <c r="A33" s="78" t="s">
        <v>40</v>
      </c>
      <c r="B33" s="65"/>
      <c r="C33" s="81">
        <f>SUM(C28:C32)</f>
        <v>12840</v>
      </c>
      <c r="D33" s="82"/>
      <c r="E33" s="82"/>
      <c r="F33" s="81">
        <f>SUM(F28:F32)</f>
        <v>24588000</v>
      </c>
      <c r="G33" s="81">
        <f t="shared" ref="G33" si="11">SUM(G28:G32)</f>
        <v>13716000</v>
      </c>
      <c r="H33" s="81">
        <f t="shared" ref="H33" si="12">SUM(H28:H32)</f>
        <v>10872000</v>
      </c>
      <c r="I33" s="83"/>
      <c r="J33" s="84"/>
    </row>
    <row r="34" spans="1:10" x14ac:dyDescent="0.25">
      <c r="A34" s="78" t="s">
        <v>33</v>
      </c>
      <c r="B34" s="65" t="s">
        <v>4</v>
      </c>
      <c r="C34" s="81">
        <f t="array" ref="C34">INDEX(Assumptions!$F$3:$F$18, MATCH(1, (Assumptions!$B$3:$B$18=Forecasting_Best!B34)*(Assumptions!$C$3:$C$18=Forecasting_Best!$C$1),0))*J34</f>
        <v>2300</v>
      </c>
      <c r="D34" s="82">
        <f t="array" ref="D34">INDEX(Assumptions!$D$3:$D$18, MATCH(1, (Assumptions!$B$3:$B$18=Forecasting_Best!B34)*(Assumptions!$C$3:$C$18=Forecasting_Best!$C$1),0))</f>
        <v>2700</v>
      </c>
      <c r="E34" s="82">
        <f t="array" ref="E34">INDEX(Assumptions!$E$3:$E$18, MATCH(1, (Assumptions!$B$3:$B$18=Forecasting_Best!B34)*(Assumptions!$C$3:$C$18=Forecasting_Best!$C$1),0))</f>
        <v>1650</v>
      </c>
      <c r="F34" s="82">
        <f t="shared" si="0"/>
        <v>6210000</v>
      </c>
      <c r="G34" s="82">
        <f t="shared" si="1"/>
        <v>3795000</v>
      </c>
      <c r="H34" s="82">
        <f t="shared" si="2"/>
        <v>2415000</v>
      </c>
      <c r="I34" s="83">
        <f t="shared" si="3"/>
        <v>0.3888888888888889</v>
      </c>
      <c r="J34" s="84">
        <f>VLOOKUP(A34,Seasonality!$B$4:$C$15,2,FALSE)</f>
        <v>1.1499999999999999</v>
      </c>
    </row>
    <row r="35" spans="1:10" x14ac:dyDescent="0.25">
      <c r="A35" s="78" t="s">
        <v>33</v>
      </c>
      <c r="B35" s="65" t="s">
        <v>5</v>
      </c>
      <c r="C35" s="81">
        <f t="array" ref="C35">INDEX(Assumptions!$F$3:$F$18, MATCH(1, (Assumptions!$B$3:$B$18=Forecasting_Best!B35)*(Assumptions!$C$3:$C$18=Forecasting_Best!$C$1),0))*J35</f>
        <v>1494.9999999999998</v>
      </c>
      <c r="D35" s="82">
        <f t="array" ref="D35">INDEX(Assumptions!$D$3:$D$18, MATCH(1, (Assumptions!$B$3:$B$18=Forecasting_Best!B35)*(Assumptions!$C$3:$C$18=Forecasting_Best!$C$1),0))</f>
        <v>3800</v>
      </c>
      <c r="E35" s="82">
        <f t="array" ref="E35">INDEX(Assumptions!$E$3:$E$18, MATCH(1, (Assumptions!$B$3:$B$18=Forecasting_Best!B35)*(Assumptions!$C$3:$C$18=Forecasting_Best!$C$1),0))</f>
        <v>2500</v>
      </c>
      <c r="F35" s="82">
        <f t="shared" si="0"/>
        <v>5680999.9999999991</v>
      </c>
      <c r="G35" s="82">
        <f t="shared" si="1"/>
        <v>3737499.9999999995</v>
      </c>
      <c r="H35" s="82">
        <f t="shared" si="2"/>
        <v>1943499.9999999995</v>
      </c>
      <c r="I35" s="83">
        <f t="shared" si="3"/>
        <v>0.34210526315789469</v>
      </c>
      <c r="J35" s="84">
        <f>VLOOKUP(A35,Seasonality!$B$4:$C$15,2,FALSE)</f>
        <v>1.1499999999999999</v>
      </c>
    </row>
    <row r="36" spans="1:10" x14ac:dyDescent="0.25">
      <c r="A36" s="78" t="s">
        <v>33</v>
      </c>
      <c r="B36" s="65" t="s">
        <v>14</v>
      </c>
      <c r="C36" s="81">
        <f t="array" ref="C36">INDEX(Assumptions!$F$3:$F$18, MATCH(1, (Assumptions!$B$3:$B$18=Forecasting_Best!B36)*(Assumptions!$C$3:$C$18=Forecasting_Best!$C$1),0))*J36</f>
        <v>1609.9999999999998</v>
      </c>
      <c r="D36" s="82">
        <f t="array" ref="D36">INDEX(Assumptions!$D$3:$D$18, MATCH(1, (Assumptions!$B$3:$B$18=Forecasting_Best!B36)*(Assumptions!$C$3:$C$18=Forecasting_Best!$C$1),0))</f>
        <v>3000</v>
      </c>
      <c r="E36" s="82">
        <f t="array" ref="E36">INDEX(Assumptions!$E$3:$E$18, MATCH(1, (Assumptions!$B$3:$B$18=Forecasting_Best!B36)*(Assumptions!$C$3:$C$18=Forecasting_Best!$C$1),0))</f>
        <v>1700</v>
      </c>
      <c r="F36" s="82">
        <f t="shared" si="0"/>
        <v>4829999.9999999991</v>
      </c>
      <c r="G36" s="82">
        <f t="shared" si="1"/>
        <v>2736999.9999999995</v>
      </c>
      <c r="H36" s="82">
        <f t="shared" si="2"/>
        <v>2092999.9999999995</v>
      </c>
      <c r="I36" s="83">
        <f t="shared" si="3"/>
        <v>0.43333333333333335</v>
      </c>
      <c r="J36" s="84">
        <f>VLOOKUP(A36,Seasonality!$B$4:$C$15,2,FALSE)</f>
        <v>1.1499999999999999</v>
      </c>
    </row>
    <row r="37" spans="1:10" x14ac:dyDescent="0.25">
      <c r="A37" s="78" t="s">
        <v>33</v>
      </c>
      <c r="B37" s="65" t="s">
        <v>39</v>
      </c>
      <c r="C37" s="81">
        <f t="array" ref="C37">INDEX(Assumptions!$F$3:$F$18, MATCH(1, (Assumptions!$B$3:$B$18=Forecasting_Best!B37)*(Assumptions!$C$3:$C$18=Forecasting_Best!$C$1),0))*J37</f>
        <v>2875</v>
      </c>
      <c r="D37" s="82">
        <f t="array" ref="D37">INDEX(Assumptions!$D$3:$D$18, MATCH(1, (Assumptions!$B$3:$B$18=Forecasting_Best!B37)*(Assumptions!$C$3:$C$18=Forecasting_Best!$C$1),0))</f>
        <v>1400</v>
      </c>
      <c r="E37" s="82">
        <f t="array" ref="E37">INDEX(Assumptions!$E$3:$E$18, MATCH(1, (Assumptions!$B$3:$B$18=Forecasting_Best!B37)*(Assumptions!$C$3:$C$18=Forecasting_Best!$C$1),0))</f>
        <v>650</v>
      </c>
      <c r="F37" s="82">
        <f t="shared" si="0"/>
        <v>4025000</v>
      </c>
      <c r="G37" s="82">
        <f t="shared" si="1"/>
        <v>1868750</v>
      </c>
      <c r="H37" s="82">
        <f t="shared" si="2"/>
        <v>2156250</v>
      </c>
      <c r="I37" s="83">
        <f t="shared" si="3"/>
        <v>0.5357142857142857</v>
      </c>
      <c r="J37" s="84">
        <f>VLOOKUP(A37,Seasonality!$B$4:$C$15,2,FALSE)</f>
        <v>1.1499999999999999</v>
      </c>
    </row>
    <row r="38" spans="1:10" x14ac:dyDescent="0.25">
      <c r="A38" s="78" t="s">
        <v>33</v>
      </c>
      <c r="B38" s="65" t="s">
        <v>6</v>
      </c>
      <c r="C38" s="81">
        <f t="array" ref="C38">INDEX(Assumptions!$F$3:$F$18, MATCH(1, (Assumptions!$B$3:$B$18=Forecasting_Best!B38)*(Assumptions!$C$3:$C$18=Forecasting_Best!$C$1),0))*J38</f>
        <v>4024.9999999999995</v>
      </c>
      <c r="D38" s="82">
        <f t="array" ref="D38">INDEX(Assumptions!$D$3:$D$18, MATCH(1, (Assumptions!$B$3:$B$18=Forecasting_Best!B38)*(Assumptions!$C$3:$C$18=Forecasting_Best!$C$1),0))</f>
        <v>700</v>
      </c>
      <c r="E38" s="82">
        <f t="array" ref="E38">INDEX(Assumptions!$E$3:$E$18, MATCH(1, (Assumptions!$B$3:$B$18=Forecasting_Best!B38)*(Assumptions!$C$3:$C$18=Forecasting_Best!$C$1),0))</f>
        <v>250</v>
      </c>
      <c r="F38" s="82">
        <f t="shared" si="0"/>
        <v>2817499.9999999995</v>
      </c>
      <c r="G38" s="82">
        <f t="shared" si="1"/>
        <v>1006249.9999999999</v>
      </c>
      <c r="H38" s="82">
        <f t="shared" si="2"/>
        <v>1811249.9999999995</v>
      </c>
      <c r="I38" s="83">
        <f t="shared" si="3"/>
        <v>0.64285714285714279</v>
      </c>
      <c r="J38" s="84">
        <f>VLOOKUP(A38,Seasonality!$B$4:$C$15,2,FALSE)</f>
        <v>1.1499999999999999</v>
      </c>
    </row>
    <row r="39" spans="1:10" x14ac:dyDescent="0.25">
      <c r="A39" s="78" t="s">
        <v>40</v>
      </c>
      <c r="B39" s="65"/>
      <c r="C39" s="81">
        <f>SUM(C34:C38)</f>
        <v>12305</v>
      </c>
      <c r="D39" s="82"/>
      <c r="E39" s="82"/>
      <c r="F39" s="81">
        <f>SUM(F34:F38)</f>
        <v>23563500</v>
      </c>
      <c r="G39" s="81">
        <f t="shared" ref="G39" si="13">SUM(G34:G38)</f>
        <v>13144500</v>
      </c>
      <c r="H39" s="81">
        <f t="shared" ref="H39" si="14">SUM(H34:H38)</f>
        <v>10419000</v>
      </c>
      <c r="I39" s="83"/>
      <c r="J39" s="84"/>
    </row>
    <row r="40" spans="1:10" x14ac:dyDescent="0.25">
      <c r="A40" s="78" t="s">
        <v>28</v>
      </c>
      <c r="B40" s="65" t="s">
        <v>4</v>
      </c>
      <c r="C40" s="81">
        <f t="array" ref="C40">INDEX(Assumptions!$F$3:$F$18, MATCH(1, (Assumptions!$B$3:$B$18=Forecasting_Best!B40)*(Assumptions!$C$3:$C$18=Forecasting_Best!$C$1),0))*J40</f>
        <v>2100</v>
      </c>
      <c r="D40" s="82">
        <f t="array" ref="D40">INDEX(Assumptions!$D$3:$D$18, MATCH(1, (Assumptions!$B$3:$B$18=Forecasting_Best!B40)*(Assumptions!$C$3:$C$18=Forecasting_Best!$C$1),0))</f>
        <v>2700</v>
      </c>
      <c r="E40" s="82">
        <f t="array" ref="E40">INDEX(Assumptions!$E$3:$E$18, MATCH(1, (Assumptions!$B$3:$B$18=Forecasting_Best!B40)*(Assumptions!$C$3:$C$18=Forecasting_Best!$C$1),0))</f>
        <v>1650</v>
      </c>
      <c r="F40" s="82">
        <f t="shared" si="0"/>
        <v>5670000</v>
      </c>
      <c r="G40" s="82">
        <f t="shared" si="1"/>
        <v>3465000</v>
      </c>
      <c r="H40" s="82">
        <f t="shared" si="2"/>
        <v>2205000</v>
      </c>
      <c r="I40" s="83">
        <f t="shared" si="3"/>
        <v>0.3888888888888889</v>
      </c>
      <c r="J40" s="84">
        <f>VLOOKUP(A40,Seasonality!$B$4:$C$15,2,FALSE)</f>
        <v>1.05</v>
      </c>
    </row>
    <row r="41" spans="1:10" x14ac:dyDescent="0.25">
      <c r="A41" s="78" t="s">
        <v>28</v>
      </c>
      <c r="B41" s="65" t="s">
        <v>5</v>
      </c>
      <c r="C41" s="81">
        <f t="array" ref="C41">INDEX(Assumptions!$F$3:$F$18, MATCH(1, (Assumptions!$B$3:$B$18=Forecasting_Best!B41)*(Assumptions!$C$3:$C$18=Forecasting_Best!$C$1),0))*J41</f>
        <v>1365</v>
      </c>
      <c r="D41" s="82">
        <f t="array" ref="D41">INDEX(Assumptions!$D$3:$D$18, MATCH(1, (Assumptions!$B$3:$B$18=Forecasting_Best!B41)*(Assumptions!$C$3:$C$18=Forecasting_Best!$C$1),0))</f>
        <v>3800</v>
      </c>
      <c r="E41" s="82">
        <f t="array" ref="E41">INDEX(Assumptions!$E$3:$E$18, MATCH(1, (Assumptions!$B$3:$B$18=Forecasting_Best!B41)*(Assumptions!$C$3:$C$18=Forecasting_Best!$C$1),0))</f>
        <v>2500</v>
      </c>
      <c r="F41" s="82">
        <f t="shared" si="0"/>
        <v>5187000</v>
      </c>
      <c r="G41" s="82">
        <f t="shared" si="1"/>
        <v>3412500</v>
      </c>
      <c r="H41" s="82">
        <f t="shared" si="2"/>
        <v>1774500</v>
      </c>
      <c r="I41" s="83">
        <f t="shared" si="3"/>
        <v>0.34210526315789475</v>
      </c>
      <c r="J41" s="84">
        <f>VLOOKUP(A41,Seasonality!$B$4:$C$15,2,FALSE)</f>
        <v>1.05</v>
      </c>
    </row>
    <row r="42" spans="1:10" x14ac:dyDescent="0.25">
      <c r="A42" s="78" t="s">
        <v>28</v>
      </c>
      <c r="B42" s="65" t="s">
        <v>14</v>
      </c>
      <c r="C42" s="81">
        <f t="array" ref="C42">INDEX(Assumptions!$F$3:$F$18, MATCH(1, (Assumptions!$B$3:$B$18=Forecasting_Best!B42)*(Assumptions!$C$3:$C$18=Forecasting_Best!$C$1),0))*J42</f>
        <v>1470</v>
      </c>
      <c r="D42" s="82">
        <f t="array" ref="D42">INDEX(Assumptions!$D$3:$D$18, MATCH(1, (Assumptions!$B$3:$B$18=Forecasting_Best!B42)*(Assumptions!$C$3:$C$18=Forecasting_Best!$C$1),0))</f>
        <v>3000</v>
      </c>
      <c r="E42" s="82">
        <f t="array" ref="E42">INDEX(Assumptions!$E$3:$E$18, MATCH(1, (Assumptions!$B$3:$B$18=Forecasting_Best!B42)*(Assumptions!$C$3:$C$18=Forecasting_Best!$C$1),0))</f>
        <v>1700</v>
      </c>
      <c r="F42" s="82">
        <f t="shared" ref="F42:F74" si="15">C42*D42</f>
        <v>4410000</v>
      </c>
      <c r="G42" s="82">
        <f t="shared" ref="G42:G74" si="16">C42*E42</f>
        <v>2499000</v>
      </c>
      <c r="H42" s="82">
        <f t="shared" ref="H42:H74" si="17">F42-G42</f>
        <v>1911000</v>
      </c>
      <c r="I42" s="83">
        <f t="shared" ref="I42:I74" si="18">IF(F42=0, 0, H42/F42)</f>
        <v>0.43333333333333335</v>
      </c>
      <c r="J42" s="84">
        <f>VLOOKUP(A42,Seasonality!$B$4:$C$15,2,FALSE)</f>
        <v>1.05</v>
      </c>
    </row>
    <row r="43" spans="1:10" x14ac:dyDescent="0.25">
      <c r="A43" s="78" t="s">
        <v>28</v>
      </c>
      <c r="B43" s="65" t="s">
        <v>39</v>
      </c>
      <c r="C43" s="81">
        <f t="array" ref="C43">INDEX(Assumptions!$F$3:$F$18, MATCH(1, (Assumptions!$B$3:$B$18=Forecasting_Best!B43)*(Assumptions!$C$3:$C$18=Forecasting_Best!$C$1),0))*J43</f>
        <v>2625</v>
      </c>
      <c r="D43" s="82">
        <f t="array" ref="D43">INDEX(Assumptions!$D$3:$D$18, MATCH(1, (Assumptions!$B$3:$B$18=Forecasting_Best!B43)*(Assumptions!$C$3:$C$18=Forecasting_Best!$C$1),0))</f>
        <v>1400</v>
      </c>
      <c r="E43" s="82">
        <f t="array" ref="E43">INDEX(Assumptions!$E$3:$E$18, MATCH(1, (Assumptions!$B$3:$B$18=Forecasting_Best!B43)*(Assumptions!$C$3:$C$18=Forecasting_Best!$C$1),0))</f>
        <v>650</v>
      </c>
      <c r="F43" s="82">
        <f t="shared" si="15"/>
        <v>3675000</v>
      </c>
      <c r="G43" s="82">
        <f t="shared" si="16"/>
        <v>1706250</v>
      </c>
      <c r="H43" s="82">
        <f t="shared" si="17"/>
        <v>1968750</v>
      </c>
      <c r="I43" s="83">
        <f t="shared" si="18"/>
        <v>0.5357142857142857</v>
      </c>
      <c r="J43" s="84">
        <f>VLOOKUP(A43,Seasonality!$B$4:$C$15,2,FALSE)</f>
        <v>1.05</v>
      </c>
    </row>
    <row r="44" spans="1:10" x14ac:dyDescent="0.25">
      <c r="A44" s="78" t="s">
        <v>28</v>
      </c>
      <c r="B44" s="65" t="s">
        <v>6</v>
      </c>
      <c r="C44" s="81">
        <f t="array" ref="C44">INDEX(Assumptions!$F$3:$F$18, MATCH(1, (Assumptions!$B$3:$B$18=Forecasting_Best!B44)*(Assumptions!$C$3:$C$18=Forecasting_Best!$C$1),0))*J44</f>
        <v>3675</v>
      </c>
      <c r="D44" s="82">
        <f t="array" ref="D44">INDEX(Assumptions!$D$3:$D$18, MATCH(1, (Assumptions!$B$3:$B$18=Forecasting_Best!B44)*(Assumptions!$C$3:$C$18=Forecasting_Best!$C$1),0))</f>
        <v>700</v>
      </c>
      <c r="E44" s="82">
        <f t="array" ref="E44">INDEX(Assumptions!$E$3:$E$18, MATCH(1, (Assumptions!$B$3:$B$18=Forecasting_Best!B44)*(Assumptions!$C$3:$C$18=Forecasting_Best!$C$1),0))</f>
        <v>250</v>
      </c>
      <c r="F44" s="82">
        <f t="shared" si="15"/>
        <v>2572500</v>
      </c>
      <c r="G44" s="82">
        <f t="shared" si="16"/>
        <v>918750</v>
      </c>
      <c r="H44" s="82">
        <f t="shared" si="17"/>
        <v>1653750</v>
      </c>
      <c r="I44" s="83">
        <f t="shared" si="18"/>
        <v>0.6428571428571429</v>
      </c>
      <c r="J44" s="84">
        <f>VLOOKUP(A44,Seasonality!$B$4:$C$15,2,FALSE)</f>
        <v>1.05</v>
      </c>
    </row>
    <row r="45" spans="1:10" x14ac:dyDescent="0.25">
      <c r="A45" s="78" t="s">
        <v>40</v>
      </c>
      <c r="B45" s="65"/>
      <c r="C45" s="81">
        <f>SUM(C40:C44)</f>
        <v>11235</v>
      </c>
      <c r="D45" s="82"/>
      <c r="E45" s="82"/>
      <c r="F45" s="81">
        <f>SUM(F40:F44)</f>
        <v>21514500</v>
      </c>
      <c r="G45" s="81">
        <f t="shared" ref="G45" si="19">SUM(G40:G44)</f>
        <v>12001500</v>
      </c>
      <c r="H45" s="81">
        <f t="shared" ref="H45" si="20">SUM(H40:H44)</f>
        <v>9513000</v>
      </c>
      <c r="I45" s="83"/>
      <c r="J45" s="84"/>
    </row>
    <row r="46" spans="1:10" x14ac:dyDescent="0.25">
      <c r="A46" s="78" t="s">
        <v>34</v>
      </c>
      <c r="B46" s="65" t="s">
        <v>4</v>
      </c>
      <c r="C46" s="81">
        <f t="array" ref="C46">INDEX(Assumptions!$F$3:$F$18, MATCH(1, (Assumptions!$B$3:$B$18=Forecasting_Best!B46)*(Assumptions!$C$3:$C$18=Forecasting_Best!$C$1),0))*J46</f>
        <v>2200</v>
      </c>
      <c r="D46" s="82">
        <f t="array" ref="D46">INDEX(Assumptions!$D$3:$D$18, MATCH(1, (Assumptions!$B$3:$B$18=Forecasting_Best!B46)*(Assumptions!$C$3:$C$18=Forecasting_Best!$C$1),0))</f>
        <v>2700</v>
      </c>
      <c r="E46" s="82">
        <f t="array" ref="E46">INDEX(Assumptions!$E$3:$E$18, MATCH(1, (Assumptions!$B$3:$B$18=Forecasting_Best!B46)*(Assumptions!$C$3:$C$18=Forecasting_Best!$C$1),0))</f>
        <v>1650</v>
      </c>
      <c r="F46" s="82">
        <f t="shared" si="15"/>
        <v>5940000</v>
      </c>
      <c r="G46" s="82">
        <f t="shared" si="16"/>
        <v>3630000</v>
      </c>
      <c r="H46" s="82">
        <f t="shared" si="17"/>
        <v>2310000</v>
      </c>
      <c r="I46" s="83">
        <f t="shared" si="18"/>
        <v>0.3888888888888889</v>
      </c>
      <c r="J46" s="84">
        <f>VLOOKUP(A46,Seasonality!$B$4:$C$15,2,FALSE)</f>
        <v>1.1000000000000001</v>
      </c>
    </row>
    <row r="47" spans="1:10" x14ac:dyDescent="0.25">
      <c r="A47" s="78" t="s">
        <v>34</v>
      </c>
      <c r="B47" s="65" t="s">
        <v>5</v>
      </c>
      <c r="C47" s="81">
        <f t="array" ref="C47">INDEX(Assumptions!$F$3:$F$18, MATCH(1, (Assumptions!$B$3:$B$18=Forecasting_Best!B47)*(Assumptions!$C$3:$C$18=Forecasting_Best!$C$1),0))*J47</f>
        <v>1430.0000000000002</v>
      </c>
      <c r="D47" s="82">
        <f t="array" ref="D47">INDEX(Assumptions!$D$3:$D$18, MATCH(1, (Assumptions!$B$3:$B$18=Forecasting_Best!B47)*(Assumptions!$C$3:$C$18=Forecasting_Best!$C$1),0))</f>
        <v>3800</v>
      </c>
      <c r="E47" s="82">
        <f t="array" ref="E47">INDEX(Assumptions!$E$3:$E$18, MATCH(1, (Assumptions!$B$3:$B$18=Forecasting_Best!B47)*(Assumptions!$C$3:$C$18=Forecasting_Best!$C$1),0))</f>
        <v>2500</v>
      </c>
      <c r="F47" s="82">
        <f t="shared" si="15"/>
        <v>5434000.0000000009</v>
      </c>
      <c r="G47" s="82">
        <f t="shared" si="16"/>
        <v>3575000.0000000005</v>
      </c>
      <c r="H47" s="82">
        <f t="shared" si="17"/>
        <v>1859000.0000000005</v>
      </c>
      <c r="I47" s="83">
        <f t="shared" si="18"/>
        <v>0.34210526315789475</v>
      </c>
      <c r="J47" s="84">
        <f>VLOOKUP(A47,Seasonality!$B$4:$C$15,2,FALSE)</f>
        <v>1.1000000000000001</v>
      </c>
    </row>
    <row r="48" spans="1:10" x14ac:dyDescent="0.25">
      <c r="A48" s="78" t="s">
        <v>34</v>
      </c>
      <c r="B48" s="65" t="s">
        <v>14</v>
      </c>
      <c r="C48" s="81">
        <f t="array" ref="C48">INDEX(Assumptions!$F$3:$F$18, MATCH(1, (Assumptions!$B$3:$B$18=Forecasting_Best!B48)*(Assumptions!$C$3:$C$18=Forecasting_Best!$C$1),0))*J48</f>
        <v>1540.0000000000002</v>
      </c>
      <c r="D48" s="82">
        <f t="array" ref="D48">INDEX(Assumptions!$D$3:$D$18, MATCH(1, (Assumptions!$B$3:$B$18=Forecasting_Best!B48)*(Assumptions!$C$3:$C$18=Forecasting_Best!$C$1),0))</f>
        <v>3000</v>
      </c>
      <c r="E48" s="82">
        <f t="array" ref="E48">INDEX(Assumptions!$E$3:$E$18, MATCH(1, (Assumptions!$B$3:$B$18=Forecasting_Best!B48)*(Assumptions!$C$3:$C$18=Forecasting_Best!$C$1),0))</f>
        <v>1700</v>
      </c>
      <c r="F48" s="82">
        <f t="shared" si="15"/>
        <v>4620000.0000000009</v>
      </c>
      <c r="G48" s="82">
        <f t="shared" si="16"/>
        <v>2618000.0000000005</v>
      </c>
      <c r="H48" s="82">
        <f t="shared" si="17"/>
        <v>2002000.0000000005</v>
      </c>
      <c r="I48" s="83">
        <f t="shared" si="18"/>
        <v>0.43333333333333335</v>
      </c>
      <c r="J48" s="84">
        <f>VLOOKUP(A48,Seasonality!$B$4:$C$15,2,FALSE)</f>
        <v>1.1000000000000001</v>
      </c>
    </row>
    <row r="49" spans="1:10" x14ac:dyDescent="0.25">
      <c r="A49" s="78" t="s">
        <v>34</v>
      </c>
      <c r="B49" s="65" t="s">
        <v>39</v>
      </c>
      <c r="C49" s="81">
        <f t="array" ref="C49">INDEX(Assumptions!$F$3:$F$18, MATCH(1, (Assumptions!$B$3:$B$18=Forecasting_Best!B49)*(Assumptions!$C$3:$C$18=Forecasting_Best!$C$1),0))*J49</f>
        <v>2750</v>
      </c>
      <c r="D49" s="82">
        <f t="array" ref="D49">INDEX(Assumptions!$D$3:$D$18, MATCH(1, (Assumptions!$B$3:$B$18=Forecasting_Best!B49)*(Assumptions!$C$3:$C$18=Forecasting_Best!$C$1),0))</f>
        <v>1400</v>
      </c>
      <c r="E49" s="82">
        <f t="array" ref="E49">INDEX(Assumptions!$E$3:$E$18, MATCH(1, (Assumptions!$B$3:$B$18=Forecasting_Best!B49)*(Assumptions!$C$3:$C$18=Forecasting_Best!$C$1),0))</f>
        <v>650</v>
      </c>
      <c r="F49" s="82">
        <f t="shared" si="15"/>
        <v>3850000</v>
      </c>
      <c r="G49" s="82">
        <f t="shared" si="16"/>
        <v>1787500</v>
      </c>
      <c r="H49" s="82">
        <f t="shared" si="17"/>
        <v>2062500</v>
      </c>
      <c r="I49" s="83">
        <f t="shared" si="18"/>
        <v>0.5357142857142857</v>
      </c>
      <c r="J49" s="84">
        <f>VLOOKUP(A49,Seasonality!$B$4:$C$15,2,FALSE)</f>
        <v>1.1000000000000001</v>
      </c>
    </row>
    <row r="50" spans="1:10" x14ac:dyDescent="0.25">
      <c r="A50" s="78" t="s">
        <v>34</v>
      </c>
      <c r="B50" s="65" t="s">
        <v>6</v>
      </c>
      <c r="C50" s="81">
        <f t="array" ref="C50">INDEX(Assumptions!$F$3:$F$18, MATCH(1, (Assumptions!$B$3:$B$18=Forecasting_Best!B50)*(Assumptions!$C$3:$C$18=Forecasting_Best!$C$1),0))*J50</f>
        <v>3850.0000000000005</v>
      </c>
      <c r="D50" s="82">
        <f t="array" ref="D50">INDEX(Assumptions!$D$3:$D$18, MATCH(1, (Assumptions!$B$3:$B$18=Forecasting_Best!B50)*(Assumptions!$C$3:$C$18=Forecasting_Best!$C$1),0))</f>
        <v>700</v>
      </c>
      <c r="E50" s="82">
        <f t="array" ref="E50">INDEX(Assumptions!$E$3:$E$18, MATCH(1, (Assumptions!$B$3:$B$18=Forecasting_Best!B50)*(Assumptions!$C$3:$C$18=Forecasting_Best!$C$1),0))</f>
        <v>250</v>
      </c>
      <c r="F50" s="82">
        <f t="shared" si="15"/>
        <v>2695000.0000000005</v>
      </c>
      <c r="G50" s="82">
        <f t="shared" si="16"/>
        <v>962500.00000000012</v>
      </c>
      <c r="H50" s="82">
        <f t="shared" si="17"/>
        <v>1732500.0000000005</v>
      </c>
      <c r="I50" s="83">
        <f t="shared" si="18"/>
        <v>0.6428571428571429</v>
      </c>
      <c r="J50" s="84">
        <f>VLOOKUP(A50,Seasonality!$B$4:$C$15,2,FALSE)</f>
        <v>1.1000000000000001</v>
      </c>
    </row>
    <row r="51" spans="1:10" x14ac:dyDescent="0.25">
      <c r="A51" s="78" t="s">
        <v>40</v>
      </c>
      <c r="B51" s="65"/>
      <c r="C51" s="81">
        <f>SUM(C46:C50)</f>
        <v>11770</v>
      </c>
      <c r="D51" s="82"/>
      <c r="E51" s="82"/>
      <c r="F51" s="81">
        <f>SUM(F46:F50)</f>
        <v>22539000</v>
      </c>
      <c r="G51" s="81">
        <f t="shared" ref="G51" si="21">SUM(G46:G50)</f>
        <v>12573000</v>
      </c>
      <c r="H51" s="81">
        <f t="shared" ref="H51" si="22">SUM(H46:H50)</f>
        <v>9966000.0000000019</v>
      </c>
      <c r="I51" s="83"/>
      <c r="J51" s="84"/>
    </row>
    <row r="52" spans="1:10" x14ac:dyDescent="0.25">
      <c r="A52" s="78" t="s">
        <v>35</v>
      </c>
      <c r="B52" s="65" t="s">
        <v>4</v>
      </c>
      <c r="C52" s="81">
        <f t="array" ref="C52">INDEX(Assumptions!$F$3:$F$18, MATCH(1, (Assumptions!$B$3:$B$18=Forecasting_Best!B52)*(Assumptions!$C$3:$C$18=Forecasting_Best!$C$1),0))*J52</f>
        <v>2300</v>
      </c>
      <c r="D52" s="82">
        <f t="array" ref="D52">INDEX(Assumptions!$D$3:$D$18, MATCH(1, (Assumptions!$B$3:$B$18=Forecasting_Best!B52)*(Assumptions!$C$3:$C$18=Forecasting_Best!$C$1),0))</f>
        <v>2700</v>
      </c>
      <c r="E52" s="82">
        <f t="array" ref="E52">INDEX(Assumptions!$E$3:$E$18, MATCH(1, (Assumptions!$B$3:$B$18=Forecasting_Best!B52)*(Assumptions!$C$3:$C$18=Forecasting_Best!$C$1),0))</f>
        <v>1650</v>
      </c>
      <c r="F52" s="82">
        <f t="shared" si="15"/>
        <v>6210000</v>
      </c>
      <c r="G52" s="82">
        <f t="shared" si="16"/>
        <v>3795000</v>
      </c>
      <c r="H52" s="82">
        <f t="shared" si="17"/>
        <v>2415000</v>
      </c>
      <c r="I52" s="83">
        <f t="shared" si="18"/>
        <v>0.3888888888888889</v>
      </c>
      <c r="J52" s="84">
        <f>VLOOKUP(A52,Seasonality!$B$4:$C$15,2,FALSE)</f>
        <v>1.1499999999999999</v>
      </c>
    </row>
    <row r="53" spans="1:10" x14ac:dyDescent="0.25">
      <c r="A53" s="78" t="s">
        <v>35</v>
      </c>
      <c r="B53" s="65" t="s">
        <v>5</v>
      </c>
      <c r="C53" s="81">
        <f t="array" ref="C53">INDEX(Assumptions!$F$3:$F$18, MATCH(1, (Assumptions!$B$3:$B$18=Forecasting_Best!B53)*(Assumptions!$C$3:$C$18=Forecasting_Best!$C$1),0))*J53</f>
        <v>1494.9999999999998</v>
      </c>
      <c r="D53" s="82">
        <f t="array" ref="D53">INDEX(Assumptions!$D$3:$D$18, MATCH(1, (Assumptions!$B$3:$B$18=Forecasting_Best!B53)*(Assumptions!$C$3:$C$18=Forecasting_Best!$C$1),0))</f>
        <v>3800</v>
      </c>
      <c r="E53" s="82">
        <f t="array" ref="E53">INDEX(Assumptions!$E$3:$E$18, MATCH(1, (Assumptions!$B$3:$B$18=Forecasting_Best!B53)*(Assumptions!$C$3:$C$18=Forecasting_Best!$C$1),0))</f>
        <v>2500</v>
      </c>
      <c r="F53" s="82">
        <f t="shared" si="15"/>
        <v>5680999.9999999991</v>
      </c>
      <c r="G53" s="82">
        <f t="shared" si="16"/>
        <v>3737499.9999999995</v>
      </c>
      <c r="H53" s="82">
        <f t="shared" si="17"/>
        <v>1943499.9999999995</v>
      </c>
      <c r="I53" s="83">
        <f t="shared" si="18"/>
        <v>0.34210526315789469</v>
      </c>
      <c r="J53" s="84">
        <f>VLOOKUP(A53,Seasonality!$B$4:$C$15,2,FALSE)</f>
        <v>1.1499999999999999</v>
      </c>
    </row>
    <row r="54" spans="1:10" x14ac:dyDescent="0.25">
      <c r="A54" s="78" t="s">
        <v>35</v>
      </c>
      <c r="B54" s="65" t="s">
        <v>14</v>
      </c>
      <c r="C54" s="81">
        <f t="array" ref="C54">INDEX(Assumptions!$F$3:$F$18, MATCH(1, (Assumptions!$B$3:$B$18=Forecasting_Best!B54)*(Assumptions!$C$3:$C$18=Forecasting_Best!$C$1),0))*J54</f>
        <v>1609.9999999999998</v>
      </c>
      <c r="D54" s="82">
        <f t="array" ref="D54">INDEX(Assumptions!$D$3:$D$18, MATCH(1, (Assumptions!$B$3:$B$18=Forecasting_Best!B54)*(Assumptions!$C$3:$C$18=Forecasting_Best!$C$1),0))</f>
        <v>3000</v>
      </c>
      <c r="E54" s="82">
        <f t="array" ref="E54">INDEX(Assumptions!$E$3:$E$18, MATCH(1, (Assumptions!$B$3:$B$18=Forecasting_Best!B54)*(Assumptions!$C$3:$C$18=Forecasting_Best!$C$1),0))</f>
        <v>1700</v>
      </c>
      <c r="F54" s="82">
        <f t="shared" si="15"/>
        <v>4829999.9999999991</v>
      </c>
      <c r="G54" s="82">
        <f t="shared" si="16"/>
        <v>2736999.9999999995</v>
      </c>
      <c r="H54" s="82">
        <f t="shared" si="17"/>
        <v>2092999.9999999995</v>
      </c>
      <c r="I54" s="83">
        <f t="shared" si="18"/>
        <v>0.43333333333333335</v>
      </c>
      <c r="J54" s="84">
        <f>VLOOKUP(A54,Seasonality!$B$4:$C$15,2,FALSE)</f>
        <v>1.1499999999999999</v>
      </c>
    </row>
    <row r="55" spans="1:10" x14ac:dyDescent="0.25">
      <c r="A55" s="78" t="s">
        <v>35</v>
      </c>
      <c r="B55" s="65" t="s">
        <v>39</v>
      </c>
      <c r="C55" s="81">
        <f t="array" ref="C55">INDEX(Assumptions!$F$3:$F$18, MATCH(1, (Assumptions!$B$3:$B$18=Forecasting_Best!B55)*(Assumptions!$C$3:$C$18=Forecasting_Best!$C$1),0))*J55</f>
        <v>2875</v>
      </c>
      <c r="D55" s="82">
        <f t="array" ref="D55">INDEX(Assumptions!$D$3:$D$18, MATCH(1, (Assumptions!$B$3:$B$18=Forecasting_Best!B55)*(Assumptions!$C$3:$C$18=Forecasting_Best!$C$1),0))</f>
        <v>1400</v>
      </c>
      <c r="E55" s="82">
        <f t="array" ref="E55">INDEX(Assumptions!$E$3:$E$18, MATCH(1, (Assumptions!$B$3:$B$18=Forecasting_Best!B55)*(Assumptions!$C$3:$C$18=Forecasting_Best!$C$1),0))</f>
        <v>650</v>
      </c>
      <c r="F55" s="82">
        <f t="shared" si="15"/>
        <v>4025000</v>
      </c>
      <c r="G55" s="82">
        <f t="shared" si="16"/>
        <v>1868750</v>
      </c>
      <c r="H55" s="82">
        <f t="shared" si="17"/>
        <v>2156250</v>
      </c>
      <c r="I55" s="83">
        <f t="shared" si="18"/>
        <v>0.5357142857142857</v>
      </c>
      <c r="J55" s="84">
        <f>VLOOKUP(A55,Seasonality!$B$4:$C$15,2,FALSE)</f>
        <v>1.1499999999999999</v>
      </c>
    </row>
    <row r="56" spans="1:10" x14ac:dyDescent="0.25">
      <c r="A56" s="78" t="s">
        <v>35</v>
      </c>
      <c r="B56" s="65" t="s">
        <v>6</v>
      </c>
      <c r="C56" s="81">
        <f t="array" ref="C56">INDEX(Assumptions!$F$3:$F$18, MATCH(1, (Assumptions!$B$3:$B$18=Forecasting_Best!B56)*(Assumptions!$C$3:$C$18=Forecasting_Best!$C$1),0))*J56</f>
        <v>4024.9999999999995</v>
      </c>
      <c r="D56" s="82">
        <f t="array" ref="D56">INDEX(Assumptions!$D$3:$D$18, MATCH(1, (Assumptions!$B$3:$B$18=Forecasting_Best!B56)*(Assumptions!$C$3:$C$18=Forecasting_Best!$C$1),0))</f>
        <v>700</v>
      </c>
      <c r="E56" s="82">
        <f t="array" ref="E56">INDEX(Assumptions!$E$3:$E$18, MATCH(1, (Assumptions!$B$3:$B$18=Forecasting_Best!B56)*(Assumptions!$C$3:$C$18=Forecasting_Best!$C$1),0))</f>
        <v>250</v>
      </c>
      <c r="F56" s="82">
        <f t="shared" si="15"/>
        <v>2817499.9999999995</v>
      </c>
      <c r="G56" s="82">
        <f t="shared" si="16"/>
        <v>1006249.9999999999</v>
      </c>
      <c r="H56" s="82">
        <f t="shared" si="17"/>
        <v>1811249.9999999995</v>
      </c>
      <c r="I56" s="83">
        <f t="shared" si="18"/>
        <v>0.64285714285714279</v>
      </c>
      <c r="J56" s="84">
        <f>VLOOKUP(A56,Seasonality!$B$4:$C$15,2,FALSE)</f>
        <v>1.1499999999999999</v>
      </c>
    </row>
    <row r="57" spans="1:10" x14ac:dyDescent="0.25">
      <c r="A57" s="78" t="s">
        <v>40</v>
      </c>
      <c r="B57" s="65"/>
      <c r="C57" s="81">
        <f>SUM(C52:C56)</f>
        <v>12305</v>
      </c>
      <c r="D57" s="82"/>
      <c r="E57" s="82"/>
      <c r="F57" s="81">
        <f>SUM(F52:F56)</f>
        <v>23563500</v>
      </c>
      <c r="G57" s="81">
        <f t="shared" ref="G57" si="23">SUM(G52:G56)</f>
        <v>13144500</v>
      </c>
      <c r="H57" s="81">
        <f t="shared" ref="H57" si="24">SUM(H52:H56)</f>
        <v>10419000</v>
      </c>
      <c r="I57" s="83"/>
      <c r="J57" s="84"/>
    </row>
    <row r="58" spans="1:10" x14ac:dyDescent="0.25">
      <c r="A58" s="78" t="s">
        <v>36</v>
      </c>
      <c r="B58" s="65" t="s">
        <v>4</v>
      </c>
      <c r="C58" s="81">
        <f t="array" ref="C58">INDEX(Assumptions!$F$3:$F$18, MATCH(1, (Assumptions!$B$3:$B$18=Forecasting_Best!B58)*(Assumptions!$C$3:$C$18=Forecasting_Best!$C$1),0))*J58</f>
        <v>2600</v>
      </c>
      <c r="D58" s="82">
        <f t="array" ref="D58">INDEX(Assumptions!$D$3:$D$18, MATCH(1, (Assumptions!$B$3:$B$18=Forecasting_Best!B58)*(Assumptions!$C$3:$C$18=Forecasting_Best!$C$1),0))</f>
        <v>2700</v>
      </c>
      <c r="E58" s="82">
        <f t="array" ref="E58">INDEX(Assumptions!$E$3:$E$18, MATCH(1, (Assumptions!$B$3:$B$18=Forecasting_Best!B58)*(Assumptions!$C$3:$C$18=Forecasting_Best!$C$1),0))</f>
        <v>1650</v>
      </c>
      <c r="F58" s="82">
        <f t="shared" si="15"/>
        <v>7020000</v>
      </c>
      <c r="G58" s="82">
        <f t="shared" si="16"/>
        <v>4290000</v>
      </c>
      <c r="H58" s="82">
        <f t="shared" si="17"/>
        <v>2730000</v>
      </c>
      <c r="I58" s="83">
        <f t="shared" si="18"/>
        <v>0.3888888888888889</v>
      </c>
      <c r="J58" s="84">
        <f>VLOOKUP(A58,Seasonality!$B$4:$C$15,2,FALSE)</f>
        <v>1.3</v>
      </c>
    </row>
    <row r="59" spans="1:10" x14ac:dyDescent="0.25">
      <c r="A59" s="78" t="s">
        <v>36</v>
      </c>
      <c r="B59" s="65" t="s">
        <v>5</v>
      </c>
      <c r="C59" s="81">
        <f t="array" ref="C59">INDEX(Assumptions!$F$3:$F$18, MATCH(1, (Assumptions!$B$3:$B$18=Forecasting_Best!B59)*(Assumptions!$C$3:$C$18=Forecasting_Best!$C$1),0))*J59</f>
        <v>1690</v>
      </c>
      <c r="D59" s="82">
        <f t="array" ref="D59">INDEX(Assumptions!$D$3:$D$18, MATCH(1, (Assumptions!$B$3:$B$18=Forecasting_Best!B59)*(Assumptions!$C$3:$C$18=Forecasting_Best!$C$1),0))</f>
        <v>3800</v>
      </c>
      <c r="E59" s="82">
        <f t="array" ref="E59">INDEX(Assumptions!$E$3:$E$18, MATCH(1, (Assumptions!$B$3:$B$18=Forecasting_Best!B59)*(Assumptions!$C$3:$C$18=Forecasting_Best!$C$1),0))</f>
        <v>2500</v>
      </c>
      <c r="F59" s="82">
        <f t="shared" si="15"/>
        <v>6422000</v>
      </c>
      <c r="G59" s="82">
        <f t="shared" si="16"/>
        <v>4225000</v>
      </c>
      <c r="H59" s="82">
        <f t="shared" si="17"/>
        <v>2197000</v>
      </c>
      <c r="I59" s="83">
        <f t="shared" si="18"/>
        <v>0.34210526315789475</v>
      </c>
      <c r="J59" s="84">
        <f>VLOOKUP(A59,Seasonality!$B$4:$C$15,2,FALSE)</f>
        <v>1.3</v>
      </c>
    </row>
    <row r="60" spans="1:10" x14ac:dyDescent="0.25">
      <c r="A60" s="78" t="s">
        <v>36</v>
      </c>
      <c r="B60" s="65" t="s">
        <v>14</v>
      </c>
      <c r="C60" s="81">
        <f t="array" ref="C60">INDEX(Assumptions!$F$3:$F$18, MATCH(1, (Assumptions!$B$3:$B$18=Forecasting_Best!B60)*(Assumptions!$C$3:$C$18=Forecasting_Best!$C$1),0))*J60</f>
        <v>1820</v>
      </c>
      <c r="D60" s="82">
        <f t="array" ref="D60">INDEX(Assumptions!$D$3:$D$18, MATCH(1, (Assumptions!$B$3:$B$18=Forecasting_Best!B60)*(Assumptions!$C$3:$C$18=Forecasting_Best!$C$1),0))</f>
        <v>3000</v>
      </c>
      <c r="E60" s="82">
        <f t="array" ref="E60">INDEX(Assumptions!$E$3:$E$18, MATCH(1, (Assumptions!$B$3:$B$18=Forecasting_Best!B60)*(Assumptions!$C$3:$C$18=Forecasting_Best!$C$1),0))</f>
        <v>1700</v>
      </c>
      <c r="F60" s="82">
        <f t="shared" si="15"/>
        <v>5460000</v>
      </c>
      <c r="G60" s="82">
        <f t="shared" si="16"/>
        <v>3094000</v>
      </c>
      <c r="H60" s="82">
        <f t="shared" si="17"/>
        <v>2366000</v>
      </c>
      <c r="I60" s="83">
        <f t="shared" si="18"/>
        <v>0.43333333333333335</v>
      </c>
      <c r="J60" s="84">
        <f>VLOOKUP(A60,Seasonality!$B$4:$C$15,2,FALSE)</f>
        <v>1.3</v>
      </c>
    </row>
    <row r="61" spans="1:10" x14ac:dyDescent="0.25">
      <c r="A61" s="78" t="s">
        <v>36</v>
      </c>
      <c r="B61" s="65" t="s">
        <v>39</v>
      </c>
      <c r="C61" s="81">
        <f t="array" ref="C61">INDEX(Assumptions!$F$3:$F$18, MATCH(1, (Assumptions!$B$3:$B$18=Forecasting_Best!B61)*(Assumptions!$C$3:$C$18=Forecasting_Best!$C$1),0))*J61</f>
        <v>3250</v>
      </c>
      <c r="D61" s="82">
        <f t="array" ref="D61">INDEX(Assumptions!$D$3:$D$18, MATCH(1, (Assumptions!$B$3:$B$18=Forecasting_Best!B61)*(Assumptions!$C$3:$C$18=Forecasting_Best!$C$1),0))</f>
        <v>1400</v>
      </c>
      <c r="E61" s="82">
        <f t="array" ref="E61">INDEX(Assumptions!$E$3:$E$18, MATCH(1, (Assumptions!$B$3:$B$18=Forecasting_Best!B61)*(Assumptions!$C$3:$C$18=Forecasting_Best!$C$1),0))</f>
        <v>650</v>
      </c>
      <c r="F61" s="82">
        <f t="shared" si="15"/>
        <v>4550000</v>
      </c>
      <c r="G61" s="82">
        <f t="shared" si="16"/>
        <v>2112500</v>
      </c>
      <c r="H61" s="82">
        <f t="shared" si="17"/>
        <v>2437500</v>
      </c>
      <c r="I61" s="83">
        <f t="shared" si="18"/>
        <v>0.5357142857142857</v>
      </c>
      <c r="J61" s="84">
        <f>VLOOKUP(A61,Seasonality!$B$4:$C$15,2,FALSE)</f>
        <v>1.3</v>
      </c>
    </row>
    <row r="62" spans="1:10" x14ac:dyDescent="0.25">
      <c r="A62" s="78" t="s">
        <v>36</v>
      </c>
      <c r="B62" s="65" t="s">
        <v>6</v>
      </c>
      <c r="C62" s="81">
        <f t="array" ref="C62">INDEX(Assumptions!$F$3:$F$18, MATCH(1, (Assumptions!$B$3:$B$18=Forecasting_Best!B62)*(Assumptions!$C$3:$C$18=Forecasting_Best!$C$1),0))*J62</f>
        <v>4550</v>
      </c>
      <c r="D62" s="82">
        <f t="array" ref="D62">INDEX(Assumptions!$D$3:$D$18, MATCH(1, (Assumptions!$B$3:$B$18=Forecasting_Best!B62)*(Assumptions!$C$3:$C$18=Forecasting_Best!$C$1),0))</f>
        <v>700</v>
      </c>
      <c r="E62" s="82">
        <f t="array" ref="E62">INDEX(Assumptions!$E$3:$E$18, MATCH(1, (Assumptions!$B$3:$B$18=Forecasting_Best!B62)*(Assumptions!$C$3:$C$18=Forecasting_Best!$C$1),0))</f>
        <v>250</v>
      </c>
      <c r="F62" s="82">
        <f t="shared" si="15"/>
        <v>3185000</v>
      </c>
      <c r="G62" s="82">
        <f t="shared" si="16"/>
        <v>1137500</v>
      </c>
      <c r="H62" s="82">
        <f t="shared" si="17"/>
        <v>2047500</v>
      </c>
      <c r="I62" s="83">
        <f t="shared" si="18"/>
        <v>0.6428571428571429</v>
      </c>
      <c r="J62" s="84">
        <f>VLOOKUP(A62,Seasonality!$B$4:$C$15,2,FALSE)</f>
        <v>1.3</v>
      </c>
    </row>
    <row r="63" spans="1:10" x14ac:dyDescent="0.25">
      <c r="A63" s="78" t="s">
        <v>40</v>
      </c>
      <c r="B63" s="65"/>
      <c r="C63" s="81">
        <f>SUM(C58:C62)</f>
        <v>13910</v>
      </c>
      <c r="D63" s="82"/>
      <c r="E63" s="82"/>
      <c r="F63" s="81">
        <f>SUM(F58:F62)</f>
        <v>26637000</v>
      </c>
      <c r="G63" s="81">
        <f t="shared" ref="G63" si="25">SUM(G58:G62)</f>
        <v>14859000</v>
      </c>
      <c r="H63" s="81">
        <f t="shared" ref="H63" si="26">SUM(H58:H62)</f>
        <v>11778000</v>
      </c>
      <c r="I63" s="83"/>
      <c r="J63" s="84"/>
    </row>
    <row r="64" spans="1:10" x14ac:dyDescent="0.25">
      <c r="A64" s="78" t="s">
        <v>37</v>
      </c>
      <c r="B64" s="65" t="s">
        <v>4</v>
      </c>
      <c r="C64" s="81">
        <f t="array" ref="C64">INDEX(Assumptions!$F$3:$F$18, MATCH(1, (Assumptions!$B$3:$B$18=Forecasting_Best!B64)*(Assumptions!$C$3:$C$18=Forecasting_Best!$C$1),0))*J64</f>
        <v>2500</v>
      </c>
      <c r="D64" s="82">
        <f t="array" ref="D64">INDEX(Assumptions!$D$3:$D$18, MATCH(1, (Assumptions!$B$3:$B$18=Forecasting_Best!B64)*(Assumptions!$C$3:$C$18=Forecasting_Best!$C$1),0))</f>
        <v>2700</v>
      </c>
      <c r="E64" s="82">
        <f t="array" ref="E64">INDEX(Assumptions!$E$3:$E$18, MATCH(1, (Assumptions!$B$3:$B$18=Forecasting_Best!B64)*(Assumptions!$C$3:$C$18=Forecasting_Best!$C$1),0))</f>
        <v>1650</v>
      </c>
      <c r="F64" s="82">
        <f t="shared" si="15"/>
        <v>6750000</v>
      </c>
      <c r="G64" s="82">
        <f t="shared" si="16"/>
        <v>4125000</v>
      </c>
      <c r="H64" s="82">
        <f t="shared" si="17"/>
        <v>2625000</v>
      </c>
      <c r="I64" s="83">
        <f t="shared" si="18"/>
        <v>0.3888888888888889</v>
      </c>
      <c r="J64" s="84">
        <f>VLOOKUP(A64,Seasonality!$B$4:$C$15,2,FALSE)</f>
        <v>1.25</v>
      </c>
    </row>
    <row r="65" spans="1:10" x14ac:dyDescent="0.25">
      <c r="A65" s="78" t="s">
        <v>37</v>
      </c>
      <c r="B65" s="65" t="s">
        <v>5</v>
      </c>
      <c r="C65" s="81">
        <f t="array" ref="C65">INDEX(Assumptions!$F$3:$F$18, MATCH(1, (Assumptions!$B$3:$B$18=Forecasting_Best!B65)*(Assumptions!$C$3:$C$18=Forecasting_Best!$C$1),0))*J65</f>
        <v>1625</v>
      </c>
      <c r="D65" s="82">
        <f t="array" ref="D65">INDEX(Assumptions!$D$3:$D$18, MATCH(1, (Assumptions!$B$3:$B$18=Forecasting_Best!B65)*(Assumptions!$C$3:$C$18=Forecasting_Best!$C$1),0))</f>
        <v>3800</v>
      </c>
      <c r="E65" s="82">
        <f t="array" ref="E65">INDEX(Assumptions!$E$3:$E$18, MATCH(1, (Assumptions!$B$3:$B$18=Forecasting_Best!B65)*(Assumptions!$C$3:$C$18=Forecasting_Best!$C$1),0))</f>
        <v>2500</v>
      </c>
      <c r="F65" s="82">
        <f t="shared" si="15"/>
        <v>6175000</v>
      </c>
      <c r="G65" s="82">
        <f t="shared" si="16"/>
        <v>4062500</v>
      </c>
      <c r="H65" s="82">
        <f t="shared" si="17"/>
        <v>2112500</v>
      </c>
      <c r="I65" s="83">
        <f t="shared" si="18"/>
        <v>0.34210526315789475</v>
      </c>
      <c r="J65" s="84">
        <f>VLOOKUP(A65,Seasonality!$B$4:$C$15,2,FALSE)</f>
        <v>1.25</v>
      </c>
    </row>
    <row r="66" spans="1:10" x14ac:dyDescent="0.25">
      <c r="A66" s="78" t="s">
        <v>37</v>
      </c>
      <c r="B66" s="65" t="s">
        <v>14</v>
      </c>
      <c r="C66" s="81">
        <f t="array" ref="C66">INDEX(Assumptions!$F$3:$F$18, MATCH(1, (Assumptions!$B$3:$B$18=Forecasting_Best!B66)*(Assumptions!$C$3:$C$18=Forecasting_Best!$C$1),0))*J66</f>
        <v>1750</v>
      </c>
      <c r="D66" s="82">
        <f t="array" ref="D66">INDEX(Assumptions!$D$3:$D$18, MATCH(1, (Assumptions!$B$3:$B$18=Forecasting_Best!B66)*(Assumptions!$C$3:$C$18=Forecasting_Best!$C$1),0))</f>
        <v>3000</v>
      </c>
      <c r="E66" s="82">
        <f t="array" ref="E66">INDEX(Assumptions!$E$3:$E$18, MATCH(1, (Assumptions!$B$3:$B$18=Forecasting_Best!B66)*(Assumptions!$C$3:$C$18=Forecasting_Best!$C$1),0))</f>
        <v>1700</v>
      </c>
      <c r="F66" s="82">
        <f t="shared" si="15"/>
        <v>5250000</v>
      </c>
      <c r="G66" s="82">
        <f t="shared" si="16"/>
        <v>2975000</v>
      </c>
      <c r="H66" s="82">
        <f t="shared" si="17"/>
        <v>2275000</v>
      </c>
      <c r="I66" s="83">
        <f t="shared" si="18"/>
        <v>0.43333333333333335</v>
      </c>
      <c r="J66" s="84">
        <f>VLOOKUP(A66,Seasonality!$B$4:$C$15,2,FALSE)</f>
        <v>1.25</v>
      </c>
    </row>
    <row r="67" spans="1:10" x14ac:dyDescent="0.25">
      <c r="A67" s="78" t="s">
        <v>37</v>
      </c>
      <c r="B67" s="65" t="s">
        <v>39</v>
      </c>
      <c r="C67" s="81">
        <f t="array" ref="C67">INDEX(Assumptions!$F$3:$F$18, MATCH(1, (Assumptions!$B$3:$B$18=Forecasting_Best!B67)*(Assumptions!$C$3:$C$18=Forecasting_Best!$C$1),0))*J67</f>
        <v>3125</v>
      </c>
      <c r="D67" s="82">
        <f t="array" ref="D67">INDEX(Assumptions!$D$3:$D$18, MATCH(1, (Assumptions!$B$3:$B$18=Forecasting_Best!B67)*(Assumptions!$C$3:$C$18=Forecasting_Best!$C$1),0))</f>
        <v>1400</v>
      </c>
      <c r="E67" s="82">
        <f t="array" ref="E67">INDEX(Assumptions!$E$3:$E$18, MATCH(1, (Assumptions!$B$3:$B$18=Forecasting_Best!B67)*(Assumptions!$C$3:$C$18=Forecasting_Best!$C$1),0))</f>
        <v>650</v>
      </c>
      <c r="F67" s="82">
        <f t="shared" si="15"/>
        <v>4375000</v>
      </c>
      <c r="G67" s="82">
        <f t="shared" si="16"/>
        <v>2031250</v>
      </c>
      <c r="H67" s="82">
        <f t="shared" si="17"/>
        <v>2343750</v>
      </c>
      <c r="I67" s="83">
        <f t="shared" si="18"/>
        <v>0.5357142857142857</v>
      </c>
      <c r="J67" s="84">
        <f>VLOOKUP(A67,Seasonality!$B$4:$C$15,2,FALSE)</f>
        <v>1.25</v>
      </c>
    </row>
    <row r="68" spans="1:10" x14ac:dyDescent="0.25">
      <c r="A68" s="78" t="s">
        <v>37</v>
      </c>
      <c r="B68" s="65" t="s">
        <v>6</v>
      </c>
      <c r="C68" s="81">
        <f t="array" ref="C68">INDEX(Assumptions!$F$3:$F$18, MATCH(1, (Assumptions!$B$3:$B$18=Forecasting_Best!B68)*(Assumptions!$C$3:$C$18=Forecasting_Best!$C$1),0))*J68</f>
        <v>4375</v>
      </c>
      <c r="D68" s="82">
        <f t="array" ref="D68">INDEX(Assumptions!$D$3:$D$18, MATCH(1, (Assumptions!$B$3:$B$18=Forecasting_Best!B68)*(Assumptions!$C$3:$C$18=Forecasting_Best!$C$1),0))</f>
        <v>700</v>
      </c>
      <c r="E68" s="82">
        <f t="array" ref="E68">INDEX(Assumptions!$E$3:$E$18, MATCH(1, (Assumptions!$B$3:$B$18=Forecasting_Best!B68)*(Assumptions!$C$3:$C$18=Forecasting_Best!$C$1),0))</f>
        <v>250</v>
      </c>
      <c r="F68" s="82">
        <f t="shared" si="15"/>
        <v>3062500</v>
      </c>
      <c r="G68" s="82">
        <f t="shared" si="16"/>
        <v>1093750</v>
      </c>
      <c r="H68" s="82">
        <f t="shared" si="17"/>
        <v>1968750</v>
      </c>
      <c r="I68" s="83">
        <f t="shared" si="18"/>
        <v>0.6428571428571429</v>
      </c>
      <c r="J68" s="84">
        <f>VLOOKUP(A68,Seasonality!$B$4:$C$15,2,FALSE)</f>
        <v>1.25</v>
      </c>
    </row>
    <row r="69" spans="1:10" x14ac:dyDescent="0.25">
      <c r="A69" s="78" t="s">
        <v>40</v>
      </c>
      <c r="B69" s="65"/>
      <c r="C69" s="81">
        <f>SUM(C64:C68)</f>
        <v>13375</v>
      </c>
      <c r="D69" s="82"/>
      <c r="E69" s="82"/>
      <c r="F69" s="81">
        <f>SUM(F64:F68)</f>
        <v>25612500</v>
      </c>
      <c r="G69" s="81">
        <f t="shared" ref="G69" si="27">SUM(G64:G68)</f>
        <v>14287500</v>
      </c>
      <c r="H69" s="81">
        <f t="shared" ref="H69" si="28">SUM(H64:H68)</f>
        <v>11325000</v>
      </c>
      <c r="I69" s="83"/>
      <c r="J69" s="84"/>
    </row>
    <row r="70" spans="1:10" x14ac:dyDescent="0.25">
      <c r="A70" s="78" t="s">
        <v>38</v>
      </c>
      <c r="B70" s="65" t="s">
        <v>4</v>
      </c>
      <c r="C70" s="81">
        <f t="array" ref="C70">INDEX(Assumptions!$F$3:$F$18, MATCH(1, (Assumptions!$B$3:$B$18=Forecasting_Best!B70)*(Assumptions!$C$3:$C$18=Forecasting_Best!$C$1),0))*J70</f>
        <v>2400</v>
      </c>
      <c r="D70" s="82">
        <f t="array" ref="D70">INDEX(Assumptions!$D$3:$D$18, MATCH(1, (Assumptions!$B$3:$B$18=Forecasting_Best!B70)*(Assumptions!$C$3:$C$18=Forecasting_Best!$C$1),0))</f>
        <v>2700</v>
      </c>
      <c r="E70" s="82">
        <f t="array" ref="E70">INDEX(Assumptions!$E$3:$E$18, MATCH(1, (Assumptions!$B$3:$B$18=Forecasting_Best!B70)*(Assumptions!$C$3:$C$18=Forecasting_Best!$C$1),0))</f>
        <v>1650</v>
      </c>
      <c r="F70" s="82">
        <f t="shared" si="15"/>
        <v>6480000</v>
      </c>
      <c r="G70" s="82">
        <f t="shared" si="16"/>
        <v>3960000</v>
      </c>
      <c r="H70" s="82">
        <f t="shared" si="17"/>
        <v>2520000</v>
      </c>
      <c r="I70" s="83">
        <f t="shared" si="18"/>
        <v>0.3888888888888889</v>
      </c>
      <c r="J70" s="84">
        <f>VLOOKUP(A70,Seasonality!$B$4:$C$15,2,FALSE)</f>
        <v>1.2</v>
      </c>
    </row>
    <row r="71" spans="1:10" x14ac:dyDescent="0.25">
      <c r="A71" s="78" t="s">
        <v>38</v>
      </c>
      <c r="B71" s="65" t="s">
        <v>5</v>
      </c>
      <c r="C71" s="81">
        <f t="array" ref="C71">INDEX(Assumptions!$F$3:$F$18, MATCH(1, (Assumptions!$B$3:$B$18=Forecasting_Best!B71)*(Assumptions!$C$3:$C$18=Forecasting_Best!$C$1),0))*J71</f>
        <v>1560</v>
      </c>
      <c r="D71" s="82">
        <f t="array" ref="D71">INDEX(Assumptions!$D$3:$D$18, MATCH(1, (Assumptions!$B$3:$B$18=Forecasting_Best!B71)*(Assumptions!$C$3:$C$18=Forecasting_Best!$C$1),0))</f>
        <v>3800</v>
      </c>
      <c r="E71" s="82">
        <f t="array" ref="E71">INDEX(Assumptions!$E$3:$E$18, MATCH(1, (Assumptions!$B$3:$B$18=Forecasting_Best!B71)*(Assumptions!$C$3:$C$18=Forecasting_Best!$C$1),0))</f>
        <v>2500</v>
      </c>
      <c r="F71" s="82">
        <f t="shared" si="15"/>
        <v>5928000</v>
      </c>
      <c r="G71" s="82">
        <f t="shared" si="16"/>
        <v>3900000</v>
      </c>
      <c r="H71" s="82">
        <f t="shared" si="17"/>
        <v>2028000</v>
      </c>
      <c r="I71" s="83">
        <f t="shared" si="18"/>
        <v>0.34210526315789475</v>
      </c>
      <c r="J71" s="84">
        <f>VLOOKUP(A71,Seasonality!$B$4:$C$15,2,FALSE)</f>
        <v>1.2</v>
      </c>
    </row>
    <row r="72" spans="1:10" x14ac:dyDescent="0.25">
      <c r="A72" s="78" t="s">
        <v>38</v>
      </c>
      <c r="B72" s="65" t="s">
        <v>14</v>
      </c>
      <c r="C72" s="81">
        <f t="array" ref="C72">INDEX(Assumptions!$F$3:$F$18, MATCH(1, (Assumptions!$B$3:$B$18=Forecasting_Best!B72)*(Assumptions!$C$3:$C$18=Forecasting_Best!$C$1),0))*J72</f>
        <v>1680</v>
      </c>
      <c r="D72" s="82">
        <f t="array" ref="D72">INDEX(Assumptions!$D$3:$D$18, MATCH(1, (Assumptions!$B$3:$B$18=Forecasting_Best!B72)*(Assumptions!$C$3:$C$18=Forecasting_Best!$C$1),0))</f>
        <v>3000</v>
      </c>
      <c r="E72" s="82">
        <f t="array" ref="E72">INDEX(Assumptions!$E$3:$E$18, MATCH(1, (Assumptions!$B$3:$B$18=Forecasting_Best!B72)*(Assumptions!$C$3:$C$18=Forecasting_Best!$C$1),0))</f>
        <v>1700</v>
      </c>
      <c r="F72" s="82">
        <f t="shared" si="15"/>
        <v>5040000</v>
      </c>
      <c r="G72" s="82">
        <f t="shared" si="16"/>
        <v>2856000</v>
      </c>
      <c r="H72" s="82">
        <f t="shared" si="17"/>
        <v>2184000</v>
      </c>
      <c r="I72" s="83">
        <f t="shared" si="18"/>
        <v>0.43333333333333335</v>
      </c>
      <c r="J72" s="84">
        <f>VLOOKUP(A72,Seasonality!$B$4:$C$15,2,FALSE)</f>
        <v>1.2</v>
      </c>
    </row>
    <row r="73" spans="1:10" x14ac:dyDescent="0.25">
      <c r="A73" s="78" t="s">
        <v>38</v>
      </c>
      <c r="B73" s="65" t="s">
        <v>39</v>
      </c>
      <c r="C73" s="81">
        <f t="array" ref="C73">INDEX(Assumptions!$F$3:$F$18, MATCH(1, (Assumptions!$B$3:$B$18=Forecasting_Best!B73)*(Assumptions!$C$3:$C$18=Forecasting_Best!$C$1),0))*J73</f>
        <v>3000</v>
      </c>
      <c r="D73" s="82">
        <f t="array" ref="D73">INDEX(Assumptions!$D$3:$D$18, MATCH(1, (Assumptions!$B$3:$B$18=Forecasting_Best!B73)*(Assumptions!$C$3:$C$18=Forecasting_Best!$C$1),0))</f>
        <v>1400</v>
      </c>
      <c r="E73" s="82">
        <f t="array" ref="E73">INDEX(Assumptions!$E$3:$E$18, MATCH(1, (Assumptions!$B$3:$B$18=Forecasting_Best!B73)*(Assumptions!$C$3:$C$18=Forecasting_Best!$C$1),0))</f>
        <v>650</v>
      </c>
      <c r="F73" s="82">
        <f t="shared" si="15"/>
        <v>4200000</v>
      </c>
      <c r="G73" s="82">
        <f t="shared" si="16"/>
        <v>1950000</v>
      </c>
      <c r="H73" s="82">
        <f t="shared" si="17"/>
        <v>2250000</v>
      </c>
      <c r="I73" s="83">
        <f t="shared" si="18"/>
        <v>0.5357142857142857</v>
      </c>
      <c r="J73" s="84">
        <f>VLOOKUP(A73,Seasonality!$B$4:$C$15,2,FALSE)</f>
        <v>1.2</v>
      </c>
    </row>
    <row r="74" spans="1:10" x14ac:dyDescent="0.25">
      <c r="A74" s="78" t="s">
        <v>38</v>
      </c>
      <c r="B74" s="65" t="s">
        <v>6</v>
      </c>
      <c r="C74" s="81">
        <f t="array" ref="C74">INDEX(Assumptions!$F$3:$F$18, MATCH(1, (Assumptions!$B$3:$B$18=Forecasting_Best!B74)*(Assumptions!$C$3:$C$18=Forecasting_Best!$C$1),0))*J74</f>
        <v>4200</v>
      </c>
      <c r="D74" s="82">
        <f t="array" ref="D74">INDEX(Assumptions!$D$3:$D$18, MATCH(1, (Assumptions!$B$3:$B$18=Forecasting_Best!B74)*(Assumptions!$C$3:$C$18=Forecasting_Best!$C$1),0))</f>
        <v>700</v>
      </c>
      <c r="E74" s="82">
        <f t="array" ref="E74">INDEX(Assumptions!$E$3:$E$18, MATCH(1, (Assumptions!$B$3:$B$18=Forecasting_Best!B74)*(Assumptions!$C$3:$C$18=Forecasting_Best!$C$1),0))</f>
        <v>250</v>
      </c>
      <c r="F74" s="82">
        <f t="shared" si="15"/>
        <v>2940000</v>
      </c>
      <c r="G74" s="82">
        <f t="shared" si="16"/>
        <v>1050000</v>
      </c>
      <c r="H74" s="82">
        <f t="shared" si="17"/>
        <v>1890000</v>
      </c>
      <c r="I74" s="83">
        <f t="shared" si="18"/>
        <v>0.6428571428571429</v>
      </c>
      <c r="J74" s="84">
        <f>VLOOKUP(A74,Seasonality!$B$4:$C$15,2,FALSE)</f>
        <v>1.2</v>
      </c>
    </row>
    <row r="75" spans="1:10" x14ac:dyDescent="0.25">
      <c r="A75" s="78" t="s">
        <v>40</v>
      </c>
      <c r="B75" s="205"/>
      <c r="C75" s="81">
        <f>SUM(C70:C74)</f>
        <v>12840</v>
      </c>
      <c r="D75" s="207"/>
      <c r="E75" s="207"/>
      <c r="F75" s="81">
        <f>SUM(F70:F74)</f>
        <v>24588000</v>
      </c>
      <c r="G75" s="81">
        <f t="shared" ref="G75" si="29">SUM(G70:G74)</f>
        <v>13716000</v>
      </c>
      <c r="H75" s="81">
        <f t="shared" ref="H75" si="30">SUM(H70:H74)</f>
        <v>10872000</v>
      </c>
      <c r="I75" s="208"/>
      <c r="J75" s="209"/>
    </row>
    <row r="77" spans="1:10" x14ac:dyDescent="0.25">
      <c r="A77" s="200" t="s">
        <v>40</v>
      </c>
      <c r="B77" s="200"/>
      <c r="C77" s="148"/>
      <c r="D77" s="213"/>
      <c r="E77" s="213"/>
      <c r="F77" s="213">
        <f>SUM(F75,F69,F63,F57,F51,F45,F39,F33,F27,F21,F15,F9)</f>
        <v>274566000</v>
      </c>
      <c r="G77" s="213">
        <f t="shared" ref="G77:H77" si="31">SUM(G75,G69,G63,G57,G51,G45,G39,G33,G27,G21,G15,G9)</f>
        <v>153162000</v>
      </c>
      <c r="H77" s="213">
        <f t="shared" si="31"/>
        <v>121404000</v>
      </c>
      <c r="I77" s="221"/>
      <c r="J77" s="222"/>
    </row>
  </sheetData>
  <scenarios current="0" show="0">
    <scenario name="Best" locked="1" count="1" user="DELL" comment="Created by DELL on 22-06-2025">
      <inputCells r="C1" val="200"/>
    </scenario>
  </scenarios>
  <conditionalFormatting sqref="I4:I75">
    <cfRule type="cellIs" dxfId="1065" priority="2" operator="greaterThan">
      <formula>0.5</formula>
    </cfRule>
    <cfRule type="cellIs" dxfId="1064" priority="3" operator="lessThan">
      <formula>0.2</formula>
    </cfRule>
  </conditionalFormatting>
  <conditionalFormatting sqref="C4:C8 C10:C14 C16:C20 C22:C26 C28:C32 C34:C38 C40:C44 C46:C50 C52:C56 C58:C62 C64:C68 C70:C74">
    <cfRule type="dataBar" priority="1">
      <dataBar>
        <cfvo type="min"/>
        <cfvo type="max"/>
        <color rgb="FF638EC6"/>
      </dataBar>
      <extLst>
        <ext xmlns:x14="http://schemas.microsoft.com/office/spreadsheetml/2009/9/main" uri="{B025F937-C7B1-47D3-B67F-A62EFF666E3E}">
          <x14:id>{013EFE59-9D3F-4DAD-83AA-DBA10B9D9679}</x14:id>
        </ext>
      </extLst>
    </cfRule>
  </conditionalFormatting>
  <pageMargins left="0.7" right="0.7" top="0.75" bottom="0.75" header="0.3" footer="0.3"/>
  <pageSetup scale="45" orientation="landscape" horizontalDpi="1200" verticalDpi="1200" r:id="rId1"/>
  <ignoredErrors>
    <ignoredError sqref="F10:I14 F16:I20 F22:I26 F28:I32 F34:I38 F40:I44 F46:I50 F52:I56 F58:I62 F64:I68 F70:I74" formula="1"/>
  </ignoredErrors>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13EFE59-9D3F-4DAD-83AA-DBA10B9D9679}">
            <x14:dataBar minLength="0" maxLength="100" border="1" gradient="0">
              <x14:cfvo type="autoMin"/>
              <x14:cfvo type="autoMax"/>
              <x14:borderColor rgb="FF000000"/>
              <x14:negativeFillColor rgb="FFFF0000"/>
              <x14:axisColor rgb="FF000000"/>
            </x14:dataBar>
          </x14:cfRule>
          <xm:sqref>C4:C8 C10:C14 C16:C20 C22:C26 C28:C32 C34:C38 C40:C44 C46:C50 C52:C56 C58:C62 C64:C68 C70:C74</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6"/>
  <sheetViews>
    <sheetView showGridLines="0" zoomScaleNormal="100" workbookViewId="0">
      <pane ySplit="3" topLeftCell="A55" activePane="bottomLeft" state="frozen"/>
      <selection activeCell="E14" sqref="E14:F14"/>
      <selection pane="bottomLeft" activeCell="D71" sqref="D71"/>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60" t="s">
        <v>0</v>
      </c>
      <c r="C1" s="60" t="s">
        <v>9</v>
      </c>
    </row>
    <row r="2" spans="1:10" x14ac:dyDescent="0.25">
      <c r="A2" s="61"/>
      <c r="B2" s="61"/>
      <c r="C2" s="1"/>
      <c r="D2" s="62"/>
      <c r="E2" s="62"/>
      <c r="F2" s="62"/>
      <c r="G2" s="62"/>
      <c r="H2" s="62"/>
      <c r="I2" s="63"/>
      <c r="J2" s="64"/>
    </row>
    <row r="3" spans="1:10" x14ac:dyDescent="0.25">
      <c r="A3" s="77" t="s">
        <v>21</v>
      </c>
      <c r="B3" s="77" t="s">
        <v>1</v>
      </c>
      <c r="C3" s="56" t="s">
        <v>206</v>
      </c>
      <c r="D3" s="57" t="s">
        <v>2</v>
      </c>
      <c r="E3" s="57" t="s">
        <v>3</v>
      </c>
      <c r="F3" s="57" t="s">
        <v>23</v>
      </c>
      <c r="G3" s="57" t="s">
        <v>24</v>
      </c>
      <c r="H3" s="57" t="s">
        <v>25</v>
      </c>
      <c r="I3" s="58" t="s">
        <v>26</v>
      </c>
      <c r="J3" s="59" t="s">
        <v>43</v>
      </c>
    </row>
    <row r="4" spans="1:10" x14ac:dyDescent="0.25">
      <c r="A4" s="78" t="s">
        <v>29</v>
      </c>
      <c r="B4" s="65" t="s">
        <v>4</v>
      </c>
      <c r="C4" s="81">
        <f t="array" ref="C4">INDEX(Assumptions!$F$3:$F$18, MATCH(1, (Assumptions!$B$3:$B$18=Forecasting_Base!B4)*(Assumptions!$C$3:$C$18=Forecasting_Base!$C$1),0))*J4</f>
        <v>1520</v>
      </c>
      <c r="D4" s="82">
        <f t="array" ref="D4">INDEX(Assumptions!$D$3:$D$18, MATCH(1, (Assumptions!$B$3:$B$18=Forecasting_Base!B4)*(Assumptions!$C$3:$C$18=Forecasting_Base!$C$1),0))</f>
        <v>2500</v>
      </c>
      <c r="E4" s="82">
        <f t="array" ref="E4">INDEX(Assumptions!$E$3:$E$18, MATCH(1, (Assumptions!$B$3:$B$18=Forecasting_Base!B4)*(Assumptions!$C$3:$C$18=Forecasting_Base!$C$1),0))</f>
        <v>1700</v>
      </c>
      <c r="F4" s="82">
        <f t="shared" ref="F4:F35" si="0">C4*D4</f>
        <v>3800000</v>
      </c>
      <c r="G4" s="82">
        <f t="shared" ref="G4:G35" si="1">C4*E4</f>
        <v>2584000</v>
      </c>
      <c r="H4" s="82">
        <f t="shared" ref="H4:H35" si="2">F4-G4</f>
        <v>1216000</v>
      </c>
      <c r="I4" s="83">
        <f t="shared" ref="I4:I35" si="3">IF(F4=0, 0, H4/F4)</f>
        <v>0.32</v>
      </c>
      <c r="J4" s="84">
        <f>VLOOKUP(A4,Seasonality!$B$4:$C$15,2,FALSE)</f>
        <v>0.95</v>
      </c>
    </row>
    <row r="5" spans="1:10" x14ac:dyDescent="0.25">
      <c r="A5" s="78" t="s">
        <v>29</v>
      </c>
      <c r="B5" s="65" t="s">
        <v>5</v>
      </c>
      <c r="C5" s="81">
        <f t="array" ref="C5">INDEX(Assumptions!$F$3:$F$18, MATCH(1, (Assumptions!$B$3:$B$18=Forecasting_Base!B5)*(Assumptions!$C$3:$C$18=Forecasting_Base!$C$1),0))*J5</f>
        <v>950</v>
      </c>
      <c r="D5" s="82">
        <f t="array" ref="D5">INDEX(Assumptions!$D$3:$D$18, MATCH(1, (Assumptions!$B$3:$B$18=Forecasting_Base!B5)*(Assumptions!$C$3:$C$18=Forecasting_Base!$C$1),0))</f>
        <v>3500</v>
      </c>
      <c r="E5" s="82">
        <f t="array" ref="E5">INDEX(Assumptions!$E$3:$E$18, MATCH(1, (Assumptions!$B$3:$B$18=Forecasting_Base!B5)*(Assumptions!$C$3:$C$18=Forecasting_Base!$C$1),0))</f>
        <v>2600</v>
      </c>
      <c r="F5" s="82">
        <f t="shared" si="0"/>
        <v>3325000</v>
      </c>
      <c r="G5" s="82">
        <f t="shared" si="1"/>
        <v>2470000</v>
      </c>
      <c r="H5" s="82">
        <f t="shared" si="2"/>
        <v>855000</v>
      </c>
      <c r="I5" s="83">
        <f t="shared" si="3"/>
        <v>0.25714285714285712</v>
      </c>
      <c r="J5" s="84">
        <f>VLOOKUP(A5,Seasonality!$B$4:$C$15,2,FALSE)</f>
        <v>0.95</v>
      </c>
    </row>
    <row r="6" spans="1:10" x14ac:dyDescent="0.25">
      <c r="A6" s="78" t="s">
        <v>29</v>
      </c>
      <c r="B6" s="65" t="s">
        <v>14</v>
      </c>
      <c r="C6" s="81">
        <f t="array" ref="C6">INDEX(Assumptions!$F$3:$F$18, MATCH(1, (Assumptions!$B$3:$B$18=Forecasting_Base!B6)*(Assumptions!$C$3:$C$18=Forecasting_Base!$C$1),0))*J6</f>
        <v>1045</v>
      </c>
      <c r="D6" s="82">
        <f t="array" ref="D6">INDEX(Assumptions!$D$3:$D$18, MATCH(1, (Assumptions!$B$3:$B$18=Forecasting_Base!B6)*(Assumptions!$C$3:$C$18=Forecasting_Base!$C$1),0))</f>
        <v>2600</v>
      </c>
      <c r="E6" s="82">
        <f t="array" ref="E6">INDEX(Assumptions!$E$3:$E$18, MATCH(1, (Assumptions!$B$3:$B$18=Forecasting_Base!B6)*(Assumptions!$C$3:$C$18=Forecasting_Base!$C$1),0))</f>
        <v>1800</v>
      </c>
      <c r="F6" s="82">
        <f t="shared" si="0"/>
        <v>2717000</v>
      </c>
      <c r="G6" s="82">
        <f t="shared" si="1"/>
        <v>1881000</v>
      </c>
      <c r="H6" s="82">
        <f t="shared" si="2"/>
        <v>836000</v>
      </c>
      <c r="I6" s="83">
        <f t="shared" si="3"/>
        <v>0.30769230769230771</v>
      </c>
      <c r="J6" s="84">
        <f>VLOOKUP(A6,Seasonality!$B$4:$C$15,2,FALSE)</f>
        <v>0.95</v>
      </c>
    </row>
    <row r="7" spans="1:10" x14ac:dyDescent="0.25">
      <c r="A7" s="78" t="s">
        <v>29</v>
      </c>
      <c r="B7" s="65" t="s">
        <v>39</v>
      </c>
      <c r="C7" s="81">
        <f t="array" ref="C7">INDEX(Assumptions!$F$3:$F$18, MATCH(1, (Assumptions!$B$3:$B$18=Forecasting_Base!B7)*(Assumptions!$C$3:$C$18=Forecasting_Base!$C$1),0))*J7</f>
        <v>1900</v>
      </c>
      <c r="D7" s="82">
        <f t="array" ref="D7">INDEX(Assumptions!$D$3:$D$18, MATCH(1, (Assumptions!$B$3:$B$18=Forecasting_Base!B7)*(Assumptions!$C$3:$C$18=Forecasting_Base!$C$1),0))</f>
        <v>1200</v>
      </c>
      <c r="E7" s="82">
        <f t="array" ref="E7">INDEX(Assumptions!$E$3:$E$18, MATCH(1, (Assumptions!$B$3:$B$18=Forecasting_Base!B7)*(Assumptions!$C$3:$C$18=Forecasting_Base!$C$1),0))</f>
        <v>700</v>
      </c>
      <c r="F7" s="82">
        <f t="shared" si="0"/>
        <v>2280000</v>
      </c>
      <c r="G7" s="82">
        <f t="shared" si="1"/>
        <v>1330000</v>
      </c>
      <c r="H7" s="82">
        <f t="shared" si="2"/>
        <v>950000</v>
      </c>
      <c r="I7" s="83">
        <f t="shared" si="3"/>
        <v>0.41666666666666669</v>
      </c>
      <c r="J7" s="84">
        <f>VLOOKUP(A7,Seasonality!$B$4:$C$15,2,FALSE)</f>
        <v>0.95</v>
      </c>
    </row>
    <row r="8" spans="1:10" x14ac:dyDescent="0.25">
      <c r="A8" s="78" t="s">
        <v>29</v>
      </c>
      <c r="B8" s="65" t="s">
        <v>6</v>
      </c>
      <c r="C8" s="81">
        <f t="array" ref="C8">INDEX(Assumptions!$F$3:$F$18, MATCH(1, (Assumptions!$B$3:$B$18=Forecasting_Base!B8)*(Assumptions!$C$3:$C$18=Forecasting_Base!$C$1),0))*J8</f>
        <v>2660</v>
      </c>
      <c r="D8" s="82">
        <f t="array" ref="D8">INDEX(Assumptions!$D$3:$D$18, MATCH(1, (Assumptions!$B$3:$B$18=Forecasting_Base!B8)*(Assumptions!$C$3:$C$18=Forecasting_Base!$C$1),0))</f>
        <v>500</v>
      </c>
      <c r="E8" s="82">
        <f t="array" ref="E8">INDEX(Assumptions!$E$3:$E$18, MATCH(1, (Assumptions!$B$3:$B$18=Forecasting_Base!B8)*(Assumptions!$C$3:$C$18=Forecasting_Base!$C$1),0))</f>
        <v>300</v>
      </c>
      <c r="F8" s="82">
        <f t="shared" si="0"/>
        <v>1330000</v>
      </c>
      <c r="G8" s="82">
        <f t="shared" si="1"/>
        <v>798000</v>
      </c>
      <c r="H8" s="82">
        <f t="shared" si="2"/>
        <v>532000</v>
      </c>
      <c r="I8" s="83">
        <f t="shared" si="3"/>
        <v>0.4</v>
      </c>
      <c r="J8" s="84">
        <f>VLOOKUP(A8,Seasonality!$B$4:$C$15,2,FALSE)</f>
        <v>0.95</v>
      </c>
    </row>
    <row r="9" spans="1:10" x14ac:dyDescent="0.25">
      <c r="A9" s="78" t="s">
        <v>30</v>
      </c>
      <c r="B9" s="65" t="s">
        <v>4</v>
      </c>
      <c r="C9" s="81">
        <f t="array" ref="C9">INDEX(Assumptions!$F$3:$F$18, MATCH(1, (Assumptions!$B$3:$B$18=Forecasting_Base!B9)*(Assumptions!$C$3:$C$18=Forecasting_Base!$C$1),0))*J9</f>
        <v>1440</v>
      </c>
      <c r="D9" s="82">
        <f t="array" ref="D9">INDEX(Assumptions!$D$3:$D$18, MATCH(1, (Assumptions!$B$3:$B$18=Forecasting_Base!B9)*(Assumptions!$C$3:$C$18=Forecasting_Base!$C$1),0))</f>
        <v>2500</v>
      </c>
      <c r="E9" s="82">
        <f t="array" ref="E9">INDEX(Assumptions!$E$3:$E$18, MATCH(1, (Assumptions!$B$3:$B$18=Forecasting_Base!B9)*(Assumptions!$C$3:$C$18=Forecasting_Base!$C$1),0))</f>
        <v>1700</v>
      </c>
      <c r="F9" s="82">
        <f t="shared" si="0"/>
        <v>3600000</v>
      </c>
      <c r="G9" s="82">
        <f t="shared" si="1"/>
        <v>2448000</v>
      </c>
      <c r="H9" s="82">
        <f t="shared" si="2"/>
        <v>1152000</v>
      </c>
      <c r="I9" s="83">
        <f t="shared" si="3"/>
        <v>0.32</v>
      </c>
      <c r="J9" s="84">
        <f>VLOOKUP(A9,Seasonality!$B$4:$C$15,2,FALSE)</f>
        <v>0.9</v>
      </c>
    </row>
    <row r="10" spans="1:10" x14ac:dyDescent="0.25">
      <c r="A10" s="78" t="s">
        <v>30</v>
      </c>
      <c r="B10" s="65" t="s">
        <v>5</v>
      </c>
      <c r="C10" s="81">
        <f t="array" ref="C10">INDEX(Assumptions!$F$3:$F$18, MATCH(1, (Assumptions!$B$3:$B$18=Forecasting_Base!B10)*(Assumptions!$C$3:$C$18=Forecasting_Base!$C$1),0))*J10</f>
        <v>900</v>
      </c>
      <c r="D10" s="82">
        <f t="array" ref="D10">INDEX(Assumptions!$D$3:$D$18, MATCH(1, (Assumptions!$B$3:$B$18=Forecasting_Base!B10)*(Assumptions!$C$3:$C$18=Forecasting_Base!$C$1),0))</f>
        <v>3500</v>
      </c>
      <c r="E10" s="82">
        <f t="array" ref="E10">INDEX(Assumptions!$E$3:$E$18, MATCH(1, (Assumptions!$B$3:$B$18=Forecasting_Base!B10)*(Assumptions!$C$3:$C$18=Forecasting_Base!$C$1),0))</f>
        <v>2600</v>
      </c>
      <c r="F10" s="82">
        <f t="shared" si="0"/>
        <v>3150000</v>
      </c>
      <c r="G10" s="82">
        <f t="shared" si="1"/>
        <v>2340000</v>
      </c>
      <c r="H10" s="82">
        <f t="shared" si="2"/>
        <v>810000</v>
      </c>
      <c r="I10" s="83">
        <f t="shared" si="3"/>
        <v>0.25714285714285712</v>
      </c>
      <c r="J10" s="84">
        <f>VLOOKUP(A10,Seasonality!$B$4:$C$15,2,FALSE)</f>
        <v>0.9</v>
      </c>
    </row>
    <row r="11" spans="1:10" x14ac:dyDescent="0.25">
      <c r="A11" s="78" t="s">
        <v>30</v>
      </c>
      <c r="B11" s="65" t="s">
        <v>14</v>
      </c>
      <c r="C11" s="81">
        <f t="array" ref="C11">INDEX(Assumptions!$F$3:$F$18, MATCH(1, (Assumptions!$B$3:$B$18=Forecasting_Base!B11)*(Assumptions!$C$3:$C$18=Forecasting_Base!$C$1),0))*J11</f>
        <v>990</v>
      </c>
      <c r="D11" s="82">
        <f t="array" ref="D11">INDEX(Assumptions!$D$3:$D$18, MATCH(1, (Assumptions!$B$3:$B$18=Forecasting_Base!B11)*(Assumptions!$C$3:$C$18=Forecasting_Base!$C$1),0))</f>
        <v>2600</v>
      </c>
      <c r="E11" s="82">
        <f t="array" ref="E11">INDEX(Assumptions!$E$3:$E$18, MATCH(1, (Assumptions!$B$3:$B$18=Forecasting_Base!B11)*(Assumptions!$C$3:$C$18=Forecasting_Base!$C$1),0))</f>
        <v>1800</v>
      </c>
      <c r="F11" s="82">
        <f t="shared" si="0"/>
        <v>2574000</v>
      </c>
      <c r="G11" s="82">
        <f t="shared" si="1"/>
        <v>1782000</v>
      </c>
      <c r="H11" s="82">
        <f t="shared" si="2"/>
        <v>792000</v>
      </c>
      <c r="I11" s="83">
        <f t="shared" si="3"/>
        <v>0.30769230769230771</v>
      </c>
      <c r="J11" s="84">
        <f>VLOOKUP(A11,Seasonality!$B$4:$C$15,2,FALSE)</f>
        <v>0.9</v>
      </c>
    </row>
    <row r="12" spans="1:10" x14ac:dyDescent="0.25">
      <c r="A12" s="78" t="s">
        <v>30</v>
      </c>
      <c r="B12" s="65" t="s">
        <v>39</v>
      </c>
      <c r="C12" s="81">
        <f t="array" ref="C12">INDEX(Assumptions!$F$3:$F$18, MATCH(1, (Assumptions!$B$3:$B$18=Forecasting_Base!B12)*(Assumptions!$C$3:$C$18=Forecasting_Base!$C$1),0))*J12</f>
        <v>1800</v>
      </c>
      <c r="D12" s="82">
        <f t="array" ref="D12">INDEX(Assumptions!$D$3:$D$18, MATCH(1, (Assumptions!$B$3:$B$18=Forecasting_Base!B12)*(Assumptions!$C$3:$C$18=Forecasting_Base!$C$1),0))</f>
        <v>1200</v>
      </c>
      <c r="E12" s="82">
        <f t="array" ref="E12">INDEX(Assumptions!$E$3:$E$18, MATCH(1, (Assumptions!$B$3:$B$18=Forecasting_Base!B12)*(Assumptions!$C$3:$C$18=Forecasting_Base!$C$1),0))</f>
        <v>700</v>
      </c>
      <c r="F12" s="82">
        <f t="shared" si="0"/>
        <v>2160000</v>
      </c>
      <c r="G12" s="82">
        <f t="shared" si="1"/>
        <v>1260000</v>
      </c>
      <c r="H12" s="82">
        <f t="shared" si="2"/>
        <v>900000</v>
      </c>
      <c r="I12" s="83">
        <f t="shared" si="3"/>
        <v>0.41666666666666669</v>
      </c>
      <c r="J12" s="84">
        <f>VLOOKUP(A12,Seasonality!$B$4:$C$15,2,FALSE)</f>
        <v>0.9</v>
      </c>
    </row>
    <row r="13" spans="1:10" x14ac:dyDescent="0.25">
      <c r="A13" s="78" t="s">
        <v>30</v>
      </c>
      <c r="B13" s="65" t="s">
        <v>6</v>
      </c>
      <c r="C13" s="81">
        <f t="array" ref="C13">INDEX(Assumptions!$F$3:$F$18, MATCH(1, (Assumptions!$B$3:$B$18=Forecasting_Base!B13)*(Assumptions!$C$3:$C$18=Forecasting_Base!$C$1),0))*J13</f>
        <v>2520</v>
      </c>
      <c r="D13" s="82">
        <f t="array" ref="D13">INDEX(Assumptions!$D$3:$D$18, MATCH(1, (Assumptions!$B$3:$B$18=Forecasting_Base!B13)*(Assumptions!$C$3:$C$18=Forecasting_Base!$C$1),0))</f>
        <v>500</v>
      </c>
      <c r="E13" s="82">
        <f t="array" ref="E13">INDEX(Assumptions!$E$3:$E$18, MATCH(1, (Assumptions!$B$3:$B$18=Forecasting_Base!B13)*(Assumptions!$C$3:$C$18=Forecasting_Base!$C$1),0))</f>
        <v>300</v>
      </c>
      <c r="F13" s="82">
        <f t="shared" si="0"/>
        <v>1260000</v>
      </c>
      <c r="G13" s="82">
        <f t="shared" si="1"/>
        <v>756000</v>
      </c>
      <c r="H13" s="82">
        <f t="shared" si="2"/>
        <v>504000</v>
      </c>
      <c r="I13" s="83">
        <f t="shared" si="3"/>
        <v>0.4</v>
      </c>
      <c r="J13" s="84">
        <f>VLOOKUP(A13,Seasonality!$B$4:$C$15,2,FALSE)</f>
        <v>0.9</v>
      </c>
    </row>
    <row r="14" spans="1:10" x14ac:dyDescent="0.25">
      <c r="A14" s="78" t="s">
        <v>31</v>
      </c>
      <c r="B14" s="65" t="s">
        <v>4</v>
      </c>
      <c r="C14" s="81">
        <f t="array" ref="C14">INDEX(Assumptions!$F$3:$F$18, MATCH(1, (Assumptions!$B$3:$B$18=Forecasting_Base!B14)*(Assumptions!$C$3:$C$18=Forecasting_Base!$C$1),0))*J14</f>
        <v>1680</v>
      </c>
      <c r="D14" s="82">
        <f t="array" ref="D14">INDEX(Assumptions!$D$3:$D$18, MATCH(1, (Assumptions!$B$3:$B$18=Forecasting_Base!B14)*(Assumptions!$C$3:$C$18=Forecasting_Base!$C$1),0))</f>
        <v>2500</v>
      </c>
      <c r="E14" s="82">
        <f t="array" ref="E14">INDEX(Assumptions!$E$3:$E$18, MATCH(1, (Assumptions!$B$3:$B$18=Forecasting_Base!B14)*(Assumptions!$C$3:$C$18=Forecasting_Base!$C$1),0))</f>
        <v>1700</v>
      </c>
      <c r="F14" s="82">
        <f t="shared" si="0"/>
        <v>4200000</v>
      </c>
      <c r="G14" s="82">
        <f t="shared" si="1"/>
        <v>2856000</v>
      </c>
      <c r="H14" s="82">
        <f t="shared" si="2"/>
        <v>1344000</v>
      </c>
      <c r="I14" s="83">
        <f t="shared" si="3"/>
        <v>0.32</v>
      </c>
      <c r="J14" s="84">
        <f>VLOOKUP(A14,Seasonality!$B$4:$C$15,2,FALSE)</f>
        <v>1.05</v>
      </c>
    </row>
    <row r="15" spans="1:10" x14ac:dyDescent="0.25">
      <c r="A15" s="78" t="s">
        <v>31</v>
      </c>
      <c r="B15" s="65" t="s">
        <v>5</v>
      </c>
      <c r="C15" s="81">
        <f t="array" ref="C15">INDEX(Assumptions!$F$3:$F$18, MATCH(1, (Assumptions!$B$3:$B$18=Forecasting_Base!B15)*(Assumptions!$C$3:$C$18=Forecasting_Base!$C$1),0))*J15</f>
        <v>1050</v>
      </c>
      <c r="D15" s="82">
        <f t="array" ref="D15">INDEX(Assumptions!$D$3:$D$18, MATCH(1, (Assumptions!$B$3:$B$18=Forecasting_Base!B15)*(Assumptions!$C$3:$C$18=Forecasting_Base!$C$1),0))</f>
        <v>3500</v>
      </c>
      <c r="E15" s="82">
        <f t="array" ref="E15">INDEX(Assumptions!$E$3:$E$18, MATCH(1, (Assumptions!$B$3:$B$18=Forecasting_Base!B15)*(Assumptions!$C$3:$C$18=Forecasting_Base!$C$1),0))</f>
        <v>2600</v>
      </c>
      <c r="F15" s="82">
        <f t="shared" si="0"/>
        <v>3675000</v>
      </c>
      <c r="G15" s="82">
        <f t="shared" si="1"/>
        <v>2730000</v>
      </c>
      <c r="H15" s="82">
        <f t="shared" si="2"/>
        <v>945000</v>
      </c>
      <c r="I15" s="83">
        <f t="shared" si="3"/>
        <v>0.25714285714285712</v>
      </c>
      <c r="J15" s="84">
        <f>VLOOKUP(A15,Seasonality!$B$4:$C$15,2,FALSE)</f>
        <v>1.05</v>
      </c>
    </row>
    <row r="16" spans="1:10" x14ac:dyDescent="0.25">
      <c r="A16" s="78" t="s">
        <v>31</v>
      </c>
      <c r="B16" s="65" t="s">
        <v>14</v>
      </c>
      <c r="C16" s="81">
        <f t="array" ref="C16">INDEX(Assumptions!$F$3:$F$18, MATCH(1, (Assumptions!$B$3:$B$18=Forecasting_Base!B16)*(Assumptions!$C$3:$C$18=Forecasting_Base!$C$1),0))*J16</f>
        <v>1155</v>
      </c>
      <c r="D16" s="82">
        <f t="array" ref="D16">INDEX(Assumptions!$D$3:$D$18, MATCH(1, (Assumptions!$B$3:$B$18=Forecasting_Base!B16)*(Assumptions!$C$3:$C$18=Forecasting_Base!$C$1),0))</f>
        <v>2600</v>
      </c>
      <c r="E16" s="82">
        <f t="array" ref="E16">INDEX(Assumptions!$E$3:$E$18, MATCH(1, (Assumptions!$B$3:$B$18=Forecasting_Base!B16)*(Assumptions!$C$3:$C$18=Forecasting_Base!$C$1),0))</f>
        <v>1800</v>
      </c>
      <c r="F16" s="82">
        <f t="shared" si="0"/>
        <v>3003000</v>
      </c>
      <c r="G16" s="82">
        <f t="shared" si="1"/>
        <v>2079000</v>
      </c>
      <c r="H16" s="82">
        <f t="shared" si="2"/>
        <v>924000</v>
      </c>
      <c r="I16" s="83">
        <f t="shared" si="3"/>
        <v>0.30769230769230771</v>
      </c>
      <c r="J16" s="84">
        <f>VLOOKUP(A16,Seasonality!$B$4:$C$15,2,FALSE)</f>
        <v>1.05</v>
      </c>
    </row>
    <row r="17" spans="1:10" x14ac:dyDescent="0.25">
      <c r="A17" s="78" t="s">
        <v>31</v>
      </c>
      <c r="B17" s="65" t="s">
        <v>39</v>
      </c>
      <c r="C17" s="81">
        <f t="array" ref="C17">INDEX(Assumptions!$F$3:$F$18, MATCH(1, (Assumptions!$B$3:$B$18=Forecasting_Base!B17)*(Assumptions!$C$3:$C$18=Forecasting_Base!$C$1),0))*J17</f>
        <v>2100</v>
      </c>
      <c r="D17" s="82">
        <f t="array" ref="D17">INDEX(Assumptions!$D$3:$D$18, MATCH(1, (Assumptions!$B$3:$B$18=Forecasting_Base!B17)*(Assumptions!$C$3:$C$18=Forecasting_Base!$C$1),0))</f>
        <v>1200</v>
      </c>
      <c r="E17" s="82">
        <f t="array" ref="E17">INDEX(Assumptions!$E$3:$E$18, MATCH(1, (Assumptions!$B$3:$B$18=Forecasting_Base!B17)*(Assumptions!$C$3:$C$18=Forecasting_Base!$C$1),0))</f>
        <v>700</v>
      </c>
      <c r="F17" s="82">
        <f t="shared" si="0"/>
        <v>2520000</v>
      </c>
      <c r="G17" s="82">
        <f t="shared" si="1"/>
        <v>1470000</v>
      </c>
      <c r="H17" s="82">
        <f t="shared" si="2"/>
        <v>1050000</v>
      </c>
      <c r="I17" s="83">
        <f t="shared" si="3"/>
        <v>0.41666666666666669</v>
      </c>
      <c r="J17" s="84">
        <f>VLOOKUP(A17,Seasonality!$B$4:$C$15,2,FALSE)</f>
        <v>1.05</v>
      </c>
    </row>
    <row r="18" spans="1:10" x14ac:dyDescent="0.25">
      <c r="A18" s="78" t="s">
        <v>31</v>
      </c>
      <c r="B18" s="65" t="s">
        <v>6</v>
      </c>
      <c r="C18" s="81">
        <f t="array" ref="C18">INDEX(Assumptions!$F$3:$F$18, MATCH(1, (Assumptions!$B$3:$B$18=Forecasting_Base!B18)*(Assumptions!$C$3:$C$18=Forecasting_Base!$C$1),0))*J18</f>
        <v>2940</v>
      </c>
      <c r="D18" s="82">
        <f t="array" ref="D18">INDEX(Assumptions!$D$3:$D$18, MATCH(1, (Assumptions!$B$3:$B$18=Forecasting_Base!B18)*(Assumptions!$C$3:$C$18=Forecasting_Base!$C$1),0))</f>
        <v>500</v>
      </c>
      <c r="E18" s="82">
        <f t="array" ref="E18">INDEX(Assumptions!$E$3:$E$18, MATCH(1, (Assumptions!$B$3:$B$18=Forecasting_Base!B18)*(Assumptions!$C$3:$C$18=Forecasting_Base!$C$1),0))</f>
        <v>300</v>
      </c>
      <c r="F18" s="82">
        <f t="shared" si="0"/>
        <v>1470000</v>
      </c>
      <c r="G18" s="82">
        <f t="shared" si="1"/>
        <v>882000</v>
      </c>
      <c r="H18" s="82">
        <f t="shared" si="2"/>
        <v>588000</v>
      </c>
      <c r="I18" s="83">
        <f t="shared" si="3"/>
        <v>0.4</v>
      </c>
      <c r="J18" s="84">
        <f>VLOOKUP(A18,Seasonality!$B$4:$C$15,2,FALSE)</f>
        <v>1.05</v>
      </c>
    </row>
    <row r="19" spans="1:10" x14ac:dyDescent="0.25">
      <c r="A19" s="78" t="s">
        <v>32</v>
      </c>
      <c r="B19" s="65" t="s">
        <v>4</v>
      </c>
      <c r="C19" s="81">
        <f t="array" ref="C19">INDEX(Assumptions!$F$3:$F$18, MATCH(1, (Assumptions!$B$3:$B$18=Forecasting_Base!B19)*(Assumptions!$C$3:$C$18=Forecasting_Base!$C$1),0))*J19</f>
        <v>1760.0000000000002</v>
      </c>
      <c r="D19" s="82">
        <f t="array" ref="D19">INDEX(Assumptions!$D$3:$D$18, MATCH(1, (Assumptions!$B$3:$B$18=Forecasting_Base!B19)*(Assumptions!$C$3:$C$18=Forecasting_Base!$C$1),0))</f>
        <v>2500</v>
      </c>
      <c r="E19" s="82">
        <f t="array" ref="E19">INDEX(Assumptions!$E$3:$E$18, MATCH(1, (Assumptions!$B$3:$B$18=Forecasting_Base!B19)*(Assumptions!$C$3:$C$18=Forecasting_Base!$C$1),0))</f>
        <v>1700</v>
      </c>
      <c r="F19" s="82">
        <f t="shared" si="0"/>
        <v>4400000.0000000009</v>
      </c>
      <c r="G19" s="82">
        <f t="shared" si="1"/>
        <v>2992000.0000000005</v>
      </c>
      <c r="H19" s="82">
        <f t="shared" si="2"/>
        <v>1408000.0000000005</v>
      </c>
      <c r="I19" s="83">
        <f t="shared" si="3"/>
        <v>0.32000000000000006</v>
      </c>
      <c r="J19" s="84">
        <f>VLOOKUP(A19,Seasonality!$B$4:$C$15,2,FALSE)</f>
        <v>1.1000000000000001</v>
      </c>
    </row>
    <row r="20" spans="1:10" x14ac:dyDescent="0.25">
      <c r="A20" s="78" t="s">
        <v>32</v>
      </c>
      <c r="B20" s="65" t="s">
        <v>5</v>
      </c>
      <c r="C20" s="81">
        <f t="array" ref="C20">INDEX(Assumptions!$F$3:$F$18, MATCH(1, (Assumptions!$B$3:$B$18=Forecasting_Base!B20)*(Assumptions!$C$3:$C$18=Forecasting_Base!$C$1),0))*J20</f>
        <v>1100</v>
      </c>
      <c r="D20" s="82">
        <f t="array" ref="D20">INDEX(Assumptions!$D$3:$D$18, MATCH(1, (Assumptions!$B$3:$B$18=Forecasting_Base!B20)*(Assumptions!$C$3:$C$18=Forecasting_Base!$C$1),0))</f>
        <v>3500</v>
      </c>
      <c r="E20" s="82">
        <f t="array" ref="E20">INDEX(Assumptions!$E$3:$E$18, MATCH(1, (Assumptions!$B$3:$B$18=Forecasting_Base!B20)*(Assumptions!$C$3:$C$18=Forecasting_Base!$C$1),0))</f>
        <v>2600</v>
      </c>
      <c r="F20" s="82">
        <f t="shared" si="0"/>
        <v>3850000</v>
      </c>
      <c r="G20" s="82">
        <f t="shared" si="1"/>
        <v>2860000</v>
      </c>
      <c r="H20" s="82">
        <f t="shared" si="2"/>
        <v>990000</v>
      </c>
      <c r="I20" s="83">
        <f t="shared" si="3"/>
        <v>0.25714285714285712</v>
      </c>
      <c r="J20" s="84">
        <f>VLOOKUP(A20,Seasonality!$B$4:$C$15,2,FALSE)</f>
        <v>1.1000000000000001</v>
      </c>
    </row>
    <row r="21" spans="1:10" x14ac:dyDescent="0.25">
      <c r="A21" s="78" t="s">
        <v>32</v>
      </c>
      <c r="B21" s="65" t="s">
        <v>14</v>
      </c>
      <c r="C21" s="81">
        <f t="array" ref="C21">INDEX(Assumptions!$F$3:$F$18, MATCH(1, (Assumptions!$B$3:$B$18=Forecasting_Base!B21)*(Assumptions!$C$3:$C$18=Forecasting_Base!$C$1),0))*J21</f>
        <v>1210</v>
      </c>
      <c r="D21" s="82">
        <f t="array" ref="D21">INDEX(Assumptions!$D$3:$D$18, MATCH(1, (Assumptions!$B$3:$B$18=Forecasting_Base!B21)*(Assumptions!$C$3:$C$18=Forecasting_Base!$C$1),0))</f>
        <v>2600</v>
      </c>
      <c r="E21" s="82">
        <f t="array" ref="E21">INDEX(Assumptions!$E$3:$E$18, MATCH(1, (Assumptions!$B$3:$B$18=Forecasting_Base!B21)*(Assumptions!$C$3:$C$18=Forecasting_Base!$C$1),0))</f>
        <v>1800</v>
      </c>
      <c r="F21" s="82">
        <f t="shared" si="0"/>
        <v>3146000</v>
      </c>
      <c r="G21" s="82">
        <f t="shared" si="1"/>
        <v>2178000</v>
      </c>
      <c r="H21" s="82">
        <f t="shared" si="2"/>
        <v>968000</v>
      </c>
      <c r="I21" s="83">
        <f t="shared" si="3"/>
        <v>0.30769230769230771</v>
      </c>
      <c r="J21" s="84">
        <f>VLOOKUP(A21,Seasonality!$B$4:$C$15,2,FALSE)</f>
        <v>1.1000000000000001</v>
      </c>
    </row>
    <row r="22" spans="1:10" x14ac:dyDescent="0.25">
      <c r="A22" s="78" t="s">
        <v>32</v>
      </c>
      <c r="B22" s="65" t="s">
        <v>39</v>
      </c>
      <c r="C22" s="81">
        <f t="array" ref="C22">INDEX(Assumptions!$F$3:$F$18, MATCH(1, (Assumptions!$B$3:$B$18=Forecasting_Base!B22)*(Assumptions!$C$3:$C$18=Forecasting_Base!$C$1),0))*J22</f>
        <v>2200</v>
      </c>
      <c r="D22" s="82">
        <f t="array" ref="D22">INDEX(Assumptions!$D$3:$D$18, MATCH(1, (Assumptions!$B$3:$B$18=Forecasting_Base!B22)*(Assumptions!$C$3:$C$18=Forecasting_Base!$C$1),0))</f>
        <v>1200</v>
      </c>
      <c r="E22" s="82">
        <f t="array" ref="E22">INDEX(Assumptions!$E$3:$E$18, MATCH(1, (Assumptions!$B$3:$B$18=Forecasting_Base!B22)*(Assumptions!$C$3:$C$18=Forecasting_Base!$C$1),0))</f>
        <v>700</v>
      </c>
      <c r="F22" s="82">
        <f t="shared" si="0"/>
        <v>2640000</v>
      </c>
      <c r="G22" s="82">
        <f t="shared" si="1"/>
        <v>1540000</v>
      </c>
      <c r="H22" s="82">
        <f t="shared" si="2"/>
        <v>1100000</v>
      </c>
      <c r="I22" s="83">
        <f t="shared" si="3"/>
        <v>0.41666666666666669</v>
      </c>
      <c r="J22" s="84">
        <f>VLOOKUP(A22,Seasonality!$B$4:$C$15,2,FALSE)</f>
        <v>1.1000000000000001</v>
      </c>
    </row>
    <row r="23" spans="1:10" x14ac:dyDescent="0.25">
      <c r="A23" s="78" t="s">
        <v>32</v>
      </c>
      <c r="B23" s="65" t="s">
        <v>6</v>
      </c>
      <c r="C23" s="81">
        <f t="array" ref="C23">INDEX(Assumptions!$F$3:$F$18, MATCH(1, (Assumptions!$B$3:$B$18=Forecasting_Base!B23)*(Assumptions!$C$3:$C$18=Forecasting_Base!$C$1),0))*J23</f>
        <v>3080.0000000000005</v>
      </c>
      <c r="D23" s="82">
        <f t="array" ref="D23">INDEX(Assumptions!$D$3:$D$18, MATCH(1, (Assumptions!$B$3:$B$18=Forecasting_Base!B23)*(Assumptions!$C$3:$C$18=Forecasting_Base!$C$1),0))</f>
        <v>500</v>
      </c>
      <c r="E23" s="82">
        <f t="array" ref="E23">INDEX(Assumptions!$E$3:$E$18, MATCH(1, (Assumptions!$B$3:$B$18=Forecasting_Base!B23)*(Assumptions!$C$3:$C$18=Forecasting_Base!$C$1),0))</f>
        <v>300</v>
      </c>
      <c r="F23" s="82">
        <f t="shared" si="0"/>
        <v>1540000.0000000002</v>
      </c>
      <c r="G23" s="82">
        <f t="shared" si="1"/>
        <v>924000.00000000012</v>
      </c>
      <c r="H23" s="82">
        <f t="shared" si="2"/>
        <v>616000.00000000012</v>
      </c>
      <c r="I23" s="83">
        <f t="shared" si="3"/>
        <v>0.4</v>
      </c>
      <c r="J23" s="84">
        <f>VLOOKUP(A23,Seasonality!$B$4:$C$15,2,FALSE)</f>
        <v>1.1000000000000001</v>
      </c>
    </row>
    <row r="24" spans="1:10" x14ac:dyDescent="0.25">
      <c r="A24" s="78" t="s">
        <v>27</v>
      </c>
      <c r="B24" s="65" t="s">
        <v>4</v>
      </c>
      <c r="C24" s="81">
        <f t="array" ref="C24">INDEX(Assumptions!$F$3:$F$18, MATCH(1, (Assumptions!$B$3:$B$18=Forecasting_Base!B24)*(Assumptions!$C$3:$C$18=Forecasting_Base!$C$1),0))*J24</f>
        <v>1920</v>
      </c>
      <c r="D24" s="82">
        <f t="array" ref="D24">INDEX(Assumptions!$D$3:$D$18, MATCH(1, (Assumptions!$B$3:$B$18=Forecasting_Base!B24)*(Assumptions!$C$3:$C$18=Forecasting_Base!$C$1),0))</f>
        <v>2500</v>
      </c>
      <c r="E24" s="82">
        <f t="array" ref="E24">INDEX(Assumptions!$E$3:$E$18, MATCH(1, (Assumptions!$B$3:$B$18=Forecasting_Base!B24)*(Assumptions!$C$3:$C$18=Forecasting_Base!$C$1),0))</f>
        <v>1700</v>
      </c>
      <c r="F24" s="82">
        <f t="shared" si="0"/>
        <v>4800000</v>
      </c>
      <c r="G24" s="82">
        <f t="shared" si="1"/>
        <v>3264000</v>
      </c>
      <c r="H24" s="82">
        <f t="shared" si="2"/>
        <v>1536000</v>
      </c>
      <c r="I24" s="83">
        <f t="shared" si="3"/>
        <v>0.32</v>
      </c>
      <c r="J24" s="84">
        <f>VLOOKUP(A24,Seasonality!$B$4:$C$15,2,FALSE)</f>
        <v>1.2</v>
      </c>
    </row>
    <row r="25" spans="1:10" x14ac:dyDescent="0.25">
      <c r="A25" s="78" t="s">
        <v>27</v>
      </c>
      <c r="B25" s="65" t="s">
        <v>5</v>
      </c>
      <c r="C25" s="81">
        <f t="array" ref="C25">INDEX(Assumptions!$F$3:$F$18, MATCH(1, (Assumptions!$B$3:$B$18=Forecasting_Base!B25)*(Assumptions!$C$3:$C$18=Forecasting_Base!$C$1),0))*J25</f>
        <v>1200</v>
      </c>
      <c r="D25" s="82">
        <f t="array" ref="D25">INDEX(Assumptions!$D$3:$D$18, MATCH(1, (Assumptions!$B$3:$B$18=Forecasting_Base!B25)*(Assumptions!$C$3:$C$18=Forecasting_Base!$C$1),0))</f>
        <v>3500</v>
      </c>
      <c r="E25" s="82">
        <f t="array" ref="E25">INDEX(Assumptions!$E$3:$E$18, MATCH(1, (Assumptions!$B$3:$B$18=Forecasting_Base!B25)*(Assumptions!$C$3:$C$18=Forecasting_Base!$C$1),0))</f>
        <v>2600</v>
      </c>
      <c r="F25" s="82">
        <f t="shared" si="0"/>
        <v>4200000</v>
      </c>
      <c r="G25" s="82">
        <f t="shared" si="1"/>
        <v>3120000</v>
      </c>
      <c r="H25" s="82">
        <f t="shared" si="2"/>
        <v>1080000</v>
      </c>
      <c r="I25" s="83">
        <f t="shared" si="3"/>
        <v>0.25714285714285712</v>
      </c>
      <c r="J25" s="84">
        <f>VLOOKUP(A25,Seasonality!$B$4:$C$15,2,FALSE)</f>
        <v>1.2</v>
      </c>
    </row>
    <row r="26" spans="1:10" x14ac:dyDescent="0.25">
      <c r="A26" s="78" t="s">
        <v>27</v>
      </c>
      <c r="B26" s="65" t="s">
        <v>14</v>
      </c>
      <c r="C26" s="81">
        <f t="array" ref="C26">INDEX(Assumptions!$F$3:$F$18, MATCH(1, (Assumptions!$B$3:$B$18=Forecasting_Base!B26)*(Assumptions!$C$3:$C$18=Forecasting_Base!$C$1),0))*J26</f>
        <v>1320</v>
      </c>
      <c r="D26" s="82">
        <f t="array" ref="D26">INDEX(Assumptions!$D$3:$D$18, MATCH(1, (Assumptions!$B$3:$B$18=Forecasting_Base!B26)*(Assumptions!$C$3:$C$18=Forecasting_Base!$C$1),0))</f>
        <v>2600</v>
      </c>
      <c r="E26" s="82">
        <f t="array" ref="E26">INDEX(Assumptions!$E$3:$E$18, MATCH(1, (Assumptions!$B$3:$B$18=Forecasting_Base!B26)*(Assumptions!$C$3:$C$18=Forecasting_Base!$C$1),0))</f>
        <v>1800</v>
      </c>
      <c r="F26" s="82">
        <f t="shared" si="0"/>
        <v>3432000</v>
      </c>
      <c r="G26" s="82">
        <f t="shared" si="1"/>
        <v>2376000</v>
      </c>
      <c r="H26" s="82">
        <f t="shared" si="2"/>
        <v>1056000</v>
      </c>
      <c r="I26" s="83">
        <f t="shared" si="3"/>
        <v>0.30769230769230771</v>
      </c>
      <c r="J26" s="84">
        <f>VLOOKUP(A26,Seasonality!$B$4:$C$15,2,FALSE)</f>
        <v>1.2</v>
      </c>
    </row>
    <row r="27" spans="1:10" x14ac:dyDescent="0.25">
      <c r="A27" s="78" t="s">
        <v>27</v>
      </c>
      <c r="B27" s="65" t="s">
        <v>39</v>
      </c>
      <c r="C27" s="81">
        <f t="array" ref="C27">INDEX(Assumptions!$F$3:$F$18, MATCH(1, (Assumptions!$B$3:$B$18=Forecasting_Base!B27)*(Assumptions!$C$3:$C$18=Forecasting_Base!$C$1),0))*J27</f>
        <v>2400</v>
      </c>
      <c r="D27" s="82">
        <f t="array" ref="D27">INDEX(Assumptions!$D$3:$D$18, MATCH(1, (Assumptions!$B$3:$B$18=Forecasting_Base!B27)*(Assumptions!$C$3:$C$18=Forecasting_Base!$C$1),0))</f>
        <v>1200</v>
      </c>
      <c r="E27" s="82">
        <f t="array" ref="E27">INDEX(Assumptions!$E$3:$E$18, MATCH(1, (Assumptions!$B$3:$B$18=Forecasting_Base!B27)*(Assumptions!$C$3:$C$18=Forecasting_Base!$C$1),0))</f>
        <v>700</v>
      </c>
      <c r="F27" s="82">
        <f t="shared" si="0"/>
        <v>2880000</v>
      </c>
      <c r="G27" s="82">
        <f t="shared" si="1"/>
        <v>1680000</v>
      </c>
      <c r="H27" s="82">
        <f t="shared" si="2"/>
        <v>1200000</v>
      </c>
      <c r="I27" s="83">
        <f t="shared" si="3"/>
        <v>0.41666666666666669</v>
      </c>
      <c r="J27" s="84">
        <f>VLOOKUP(A27,Seasonality!$B$4:$C$15,2,FALSE)</f>
        <v>1.2</v>
      </c>
    </row>
    <row r="28" spans="1:10" x14ac:dyDescent="0.25">
      <c r="A28" s="78" t="s">
        <v>27</v>
      </c>
      <c r="B28" s="65" t="s">
        <v>6</v>
      </c>
      <c r="C28" s="81">
        <f t="array" ref="C28">INDEX(Assumptions!$F$3:$F$18, MATCH(1, (Assumptions!$B$3:$B$18=Forecasting_Base!B28)*(Assumptions!$C$3:$C$18=Forecasting_Base!$C$1),0))*J28</f>
        <v>3360</v>
      </c>
      <c r="D28" s="82">
        <f t="array" ref="D28">INDEX(Assumptions!$D$3:$D$18, MATCH(1, (Assumptions!$B$3:$B$18=Forecasting_Base!B28)*(Assumptions!$C$3:$C$18=Forecasting_Base!$C$1),0))</f>
        <v>500</v>
      </c>
      <c r="E28" s="82">
        <f t="array" ref="E28">INDEX(Assumptions!$E$3:$E$18, MATCH(1, (Assumptions!$B$3:$B$18=Forecasting_Base!B28)*(Assumptions!$C$3:$C$18=Forecasting_Base!$C$1),0))</f>
        <v>300</v>
      </c>
      <c r="F28" s="82">
        <f t="shared" si="0"/>
        <v>1680000</v>
      </c>
      <c r="G28" s="82">
        <f t="shared" si="1"/>
        <v>1008000</v>
      </c>
      <c r="H28" s="82">
        <f t="shared" si="2"/>
        <v>672000</v>
      </c>
      <c r="I28" s="83">
        <f t="shared" si="3"/>
        <v>0.4</v>
      </c>
      <c r="J28" s="84">
        <f>VLOOKUP(A28,Seasonality!$B$4:$C$15,2,FALSE)</f>
        <v>1.2</v>
      </c>
    </row>
    <row r="29" spans="1:10" x14ac:dyDescent="0.25">
      <c r="A29" s="78" t="s">
        <v>33</v>
      </c>
      <c r="B29" s="65" t="s">
        <v>4</v>
      </c>
      <c r="C29" s="81">
        <f t="array" ref="C29">INDEX(Assumptions!$F$3:$F$18, MATCH(1, (Assumptions!$B$3:$B$18=Forecasting_Base!B29)*(Assumptions!$C$3:$C$18=Forecasting_Base!$C$1),0))*J29</f>
        <v>1839.9999999999998</v>
      </c>
      <c r="D29" s="82">
        <f t="array" ref="D29">INDEX(Assumptions!$D$3:$D$18, MATCH(1, (Assumptions!$B$3:$B$18=Forecasting_Base!B29)*(Assumptions!$C$3:$C$18=Forecasting_Base!$C$1),0))</f>
        <v>2500</v>
      </c>
      <c r="E29" s="82">
        <f t="array" ref="E29">INDEX(Assumptions!$E$3:$E$18, MATCH(1, (Assumptions!$B$3:$B$18=Forecasting_Base!B29)*(Assumptions!$C$3:$C$18=Forecasting_Base!$C$1),0))</f>
        <v>1700</v>
      </c>
      <c r="F29" s="82">
        <f t="shared" si="0"/>
        <v>4599999.9999999991</v>
      </c>
      <c r="G29" s="82">
        <f t="shared" si="1"/>
        <v>3127999.9999999995</v>
      </c>
      <c r="H29" s="82">
        <f t="shared" si="2"/>
        <v>1471999.9999999995</v>
      </c>
      <c r="I29" s="83">
        <f t="shared" si="3"/>
        <v>0.31999999999999995</v>
      </c>
      <c r="J29" s="84">
        <f>VLOOKUP(A29,Seasonality!$B$4:$C$15,2,FALSE)</f>
        <v>1.1499999999999999</v>
      </c>
    </row>
    <row r="30" spans="1:10" x14ac:dyDescent="0.25">
      <c r="A30" s="78" t="s">
        <v>33</v>
      </c>
      <c r="B30" s="65" t="s">
        <v>5</v>
      </c>
      <c r="C30" s="81">
        <f t="array" ref="C30">INDEX(Assumptions!$F$3:$F$18, MATCH(1, (Assumptions!$B$3:$B$18=Forecasting_Base!B30)*(Assumptions!$C$3:$C$18=Forecasting_Base!$C$1),0))*J30</f>
        <v>1150</v>
      </c>
      <c r="D30" s="82">
        <f t="array" ref="D30">INDEX(Assumptions!$D$3:$D$18, MATCH(1, (Assumptions!$B$3:$B$18=Forecasting_Base!B30)*(Assumptions!$C$3:$C$18=Forecasting_Base!$C$1),0))</f>
        <v>3500</v>
      </c>
      <c r="E30" s="82">
        <f t="array" ref="E30">INDEX(Assumptions!$E$3:$E$18, MATCH(1, (Assumptions!$B$3:$B$18=Forecasting_Base!B30)*(Assumptions!$C$3:$C$18=Forecasting_Base!$C$1),0))</f>
        <v>2600</v>
      </c>
      <c r="F30" s="82">
        <f t="shared" si="0"/>
        <v>4025000</v>
      </c>
      <c r="G30" s="82">
        <f t="shared" si="1"/>
        <v>2990000</v>
      </c>
      <c r="H30" s="82">
        <f t="shared" si="2"/>
        <v>1035000</v>
      </c>
      <c r="I30" s="83">
        <f t="shared" si="3"/>
        <v>0.25714285714285712</v>
      </c>
      <c r="J30" s="84">
        <f>VLOOKUP(A30,Seasonality!$B$4:$C$15,2,FALSE)</f>
        <v>1.1499999999999999</v>
      </c>
    </row>
    <row r="31" spans="1:10" x14ac:dyDescent="0.25">
      <c r="A31" s="78" t="s">
        <v>33</v>
      </c>
      <c r="B31" s="65" t="s">
        <v>14</v>
      </c>
      <c r="C31" s="81">
        <f t="array" ref="C31">INDEX(Assumptions!$F$3:$F$18, MATCH(1, (Assumptions!$B$3:$B$18=Forecasting_Base!B31)*(Assumptions!$C$3:$C$18=Forecasting_Base!$C$1),0))*J31</f>
        <v>1265</v>
      </c>
      <c r="D31" s="82">
        <f t="array" ref="D31">INDEX(Assumptions!$D$3:$D$18, MATCH(1, (Assumptions!$B$3:$B$18=Forecasting_Base!B31)*(Assumptions!$C$3:$C$18=Forecasting_Base!$C$1),0))</f>
        <v>2600</v>
      </c>
      <c r="E31" s="82">
        <f t="array" ref="E31">INDEX(Assumptions!$E$3:$E$18, MATCH(1, (Assumptions!$B$3:$B$18=Forecasting_Base!B31)*(Assumptions!$C$3:$C$18=Forecasting_Base!$C$1),0))</f>
        <v>1800</v>
      </c>
      <c r="F31" s="82">
        <f t="shared" si="0"/>
        <v>3289000</v>
      </c>
      <c r="G31" s="82">
        <f t="shared" si="1"/>
        <v>2277000</v>
      </c>
      <c r="H31" s="82">
        <f t="shared" si="2"/>
        <v>1012000</v>
      </c>
      <c r="I31" s="83">
        <f t="shared" si="3"/>
        <v>0.30769230769230771</v>
      </c>
      <c r="J31" s="84">
        <f>VLOOKUP(A31,Seasonality!$B$4:$C$15,2,FALSE)</f>
        <v>1.1499999999999999</v>
      </c>
    </row>
    <row r="32" spans="1:10" x14ac:dyDescent="0.25">
      <c r="A32" s="78" t="s">
        <v>33</v>
      </c>
      <c r="B32" s="65" t="s">
        <v>39</v>
      </c>
      <c r="C32" s="81">
        <f t="array" ref="C32">INDEX(Assumptions!$F$3:$F$18, MATCH(1, (Assumptions!$B$3:$B$18=Forecasting_Base!B32)*(Assumptions!$C$3:$C$18=Forecasting_Base!$C$1),0))*J32</f>
        <v>2300</v>
      </c>
      <c r="D32" s="82">
        <f t="array" ref="D32">INDEX(Assumptions!$D$3:$D$18, MATCH(1, (Assumptions!$B$3:$B$18=Forecasting_Base!B32)*(Assumptions!$C$3:$C$18=Forecasting_Base!$C$1),0))</f>
        <v>1200</v>
      </c>
      <c r="E32" s="82">
        <f t="array" ref="E32">INDEX(Assumptions!$E$3:$E$18, MATCH(1, (Assumptions!$B$3:$B$18=Forecasting_Base!B32)*(Assumptions!$C$3:$C$18=Forecasting_Base!$C$1),0))</f>
        <v>700</v>
      </c>
      <c r="F32" s="82">
        <f t="shared" si="0"/>
        <v>2760000</v>
      </c>
      <c r="G32" s="82">
        <f t="shared" si="1"/>
        <v>1610000</v>
      </c>
      <c r="H32" s="82">
        <f t="shared" si="2"/>
        <v>1150000</v>
      </c>
      <c r="I32" s="83">
        <f t="shared" si="3"/>
        <v>0.41666666666666669</v>
      </c>
      <c r="J32" s="84">
        <f>VLOOKUP(A32,Seasonality!$B$4:$C$15,2,FALSE)</f>
        <v>1.1499999999999999</v>
      </c>
    </row>
    <row r="33" spans="1:10" x14ac:dyDescent="0.25">
      <c r="A33" s="78" t="s">
        <v>33</v>
      </c>
      <c r="B33" s="65" t="s">
        <v>6</v>
      </c>
      <c r="C33" s="81">
        <f t="array" ref="C33">INDEX(Assumptions!$F$3:$F$18, MATCH(1, (Assumptions!$B$3:$B$18=Forecasting_Base!B33)*(Assumptions!$C$3:$C$18=Forecasting_Base!$C$1),0))*J33</f>
        <v>3219.9999999999995</v>
      </c>
      <c r="D33" s="82">
        <f t="array" ref="D33">INDEX(Assumptions!$D$3:$D$18, MATCH(1, (Assumptions!$B$3:$B$18=Forecasting_Base!B33)*(Assumptions!$C$3:$C$18=Forecasting_Base!$C$1),0))</f>
        <v>500</v>
      </c>
      <c r="E33" s="82">
        <f t="array" ref="E33">INDEX(Assumptions!$E$3:$E$18, MATCH(1, (Assumptions!$B$3:$B$18=Forecasting_Base!B33)*(Assumptions!$C$3:$C$18=Forecasting_Base!$C$1),0))</f>
        <v>300</v>
      </c>
      <c r="F33" s="82">
        <f t="shared" si="0"/>
        <v>1609999.9999999998</v>
      </c>
      <c r="G33" s="82">
        <f t="shared" si="1"/>
        <v>965999.99999999988</v>
      </c>
      <c r="H33" s="82">
        <f t="shared" si="2"/>
        <v>643999.99999999988</v>
      </c>
      <c r="I33" s="83">
        <f t="shared" si="3"/>
        <v>0.39999999999999997</v>
      </c>
      <c r="J33" s="84">
        <f>VLOOKUP(A33,Seasonality!$B$4:$C$15,2,FALSE)</f>
        <v>1.1499999999999999</v>
      </c>
    </row>
    <row r="34" spans="1:10" x14ac:dyDescent="0.25">
      <c r="A34" s="78" t="s">
        <v>28</v>
      </c>
      <c r="B34" s="65" t="s">
        <v>4</v>
      </c>
      <c r="C34" s="81">
        <f t="array" ref="C34">INDEX(Assumptions!$F$3:$F$18, MATCH(1, (Assumptions!$B$3:$B$18=Forecasting_Base!B34)*(Assumptions!$C$3:$C$18=Forecasting_Base!$C$1),0))*J34</f>
        <v>1680</v>
      </c>
      <c r="D34" s="82">
        <f t="array" ref="D34">INDEX(Assumptions!$D$3:$D$18, MATCH(1, (Assumptions!$B$3:$B$18=Forecasting_Base!B34)*(Assumptions!$C$3:$C$18=Forecasting_Base!$C$1),0))</f>
        <v>2500</v>
      </c>
      <c r="E34" s="82">
        <f t="array" ref="E34">INDEX(Assumptions!$E$3:$E$18, MATCH(1, (Assumptions!$B$3:$B$18=Forecasting_Base!B34)*(Assumptions!$C$3:$C$18=Forecasting_Base!$C$1),0))</f>
        <v>1700</v>
      </c>
      <c r="F34" s="82">
        <f t="shared" si="0"/>
        <v>4200000</v>
      </c>
      <c r="G34" s="82">
        <f t="shared" si="1"/>
        <v>2856000</v>
      </c>
      <c r="H34" s="82">
        <f t="shared" si="2"/>
        <v>1344000</v>
      </c>
      <c r="I34" s="83">
        <f t="shared" si="3"/>
        <v>0.32</v>
      </c>
      <c r="J34" s="84">
        <f>VLOOKUP(A34,Seasonality!$B$4:$C$15,2,FALSE)</f>
        <v>1.05</v>
      </c>
    </row>
    <row r="35" spans="1:10" x14ac:dyDescent="0.25">
      <c r="A35" s="78" t="s">
        <v>28</v>
      </c>
      <c r="B35" s="65" t="s">
        <v>5</v>
      </c>
      <c r="C35" s="81">
        <f t="array" ref="C35">INDEX(Assumptions!$F$3:$F$18, MATCH(1, (Assumptions!$B$3:$B$18=Forecasting_Base!B35)*(Assumptions!$C$3:$C$18=Forecasting_Base!$C$1),0))*J35</f>
        <v>1050</v>
      </c>
      <c r="D35" s="82">
        <f t="array" ref="D35">INDEX(Assumptions!$D$3:$D$18, MATCH(1, (Assumptions!$B$3:$B$18=Forecasting_Base!B35)*(Assumptions!$C$3:$C$18=Forecasting_Base!$C$1),0))</f>
        <v>3500</v>
      </c>
      <c r="E35" s="82">
        <f t="array" ref="E35">INDEX(Assumptions!$E$3:$E$18, MATCH(1, (Assumptions!$B$3:$B$18=Forecasting_Base!B35)*(Assumptions!$C$3:$C$18=Forecasting_Base!$C$1),0))</f>
        <v>2600</v>
      </c>
      <c r="F35" s="82">
        <f t="shared" si="0"/>
        <v>3675000</v>
      </c>
      <c r="G35" s="82">
        <f t="shared" si="1"/>
        <v>2730000</v>
      </c>
      <c r="H35" s="82">
        <f t="shared" si="2"/>
        <v>945000</v>
      </c>
      <c r="I35" s="83">
        <f t="shared" si="3"/>
        <v>0.25714285714285712</v>
      </c>
      <c r="J35" s="84">
        <f>VLOOKUP(A35,Seasonality!$B$4:$C$15,2,FALSE)</f>
        <v>1.05</v>
      </c>
    </row>
    <row r="36" spans="1:10" x14ac:dyDescent="0.25">
      <c r="A36" s="78" t="s">
        <v>28</v>
      </c>
      <c r="B36" s="65" t="s">
        <v>14</v>
      </c>
      <c r="C36" s="81">
        <f t="array" ref="C36">INDEX(Assumptions!$F$3:$F$18, MATCH(1, (Assumptions!$B$3:$B$18=Forecasting_Base!B36)*(Assumptions!$C$3:$C$18=Forecasting_Base!$C$1),0))*J36</f>
        <v>1155</v>
      </c>
      <c r="D36" s="82">
        <f t="array" ref="D36">INDEX(Assumptions!$D$3:$D$18, MATCH(1, (Assumptions!$B$3:$B$18=Forecasting_Base!B36)*(Assumptions!$C$3:$C$18=Forecasting_Base!$C$1),0))</f>
        <v>2600</v>
      </c>
      <c r="E36" s="82">
        <f t="array" ref="E36">INDEX(Assumptions!$E$3:$E$18, MATCH(1, (Assumptions!$B$3:$B$18=Forecasting_Base!B36)*(Assumptions!$C$3:$C$18=Forecasting_Base!$C$1),0))</f>
        <v>1800</v>
      </c>
      <c r="F36" s="82">
        <f t="shared" ref="F36:F63" si="4">C36*D36</f>
        <v>3003000</v>
      </c>
      <c r="G36" s="82">
        <f t="shared" ref="G36:G63" si="5">C36*E36</f>
        <v>2079000</v>
      </c>
      <c r="H36" s="82">
        <f t="shared" ref="H36:H63" si="6">F36-G36</f>
        <v>924000</v>
      </c>
      <c r="I36" s="83">
        <f t="shared" ref="I36:I63" si="7">IF(F36=0, 0, H36/F36)</f>
        <v>0.30769230769230771</v>
      </c>
      <c r="J36" s="84">
        <f>VLOOKUP(A36,Seasonality!$B$4:$C$15,2,FALSE)</f>
        <v>1.05</v>
      </c>
    </row>
    <row r="37" spans="1:10" x14ac:dyDescent="0.25">
      <c r="A37" s="78" t="s">
        <v>28</v>
      </c>
      <c r="B37" s="65" t="s">
        <v>39</v>
      </c>
      <c r="C37" s="81">
        <f t="array" ref="C37">INDEX(Assumptions!$F$3:$F$18, MATCH(1, (Assumptions!$B$3:$B$18=Forecasting_Base!B37)*(Assumptions!$C$3:$C$18=Forecasting_Base!$C$1),0))*J37</f>
        <v>2100</v>
      </c>
      <c r="D37" s="82">
        <f t="array" ref="D37">INDEX(Assumptions!$D$3:$D$18, MATCH(1, (Assumptions!$B$3:$B$18=Forecasting_Base!B37)*(Assumptions!$C$3:$C$18=Forecasting_Base!$C$1),0))</f>
        <v>1200</v>
      </c>
      <c r="E37" s="82">
        <f t="array" ref="E37">INDEX(Assumptions!$E$3:$E$18, MATCH(1, (Assumptions!$B$3:$B$18=Forecasting_Base!B37)*(Assumptions!$C$3:$C$18=Forecasting_Base!$C$1),0))</f>
        <v>700</v>
      </c>
      <c r="F37" s="82">
        <f t="shared" si="4"/>
        <v>2520000</v>
      </c>
      <c r="G37" s="82">
        <f t="shared" si="5"/>
        <v>1470000</v>
      </c>
      <c r="H37" s="82">
        <f t="shared" si="6"/>
        <v>1050000</v>
      </c>
      <c r="I37" s="83">
        <f t="shared" si="7"/>
        <v>0.41666666666666669</v>
      </c>
      <c r="J37" s="84">
        <f>VLOOKUP(A37,Seasonality!$B$4:$C$15,2,FALSE)</f>
        <v>1.05</v>
      </c>
    </row>
    <row r="38" spans="1:10" x14ac:dyDescent="0.25">
      <c r="A38" s="78" t="s">
        <v>28</v>
      </c>
      <c r="B38" s="65" t="s">
        <v>6</v>
      </c>
      <c r="C38" s="81">
        <f t="array" ref="C38">INDEX(Assumptions!$F$3:$F$18, MATCH(1, (Assumptions!$B$3:$B$18=Forecasting_Base!B38)*(Assumptions!$C$3:$C$18=Forecasting_Base!$C$1),0))*J38</f>
        <v>2940</v>
      </c>
      <c r="D38" s="82">
        <f t="array" ref="D38">INDEX(Assumptions!$D$3:$D$18, MATCH(1, (Assumptions!$B$3:$B$18=Forecasting_Base!B38)*(Assumptions!$C$3:$C$18=Forecasting_Base!$C$1),0))</f>
        <v>500</v>
      </c>
      <c r="E38" s="82">
        <f t="array" ref="E38">INDEX(Assumptions!$E$3:$E$18, MATCH(1, (Assumptions!$B$3:$B$18=Forecasting_Base!B38)*(Assumptions!$C$3:$C$18=Forecasting_Base!$C$1),0))</f>
        <v>300</v>
      </c>
      <c r="F38" s="82">
        <f t="shared" si="4"/>
        <v>1470000</v>
      </c>
      <c r="G38" s="82">
        <f t="shared" si="5"/>
        <v>882000</v>
      </c>
      <c r="H38" s="82">
        <f t="shared" si="6"/>
        <v>588000</v>
      </c>
      <c r="I38" s="83">
        <f t="shared" si="7"/>
        <v>0.4</v>
      </c>
      <c r="J38" s="84">
        <f>VLOOKUP(A38,Seasonality!$B$4:$C$15,2,FALSE)</f>
        <v>1.05</v>
      </c>
    </row>
    <row r="39" spans="1:10" x14ac:dyDescent="0.25">
      <c r="A39" s="78" t="s">
        <v>34</v>
      </c>
      <c r="B39" s="65" t="s">
        <v>4</v>
      </c>
      <c r="C39" s="81">
        <f t="array" ref="C39">INDEX(Assumptions!$F$3:$F$18, MATCH(1, (Assumptions!$B$3:$B$18=Forecasting_Base!B39)*(Assumptions!$C$3:$C$18=Forecasting_Base!$C$1),0))*J39</f>
        <v>1760.0000000000002</v>
      </c>
      <c r="D39" s="82">
        <f t="array" ref="D39">INDEX(Assumptions!$D$3:$D$18, MATCH(1, (Assumptions!$B$3:$B$18=Forecasting_Base!B39)*(Assumptions!$C$3:$C$18=Forecasting_Base!$C$1),0))</f>
        <v>2500</v>
      </c>
      <c r="E39" s="82">
        <f t="array" ref="E39">INDEX(Assumptions!$E$3:$E$18, MATCH(1, (Assumptions!$B$3:$B$18=Forecasting_Base!B39)*(Assumptions!$C$3:$C$18=Forecasting_Base!$C$1),0))</f>
        <v>1700</v>
      </c>
      <c r="F39" s="82">
        <f t="shared" si="4"/>
        <v>4400000.0000000009</v>
      </c>
      <c r="G39" s="82">
        <f t="shared" si="5"/>
        <v>2992000.0000000005</v>
      </c>
      <c r="H39" s="82">
        <f t="shared" si="6"/>
        <v>1408000.0000000005</v>
      </c>
      <c r="I39" s="83">
        <f t="shared" si="7"/>
        <v>0.32000000000000006</v>
      </c>
      <c r="J39" s="84">
        <f>VLOOKUP(A39,Seasonality!$B$4:$C$15,2,FALSE)</f>
        <v>1.1000000000000001</v>
      </c>
    </row>
    <row r="40" spans="1:10" x14ac:dyDescent="0.25">
      <c r="A40" s="78" t="s">
        <v>34</v>
      </c>
      <c r="B40" s="65" t="s">
        <v>5</v>
      </c>
      <c r="C40" s="81">
        <f t="array" ref="C40">INDEX(Assumptions!$F$3:$F$18, MATCH(1, (Assumptions!$B$3:$B$18=Forecasting_Base!B40)*(Assumptions!$C$3:$C$18=Forecasting_Base!$C$1),0))*J40</f>
        <v>1100</v>
      </c>
      <c r="D40" s="82">
        <f t="array" ref="D40">INDEX(Assumptions!$D$3:$D$18, MATCH(1, (Assumptions!$B$3:$B$18=Forecasting_Base!B40)*(Assumptions!$C$3:$C$18=Forecasting_Base!$C$1),0))</f>
        <v>3500</v>
      </c>
      <c r="E40" s="82">
        <f t="array" ref="E40">INDEX(Assumptions!$E$3:$E$18, MATCH(1, (Assumptions!$B$3:$B$18=Forecasting_Base!B40)*(Assumptions!$C$3:$C$18=Forecasting_Base!$C$1),0))</f>
        <v>2600</v>
      </c>
      <c r="F40" s="82">
        <f t="shared" si="4"/>
        <v>3850000</v>
      </c>
      <c r="G40" s="82">
        <f t="shared" si="5"/>
        <v>2860000</v>
      </c>
      <c r="H40" s="82">
        <f t="shared" si="6"/>
        <v>990000</v>
      </c>
      <c r="I40" s="83">
        <f t="shared" si="7"/>
        <v>0.25714285714285712</v>
      </c>
      <c r="J40" s="84">
        <f>VLOOKUP(A40,Seasonality!$B$4:$C$15,2,FALSE)</f>
        <v>1.1000000000000001</v>
      </c>
    </row>
    <row r="41" spans="1:10" x14ac:dyDescent="0.25">
      <c r="A41" s="78" t="s">
        <v>34</v>
      </c>
      <c r="B41" s="65" t="s">
        <v>14</v>
      </c>
      <c r="C41" s="81">
        <f t="array" ref="C41">INDEX(Assumptions!$F$3:$F$18, MATCH(1, (Assumptions!$B$3:$B$18=Forecasting_Base!B41)*(Assumptions!$C$3:$C$18=Forecasting_Base!$C$1),0))*J41</f>
        <v>1210</v>
      </c>
      <c r="D41" s="82">
        <f t="array" ref="D41">INDEX(Assumptions!$D$3:$D$18, MATCH(1, (Assumptions!$B$3:$B$18=Forecasting_Base!B41)*(Assumptions!$C$3:$C$18=Forecasting_Base!$C$1),0))</f>
        <v>2600</v>
      </c>
      <c r="E41" s="82">
        <f t="array" ref="E41">INDEX(Assumptions!$E$3:$E$18, MATCH(1, (Assumptions!$B$3:$B$18=Forecasting_Base!B41)*(Assumptions!$C$3:$C$18=Forecasting_Base!$C$1),0))</f>
        <v>1800</v>
      </c>
      <c r="F41" s="82">
        <f t="shared" si="4"/>
        <v>3146000</v>
      </c>
      <c r="G41" s="82">
        <f t="shared" si="5"/>
        <v>2178000</v>
      </c>
      <c r="H41" s="82">
        <f t="shared" si="6"/>
        <v>968000</v>
      </c>
      <c r="I41" s="83">
        <f t="shared" si="7"/>
        <v>0.30769230769230771</v>
      </c>
      <c r="J41" s="84">
        <f>VLOOKUP(A41,Seasonality!$B$4:$C$15,2,FALSE)</f>
        <v>1.1000000000000001</v>
      </c>
    </row>
    <row r="42" spans="1:10" x14ac:dyDescent="0.25">
      <c r="A42" s="78" t="s">
        <v>34</v>
      </c>
      <c r="B42" s="65" t="s">
        <v>39</v>
      </c>
      <c r="C42" s="81">
        <f t="array" ref="C42">INDEX(Assumptions!$F$3:$F$18, MATCH(1, (Assumptions!$B$3:$B$18=Forecasting_Base!B42)*(Assumptions!$C$3:$C$18=Forecasting_Base!$C$1),0))*J42</f>
        <v>2200</v>
      </c>
      <c r="D42" s="82">
        <f t="array" ref="D42">INDEX(Assumptions!$D$3:$D$18, MATCH(1, (Assumptions!$B$3:$B$18=Forecasting_Base!B42)*(Assumptions!$C$3:$C$18=Forecasting_Base!$C$1),0))</f>
        <v>1200</v>
      </c>
      <c r="E42" s="82">
        <f t="array" ref="E42">INDEX(Assumptions!$E$3:$E$18, MATCH(1, (Assumptions!$B$3:$B$18=Forecasting_Base!B42)*(Assumptions!$C$3:$C$18=Forecasting_Base!$C$1),0))</f>
        <v>700</v>
      </c>
      <c r="F42" s="82">
        <f t="shared" si="4"/>
        <v>2640000</v>
      </c>
      <c r="G42" s="82">
        <f t="shared" si="5"/>
        <v>1540000</v>
      </c>
      <c r="H42" s="82">
        <f t="shared" si="6"/>
        <v>1100000</v>
      </c>
      <c r="I42" s="83">
        <f t="shared" si="7"/>
        <v>0.41666666666666669</v>
      </c>
      <c r="J42" s="84">
        <f>VLOOKUP(A42,Seasonality!$B$4:$C$15,2,FALSE)</f>
        <v>1.1000000000000001</v>
      </c>
    </row>
    <row r="43" spans="1:10" x14ac:dyDescent="0.25">
      <c r="A43" s="78" t="s">
        <v>34</v>
      </c>
      <c r="B43" s="65" t="s">
        <v>6</v>
      </c>
      <c r="C43" s="81">
        <f t="array" ref="C43">INDEX(Assumptions!$F$3:$F$18, MATCH(1, (Assumptions!$B$3:$B$18=Forecasting_Base!B43)*(Assumptions!$C$3:$C$18=Forecasting_Base!$C$1),0))*J43</f>
        <v>3080.0000000000005</v>
      </c>
      <c r="D43" s="82">
        <f t="array" ref="D43">INDEX(Assumptions!$D$3:$D$18, MATCH(1, (Assumptions!$B$3:$B$18=Forecasting_Base!B43)*(Assumptions!$C$3:$C$18=Forecasting_Base!$C$1),0))</f>
        <v>500</v>
      </c>
      <c r="E43" s="82">
        <f t="array" ref="E43">INDEX(Assumptions!$E$3:$E$18, MATCH(1, (Assumptions!$B$3:$B$18=Forecasting_Base!B43)*(Assumptions!$C$3:$C$18=Forecasting_Base!$C$1),0))</f>
        <v>300</v>
      </c>
      <c r="F43" s="82">
        <f t="shared" si="4"/>
        <v>1540000.0000000002</v>
      </c>
      <c r="G43" s="82">
        <f t="shared" si="5"/>
        <v>924000.00000000012</v>
      </c>
      <c r="H43" s="82">
        <f t="shared" si="6"/>
        <v>616000.00000000012</v>
      </c>
      <c r="I43" s="83">
        <f t="shared" si="7"/>
        <v>0.4</v>
      </c>
      <c r="J43" s="84">
        <f>VLOOKUP(A43,Seasonality!$B$4:$C$15,2,FALSE)</f>
        <v>1.1000000000000001</v>
      </c>
    </row>
    <row r="44" spans="1:10" x14ac:dyDescent="0.25">
      <c r="A44" s="78" t="s">
        <v>35</v>
      </c>
      <c r="B44" s="65" t="s">
        <v>4</v>
      </c>
      <c r="C44" s="81">
        <f t="array" ref="C44">INDEX(Assumptions!$F$3:$F$18, MATCH(1, (Assumptions!$B$3:$B$18=Forecasting_Base!B44)*(Assumptions!$C$3:$C$18=Forecasting_Base!$C$1),0))*J44</f>
        <v>1839.9999999999998</v>
      </c>
      <c r="D44" s="82">
        <f t="array" ref="D44">INDEX(Assumptions!$D$3:$D$18, MATCH(1, (Assumptions!$B$3:$B$18=Forecasting_Base!B44)*(Assumptions!$C$3:$C$18=Forecasting_Base!$C$1),0))</f>
        <v>2500</v>
      </c>
      <c r="E44" s="82">
        <f t="array" ref="E44">INDEX(Assumptions!$E$3:$E$18, MATCH(1, (Assumptions!$B$3:$B$18=Forecasting_Base!B44)*(Assumptions!$C$3:$C$18=Forecasting_Base!$C$1),0))</f>
        <v>1700</v>
      </c>
      <c r="F44" s="82">
        <f t="shared" si="4"/>
        <v>4599999.9999999991</v>
      </c>
      <c r="G44" s="82">
        <f t="shared" si="5"/>
        <v>3127999.9999999995</v>
      </c>
      <c r="H44" s="82">
        <f t="shared" si="6"/>
        <v>1471999.9999999995</v>
      </c>
      <c r="I44" s="83">
        <f t="shared" si="7"/>
        <v>0.31999999999999995</v>
      </c>
      <c r="J44" s="84">
        <f>VLOOKUP(A44,Seasonality!$B$4:$C$15,2,FALSE)</f>
        <v>1.1499999999999999</v>
      </c>
    </row>
    <row r="45" spans="1:10" x14ac:dyDescent="0.25">
      <c r="A45" s="78" t="s">
        <v>35</v>
      </c>
      <c r="B45" s="65" t="s">
        <v>5</v>
      </c>
      <c r="C45" s="81">
        <f t="array" ref="C45">INDEX(Assumptions!$F$3:$F$18, MATCH(1, (Assumptions!$B$3:$B$18=Forecasting_Base!B45)*(Assumptions!$C$3:$C$18=Forecasting_Base!$C$1),0))*J45</f>
        <v>1150</v>
      </c>
      <c r="D45" s="82">
        <f t="array" ref="D45">INDEX(Assumptions!$D$3:$D$18, MATCH(1, (Assumptions!$B$3:$B$18=Forecasting_Base!B45)*(Assumptions!$C$3:$C$18=Forecasting_Base!$C$1),0))</f>
        <v>3500</v>
      </c>
      <c r="E45" s="82">
        <f t="array" ref="E45">INDEX(Assumptions!$E$3:$E$18, MATCH(1, (Assumptions!$B$3:$B$18=Forecasting_Base!B45)*(Assumptions!$C$3:$C$18=Forecasting_Base!$C$1),0))</f>
        <v>2600</v>
      </c>
      <c r="F45" s="82">
        <f t="shared" si="4"/>
        <v>4025000</v>
      </c>
      <c r="G45" s="82">
        <f t="shared" si="5"/>
        <v>2990000</v>
      </c>
      <c r="H45" s="82">
        <f t="shared" si="6"/>
        <v>1035000</v>
      </c>
      <c r="I45" s="83">
        <f t="shared" si="7"/>
        <v>0.25714285714285712</v>
      </c>
      <c r="J45" s="84">
        <f>VLOOKUP(A45,Seasonality!$B$4:$C$15,2,FALSE)</f>
        <v>1.1499999999999999</v>
      </c>
    </row>
    <row r="46" spans="1:10" x14ac:dyDescent="0.25">
      <c r="A46" s="78" t="s">
        <v>35</v>
      </c>
      <c r="B46" s="65" t="s">
        <v>14</v>
      </c>
      <c r="C46" s="81">
        <f t="array" ref="C46">INDEX(Assumptions!$F$3:$F$18, MATCH(1, (Assumptions!$B$3:$B$18=Forecasting_Base!B46)*(Assumptions!$C$3:$C$18=Forecasting_Base!$C$1),0))*J46</f>
        <v>1265</v>
      </c>
      <c r="D46" s="82">
        <f t="array" ref="D46">INDEX(Assumptions!$D$3:$D$18, MATCH(1, (Assumptions!$B$3:$B$18=Forecasting_Base!B46)*(Assumptions!$C$3:$C$18=Forecasting_Base!$C$1),0))</f>
        <v>2600</v>
      </c>
      <c r="E46" s="82">
        <f t="array" ref="E46">INDEX(Assumptions!$E$3:$E$18, MATCH(1, (Assumptions!$B$3:$B$18=Forecasting_Base!B46)*(Assumptions!$C$3:$C$18=Forecasting_Base!$C$1),0))</f>
        <v>1800</v>
      </c>
      <c r="F46" s="82">
        <f t="shared" si="4"/>
        <v>3289000</v>
      </c>
      <c r="G46" s="82">
        <f t="shared" si="5"/>
        <v>2277000</v>
      </c>
      <c r="H46" s="82">
        <f t="shared" si="6"/>
        <v>1012000</v>
      </c>
      <c r="I46" s="83">
        <f t="shared" si="7"/>
        <v>0.30769230769230771</v>
      </c>
      <c r="J46" s="84">
        <f>VLOOKUP(A46,Seasonality!$B$4:$C$15,2,FALSE)</f>
        <v>1.1499999999999999</v>
      </c>
    </row>
    <row r="47" spans="1:10" x14ac:dyDescent="0.25">
      <c r="A47" s="78" t="s">
        <v>35</v>
      </c>
      <c r="B47" s="65" t="s">
        <v>39</v>
      </c>
      <c r="C47" s="81">
        <f t="array" ref="C47">INDEX(Assumptions!$F$3:$F$18, MATCH(1, (Assumptions!$B$3:$B$18=Forecasting_Base!B47)*(Assumptions!$C$3:$C$18=Forecasting_Base!$C$1),0))*J47</f>
        <v>2300</v>
      </c>
      <c r="D47" s="82">
        <f t="array" ref="D47">INDEX(Assumptions!$D$3:$D$18, MATCH(1, (Assumptions!$B$3:$B$18=Forecasting_Base!B47)*(Assumptions!$C$3:$C$18=Forecasting_Base!$C$1),0))</f>
        <v>1200</v>
      </c>
      <c r="E47" s="82">
        <f t="array" ref="E47">INDEX(Assumptions!$E$3:$E$18, MATCH(1, (Assumptions!$B$3:$B$18=Forecasting_Base!B47)*(Assumptions!$C$3:$C$18=Forecasting_Base!$C$1),0))</f>
        <v>700</v>
      </c>
      <c r="F47" s="82">
        <f t="shared" si="4"/>
        <v>2760000</v>
      </c>
      <c r="G47" s="82">
        <f t="shared" si="5"/>
        <v>1610000</v>
      </c>
      <c r="H47" s="82">
        <f t="shared" si="6"/>
        <v>1150000</v>
      </c>
      <c r="I47" s="83">
        <f t="shared" si="7"/>
        <v>0.41666666666666669</v>
      </c>
      <c r="J47" s="84">
        <f>VLOOKUP(A47,Seasonality!$B$4:$C$15,2,FALSE)</f>
        <v>1.1499999999999999</v>
      </c>
    </row>
    <row r="48" spans="1:10" x14ac:dyDescent="0.25">
      <c r="A48" s="78" t="s">
        <v>35</v>
      </c>
      <c r="B48" s="65" t="s">
        <v>6</v>
      </c>
      <c r="C48" s="81">
        <f t="array" ref="C48">INDEX(Assumptions!$F$3:$F$18, MATCH(1, (Assumptions!$B$3:$B$18=Forecasting_Base!B48)*(Assumptions!$C$3:$C$18=Forecasting_Base!$C$1),0))*J48</f>
        <v>3219.9999999999995</v>
      </c>
      <c r="D48" s="82">
        <f t="array" ref="D48">INDEX(Assumptions!$D$3:$D$18, MATCH(1, (Assumptions!$B$3:$B$18=Forecasting_Base!B48)*(Assumptions!$C$3:$C$18=Forecasting_Base!$C$1),0))</f>
        <v>500</v>
      </c>
      <c r="E48" s="82">
        <f t="array" ref="E48">INDEX(Assumptions!$E$3:$E$18, MATCH(1, (Assumptions!$B$3:$B$18=Forecasting_Base!B48)*(Assumptions!$C$3:$C$18=Forecasting_Base!$C$1),0))</f>
        <v>300</v>
      </c>
      <c r="F48" s="82">
        <f t="shared" si="4"/>
        <v>1609999.9999999998</v>
      </c>
      <c r="G48" s="82">
        <f t="shared" si="5"/>
        <v>965999.99999999988</v>
      </c>
      <c r="H48" s="82">
        <f t="shared" si="6"/>
        <v>643999.99999999988</v>
      </c>
      <c r="I48" s="83">
        <f t="shared" si="7"/>
        <v>0.39999999999999997</v>
      </c>
      <c r="J48" s="84">
        <f>VLOOKUP(A48,Seasonality!$B$4:$C$15,2,FALSE)</f>
        <v>1.1499999999999999</v>
      </c>
    </row>
    <row r="49" spans="1:10" x14ac:dyDescent="0.25">
      <c r="A49" s="78" t="s">
        <v>36</v>
      </c>
      <c r="B49" s="65" t="s">
        <v>4</v>
      </c>
      <c r="C49" s="81">
        <f t="array" ref="C49">INDEX(Assumptions!$F$3:$F$18, MATCH(1, (Assumptions!$B$3:$B$18=Forecasting_Base!B49)*(Assumptions!$C$3:$C$18=Forecasting_Base!$C$1),0))*J49</f>
        <v>2080</v>
      </c>
      <c r="D49" s="82">
        <f t="array" ref="D49">INDEX(Assumptions!$D$3:$D$18, MATCH(1, (Assumptions!$B$3:$B$18=Forecasting_Base!B49)*(Assumptions!$C$3:$C$18=Forecasting_Base!$C$1),0))</f>
        <v>2500</v>
      </c>
      <c r="E49" s="82">
        <f t="array" ref="E49">INDEX(Assumptions!$E$3:$E$18, MATCH(1, (Assumptions!$B$3:$B$18=Forecasting_Base!B49)*(Assumptions!$C$3:$C$18=Forecasting_Base!$C$1),0))</f>
        <v>1700</v>
      </c>
      <c r="F49" s="82">
        <f t="shared" si="4"/>
        <v>5200000</v>
      </c>
      <c r="G49" s="82">
        <f t="shared" si="5"/>
        <v>3536000</v>
      </c>
      <c r="H49" s="82">
        <f t="shared" si="6"/>
        <v>1664000</v>
      </c>
      <c r="I49" s="83">
        <f t="shared" si="7"/>
        <v>0.32</v>
      </c>
      <c r="J49" s="84">
        <f>VLOOKUP(A49,Seasonality!$B$4:$C$15,2,FALSE)</f>
        <v>1.3</v>
      </c>
    </row>
    <row r="50" spans="1:10" x14ac:dyDescent="0.25">
      <c r="A50" s="78" t="s">
        <v>36</v>
      </c>
      <c r="B50" s="65" t="s">
        <v>5</v>
      </c>
      <c r="C50" s="81">
        <f t="array" ref="C50">INDEX(Assumptions!$F$3:$F$18, MATCH(1, (Assumptions!$B$3:$B$18=Forecasting_Base!B50)*(Assumptions!$C$3:$C$18=Forecasting_Base!$C$1),0))*J50</f>
        <v>1300</v>
      </c>
      <c r="D50" s="82">
        <f t="array" ref="D50">INDEX(Assumptions!$D$3:$D$18, MATCH(1, (Assumptions!$B$3:$B$18=Forecasting_Base!B50)*(Assumptions!$C$3:$C$18=Forecasting_Base!$C$1),0))</f>
        <v>3500</v>
      </c>
      <c r="E50" s="82">
        <f t="array" ref="E50">INDEX(Assumptions!$E$3:$E$18, MATCH(1, (Assumptions!$B$3:$B$18=Forecasting_Base!B50)*(Assumptions!$C$3:$C$18=Forecasting_Base!$C$1),0))</f>
        <v>2600</v>
      </c>
      <c r="F50" s="82">
        <f t="shared" si="4"/>
        <v>4550000</v>
      </c>
      <c r="G50" s="82">
        <f t="shared" si="5"/>
        <v>3380000</v>
      </c>
      <c r="H50" s="82">
        <f t="shared" si="6"/>
        <v>1170000</v>
      </c>
      <c r="I50" s="83">
        <f t="shared" si="7"/>
        <v>0.25714285714285712</v>
      </c>
      <c r="J50" s="84">
        <f>VLOOKUP(A50,Seasonality!$B$4:$C$15,2,FALSE)</f>
        <v>1.3</v>
      </c>
    </row>
    <row r="51" spans="1:10" x14ac:dyDescent="0.25">
      <c r="A51" s="78" t="s">
        <v>36</v>
      </c>
      <c r="B51" s="65" t="s">
        <v>14</v>
      </c>
      <c r="C51" s="81">
        <f t="array" ref="C51">INDEX(Assumptions!$F$3:$F$18, MATCH(1, (Assumptions!$B$3:$B$18=Forecasting_Base!B51)*(Assumptions!$C$3:$C$18=Forecasting_Base!$C$1),0))*J51</f>
        <v>1430</v>
      </c>
      <c r="D51" s="82">
        <f t="array" ref="D51">INDEX(Assumptions!$D$3:$D$18, MATCH(1, (Assumptions!$B$3:$B$18=Forecasting_Base!B51)*(Assumptions!$C$3:$C$18=Forecasting_Base!$C$1),0))</f>
        <v>2600</v>
      </c>
      <c r="E51" s="82">
        <f t="array" ref="E51">INDEX(Assumptions!$E$3:$E$18, MATCH(1, (Assumptions!$B$3:$B$18=Forecasting_Base!B51)*(Assumptions!$C$3:$C$18=Forecasting_Base!$C$1),0))</f>
        <v>1800</v>
      </c>
      <c r="F51" s="82">
        <f t="shared" si="4"/>
        <v>3718000</v>
      </c>
      <c r="G51" s="82">
        <f t="shared" si="5"/>
        <v>2574000</v>
      </c>
      <c r="H51" s="82">
        <f t="shared" si="6"/>
        <v>1144000</v>
      </c>
      <c r="I51" s="83">
        <f t="shared" si="7"/>
        <v>0.30769230769230771</v>
      </c>
      <c r="J51" s="84">
        <f>VLOOKUP(A51,Seasonality!$B$4:$C$15,2,FALSE)</f>
        <v>1.3</v>
      </c>
    </row>
    <row r="52" spans="1:10" x14ac:dyDescent="0.25">
      <c r="A52" s="78" t="s">
        <v>36</v>
      </c>
      <c r="B52" s="65" t="s">
        <v>39</v>
      </c>
      <c r="C52" s="81">
        <f t="array" ref="C52">INDEX(Assumptions!$F$3:$F$18, MATCH(1, (Assumptions!$B$3:$B$18=Forecasting_Base!B52)*(Assumptions!$C$3:$C$18=Forecasting_Base!$C$1),0))*J52</f>
        <v>2600</v>
      </c>
      <c r="D52" s="82">
        <f t="array" ref="D52">INDEX(Assumptions!$D$3:$D$18, MATCH(1, (Assumptions!$B$3:$B$18=Forecasting_Base!B52)*(Assumptions!$C$3:$C$18=Forecasting_Base!$C$1),0))</f>
        <v>1200</v>
      </c>
      <c r="E52" s="82">
        <f t="array" ref="E52">INDEX(Assumptions!$E$3:$E$18, MATCH(1, (Assumptions!$B$3:$B$18=Forecasting_Base!B52)*(Assumptions!$C$3:$C$18=Forecasting_Base!$C$1),0))</f>
        <v>700</v>
      </c>
      <c r="F52" s="82">
        <f t="shared" si="4"/>
        <v>3120000</v>
      </c>
      <c r="G52" s="82">
        <f t="shared" si="5"/>
        <v>1820000</v>
      </c>
      <c r="H52" s="82">
        <f t="shared" si="6"/>
        <v>1300000</v>
      </c>
      <c r="I52" s="83">
        <f t="shared" si="7"/>
        <v>0.41666666666666669</v>
      </c>
      <c r="J52" s="84">
        <f>VLOOKUP(A52,Seasonality!$B$4:$C$15,2,FALSE)</f>
        <v>1.3</v>
      </c>
    </row>
    <row r="53" spans="1:10" x14ac:dyDescent="0.25">
      <c r="A53" s="78" t="s">
        <v>36</v>
      </c>
      <c r="B53" s="65" t="s">
        <v>6</v>
      </c>
      <c r="C53" s="81">
        <f t="array" ref="C53">INDEX(Assumptions!$F$3:$F$18, MATCH(1, (Assumptions!$B$3:$B$18=Forecasting_Base!B53)*(Assumptions!$C$3:$C$18=Forecasting_Base!$C$1),0))*J53</f>
        <v>3640</v>
      </c>
      <c r="D53" s="82">
        <f t="array" ref="D53">INDEX(Assumptions!$D$3:$D$18, MATCH(1, (Assumptions!$B$3:$B$18=Forecasting_Base!B53)*(Assumptions!$C$3:$C$18=Forecasting_Base!$C$1),0))</f>
        <v>500</v>
      </c>
      <c r="E53" s="82">
        <f t="array" ref="E53">INDEX(Assumptions!$E$3:$E$18, MATCH(1, (Assumptions!$B$3:$B$18=Forecasting_Base!B53)*(Assumptions!$C$3:$C$18=Forecasting_Base!$C$1),0))</f>
        <v>300</v>
      </c>
      <c r="F53" s="82">
        <f t="shared" si="4"/>
        <v>1820000</v>
      </c>
      <c r="G53" s="82">
        <f t="shared" si="5"/>
        <v>1092000</v>
      </c>
      <c r="H53" s="82">
        <f t="shared" si="6"/>
        <v>728000</v>
      </c>
      <c r="I53" s="83">
        <f t="shared" si="7"/>
        <v>0.4</v>
      </c>
      <c r="J53" s="84">
        <f>VLOOKUP(A53,Seasonality!$B$4:$C$15,2,FALSE)</f>
        <v>1.3</v>
      </c>
    </row>
    <row r="54" spans="1:10" x14ac:dyDescent="0.25">
      <c r="A54" s="78" t="s">
        <v>37</v>
      </c>
      <c r="B54" s="65" t="s">
        <v>4</v>
      </c>
      <c r="C54" s="81">
        <f t="array" ref="C54">INDEX(Assumptions!$F$3:$F$18, MATCH(1, (Assumptions!$B$3:$B$18=Forecasting_Base!B54)*(Assumptions!$C$3:$C$18=Forecasting_Base!$C$1),0))*J54</f>
        <v>2000</v>
      </c>
      <c r="D54" s="82">
        <f t="array" ref="D54">INDEX(Assumptions!$D$3:$D$18, MATCH(1, (Assumptions!$B$3:$B$18=Forecasting_Base!B54)*(Assumptions!$C$3:$C$18=Forecasting_Base!$C$1),0))</f>
        <v>2500</v>
      </c>
      <c r="E54" s="82">
        <f t="array" ref="E54">INDEX(Assumptions!$E$3:$E$18, MATCH(1, (Assumptions!$B$3:$B$18=Forecasting_Base!B54)*(Assumptions!$C$3:$C$18=Forecasting_Base!$C$1),0))</f>
        <v>1700</v>
      </c>
      <c r="F54" s="82">
        <f t="shared" si="4"/>
        <v>5000000</v>
      </c>
      <c r="G54" s="82">
        <f t="shared" si="5"/>
        <v>3400000</v>
      </c>
      <c r="H54" s="82">
        <f t="shared" si="6"/>
        <v>1600000</v>
      </c>
      <c r="I54" s="83">
        <f t="shared" si="7"/>
        <v>0.32</v>
      </c>
      <c r="J54" s="84">
        <f>VLOOKUP(A54,Seasonality!$B$4:$C$15,2,FALSE)</f>
        <v>1.25</v>
      </c>
    </row>
    <row r="55" spans="1:10" x14ac:dyDescent="0.25">
      <c r="A55" s="78" t="s">
        <v>37</v>
      </c>
      <c r="B55" s="65" t="s">
        <v>5</v>
      </c>
      <c r="C55" s="81">
        <f t="array" ref="C55">INDEX(Assumptions!$F$3:$F$18, MATCH(1, (Assumptions!$B$3:$B$18=Forecasting_Base!B55)*(Assumptions!$C$3:$C$18=Forecasting_Base!$C$1),0))*J55</f>
        <v>1250</v>
      </c>
      <c r="D55" s="82">
        <f t="array" ref="D55">INDEX(Assumptions!$D$3:$D$18, MATCH(1, (Assumptions!$B$3:$B$18=Forecasting_Base!B55)*(Assumptions!$C$3:$C$18=Forecasting_Base!$C$1),0))</f>
        <v>3500</v>
      </c>
      <c r="E55" s="82">
        <f t="array" ref="E55">INDEX(Assumptions!$E$3:$E$18, MATCH(1, (Assumptions!$B$3:$B$18=Forecasting_Base!B55)*(Assumptions!$C$3:$C$18=Forecasting_Base!$C$1),0))</f>
        <v>2600</v>
      </c>
      <c r="F55" s="82">
        <f t="shared" si="4"/>
        <v>4375000</v>
      </c>
      <c r="G55" s="82">
        <f t="shared" si="5"/>
        <v>3250000</v>
      </c>
      <c r="H55" s="82">
        <f t="shared" si="6"/>
        <v>1125000</v>
      </c>
      <c r="I55" s="83">
        <f t="shared" si="7"/>
        <v>0.25714285714285712</v>
      </c>
      <c r="J55" s="84">
        <f>VLOOKUP(A55,Seasonality!$B$4:$C$15,2,FALSE)</f>
        <v>1.25</v>
      </c>
    </row>
    <row r="56" spans="1:10" x14ac:dyDescent="0.25">
      <c r="A56" s="78" t="s">
        <v>37</v>
      </c>
      <c r="B56" s="65" t="s">
        <v>14</v>
      </c>
      <c r="C56" s="81">
        <f t="array" ref="C56">INDEX(Assumptions!$F$3:$F$18, MATCH(1, (Assumptions!$B$3:$B$18=Forecasting_Base!B56)*(Assumptions!$C$3:$C$18=Forecasting_Base!$C$1),0))*J56</f>
        <v>1375</v>
      </c>
      <c r="D56" s="82">
        <f t="array" ref="D56">INDEX(Assumptions!$D$3:$D$18, MATCH(1, (Assumptions!$B$3:$B$18=Forecasting_Base!B56)*(Assumptions!$C$3:$C$18=Forecasting_Base!$C$1),0))</f>
        <v>2600</v>
      </c>
      <c r="E56" s="82">
        <f t="array" ref="E56">INDEX(Assumptions!$E$3:$E$18, MATCH(1, (Assumptions!$B$3:$B$18=Forecasting_Base!B56)*(Assumptions!$C$3:$C$18=Forecasting_Base!$C$1),0))</f>
        <v>1800</v>
      </c>
      <c r="F56" s="82">
        <f t="shared" si="4"/>
        <v>3575000</v>
      </c>
      <c r="G56" s="82">
        <f t="shared" si="5"/>
        <v>2475000</v>
      </c>
      <c r="H56" s="82">
        <f t="shared" si="6"/>
        <v>1100000</v>
      </c>
      <c r="I56" s="83">
        <f t="shared" si="7"/>
        <v>0.30769230769230771</v>
      </c>
      <c r="J56" s="84">
        <f>VLOOKUP(A56,Seasonality!$B$4:$C$15,2,FALSE)</f>
        <v>1.25</v>
      </c>
    </row>
    <row r="57" spans="1:10" x14ac:dyDescent="0.25">
      <c r="A57" s="78" t="s">
        <v>37</v>
      </c>
      <c r="B57" s="65" t="s">
        <v>39</v>
      </c>
      <c r="C57" s="81">
        <f t="array" ref="C57">INDEX(Assumptions!$F$3:$F$18, MATCH(1, (Assumptions!$B$3:$B$18=Forecasting_Base!B57)*(Assumptions!$C$3:$C$18=Forecasting_Base!$C$1),0))*J57</f>
        <v>2500</v>
      </c>
      <c r="D57" s="82">
        <f t="array" ref="D57">INDEX(Assumptions!$D$3:$D$18, MATCH(1, (Assumptions!$B$3:$B$18=Forecasting_Base!B57)*(Assumptions!$C$3:$C$18=Forecasting_Base!$C$1),0))</f>
        <v>1200</v>
      </c>
      <c r="E57" s="82">
        <f t="array" ref="E57">INDEX(Assumptions!$E$3:$E$18, MATCH(1, (Assumptions!$B$3:$B$18=Forecasting_Base!B57)*(Assumptions!$C$3:$C$18=Forecasting_Base!$C$1),0))</f>
        <v>700</v>
      </c>
      <c r="F57" s="82">
        <f t="shared" si="4"/>
        <v>3000000</v>
      </c>
      <c r="G57" s="82">
        <f t="shared" si="5"/>
        <v>1750000</v>
      </c>
      <c r="H57" s="82">
        <f t="shared" si="6"/>
        <v>1250000</v>
      </c>
      <c r="I57" s="83">
        <f t="shared" si="7"/>
        <v>0.41666666666666669</v>
      </c>
      <c r="J57" s="84">
        <f>VLOOKUP(A57,Seasonality!$B$4:$C$15,2,FALSE)</f>
        <v>1.25</v>
      </c>
    </row>
    <row r="58" spans="1:10" x14ac:dyDescent="0.25">
      <c r="A58" s="78" t="s">
        <v>37</v>
      </c>
      <c r="B58" s="65" t="s">
        <v>6</v>
      </c>
      <c r="C58" s="81">
        <f t="array" ref="C58">INDEX(Assumptions!$F$3:$F$18, MATCH(1, (Assumptions!$B$3:$B$18=Forecasting_Base!B58)*(Assumptions!$C$3:$C$18=Forecasting_Base!$C$1),0))*J58</f>
        <v>3500</v>
      </c>
      <c r="D58" s="82">
        <f t="array" ref="D58">INDEX(Assumptions!$D$3:$D$18, MATCH(1, (Assumptions!$B$3:$B$18=Forecasting_Base!B58)*(Assumptions!$C$3:$C$18=Forecasting_Base!$C$1),0))</f>
        <v>500</v>
      </c>
      <c r="E58" s="82">
        <f t="array" ref="E58">INDEX(Assumptions!$E$3:$E$18, MATCH(1, (Assumptions!$B$3:$B$18=Forecasting_Base!B58)*(Assumptions!$C$3:$C$18=Forecasting_Base!$C$1),0))</f>
        <v>300</v>
      </c>
      <c r="F58" s="82">
        <f t="shared" si="4"/>
        <v>1750000</v>
      </c>
      <c r="G58" s="82">
        <f t="shared" si="5"/>
        <v>1050000</v>
      </c>
      <c r="H58" s="82">
        <f t="shared" si="6"/>
        <v>700000</v>
      </c>
      <c r="I58" s="83">
        <f t="shared" si="7"/>
        <v>0.4</v>
      </c>
      <c r="J58" s="84">
        <f>VLOOKUP(A58,Seasonality!$B$4:$C$15,2,FALSE)</f>
        <v>1.25</v>
      </c>
    </row>
    <row r="59" spans="1:10" x14ac:dyDescent="0.25">
      <c r="A59" s="78" t="s">
        <v>38</v>
      </c>
      <c r="B59" s="65" t="s">
        <v>4</v>
      </c>
      <c r="C59" s="81">
        <f t="array" ref="C59">INDEX(Assumptions!$F$3:$F$18, MATCH(1, (Assumptions!$B$3:$B$18=Forecasting_Base!B59)*(Assumptions!$C$3:$C$18=Forecasting_Base!$C$1),0))*J59</f>
        <v>1920</v>
      </c>
      <c r="D59" s="82">
        <f t="array" ref="D59">INDEX(Assumptions!$D$3:$D$18, MATCH(1, (Assumptions!$B$3:$B$18=Forecasting_Base!B59)*(Assumptions!$C$3:$C$18=Forecasting_Base!$C$1),0))</f>
        <v>2500</v>
      </c>
      <c r="E59" s="82">
        <f t="array" ref="E59">INDEX(Assumptions!$E$3:$E$18, MATCH(1, (Assumptions!$B$3:$B$18=Forecasting_Base!B59)*(Assumptions!$C$3:$C$18=Forecasting_Base!$C$1),0))</f>
        <v>1700</v>
      </c>
      <c r="F59" s="82">
        <f t="shared" si="4"/>
        <v>4800000</v>
      </c>
      <c r="G59" s="82">
        <f t="shared" si="5"/>
        <v>3264000</v>
      </c>
      <c r="H59" s="82">
        <f t="shared" si="6"/>
        <v>1536000</v>
      </c>
      <c r="I59" s="83">
        <f t="shared" si="7"/>
        <v>0.32</v>
      </c>
      <c r="J59" s="84">
        <f>VLOOKUP(A59,Seasonality!$B$4:$C$15,2,FALSE)</f>
        <v>1.2</v>
      </c>
    </row>
    <row r="60" spans="1:10" x14ac:dyDescent="0.25">
      <c r="A60" s="78" t="s">
        <v>38</v>
      </c>
      <c r="B60" s="65" t="s">
        <v>5</v>
      </c>
      <c r="C60" s="81">
        <f t="array" ref="C60">INDEX(Assumptions!$F$3:$F$18, MATCH(1, (Assumptions!$B$3:$B$18=Forecasting_Base!B60)*(Assumptions!$C$3:$C$18=Forecasting_Base!$C$1),0))*J60</f>
        <v>1200</v>
      </c>
      <c r="D60" s="82">
        <f t="array" ref="D60">INDEX(Assumptions!$D$3:$D$18, MATCH(1, (Assumptions!$B$3:$B$18=Forecasting_Base!B60)*(Assumptions!$C$3:$C$18=Forecasting_Base!$C$1),0))</f>
        <v>3500</v>
      </c>
      <c r="E60" s="82">
        <f t="array" ref="E60">INDEX(Assumptions!$E$3:$E$18, MATCH(1, (Assumptions!$B$3:$B$18=Forecasting_Base!B60)*(Assumptions!$C$3:$C$18=Forecasting_Base!$C$1),0))</f>
        <v>2600</v>
      </c>
      <c r="F60" s="82">
        <f t="shared" si="4"/>
        <v>4200000</v>
      </c>
      <c r="G60" s="82">
        <f t="shared" si="5"/>
        <v>3120000</v>
      </c>
      <c r="H60" s="82">
        <f t="shared" si="6"/>
        <v>1080000</v>
      </c>
      <c r="I60" s="83">
        <f t="shared" si="7"/>
        <v>0.25714285714285712</v>
      </c>
      <c r="J60" s="84">
        <f>VLOOKUP(A60,Seasonality!$B$4:$C$15,2,FALSE)</f>
        <v>1.2</v>
      </c>
    </row>
    <row r="61" spans="1:10" x14ac:dyDescent="0.25">
      <c r="A61" s="78" t="s">
        <v>38</v>
      </c>
      <c r="B61" s="65" t="s">
        <v>14</v>
      </c>
      <c r="C61" s="81">
        <f t="array" ref="C61">INDEX(Assumptions!$F$3:$F$18, MATCH(1, (Assumptions!$B$3:$B$18=Forecasting_Base!B61)*(Assumptions!$C$3:$C$18=Forecasting_Base!$C$1),0))*J61</f>
        <v>1320</v>
      </c>
      <c r="D61" s="82">
        <f t="array" ref="D61">INDEX(Assumptions!$D$3:$D$18, MATCH(1, (Assumptions!$B$3:$B$18=Forecasting_Base!B61)*(Assumptions!$C$3:$C$18=Forecasting_Base!$C$1),0))</f>
        <v>2600</v>
      </c>
      <c r="E61" s="82">
        <f t="array" ref="E61">INDEX(Assumptions!$E$3:$E$18, MATCH(1, (Assumptions!$B$3:$B$18=Forecasting_Base!B61)*(Assumptions!$C$3:$C$18=Forecasting_Base!$C$1),0))</f>
        <v>1800</v>
      </c>
      <c r="F61" s="82">
        <f t="shared" si="4"/>
        <v>3432000</v>
      </c>
      <c r="G61" s="82">
        <f t="shared" si="5"/>
        <v>2376000</v>
      </c>
      <c r="H61" s="82">
        <f t="shared" si="6"/>
        <v>1056000</v>
      </c>
      <c r="I61" s="83">
        <f t="shared" si="7"/>
        <v>0.30769230769230771</v>
      </c>
      <c r="J61" s="84">
        <f>VLOOKUP(A61,Seasonality!$B$4:$C$15,2,FALSE)</f>
        <v>1.2</v>
      </c>
    </row>
    <row r="62" spans="1:10" x14ac:dyDescent="0.25">
      <c r="A62" s="78" t="s">
        <v>38</v>
      </c>
      <c r="B62" s="65" t="s">
        <v>39</v>
      </c>
      <c r="C62" s="81">
        <f t="array" ref="C62">INDEX(Assumptions!$F$3:$F$18, MATCH(1, (Assumptions!$B$3:$B$18=Forecasting_Base!B62)*(Assumptions!$C$3:$C$18=Forecasting_Base!$C$1),0))*J62</f>
        <v>2400</v>
      </c>
      <c r="D62" s="82">
        <f t="array" ref="D62">INDEX(Assumptions!$D$3:$D$18, MATCH(1, (Assumptions!$B$3:$B$18=Forecasting_Base!B62)*(Assumptions!$C$3:$C$18=Forecasting_Base!$C$1),0))</f>
        <v>1200</v>
      </c>
      <c r="E62" s="82">
        <f t="array" ref="E62">INDEX(Assumptions!$E$3:$E$18, MATCH(1, (Assumptions!$B$3:$B$18=Forecasting_Base!B62)*(Assumptions!$C$3:$C$18=Forecasting_Base!$C$1),0))</f>
        <v>700</v>
      </c>
      <c r="F62" s="82">
        <f t="shared" si="4"/>
        <v>2880000</v>
      </c>
      <c r="G62" s="82">
        <f t="shared" si="5"/>
        <v>1680000</v>
      </c>
      <c r="H62" s="82">
        <f t="shared" si="6"/>
        <v>1200000</v>
      </c>
      <c r="I62" s="83">
        <f t="shared" si="7"/>
        <v>0.41666666666666669</v>
      </c>
      <c r="J62" s="84">
        <f>VLOOKUP(A62,Seasonality!$B$4:$C$15,2,FALSE)</f>
        <v>1.2</v>
      </c>
    </row>
    <row r="63" spans="1:10" x14ac:dyDescent="0.25">
      <c r="A63" s="78" t="s">
        <v>38</v>
      </c>
      <c r="B63" s="65" t="s">
        <v>6</v>
      </c>
      <c r="C63" s="81">
        <f t="array" ref="C63">INDEX(Assumptions!$F$3:$F$18, MATCH(1, (Assumptions!$B$3:$B$18=Forecasting_Base!B63)*(Assumptions!$C$3:$C$18=Forecasting_Base!$C$1),0))*J63</f>
        <v>3360</v>
      </c>
      <c r="D63" s="82">
        <f t="array" ref="D63">INDEX(Assumptions!$D$3:$D$18, MATCH(1, (Assumptions!$B$3:$B$18=Forecasting_Base!B63)*(Assumptions!$C$3:$C$18=Forecasting_Base!$C$1),0))</f>
        <v>500</v>
      </c>
      <c r="E63" s="82">
        <f t="array" ref="E63">INDEX(Assumptions!$E$3:$E$18, MATCH(1, (Assumptions!$B$3:$B$18=Forecasting_Base!B63)*(Assumptions!$C$3:$C$18=Forecasting_Base!$C$1),0))</f>
        <v>300</v>
      </c>
      <c r="F63" s="82">
        <f t="shared" si="4"/>
        <v>1680000</v>
      </c>
      <c r="G63" s="82">
        <f t="shared" si="5"/>
        <v>1008000</v>
      </c>
      <c r="H63" s="82">
        <f t="shared" si="6"/>
        <v>672000</v>
      </c>
      <c r="I63" s="83">
        <f t="shared" si="7"/>
        <v>0.4</v>
      </c>
      <c r="J63" s="84">
        <f>VLOOKUP(A63,Seasonality!$B$4:$C$15,2,FALSE)</f>
        <v>1.2</v>
      </c>
    </row>
    <row r="64" spans="1:10" x14ac:dyDescent="0.25">
      <c r="A64" s="204"/>
      <c r="B64" s="205"/>
      <c r="C64" s="206"/>
      <c r="D64" s="207"/>
      <c r="E64" s="207"/>
      <c r="F64" s="207"/>
      <c r="G64" s="207"/>
      <c r="H64" s="207"/>
      <c r="I64" s="208"/>
      <c r="J64" s="209"/>
    </row>
    <row r="66" spans="1:10" x14ac:dyDescent="0.25">
      <c r="A66" s="217" t="s">
        <v>40</v>
      </c>
      <c r="B66" s="218"/>
      <c r="C66" s="219"/>
      <c r="D66" s="220"/>
      <c r="E66" s="220"/>
      <c r="F66" s="220">
        <f>SUM(F4:F63)</f>
        <v>189744000</v>
      </c>
      <c r="G66" s="220">
        <f>SUM(G4:G63)</f>
        <v>127836000</v>
      </c>
      <c r="H66" s="220">
        <f>SUM(H4:H63)</f>
        <v>61908000</v>
      </c>
      <c r="I66" s="221"/>
      <c r="J66" s="222"/>
    </row>
  </sheetData>
  <scenarios current="0" show="0">
    <scenario name="Best" locked="1" count="1" user="DELL" comment="Created by DELL on 22-06-2025">
      <inputCells r="C1" val="200"/>
    </scenario>
  </scenarios>
  <conditionalFormatting sqref="I4:I63">
    <cfRule type="cellIs" dxfId="1049" priority="2" operator="greaterThan">
      <formula>0.5</formula>
    </cfRule>
    <cfRule type="cellIs" dxfId="1048" priority="3" operator="lessThan">
      <formula>0.2</formula>
    </cfRule>
  </conditionalFormatting>
  <conditionalFormatting sqref="C4:C63">
    <cfRule type="dataBar" priority="1">
      <dataBar>
        <cfvo type="min"/>
        <cfvo type="max"/>
        <color rgb="FF638EC6"/>
      </dataBar>
      <extLst>
        <ext xmlns:x14="http://schemas.microsoft.com/office/spreadsheetml/2009/9/main" uri="{B025F937-C7B1-47D3-B67F-A62EFF666E3E}">
          <x14:id>{6F5EA799-23B9-43B8-A57B-8CF74CBDEBE8}</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6F5EA799-23B9-43B8-A57B-8CF74CBDEBE8}">
            <x14:dataBar minLength="0" maxLength="100" border="1" gradient="0">
              <x14:cfvo type="autoMin"/>
              <x14:cfvo type="autoMax"/>
              <x14:borderColor rgb="FF000000"/>
              <x14:negativeFillColor rgb="FFFF0000"/>
              <x14:axisColor rgb="FF000000"/>
            </x14:dataBar>
          </x14:cfRule>
          <xm:sqref>C4:C63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8"/>
  <sheetViews>
    <sheetView showGridLines="0" zoomScaleNormal="100" workbookViewId="0">
      <pane ySplit="3" topLeftCell="A73" activePane="bottomLeft" state="frozen"/>
      <selection activeCell="E14" sqref="E14:F14"/>
      <selection pane="bottomLeft" activeCell="E86" sqref="E86"/>
    </sheetView>
  </sheetViews>
  <sheetFormatPr defaultRowHeight="15" x14ac:dyDescent="0.25"/>
  <cols>
    <col min="1" max="1" width="12.28515625" style="4" customWidth="1"/>
    <col min="2" max="2" width="16" style="4" customWidth="1"/>
    <col min="3" max="3" width="14.5703125" bestFit="1" customWidth="1"/>
    <col min="4" max="4" width="16.5703125" style="5" bestFit="1" customWidth="1"/>
    <col min="5" max="5" width="14.42578125" style="5" bestFit="1" customWidth="1"/>
    <col min="6" max="7" width="15" style="5" bestFit="1" customWidth="1"/>
    <col min="8" max="8" width="16.140625" style="5" bestFit="1" customWidth="1"/>
    <col min="9" max="9" width="13.85546875" style="6" bestFit="1" customWidth="1"/>
    <col min="10" max="10" width="22.7109375" style="7" customWidth="1"/>
  </cols>
  <sheetData>
    <row r="1" spans="1:10" ht="21" x14ac:dyDescent="0.35">
      <c r="B1" s="60" t="s">
        <v>0</v>
      </c>
      <c r="C1" s="60" t="s">
        <v>8</v>
      </c>
    </row>
    <row r="2" spans="1:10" x14ac:dyDescent="0.25">
      <c r="A2" s="61"/>
      <c r="B2" s="61"/>
      <c r="C2" s="1"/>
      <c r="D2" s="62"/>
      <c r="E2" s="62"/>
      <c r="F2" s="62"/>
      <c r="G2" s="62"/>
      <c r="H2" s="62"/>
      <c r="I2" s="63"/>
      <c r="J2" s="64"/>
    </row>
    <row r="3" spans="1:10" x14ac:dyDescent="0.25">
      <c r="A3" s="77" t="s">
        <v>21</v>
      </c>
      <c r="B3" s="77" t="s">
        <v>1</v>
      </c>
      <c r="C3" s="56" t="s">
        <v>206</v>
      </c>
      <c r="D3" s="57" t="s">
        <v>2</v>
      </c>
      <c r="E3" s="57" t="s">
        <v>3</v>
      </c>
      <c r="F3" s="57" t="s">
        <v>23</v>
      </c>
      <c r="G3" s="57" t="s">
        <v>24</v>
      </c>
      <c r="H3" s="57" t="s">
        <v>25</v>
      </c>
      <c r="I3" s="58" t="s">
        <v>26</v>
      </c>
      <c r="J3" s="59" t="s">
        <v>43</v>
      </c>
    </row>
    <row r="4" spans="1:10" x14ac:dyDescent="0.25">
      <c r="A4" s="78" t="s">
        <v>29</v>
      </c>
      <c r="B4" s="65" t="s">
        <v>4</v>
      </c>
      <c r="C4" s="81">
        <f t="array" ref="C4">INDEX(Assumptions!$F$3:$F$18, MATCH(1, (Assumptions!$B$3:$B$18=Forecasting_Worst!B4)*(Assumptions!$C$3:$C$18=Forecasting_Worst!$C$1),0))*J4</f>
        <v>1140</v>
      </c>
      <c r="D4" s="82">
        <f t="array" ref="D4">INDEX(Assumptions!$D$3:$D$18, MATCH(1, (Assumptions!$B$3:$B$18=Forecasting_Worst!B4)*(Assumptions!$C$3:$C$18=Forecasting_Worst!$C$1),0))</f>
        <v>2300</v>
      </c>
      <c r="E4" s="82">
        <f t="array" ref="E4">INDEX(Assumptions!$E$3:$E$18, MATCH(1, (Assumptions!$B$3:$B$18=Forecasting_Worst!B4)*(Assumptions!$C$3:$C$18=Forecasting_Worst!$C$1),0))</f>
        <v>1800</v>
      </c>
      <c r="F4" s="82">
        <f t="shared" ref="F4:F41" si="0">C4*D4</f>
        <v>2622000</v>
      </c>
      <c r="G4" s="82">
        <f t="shared" ref="G4:G41" si="1">C4*E4</f>
        <v>2052000</v>
      </c>
      <c r="H4" s="82">
        <f t="shared" ref="H4:H41" si="2">F4-G4</f>
        <v>570000</v>
      </c>
      <c r="I4" s="83">
        <f t="shared" ref="I4:I41" si="3">IF(F4=0, 0, H4/F4)</f>
        <v>0.21739130434782608</v>
      </c>
      <c r="J4" s="84">
        <f>VLOOKUP(A4,Seasonality!$B$4:$C$15,2,FALSE)</f>
        <v>0.95</v>
      </c>
    </row>
    <row r="5" spans="1:10" x14ac:dyDescent="0.25">
      <c r="A5" s="78" t="s">
        <v>29</v>
      </c>
      <c r="B5" s="65" t="s">
        <v>5</v>
      </c>
      <c r="C5" s="81">
        <f t="array" ref="C5">INDEX(Assumptions!$F$3:$F$18, MATCH(1, (Assumptions!$B$3:$B$18=Forecasting_Worst!B5)*(Assumptions!$C$3:$C$18=Forecasting_Worst!$C$1),0))*J5</f>
        <v>760</v>
      </c>
      <c r="D5" s="82">
        <f t="array" ref="D5">INDEX(Assumptions!$D$3:$D$18, MATCH(1, (Assumptions!$B$3:$B$18=Forecasting_Worst!B5)*(Assumptions!$C$3:$C$18=Forecasting_Worst!$C$1),0))</f>
        <v>3200</v>
      </c>
      <c r="E5" s="82">
        <f t="array" ref="E5">INDEX(Assumptions!$E$3:$E$18, MATCH(1, (Assumptions!$B$3:$B$18=Forecasting_Worst!B5)*(Assumptions!$C$3:$C$18=Forecasting_Worst!$C$1),0))</f>
        <v>2800</v>
      </c>
      <c r="F5" s="82">
        <f t="shared" si="0"/>
        <v>2432000</v>
      </c>
      <c r="G5" s="82">
        <f t="shared" si="1"/>
        <v>2128000</v>
      </c>
      <c r="H5" s="82">
        <f t="shared" si="2"/>
        <v>304000</v>
      </c>
      <c r="I5" s="83">
        <f t="shared" si="3"/>
        <v>0.125</v>
      </c>
      <c r="J5" s="84">
        <f>VLOOKUP(A5,Seasonality!$B$4:$C$15,2,FALSE)</f>
        <v>0.95</v>
      </c>
    </row>
    <row r="6" spans="1:10" x14ac:dyDescent="0.25">
      <c r="A6" s="78" t="s">
        <v>29</v>
      </c>
      <c r="B6" s="65" t="s">
        <v>14</v>
      </c>
      <c r="C6" s="81">
        <f t="array" ref="C6">INDEX(Assumptions!$F$3:$F$18, MATCH(1, (Assumptions!$B$3:$B$18=Forecasting_Worst!B6)*(Assumptions!$C$3:$C$18=Forecasting_Worst!$C$1),0))*J6</f>
        <v>855</v>
      </c>
      <c r="D6" s="82">
        <f t="array" ref="D6">INDEX(Assumptions!$D$3:$D$18, MATCH(1, (Assumptions!$B$3:$B$18=Forecasting_Worst!B6)*(Assumptions!$C$3:$C$18=Forecasting_Worst!$C$1),0))</f>
        <v>2300</v>
      </c>
      <c r="E6" s="82">
        <f t="array" ref="E6">INDEX(Assumptions!$E$3:$E$18, MATCH(1, (Assumptions!$B$3:$B$18=Forecasting_Worst!B6)*(Assumptions!$C$3:$C$18=Forecasting_Worst!$C$1),0))</f>
        <v>2100</v>
      </c>
      <c r="F6" s="82">
        <f t="shared" si="0"/>
        <v>1966500</v>
      </c>
      <c r="G6" s="82">
        <f t="shared" si="1"/>
        <v>1795500</v>
      </c>
      <c r="H6" s="82">
        <f t="shared" si="2"/>
        <v>171000</v>
      </c>
      <c r="I6" s="83">
        <f t="shared" si="3"/>
        <v>8.6956521739130432E-2</v>
      </c>
      <c r="J6" s="84">
        <f>VLOOKUP(A6,Seasonality!$B$4:$C$15,2,FALSE)</f>
        <v>0.95</v>
      </c>
    </row>
    <row r="7" spans="1:10" x14ac:dyDescent="0.25">
      <c r="A7" s="78" t="s">
        <v>29</v>
      </c>
      <c r="B7" s="65" t="s">
        <v>39</v>
      </c>
      <c r="C7" s="81">
        <f t="array" ref="C7">INDEX(Assumptions!$F$3:$F$18, MATCH(1, (Assumptions!$B$3:$B$18=Forecasting_Worst!B7)*(Assumptions!$C$3:$C$18=Forecasting_Worst!$C$1),0))*J7</f>
        <v>1425</v>
      </c>
      <c r="D7" s="82">
        <f t="array" ref="D7">INDEX(Assumptions!$D$3:$D$18, MATCH(1, (Assumptions!$B$3:$B$18=Forecasting_Worst!B7)*(Assumptions!$C$3:$C$18=Forecasting_Worst!$C$1),0))</f>
        <v>1000</v>
      </c>
      <c r="E7" s="82">
        <f t="array" ref="E7">INDEX(Assumptions!$E$3:$E$18, MATCH(1, (Assumptions!$B$3:$B$18=Forecasting_Worst!B7)*(Assumptions!$C$3:$C$18=Forecasting_Worst!$C$1),0))</f>
        <v>800</v>
      </c>
      <c r="F7" s="82">
        <f t="shared" si="0"/>
        <v>1425000</v>
      </c>
      <c r="G7" s="82">
        <f t="shared" si="1"/>
        <v>1140000</v>
      </c>
      <c r="H7" s="82">
        <f t="shared" si="2"/>
        <v>285000</v>
      </c>
      <c r="I7" s="83">
        <f t="shared" si="3"/>
        <v>0.2</v>
      </c>
      <c r="J7" s="84">
        <f>VLOOKUP(A7,Seasonality!$B$4:$C$15,2,FALSE)</f>
        <v>0.95</v>
      </c>
    </row>
    <row r="8" spans="1:10" x14ac:dyDescent="0.25">
      <c r="A8" s="78" t="s">
        <v>29</v>
      </c>
      <c r="B8" s="65" t="s">
        <v>6</v>
      </c>
      <c r="C8" s="81">
        <f t="array" ref="C8">INDEX(Assumptions!$F$3:$F$18, MATCH(1, (Assumptions!$B$3:$B$18=Forecasting_Worst!B8)*(Assumptions!$C$3:$C$18=Forecasting_Worst!$C$1),0))*J8</f>
        <v>1900</v>
      </c>
      <c r="D8" s="82">
        <f t="array" ref="D8">INDEX(Assumptions!$D$3:$D$18, MATCH(1, (Assumptions!$B$3:$B$18=Forecasting_Worst!B8)*(Assumptions!$C$3:$C$18=Forecasting_Worst!$C$1),0))</f>
        <v>400</v>
      </c>
      <c r="E8" s="82">
        <f t="array" ref="E8">INDEX(Assumptions!$E$3:$E$18, MATCH(1, (Assumptions!$B$3:$B$18=Forecasting_Worst!B8)*(Assumptions!$C$3:$C$18=Forecasting_Worst!$C$1),0))</f>
        <v>400</v>
      </c>
      <c r="F8" s="82">
        <f t="shared" si="0"/>
        <v>760000</v>
      </c>
      <c r="G8" s="82">
        <f t="shared" si="1"/>
        <v>760000</v>
      </c>
      <c r="H8" s="82">
        <f t="shared" si="2"/>
        <v>0</v>
      </c>
      <c r="I8" s="83">
        <f t="shared" si="3"/>
        <v>0</v>
      </c>
      <c r="J8" s="84">
        <f>VLOOKUP(A8,Seasonality!$B$4:$C$15,2,FALSE)</f>
        <v>0.95</v>
      </c>
    </row>
    <row r="9" spans="1:10" x14ac:dyDescent="0.25">
      <c r="A9" s="78"/>
      <c r="B9" s="65"/>
      <c r="C9" s="81"/>
      <c r="D9" s="82"/>
      <c r="E9" s="82"/>
      <c r="F9" s="82"/>
      <c r="G9" s="82"/>
      <c r="H9" s="82"/>
      <c r="I9" s="83"/>
      <c r="J9" s="84"/>
    </row>
    <row r="10" spans="1:10" x14ac:dyDescent="0.25">
      <c r="A10" s="78" t="s">
        <v>30</v>
      </c>
      <c r="B10" s="65" t="s">
        <v>4</v>
      </c>
      <c r="C10" s="81">
        <f t="array" ref="C10">INDEX(Assumptions!$F$3:$F$18, MATCH(1, (Assumptions!$B$3:$B$18=Forecasting_Worst!B10)*(Assumptions!$C$3:$C$18=Forecasting_Worst!$C$1),0))*J10</f>
        <v>1080</v>
      </c>
      <c r="D10" s="82">
        <f t="array" ref="D10">INDEX(Assumptions!$D$3:$D$18, MATCH(1, (Assumptions!$B$3:$B$18=Forecasting_Worst!B10)*(Assumptions!$C$3:$C$18=Forecasting_Worst!$C$1),0))</f>
        <v>2300</v>
      </c>
      <c r="E10" s="82">
        <f t="array" ref="E10">INDEX(Assumptions!$E$3:$E$18, MATCH(1, (Assumptions!$B$3:$B$18=Forecasting_Worst!B10)*(Assumptions!$C$3:$C$18=Forecasting_Worst!$C$1),0))</f>
        <v>1800</v>
      </c>
      <c r="F10" s="82">
        <f t="shared" si="0"/>
        <v>2484000</v>
      </c>
      <c r="G10" s="82">
        <f t="shared" si="1"/>
        <v>1944000</v>
      </c>
      <c r="H10" s="82">
        <f t="shared" si="2"/>
        <v>540000</v>
      </c>
      <c r="I10" s="83">
        <f t="shared" si="3"/>
        <v>0.21739130434782608</v>
      </c>
      <c r="J10" s="84">
        <f>VLOOKUP(A10,Seasonality!$B$4:$C$15,2,FALSE)</f>
        <v>0.9</v>
      </c>
    </row>
    <row r="11" spans="1:10" x14ac:dyDescent="0.25">
      <c r="A11" s="78" t="s">
        <v>30</v>
      </c>
      <c r="B11" s="65" t="s">
        <v>5</v>
      </c>
      <c r="C11" s="81">
        <f t="array" ref="C11">INDEX(Assumptions!$F$3:$F$18, MATCH(1, (Assumptions!$B$3:$B$18=Forecasting_Worst!B11)*(Assumptions!$C$3:$C$18=Forecasting_Worst!$C$1),0))*J11</f>
        <v>720</v>
      </c>
      <c r="D11" s="82">
        <f t="array" ref="D11">INDEX(Assumptions!$D$3:$D$18, MATCH(1, (Assumptions!$B$3:$B$18=Forecasting_Worst!B11)*(Assumptions!$C$3:$C$18=Forecasting_Worst!$C$1),0))</f>
        <v>3200</v>
      </c>
      <c r="E11" s="82">
        <f t="array" ref="E11">INDEX(Assumptions!$E$3:$E$18, MATCH(1, (Assumptions!$B$3:$B$18=Forecasting_Worst!B11)*(Assumptions!$C$3:$C$18=Forecasting_Worst!$C$1),0))</f>
        <v>2800</v>
      </c>
      <c r="F11" s="82">
        <f t="shared" si="0"/>
        <v>2304000</v>
      </c>
      <c r="G11" s="82">
        <f t="shared" si="1"/>
        <v>2016000</v>
      </c>
      <c r="H11" s="82">
        <f t="shared" si="2"/>
        <v>288000</v>
      </c>
      <c r="I11" s="83">
        <f t="shared" si="3"/>
        <v>0.125</v>
      </c>
      <c r="J11" s="84">
        <f>VLOOKUP(A11,Seasonality!$B$4:$C$15,2,FALSE)</f>
        <v>0.9</v>
      </c>
    </row>
    <row r="12" spans="1:10" x14ac:dyDescent="0.25">
      <c r="A12" s="78" t="s">
        <v>30</v>
      </c>
      <c r="B12" s="65" t="s">
        <v>14</v>
      </c>
      <c r="C12" s="81">
        <f t="array" ref="C12">INDEX(Assumptions!$F$3:$F$18, MATCH(1, (Assumptions!$B$3:$B$18=Forecasting_Worst!B12)*(Assumptions!$C$3:$C$18=Forecasting_Worst!$C$1),0))*J12</f>
        <v>810</v>
      </c>
      <c r="D12" s="82">
        <f t="array" ref="D12">INDEX(Assumptions!$D$3:$D$18, MATCH(1, (Assumptions!$B$3:$B$18=Forecasting_Worst!B12)*(Assumptions!$C$3:$C$18=Forecasting_Worst!$C$1),0))</f>
        <v>2300</v>
      </c>
      <c r="E12" s="82">
        <f t="array" ref="E12">INDEX(Assumptions!$E$3:$E$18, MATCH(1, (Assumptions!$B$3:$B$18=Forecasting_Worst!B12)*(Assumptions!$C$3:$C$18=Forecasting_Worst!$C$1),0))</f>
        <v>2100</v>
      </c>
      <c r="F12" s="82">
        <f t="shared" si="0"/>
        <v>1863000</v>
      </c>
      <c r="G12" s="82">
        <f t="shared" si="1"/>
        <v>1701000</v>
      </c>
      <c r="H12" s="82">
        <f t="shared" si="2"/>
        <v>162000</v>
      </c>
      <c r="I12" s="83">
        <f t="shared" si="3"/>
        <v>8.6956521739130432E-2</v>
      </c>
      <c r="J12" s="84">
        <f>VLOOKUP(A12,Seasonality!$B$4:$C$15,2,FALSE)</f>
        <v>0.9</v>
      </c>
    </row>
    <row r="13" spans="1:10" x14ac:dyDescent="0.25">
      <c r="A13" s="78" t="s">
        <v>30</v>
      </c>
      <c r="B13" s="65" t="s">
        <v>39</v>
      </c>
      <c r="C13" s="81">
        <f t="array" ref="C13">INDEX(Assumptions!$F$3:$F$18, MATCH(1, (Assumptions!$B$3:$B$18=Forecasting_Worst!B13)*(Assumptions!$C$3:$C$18=Forecasting_Worst!$C$1),0))*J13</f>
        <v>1350</v>
      </c>
      <c r="D13" s="82">
        <f t="array" ref="D13">INDEX(Assumptions!$D$3:$D$18, MATCH(1, (Assumptions!$B$3:$B$18=Forecasting_Worst!B13)*(Assumptions!$C$3:$C$18=Forecasting_Worst!$C$1),0))</f>
        <v>1000</v>
      </c>
      <c r="E13" s="82">
        <f t="array" ref="E13">INDEX(Assumptions!$E$3:$E$18, MATCH(1, (Assumptions!$B$3:$B$18=Forecasting_Worst!B13)*(Assumptions!$C$3:$C$18=Forecasting_Worst!$C$1),0))</f>
        <v>800</v>
      </c>
      <c r="F13" s="82">
        <f t="shared" si="0"/>
        <v>1350000</v>
      </c>
      <c r="G13" s="82">
        <f t="shared" si="1"/>
        <v>1080000</v>
      </c>
      <c r="H13" s="82">
        <f t="shared" si="2"/>
        <v>270000</v>
      </c>
      <c r="I13" s="83">
        <f t="shared" si="3"/>
        <v>0.2</v>
      </c>
      <c r="J13" s="84">
        <f>VLOOKUP(A13,Seasonality!$B$4:$C$15,2,FALSE)</f>
        <v>0.9</v>
      </c>
    </row>
    <row r="14" spans="1:10" x14ac:dyDescent="0.25">
      <c r="A14" s="78" t="s">
        <v>30</v>
      </c>
      <c r="B14" s="65" t="s">
        <v>6</v>
      </c>
      <c r="C14" s="81">
        <f t="array" ref="C14">INDEX(Assumptions!$F$3:$F$18, MATCH(1, (Assumptions!$B$3:$B$18=Forecasting_Worst!B14)*(Assumptions!$C$3:$C$18=Forecasting_Worst!$C$1),0))*J14</f>
        <v>1800</v>
      </c>
      <c r="D14" s="82">
        <f t="array" ref="D14">INDEX(Assumptions!$D$3:$D$18, MATCH(1, (Assumptions!$B$3:$B$18=Forecasting_Worst!B14)*(Assumptions!$C$3:$C$18=Forecasting_Worst!$C$1),0))</f>
        <v>400</v>
      </c>
      <c r="E14" s="82">
        <f t="array" ref="E14">INDEX(Assumptions!$E$3:$E$18, MATCH(1, (Assumptions!$B$3:$B$18=Forecasting_Worst!B14)*(Assumptions!$C$3:$C$18=Forecasting_Worst!$C$1),0))</f>
        <v>400</v>
      </c>
      <c r="F14" s="82">
        <f t="shared" si="0"/>
        <v>720000</v>
      </c>
      <c r="G14" s="82">
        <f t="shared" si="1"/>
        <v>720000</v>
      </c>
      <c r="H14" s="82">
        <f t="shared" si="2"/>
        <v>0</v>
      </c>
      <c r="I14" s="83">
        <f t="shared" si="3"/>
        <v>0</v>
      </c>
      <c r="J14" s="84">
        <f>VLOOKUP(A14,Seasonality!$B$4:$C$15,2,FALSE)</f>
        <v>0.9</v>
      </c>
    </row>
    <row r="15" spans="1:10" x14ac:dyDescent="0.25">
      <c r="A15" s="78"/>
      <c r="B15" s="65"/>
      <c r="C15" s="81"/>
      <c r="D15" s="82"/>
      <c r="E15" s="82"/>
      <c r="F15" s="82"/>
      <c r="G15" s="82"/>
      <c r="H15" s="82"/>
      <c r="I15" s="83"/>
      <c r="J15" s="84"/>
    </row>
    <row r="16" spans="1:10" s="8" customFormat="1" ht="15.75" x14ac:dyDescent="0.25">
      <c r="A16" s="78" t="s">
        <v>31</v>
      </c>
      <c r="B16" s="65" t="s">
        <v>4</v>
      </c>
      <c r="C16" s="81">
        <f t="array" ref="C16">INDEX(Assumptions!$F$3:$F$18, MATCH(1, (Assumptions!$B$3:$B$18=Forecasting_Worst!B16)*(Assumptions!$C$3:$C$18=Forecasting_Worst!$C$1),0))*J16</f>
        <v>1260</v>
      </c>
      <c r="D16" s="82">
        <f t="array" ref="D16">INDEX(Assumptions!$D$3:$D$18, MATCH(1, (Assumptions!$B$3:$B$18=Forecasting_Worst!B16)*(Assumptions!$C$3:$C$18=Forecasting_Worst!$C$1),0))</f>
        <v>2300</v>
      </c>
      <c r="E16" s="82">
        <f t="array" ref="E16">INDEX(Assumptions!$E$3:$E$18, MATCH(1, (Assumptions!$B$3:$B$18=Forecasting_Worst!B16)*(Assumptions!$C$3:$C$18=Forecasting_Worst!$C$1),0))</f>
        <v>1800</v>
      </c>
      <c r="F16" s="82">
        <f t="shared" si="0"/>
        <v>2898000</v>
      </c>
      <c r="G16" s="82">
        <f t="shared" si="1"/>
        <v>2268000</v>
      </c>
      <c r="H16" s="82">
        <f t="shared" si="2"/>
        <v>630000</v>
      </c>
      <c r="I16" s="83">
        <f t="shared" si="3"/>
        <v>0.21739130434782608</v>
      </c>
      <c r="J16" s="84">
        <f>VLOOKUP(A16,Seasonality!$B$4:$C$15,2,FALSE)</f>
        <v>1.05</v>
      </c>
    </row>
    <row r="17" spans="1:10" x14ac:dyDescent="0.25">
      <c r="A17" s="78" t="s">
        <v>31</v>
      </c>
      <c r="B17" s="65" t="s">
        <v>5</v>
      </c>
      <c r="C17" s="81">
        <f t="array" ref="C17">INDEX(Assumptions!$F$3:$F$18, MATCH(1, (Assumptions!$B$3:$B$18=Forecasting_Worst!B17)*(Assumptions!$C$3:$C$18=Forecasting_Worst!$C$1),0))*J17</f>
        <v>840</v>
      </c>
      <c r="D17" s="82">
        <f t="array" ref="D17">INDEX(Assumptions!$D$3:$D$18, MATCH(1, (Assumptions!$B$3:$B$18=Forecasting_Worst!B17)*(Assumptions!$C$3:$C$18=Forecasting_Worst!$C$1),0))</f>
        <v>3200</v>
      </c>
      <c r="E17" s="82">
        <f t="array" ref="E17">INDEX(Assumptions!$E$3:$E$18, MATCH(1, (Assumptions!$B$3:$B$18=Forecasting_Worst!B17)*(Assumptions!$C$3:$C$18=Forecasting_Worst!$C$1),0))</f>
        <v>2800</v>
      </c>
      <c r="F17" s="82">
        <f t="shared" si="0"/>
        <v>2688000</v>
      </c>
      <c r="G17" s="82">
        <f t="shared" si="1"/>
        <v>2352000</v>
      </c>
      <c r="H17" s="82">
        <f t="shared" si="2"/>
        <v>336000</v>
      </c>
      <c r="I17" s="83">
        <f t="shared" si="3"/>
        <v>0.125</v>
      </c>
      <c r="J17" s="84">
        <f>VLOOKUP(A17,Seasonality!$B$4:$C$15,2,FALSE)</f>
        <v>1.05</v>
      </c>
    </row>
    <row r="18" spans="1:10" x14ac:dyDescent="0.25">
      <c r="A18" s="78" t="s">
        <v>31</v>
      </c>
      <c r="B18" s="65" t="s">
        <v>14</v>
      </c>
      <c r="C18" s="81">
        <f t="array" ref="C18">INDEX(Assumptions!$F$3:$F$18, MATCH(1, (Assumptions!$B$3:$B$18=Forecasting_Worst!B18)*(Assumptions!$C$3:$C$18=Forecasting_Worst!$C$1),0))*J18</f>
        <v>945</v>
      </c>
      <c r="D18" s="82">
        <f t="array" ref="D18">INDEX(Assumptions!$D$3:$D$18, MATCH(1, (Assumptions!$B$3:$B$18=Forecasting_Worst!B18)*(Assumptions!$C$3:$C$18=Forecasting_Worst!$C$1),0))</f>
        <v>2300</v>
      </c>
      <c r="E18" s="82">
        <f t="array" ref="E18">INDEX(Assumptions!$E$3:$E$18, MATCH(1, (Assumptions!$B$3:$B$18=Forecasting_Worst!B18)*(Assumptions!$C$3:$C$18=Forecasting_Worst!$C$1),0))</f>
        <v>2100</v>
      </c>
      <c r="F18" s="82">
        <f t="shared" si="0"/>
        <v>2173500</v>
      </c>
      <c r="G18" s="82">
        <f t="shared" si="1"/>
        <v>1984500</v>
      </c>
      <c r="H18" s="82">
        <f t="shared" si="2"/>
        <v>189000</v>
      </c>
      <c r="I18" s="83">
        <f t="shared" si="3"/>
        <v>8.6956521739130432E-2</v>
      </c>
      <c r="J18" s="84">
        <f>VLOOKUP(A18,Seasonality!$B$4:$C$15,2,FALSE)</f>
        <v>1.05</v>
      </c>
    </row>
    <row r="19" spans="1:10" x14ac:dyDescent="0.25">
      <c r="A19" s="78" t="s">
        <v>31</v>
      </c>
      <c r="B19" s="65" t="s">
        <v>39</v>
      </c>
      <c r="C19" s="81">
        <f t="array" ref="C19">INDEX(Assumptions!$F$3:$F$18, MATCH(1, (Assumptions!$B$3:$B$18=Forecasting_Worst!B19)*(Assumptions!$C$3:$C$18=Forecasting_Worst!$C$1),0))*J19</f>
        <v>1575</v>
      </c>
      <c r="D19" s="82">
        <f t="array" ref="D19">INDEX(Assumptions!$D$3:$D$18, MATCH(1, (Assumptions!$B$3:$B$18=Forecasting_Worst!B19)*(Assumptions!$C$3:$C$18=Forecasting_Worst!$C$1),0))</f>
        <v>1000</v>
      </c>
      <c r="E19" s="82">
        <f t="array" ref="E19">INDEX(Assumptions!$E$3:$E$18, MATCH(1, (Assumptions!$B$3:$B$18=Forecasting_Worst!B19)*(Assumptions!$C$3:$C$18=Forecasting_Worst!$C$1),0))</f>
        <v>800</v>
      </c>
      <c r="F19" s="82">
        <f t="shared" si="0"/>
        <v>1575000</v>
      </c>
      <c r="G19" s="82">
        <f t="shared" si="1"/>
        <v>1260000</v>
      </c>
      <c r="H19" s="82">
        <f t="shared" si="2"/>
        <v>315000</v>
      </c>
      <c r="I19" s="83">
        <f t="shared" si="3"/>
        <v>0.2</v>
      </c>
      <c r="J19" s="84">
        <f>VLOOKUP(A19,Seasonality!$B$4:$C$15,2,FALSE)</f>
        <v>1.05</v>
      </c>
    </row>
    <row r="20" spans="1:10" x14ac:dyDescent="0.25">
      <c r="A20" s="78" t="s">
        <v>31</v>
      </c>
      <c r="B20" s="65" t="s">
        <v>6</v>
      </c>
      <c r="C20" s="81">
        <f t="array" ref="C20">INDEX(Assumptions!$F$3:$F$18, MATCH(1, (Assumptions!$B$3:$B$18=Forecasting_Worst!B20)*(Assumptions!$C$3:$C$18=Forecasting_Worst!$C$1),0))*J20</f>
        <v>2100</v>
      </c>
      <c r="D20" s="82">
        <f t="array" ref="D20">INDEX(Assumptions!$D$3:$D$18, MATCH(1, (Assumptions!$B$3:$B$18=Forecasting_Worst!B20)*(Assumptions!$C$3:$C$18=Forecasting_Worst!$C$1),0))</f>
        <v>400</v>
      </c>
      <c r="E20" s="82">
        <f t="array" ref="E20">INDEX(Assumptions!$E$3:$E$18, MATCH(1, (Assumptions!$B$3:$B$18=Forecasting_Worst!B20)*(Assumptions!$C$3:$C$18=Forecasting_Worst!$C$1),0))</f>
        <v>400</v>
      </c>
      <c r="F20" s="82">
        <f t="shared" si="0"/>
        <v>840000</v>
      </c>
      <c r="G20" s="82">
        <f t="shared" si="1"/>
        <v>840000</v>
      </c>
      <c r="H20" s="82">
        <f t="shared" si="2"/>
        <v>0</v>
      </c>
      <c r="I20" s="83">
        <f t="shared" si="3"/>
        <v>0</v>
      </c>
      <c r="J20" s="84">
        <f>VLOOKUP(A20,Seasonality!$B$4:$C$15,2,FALSE)</f>
        <v>1.05</v>
      </c>
    </row>
    <row r="21" spans="1:10" x14ac:dyDescent="0.25">
      <c r="A21" s="78"/>
      <c r="B21" s="65"/>
      <c r="C21" s="81"/>
      <c r="D21" s="82"/>
      <c r="E21" s="82"/>
      <c r="F21" s="82"/>
      <c r="G21" s="82"/>
      <c r="H21" s="82"/>
      <c r="I21" s="83"/>
      <c r="J21" s="84"/>
    </row>
    <row r="22" spans="1:10" x14ac:dyDescent="0.25">
      <c r="A22" s="78" t="s">
        <v>32</v>
      </c>
      <c r="B22" s="65" t="s">
        <v>4</v>
      </c>
      <c r="C22" s="81">
        <f t="array" ref="C22">INDEX(Assumptions!$F$3:$F$18, MATCH(1, (Assumptions!$B$3:$B$18=Forecasting_Worst!B22)*(Assumptions!$C$3:$C$18=Forecasting_Worst!$C$1),0))*J22</f>
        <v>1320</v>
      </c>
      <c r="D22" s="82">
        <f t="array" ref="D22">INDEX(Assumptions!$D$3:$D$18, MATCH(1, (Assumptions!$B$3:$B$18=Forecasting_Worst!B22)*(Assumptions!$C$3:$C$18=Forecasting_Worst!$C$1),0))</f>
        <v>2300</v>
      </c>
      <c r="E22" s="82">
        <f t="array" ref="E22">INDEX(Assumptions!$E$3:$E$18, MATCH(1, (Assumptions!$B$3:$B$18=Forecasting_Worst!B22)*(Assumptions!$C$3:$C$18=Forecasting_Worst!$C$1),0))</f>
        <v>1800</v>
      </c>
      <c r="F22" s="82">
        <f t="shared" si="0"/>
        <v>3036000</v>
      </c>
      <c r="G22" s="82">
        <f t="shared" si="1"/>
        <v>2376000</v>
      </c>
      <c r="H22" s="82">
        <f t="shared" si="2"/>
        <v>660000</v>
      </c>
      <c r="I22" s="83">
        <f t="shared" si="3"/>
        <v>0.21739130434782608</v>
      </c>
      <c r="J22" s="84">
        <f>VLOOKUP(A22,Seasonality!$B$4:$C$15,2,FALSE)</f>
        <v>1.1000000000000001</v>
      </c>
    </row>
    <row r="23" spans="1:10" x14ac:dyDescent="0.25">
      <c r="A23" s="78" t="s">
        <v>32</v>
      </c>
      <c r="B23" s="65" t="s">
        <v>5</v>
      </c>
      <c r="C23" s="81">
        <f t="array" ref="C23">INDEX(Assumptions!$F$3:$F$18, MATCH(1, (Assumptions!$B$3:$B$18=Forecasting_Worst!B23)*(Assumptions!$C$3:$C$18=Forecasting_Worst!$C$1),0))*J23</f>
        <v>880.00000000000011</v>
      </c>
      <c r="D23" s="82">
        <f t="array" ref="D23">INDEX(Assumptions!$D$3:$D$18, MATCH(1, (Assumptions!$B$3:$B$18=Forecasting_Worst!B23)*(Assumptions!$C$3:$C$18=Forecasting_Worst!$C$1),0))</f>
        <v>3200</v>
      </c>
      <c r="E23" s="82">
        <f t="array" ref="E23">INDEX(Assumptions!$E$3:$E$18, MATCH(1, (Assumptions!$B$3:$B$18=Forecasting_Worst!B23)*(Assumptions!$C$3:$C$18=Forecasting_Worst!$C$1),0))</f>
        <v>2800</v>
      </c>
      <c r="F23" s="82">
        <f t="shared" si="0"/>
        <v>2816000.0000000005</v>
      </c>
      <c r="G23" s="82">
        <f t="shared" si="1"/>
        <v>2464000.0000000005</v>
      </c>
      <c r="H23" s="82">
        <f t="shared" si="2"/>
        <v>352000</v>
      </c>
      <c r="I23" s="83">
        <f t="shared" si="3"/>
        <v>0.12499999999999999</v>
      </c>
      <c r="J23" s="84">
        <f>VLOOKUP(A23,Seasonality!$B$4:$C$15,2,FALSE)</f>
        <v>1.1000000000000001</v>
      </c>
    </row>
    <row r="24" spans="1:10" x14ac:dyDescent="0.25">
      <c r="A24" s="78" t="s">
        <v>32</v>
      </c>
      <c r="B24" s="65" t="s">
        <v>14</v>
      </c>
      <c r="C24" s="81">
        <f t="array" ref="C24">INDEX(Assumptions!$F$3:$F$18, MATCH(1, (Assumptions!$B$3:$B$18=Forecasting_Worst!B24)*(Assumptions!$C$3:$C$18=Forecasting_Worst!$C$1),0))*J24</f>
        <v>990.00000000000011</v>
      </c>
      <c r="D24" s="82">
        <f t="array" ref="D24">INDEX(Assumptions!$D$3:$D$18, MATCH(1, (Assumptions!$B$3:$B$18=Forecasting_Worst!B24)*(Assumptions!$C$3:$C$18=Forecasting_Worst!$C$1),0))</f>
        <v>2300</v>
      </c>
      <c r="E24" s="82">
        <f t="array" ref="E24">INDEX(Assumptions!$E$3:$E$18, MATCH(1, (Assumptions!$B$3:$B$18=Forecasting_Worst!B24)*(Assumptions!$C$3:$C$18=Forecasting_Worst!$C$1),0))</f>
        <v>2100</v>
      </c>
      <c r="F24" s="82">
        <f t="shared" si="0"/>
        <v>2277000.0000000005</v>
      </c>
      <c r="G24" s="82">
        <f t="shared" si="1"/>
        <v>2079000.0000000002</v>
      </c>
      <c r="H24" s="82">
        <f t="shared" si="2"/>
        <v>198000.00000000023</v>
      </c>
      <c r="I24" s="83">
        <f t="shared" si="3"/>
        <v>8.6956521739130516E-2</v>
      </c>
      <c r="J24" s="84">
        <f>VLOOKUP(A24,Seasonality!$B$4:$C$15,2,FALSE)</f>
        <v>1.1000000000000001</v>
      </c>
    </row>
    <row r="25" spans="1:10" x14ac:dyDescent="0.25">
      <c r="A25" s="78" t="s">
        <v>32</v>
      </c>
      <c r="B25" s="65" t="s">
        <v>39</v>
      </c>
      <c r="C25" s="81">
        <f t="array" ref="C25">INDEX(Assumptions!$F$3:$F$18, MATCH(1, (Assumptions!$B$3:$B$18=Forecasting_Worst!B25)*(Assumptions!$C$3:$C$18=Forecasting_Worst!$C$1),0))*J25</f>
        <v>1650.0000000000002</v>
      </c>
      <c r="D25" s="82">
        <f t="array" ref="D25">INDEX(Assumptions!$D$3:$D$18, MATCH(1, (Assumptions!$B$3:$B$18=Forecasting_Worst!B25)*(Assumptions!$C$3:$C$18=Forecasting_Worst!$C$1),0))</f>
        <v>1000</v>
      </c>
      <c r="E25" s="82">
        <f t="array" ref="E25">INDEX(Assumptions!$E$3:$E$18, MATCH(1, (Assumptions!$B$3:$B$18=Forecasting_Worst!B25)*(Assumptions!$C$3:$C$18=Forecasting_Worst!$C$1),0))</f>
        <v>800</v>
      </c>
      <c r="F25" s="82">
        <f t="shared" si="0"/>
        <v>1650000.0000000002</v>
      </c>
      <c r="G25" s="82">
        <f t="shared" si="1"/>
        <v>1320000.0000000002</v>
      </c>
      <c r="H25" s="82">
        <f t="shared" si="2"/>
        <v>330000</v>
      </c>
      <c r="I25" s="83">
        <f t="shared" si="3"/>
        <v>0.19999999999999998</v>
      </c>
      <c r="J25" s="84">
        <f>VLOOKUP(A25,Seasonality!$B$4:$C$15,2,FALSE)</f>
        <v>1.1000000000000001</v>
      </c>
    </row>
    <row r="26" spans="1:10" x14ac:dyDescent="0.25">
      <c r="A26" s="78" t="s">
        <v>32</v>
      </c>
      <c r="B26" s="65" t="s">
        <v>6</v>
      </c>
      <c r="C26" s="81">
        <f t="array" ref="C26">INDEX(Assumptions!$F$3:$F$18, MATCH(1, (Assumptions!$B$3:$B$18=Forecasting_Worst!B26)*(Assumptions!$C$3:$C$18=Forecasting_Worst!$C$1),0))*J26</f>
        <v>2200</v>
      </c>
      <c r="D26" s="82">
        <f t="array" ref="D26">INDEX(Assumptions!$D$3:$D$18, MATCH(1, (Assumptions!$B$3:$B$18=Forecasting_Worst!B26)*(Assumptions!$C$3:$C$18=Forecasting_Worst!$C$1),0))</f>
        <v>400</v>
      </c>
      <c r="E26" s="82">
        <f t="array" ref="E26">INDEX(Assumptions!$E$3:$E$18, MATCH(1, (Assumptions!$B$3:$B$18=Forecasting_Worst!B26)*(Assumptions!$C$3:$C$18=Forecasting_Worst!$C$1),0))</f>
        <v>400</v>
      </c>
      <c r="F26" s="82">
        <f t="shared" si="0"/>
        <v>880000</v>
      </c>
      <c r="G26" s="82">
        <f t="shared" si="1"/>
        <v>880000</v>
      </c>
      <c r="H26" s="82">
        <f t="shared" si="2"/>
        <v>0</v>
      </c>
      <c r="I26" s="83">
        <f t="shared" si="3"/>
        <v>0</v>
      </c>
      <c r="J26" s="84">
        <f>VLOOKUP(A26,Seasonality!$B$4:$C$15,2,FALSE)</f>
        <v>1.1000000000000001</v>
      </c>
    </row>
    <row r="27" spans="1:10" x14ac:dyDescent="0.25">
      <c r="A27" s="78"/>
      <c r="B27" s="65"/>
      <c r="C27" s="81"/>
      <c r="D27" s="82"/>
      <c r="E27" s="82"/>
      <c r="F27" s="82"/>
      <c r="G27" s="82"/>
      <c r="H27" s="82"/>
      <c r="I27" s="83"/>
      <c r="J27" s="84"/>
    </row>
    <row r="28" spans="1:10" x14ac:dyDescent="0.25">
      <c r="A28" s="78" t="s">
        <v>27</v>
      </c>
      <c r="B28" s="65" t="s">
        <v>4</v>
      </c>
      <c r="C28" s="81">
        <f t="array" ref="C28">INDEX(Assumptions!$F$3:$F$18, MATCH(1, (Assumptions!$B$3:$B$18=Forecasting_Worst!B28)*(Assumptions!$C$3:$C$18=Forecasting_Worst!$C$1),0))*J28</f>
        <v>1440</v>
      </c>
      <c r="D28" s="82">
        <f t="array" ref="D28">INDEX(Assumptions!$D$3:$D$18, MATCH(1, (Assumptions!$B$3:$B$18=Forecasting_Worst!B28)*(Assumptions!$C$3:$C$18=Forecasting_Worst!$C$1),0))</f>
        <v>2300</v>
      </c>
      <c r="E28" s="82">
        <f t="array" ref="E28">INDEX(Assumptions!$E$3:$E$18, MATCH(1, (Assumptions!$B$3:$B$18=Forecasting_Worst!B28)*(Assumptions!$C$3:$C$18=Forecasting_Worst!$C$1),0))</f>
        <v>1800</v>
      </c>
      <c r="F28" s="82">
        <f t="shared" si="0"/>
        <v>3312000</v>
      </c>
      <c r="G28" s="82">
        <f t="shared" si="1"/>
        <v>2592000</v>
      </c>
      <c r="H28" s="82">
        <f t="shared" si="2"/>
        <v>720000</v>
      </c>
      <c r="I28" s="83">
        <f t="shared" si="3"/>
        <v>0.21739130434782608</v>
      </c>
      <c r="J28" s="84">
        <f>VLOOKUP(A28,Seasonality!$B$4:$C$15,2,FALSE)</f>
        <v>1.2</v>
      </c>
    </row>
    <row r="29" spans="1:10" x14ac:dyDescent="0.25">
      <c r="A29" s="78" t="s">
        <v>27</v>
      </c>
      <c r="B29" s="65" t="s">
        <v>5</v>
      </c>
      <c r="C29" s="81">
        <f t="array" ref="C29">INDEX(Assumptions!$F$3:$F$18, MATCH(1, (Assumptions!$B$3:$B$18=Forecasting_Worst!B29)*(Assumptions!$C$3:$C$18=Forecasting_Worst!$C$1),0))*J29</f>
        <v>960</v>
      </c>
      <c r="D29" s="82">
        <f t="array" ref="D29">INDEX(Assumptions!$D$3:$D$18, MATCH(1, (Assumptions!$B$3:$B$18=Forecasting_Worst!B29)*(Assumptions!$C$3:$C$18=Forecasting_Worst!$C$1),0))</f>
        <v>3200</v>
      </c>
      <c r="E29" s="82">
        <f t="array" ref="E29">INDEX(Assumptions!$E$3:$E$18, MATCH(1, (Assumptions!$B$3:$B$18=Forecasting_Worst!B29)*(Assumptions!$C$3:$C$18=Forecasting_Worst!$C$1),0))</f>
        <v>2800</v>
      </c>
      <c r="F29" s="82">
        <f t="shared" si="0"/>
        <v>3072000</v>
      </c>
      <c r="G29" s="82">
        <f t="shared" si="1"/>
        <v>2688000</v>
      </c>
      <c r="H29" s="82">
        <f t="shared" si="2"/>
        <v>384000</v>
      </c>
      <c r="I29" s="83">
        <f t="shared" si="3"/>
        <v>0.125</v>
      </c>
      <c r="J29" s="84">
        <f>VLOOKUP(A29,Seasonality!$B$4:$C$15,2,FALSE)</f>
        <v>1.2</v>
      </c>
    </row>
    <row r="30" spans="1:10" x14ac:dyDescent="0.25">
      <c r="A30" s="78" t="s">
        <v>27</v>
      </c>
      <c r="B30" s="65" t="s">
        <v>14</v>
      </c>
      <c r="C30" s="81">
        <f t="array" ref="C30">INDEX(Assumptions!$F$3:$F$18, MATCH(1, (Assumptions!$B$3:$B$18=Forecasting_Worst!B30)*(Assumptions!$C$3:$C$18=Forecasting_Worst!$C$1),0))*J30</f>
        <v>1080</v>
      </c>
      <c r="D30" s="82">
        <f t="array" ref="D30">INDEX(Assumptions!$D$3:$D$18, MATCH(1, (Assumptions!$B$3:$B$18=Forecasting_Worst!B30)*(Assumptions!$C$3:$C$18=Forecasting_Worst!$C$1),0))</f>
        <v>2300</v>
      </c>
      <c r="E30" s="82">
        <f t="array" ref="E30">INDEX(Assumptions!$E$3:$E$18, MATCH(1, (Assumptions!$B$3:$B$18=Forecasting_Worst!B30)*(Assumptions!$C$3:$C$18=Forecasting_Worst!$C$1),0))</f>
        <v>2100</v>
      </c>
      <c r="F30" s="82">
        <f t="shared" si="0"/>
        <v>2484000</v>
      </c>
      <c r="G30" s="82">
        <f t="shared" si="1"/>
        <v>2268000</v>
      </c>
      <c r="H30" s="82">
        <f t="shared" si="2"/>
        <v>216000</v>
      </c>
      <c r="I30" s="83">
        <f t="shared" si="3"/>
        <v>8.6956521739130432E-2</v>
      </c>
      <c r="J30" s="84">
        <f>VLOOKUP(A30,Seasonality!$B$4:$C$15,2,FALSE)</f>
        <v>1.2</v>
      </c>
    </row>
    <row r="31" spans="1:10" x14ac:dyDescent="0.25">
      <c r="A31" s="78" t="s">
        <v>27</v>
      </c>
      <c r="B31" s="65" t="s">
        <v>39</v>
      </c>
      <c r="C31" s="81">
        <f t="array" ref="C31">INDEX(Assumptions!$F$3:$F$18, MATCH(1, (Assumptions!$B$3:$B$18=Forecasting_Worst!B31)*(Assumptions!$C$3:$C$18=Forecasting_Worst!$C$1),0))*J31</f>
        <v>1800</v>
      </c>
      <c r="D31" s="82">
        <f t="array" ref="D31">INDEX(Assumptions!$D$3:$D$18, MATCH(1, (Assumptions!$B$3:$B$18=Forecasting_Worst!B31)*(Assumptions!$C$3:$C$18=Forecasting_Worst!$C$1),0))</f>
        <v>1000</v>
      </c>
      <c r="E31" s="82">
        <f t="array" ref="E31">INDEX(Assumptions!$E$3:$E$18, MATCH(1, (Assumptions!$B$3:$B$18=Forecasting_Worst!B31)*(Assumptions!$C$3:$C$18=Forecasting_Worst!$C$1),0))</f>
        <v>800</v>
      </c>
      <c r="F31" s="82">
        <f t="shared" si="0"/>
        <v>1800000</v>
      </c>
      <c r="G31" s="82">
        <f t="shared" si="1"/>
        <v>1440000</v>
      </c>
      <c r="H31" s="82">
        <f t="shared" si="2"/>
        <v>360000</v>
      </c>
      <c r="I31" s="83">
        <f t="shared" si="3"/>
        <v>0.2</v>
      </c>
      <c r="J31" s="84">
        <f>VLOOKUP(A31,Seasonality!$B$4:$C$15,2,FALSE)</f>
        <v>1.2</v>
      </c>
    </row>
    <row r="32" spans="1:10" x14ac:dyDescent="0.25">
      <c r="A32" s="78" t="s">
        <v>27</v>
      </c>
      <c r="B32" s="65" t="s">
        <v>6</v>
      </c>
      <c r="C32" s="81">
        <f t="array" ref="C32">INDEX(Assumptions!$F$3:$F$18, MATCH(1, (Assumptions!$B$3:$B$18=Forecasting_Worst!B32)*(Assumptions!$C$3:$C$18=Forecasting_Worst!$C$1),0))*J32</f>
        <v>2400</v>
      </c>
      <c r="D32" s="82">
        <f t="array" ref="D32">INDEX(Assumptions!$D$3:$D$18, MATCH(1, (Assumptions!$B$3:$B$18=Forecasting_Worst!B32)*(Assumptions!$C$3:$C$18=Forecasting_Worst!$C$1),0))</f>
        <v>400</v>
      </c>
      <c r="E32" s="82">
        <f t="array" ref="E32">INDEX(Assumptions!$E$3:$E$18, MATCH(1, (Assumptions!$B$3:$B$18=Forecasting_Worst!B32)*(Assumptions!$C$3:$C$18=Forecasting_Worst!$C$1),0))</f>
        <v>400</v>
      </c>
      <c r="F32" s="82">
        <f t="shared" si="0"/>
        <v>960000</v>
      </c>
      <c r="G32" s="82">
        <f t="shared" si="1"/>
        <v>960000</v>
      </c>
      <c r="H32" s="82">
        <f t="shared" si="2"/>
        <v>0</v>
      </c>
      <c r="I32" s="83">
        <f t="shared" si="3"/>
        <v>0</v>
      </c>
      <c r="J32" s="84">
        <f>VLOOKUP(A32,Seasonality!$B$4:$C$15,2,FALSE)</f>
        <v>1.2</v>
      </c>
    </row>
    <row r="33" spans="1:10" x14ac:dyDescent="0.25">
      <c r="A33" s="78"/>
      <c r="B33" s="65"/>
      <c r="C33" s="81"/>
      <c r="D33" s="82"/>
      <c r="E33" s="82"/>
      <c r="F33" s="82"/>
      <c r="G33" s="82"/>
      <c r="H33" s="82"/>
      <c r="I33" s="83"/>
      <c r="J33" s="84"/>
    </row>
    <row r="34" spans="1:10" x14ac:dyDescent="0.25">
      <c r="A34" s="78" t="s">
        <v>33</v>
      </c>
      <c r="B34" s="65" t="s">
        <v>4</v>
      </c>
      <c r="C34" s="81">
        <f t="array" ref="C34">INDEX(Assumptions!$F$3:$F$18, MATCH(1, (Assumptions!$B$3:$B$18=Forecasting_Worst!B34)*(Assumptions!$C$3:$C$18=Forecasting_Worst!$C$1),0))*J34</f>
        <v>1380</v>
      </c>
      <c r="D34" s="82">
        <f t="array" ref="D34">INDEX(Assumptions!$D$3:$D$18, MATCH(1, (Assumptions!$B$3:$B$18=Forecasting_Worst!B34)*(Assumptions!$C$3:$C$18=Forecasting_Worst!$C$1),0))</f>
        <v>2300</v>
      </c>
      <c r="E34" s="82">
        <f t="array" ref="E34">INDEX(Assumptions!$E$3:$E$18, MATCH(1, (Assumptions!$B$3:$B$18=Forecasting_Worst!B34)*(Assumptions!$C$3:$C$18=Forecasting_Worst!$C$1),0))</f>
        <v>1800</v>
      </c>
      <c r="F34" s="82">
        <f t="shared" si="0"/>
        <v>3174000</v>
      </c>
      <c r="G34" s="82">
        <f t="shared" si="1"/>
        <v>2484000</v>
      </c>
      <c r="H34" s="82">
        <f t="shared" si="2"/>
        <v>690000</v>
      </c>
      <c r="I34" s="83">
        <f t="shared" si="3"/>
        <v>0.21739130434782608</v>
      </c>
      <c r="J34" s="84">
        <f>VLOOKUP(A34,Seasonality!$B$4:$C$15,2,FALSE)</f>
        <v>1.1499999999999999</v>
      </c>
    </row>
    <row r="35" spans="1:10" x14ac:dyDescent="0.25">
      <c r="A35" s="78" t="s">
        <v>33</v>
      </c>
      <c r="B35" s="65" t="s">
        <v>5</v>
      </c>
      <c r="C35" s="81">
        <f t="array" ref="C35">INDEX(Assumptions!$F$3:$F$18, MATCH(1, (Assumptions!$B$3:$B$18=Forecasting_Worst!B35)*(Assumptions!$C$3:$C$18=Forecasting_Worst!$C$1),0))*J35</f>
        <v>919.99999999999989</v>
      </c>
      <c r="D35" s="82">
        <f t="array" ref="D35">INDEX(Assumptions!$D$3:$D$18, MATCH(1, (Assumptions!$B$3:$B$18=Forecasting_Worst!B35)*(Assumptions!$C$3:$C$18=Forecasting_Worst!$C$1),0))</f>
        <v>3200</v>
      </c>
      <c r="E35" s="82">
        <f t="array" ref="E35">INDEX(Assumptions!$E$3:$E$18, MATCH(1, (Assumptions!$B$3:$B$18=Forecasting_Worst!B35)*(Assumptions!$C$3:$C$18=Forecasting_Worst!$C$1),0))</f>
        <v>2800</v>
      </c>
      <c r="F35" s="82">
        <f t="shared" si="0"/>
        <v>2943999.9999999995</v>
      </c>
      <c r="G35" s="82">
        <f t="shared" si="1"/>
        <v>2575999.9999999995</v>
      </c>
      <c r="H35" s="82">
        <f t="shared" si="2"/>
        <v>368000</v>
      </c>
      <c r="I35" s="83">
        <f t="shared" si="3"/>
        <v>0.12500000000000003</v>
      </c>
      <c r="J35" s="84">
        <f>VLOOKUP(A35,Seasonality!$B$4:$C$15,2,FALSE)</f>
        <v>1.1499999999999999</v>
      </c>
    </row>
    <row r="36" spans="1:10" x14ac:dyDescent="0.25">
      <c r="A36" s="78" t="s">
        <v>33</v>
      </c>
      <c r="B36" s="65" t="s">
        <v>14</v>
      </c>
      <c r="C36" s="81">
        <f t="array" ref="C36">INDEX(Assumptions!$F$3:$F$18, MATCH(1, (Assumptions!$B$3:$B$18=Forecasting_Worst!B36)*(Assumptions!$C$3:$C$18=Forecasting_Worst!$C$1),0))*J36</f>
        <v>1035</v>
      </c>
      <c r="D36" s="82">
        <f t="array" ref="D36">INDEX(Assumptions!$D$3:$D$18, MATCH(1, (Assumptions!$B$3:$B$18=Forecasting_Worst!B36)*(Assumptions!$C$3:$C$18=Forecasting_Worst!$C$1),0))</f>
        <v>2300</v>
      </c>
      <c r="E36" s="82">
        <f t="array" ref="E36">INDEX(Assumptions!$E$3:$E$18, MATCH(1, (Assumptions!$B$3:$B$18=Forecasting_Worst!B36)*(Assumptions!$C$3:$C$18=Forecasting_Worst!$C$1),0))</f>
        <v>2100</v>
      </c>
      <c r="F36" s="82">
        <f t="shared" si="0"/>
        <v>2380500</v>
      </c>
      <c r="G36" s="82">
        <f t="shared" si="1"/>
        <v>2173500</v>
      </c>
      <c r="H36" s="82">
        <f t="shared" si="2"/>
        <v>207000</v>
      </c>
      <c r="I36" s="83">
        <f t="shared" si="3"/>
        <v>8.6956521739130432E-2</v>
      </c>
      <c r="J36" s="84">
        <f>VLOOKUP(A36,Seasonality!$B$4:$C$15,2,FALSE)</f>
        <v>1.1499999999999999</v>
      </c>
    </row>
    <row r="37" spans="1:10" x14ac:dyDescent="0.25">
      <c r="A37" s="78" t="s">
        <v>33</v>
      </c>
      <c r="B37" s="65" t="s">
        <v>39</v>
      </c>
      <c r="C37" s="81">
        <f t="array" ref="C37">INDEX(Assumptions!$F$3:$F$18, MATCH(1, (Assumptions!$B$3:$B$18=Forecasting_Worst!B37)*(Assumptions!$C$3:$C$18=Forecasting_Worst!$C$1),0))*J37</f>
        <v>1724.9999999999998</v>
      </c>
      <c r="D37" s="82">
        <f t="array" ref="D37">INDEX(Assumptions!$D$3:$D$18, MATCH(1, (Assumptions!$B$3:$B$18=Forecasting_Worst!B37)*(Assumptions!$C$3:$C$18=Forecasting_Worst!$C$1),0))</f>
        <v>1000</v>
      </c>
      <c r="E37" s="82">
        <f t="array" ref="E37">INDEX(Assumptions!$E$3:$E$18, MATCH(1, (Assumptions!$B$3:$B$18=Forecasting_Worst!B37)*(Assumptions!$C$3:$C$18=Forecasting_Worst!$C$1),0))</f>
        <v>800</v>
      </c>
      <c r="F37" s="82">
        <f t="shared" si="0"/>
        <v>1724999.9999999998</v>
      </c>
      <c r="G37" s="82">
        <f t="shared" si="1"/>
        <v>1379999.9999999998</v>
      </c>
      <c r="H37" s="82">
        <f t="shared" si="2"/>
        <v>345000</v>
      </c>
      <c r="I37" s="83">
        <f t="shared" si="3"/>
        <v>0.20000000000000004</v>
      </c>
      <c r="J37" s="84">
        <f>VLOOKUP(A37,Seasonality!$B$4:$C$15,2,FALSE)</f>
        <v>1.1499999999999999</v>
      </c>
    </row>
    <row r="38" spans="1:10" x14ac:dyDescent="0.25">
      <c r="A38" s="78" t="s">
        <v>33</v>
      </c>
      <c r="B38" s="65" t="s">
        <v>6</v>
      </c>
      <c r="C38" s="81">
        <f t="array" ref="C38">INDEX(Assumptions!$F$3:$F$18, MATCH(1, (Assumptions!$B$3:$B$18=Forecasting_Worst!B38)*(Assumptions!$C$3:$C$18=Forecasting_Worst!$C$1),0))*J38</f>
        <v>2300</v>
      </c>
      <c r="D38" s="82">
        <f t="array" ref="D38">INDEX(Assumptions!$D$3:$D$18, MATCH(1, (Assumptions!$B$3:$B$18=Forecasting_Worst!B38)*(Assumptions!$C$3:$C$18=Forecasting_Worst!$C$1),0))</f>
        <v>400</v>
      </c>
      <c r="E38" s="82">
        <f t="array" ref="E38">INDEX(Assumptions!$E$3:$E$18, MATCH(1, (Assumptions!$B$3:$B$18=Forecasting_Worst!B38)*(Assumptions!$C$3:$C$18=Forecasting_Worst!$C$1),0))</f>
        <v>400</v>
      </c>
      <c r="F38" s="82">
        <f t="shared" si="0"/>
        <v>920000</v>
      </c>
      <c r="G38" s="82">
        <f t="shared" si="1"/>
        <v>920000</v>
      </c>
      <c r="H38" s="82">
        <f t="shared" si="2"/>
        <v>0</v>
      </c>
      <c r="I38" s="83">
        <f t="shared" si="3"/>
        <v>0</v>
      </c>
      <c r="J38" s="84">
        <f>VLOOKUP(A38,Seasonality!$B$4:$C$15,2,FALSE)</f>
        <v>1.1499999999999999</v>
      </c>
    </row>
    <row r="39" spans="1:10" x14ac:dyDescent="0.25">
      <c r="A39" s="78"/>
      <c r="B39" s="65"/>
      <c r="C39" s="81"/>
      <c r="D39" s="82"/>
      <c r="E39" s="82"/>
      <c r="F39" s="82"/>
      <c r="G39" s="82"/>
      <c r="H39" s="82"/>
      <c r="I39" s="83"/>
      <c r="J39" s="84"/>
    </row>
    <row r="40" spans="1:10" x14ac:dyDescent="0.25">
      <c r="A40" s="78" t="s">
        <v>28</v>
      </c>
      <c r="B40" s="65" t="s">
        <v>4</v>
      </c>
      <c r="C40" s="81">
        <f t="array" ref="C40">INDEX(Assumptions!$F$3:$F$18, MATCH(1, (Assumptions!$B$3:$B$18=Forecasting_Worst!B40)*(Assumptions!$C$3:$C$18=Forecasting_Worst!$C$1),0))*J40</f>
        <v>1260</v>
      </c>
      <c r="D40" s="82">
        <f t="array" ref="D40">INDEX(Assumptions!$D$3:$D$18, MATCH(1, (Assumptions!$B$3:$B$18=Forecasting_Worst!B40)*(Assumptions!$C$3:$C$18=Forecasting_Worst!$C$1),0))</f>
        <v>2300</v>
      </c>
      <c r="E40" s="82">
        <f t="array" ref="E40">INDEX(Assumptions!$E$3:$E$18, MATCH(1, (Assumptions!$B$3:$B$18=Forecasting_Worst!B40)*(Assumptions!$C$3:$C$18=Forecasting_Worst!$C$1),0))</f>
        <v>1800</v>
      </c>
      <c r="F40" s="82">
        <f t="shared" si="0"/>
        <v>2898000</v>
      </c>
      <c r="G40" s="82">
        <f t="shared" si="1"/>
        <v>2268000</v>
      </c>
      <c r="H40" s="82">
        <f t="shared" si="2"/>
        <v>630000</v>
      </c>
      <c r="I40" s="83">
        <f t="shared" si="3"/>
        <v>0.21739130434782608</v>
      </c>
      <c r="J40" s="84">
        <f>VLOOKUP(A40,Seasonality!$B$4:$C$15,2,FALSE)</f>
        <v>1.05</v>
      </c>
    </row>
    <row r="41" spans="1:10" x14ac:dyDescent="0.25">
      <c r="A41" s="78" t="s">
        <v>28</v>
      </c>
      <c r="B41" s="65" t="s">
        <v>5</v>
      </c>
      <c r="C41" s="81">
        <f t="array" ref="C41">INDEX(Assumptions!$F$3:$F$18, MATCH(1, (Assumptions!$B$3:$B$18=Forecasting_Worst!B41)*(Assumptions!$C$3:$C$18=Forecasting_Worst!$C$1),0))*J41</f>
        <v>840</v>
      </c>
      <c r="D41" s="82">
        <f t="array" ref="D41">INDEX(Assumptions!$D$3:$D$18, MATCH(1, (Assumptions!$B$3:$B$18=Forecasting_Worst!B41)*(Assumptions!$C$3:$C$18=Forecasting_Worst!$C$1),0))</f>
        <v>3200</v>
      </c>
      <c r="E41" s="82">
        <f t="array" ref="E41">INDEX(Assumptions!$E$3:$E$18, MATCH(1, (Assumptions!$B$3:$B$18=Forecasting_Worst!B41)*(Assumptions!$C$3:$C$18=Forecasting_Worst!$C$1),0))</f>
        <v>2800</v>
      </c>
      <c r="F41" s="82">
        <f t="shared" si="0"/>
        <v>2688000</v>
      </c>
      <c r="G41" s="82">
        <f t="shared" si="1"/>
        <v>2352000</v>
      </c>
      <c r="H41" s="82">
        <f t="shared" si="2"/>
        <v>336000</v>
      </c>
      <c r="I41" s="83">
        <f t="shared" si="3"/>
        <v>0.125</v>
      </c>
      <c r="J41" s="84">
        <f>VLOOKUP(A41,Seasonality!$B$4:$C$15,2,FALSE)</f>
        <v>1.05</v>
      </c>
    </row>
    <row r="42" spans="1:10" x14ac:dyDescent="0.25">
      <c r="A42" s="78" t="s">
        <v>28</v>
      </c>
      <c r="B42" s="65" t="s">
        <v>14</v>
      </c>
      <c r="C42" s="81">
        <f t="array" ref="C42">INDEX(Assumptions!$F$3:$F$18, MATCH(1, (Assumptions!$B$3:$B$18=Forecasting_Worst!B42)*(Assumptions!$C$3:$C$18=Forecasting_Worst!$C$1),0))*J42</f>
        <v>945</v>
      </c>
      <c r="D42" s="82">
        <f t="array" ref="D42">INDEX(Assumptions!$D$3:$D$18, MATCH(1, (Assumptions!$B$3:$B$18=Forecasting_Worst!B42)*(Assumptions!$C$3:$C$18=Forecasting_Worst!$C$1),0))</f>
        <v>2300</v>
      </c>
      <c r="E42" s="82">
        <f t="array" ref="E42">INDEX(Assumptions!$E$3:$E$18, MATCH(1, (Assumptions!$B$3:$B$18=Forecasting_Worst!B42)*(Assumptions!$C$3:$C$18=Forecasting_Worst!$C$1),0))</f>
        <v>2100</v>
      </c>
      <c r="F42" s="82">
        <f t="shared" ref="F42:F74" si="4">C42*D42</f>
        <v>2173500</v>
      </c>
      <c r="G42" s="82">
        <f t="shared" ref="G42:G74" si="5">C42*E42</f>
        <v>1984500</v>
      </c>
      <c r="H42" s="82">
        <f t="shared" ref="H42:H74" si="6">F42-G42</f>
        <v>189000</v>
      </c>
      <c r="I42" s="83">
        <f t="shared" ref="I42:I74" si="7">IF(F42=0, 0, H42/F42)</f>
        <v>8.6956521739130432E-2</v>
      </c>
      <c r="J42" s="84">
        <f>VLOOKUP(A42,Seasonality!$B$4:$C$15,2,FALSE)</f>
        <v>1.05</v>
      </c>
    </row>
    <row r="43" spans="1:10" x14ac:dyDescent="0.25">
      <c r="A43" s="78" t="s">
        <v>28</v>
      </c>
      <c r="B43" s="65" t="s">
        <v>39</v>
      </c>
      <c r="C43" s="81">
        <f t="array" ref="C43">INDEX(Assumptions!$F$3:$F$18, MATCH(1, (Assumptions!$B$3:$B$18=Forecasting_Worst!B43)*(Assumptions!$C$3:$C$18=Forecasting_Worst!$C$1),0))*J43</f>
        <v>1575</v>
      </c>
      <c r="D43" s="82">
        <f t="array" ref="D43">INDEX(Assumptions!$D$3:$D$18, MATCH(1, (Assumptions!$B$3:$B$18=Forecasting_Worst!B43)*(Assumptions!$C$3:$C$18=Forecasting_Worst!$C$1),0))</f>
        <v>1000</v>
      </c>
      <c r="E43" s="82">
        <f t="array" ref="E43">INDEX(Assumptions!$E$3:$E$18, MATCH(1, (Assumptions!$B$3:$B$18=Forecasting_Worst!B43)*(Assumptions!$C$3:$C$18=Forecasting_Worst!$C$1),0))</f>
        <v>800</v>
      </c>
      <c r="F43" s="82">
        <f t="shared" si="4"/>
        <v>1575000</v>
      </c>
      <c r="G43" s="82">
        <f t="shared" si="5"/>
        <v>1260000</v>
      </c>
      <c r="H43" s="82">
        <f t="shared" si="6"/>
        <v>315000</v>
      </c>
      <c r="I43" s="83">
        <f t="shared" si="7"/>
        <v>0.2</v>
      </c>
      <c r="J43" s="84">
        <f>VLOOKUP(A43,Seasonality!$B$4:$C$15,2,FALSE)</f>
        <v>1.05</v>
      </c>
    </row>
    <row r="44" spans="1:10" x14ac:dyDescent="0.25">
      <c r="A44" s="78" t="s">
        <v>28</v>
      </c>
      <c r="B44" s="65" t="s">
        <v>6</v>
      </c>
      <c r="C44" s="81">
        <f t="array" ref="C44">INDEX(Assumptions!$F$3:$F$18, MATCH(1, (Assumptions!$B$3:$B$18=Forecasting_Worst!B44)*(Assumptions!$C$3:$C$18=Forecasting_Worst!$C$1),0))*J44</f>
        <v>2100</v>
      </c>
      <c r="D44" s="82">
        <f t="array" ref="D44">INDEX(Assumptions!$D$3:$D$18, MATCH(1, (Assumptions!$B$3:$B$18=Forecasting_Worst!B44)*(Assumptions!$C$3:$C$18=Forecasting_Worst!$C$1),0))</f>
        <v>400</v>
      </c>
      <c r="E44" s="82">
        <f t="array" ref="E44">INDEX(Assumptions!$E$3:$E$18, MATCH(1, (Assumptions!$B$3:$B$18=Forecasting_Worst!B44)*(Assumptions!$C$3:$C$18=Forecasting_Worst!$C$1),0))</f>
        <v>400</v>
      </c>
      <c r="F44" s="82">
        <f t="shared" si="4"/>
        <v>840000</v>
      </c>
      <c r="G44" s="82">
        <f t="shared" si="5"/>
        <v>840000</v>
      </c>
      <c r="H44" s="82">
        <f t="shared" si="6"/>
        <v>0</v>
      </c>
      <c r="I44" s="83">
        <f t="shared" si="7"/>
        <v>0</v>
      </c>
      <c r="J44" s="84">
        <f>VLOOKUP(A44,Seasonality!$B$4:$C$15,2,FALSE)</f>
        <v>1.05</v>
      </c>
    </row>
    <row r="45" spans="1:10" x14ac:dyDescent="0.25">
      <c r="A45" s="78"/>
      <c r="B45" s="65"/>
      <c r="C45" s="81"/>
      <c r="D45" s="82"/>
      <c r="E45" s="82"/>
      <c r="F45" s="82"/>
      <c r="G45" s="82"/>
      <c r="H45" s="82"/>
      <c r="I45" s="83"/>
      <c r="J45" s="84"/>
    </row>
    <row r="46" spans="1:10" x14ac:dyDescent="0.25">
      <c r="A46" s="78" t="s">
        <v>34</v>
      </c>
      <c r="B46" s="65" t="s">
        <v>4</v>
      </c>
      <c r="C46" s="81">
        <f t="array" ref="C46">INDEX(Assumptions!$F$3:$F$18, MATCH(1, (Assumptions!$B$3:$B$18=Forecasting_Worst!B46)*(Assumptions!$C$3:$C$18=Forecasting_Worst!$C$1),0))*J46</f>
        <v>1320</v>
      </c>
      <c r="D46" s="82">
        <f t="array" ref="D46">INDEX(Assumptions!$D$3:$D$18, MATCH(1, (Assumptions!$B$3:$B$18=Forecasting_Worst!B46)*(Assumptions!$C$3:$C$18=Forecasting_Worst!$C$1),0))</f>
        <v>2300</v>
      </c>
      <c r="E46" s="82">
        <f t="array" ref="E46">INDEX(Assumptions!$E$3:$E$18, MATCH(1, (Assumptions!$B$3:$B$18=Forecasting_Worst!B46)*(Assumptions!$C$3:$C$18=Forecasting_Worst!$C$1),0))</f>
        <v>1800</v>
      </c>
      <c r="F46" s="82">
        <f t="shared" si="4"/>
        <v>3036000</v>
      </c>
      <c r="G46" s="82">
        <f t="shared" si="5"/>
        <v>2376000</v>
      </c>
      <c r="H46" s="82">
        <f t="shared" si="6"/>
        <v>660000</v>
      </c>
      <c r="I46" s="83">
        <f t="shared" si="7"/>
        <v>0.21739130434782608</v>
      </c>
      <c r="J46" s="84">
        <f>VLOOKUP(A46,Seasonality!$B$4:$C$15,2,FALSE)</f>
        <v>1.1000000000000001</v>
      </c>
    </row>
    <row r="47" spans="1:10" x14ac:dyDescent="0.25">
      <c r="A47" s="78" t="s">
        <v>34</v>
      </c>
      <c r="B47" s="65" t="s">
        <v>5</v>
      </c>
      <c r="C47" s="81">
        <f t="array" ref="C47">INDEX(Assumptions!$F$3:$F$18, MATCH(1, (Assumptions!$B$3:$B$18=Forecasting_Worst!B47)*(Assumptions!$C$3:$C$18=Forecasting_Worst!$C$1),0))*J47</f>
        <v>880.00000000000011</v>
      </c>
      <c r="D47" s="82">
        <f t="array" ref="D47">INDEX(Assumptions!$D$3:$D$18, MATCH(1, (Assumptions!$B$3:$B$18=Forecasting_Worst!B47)*(Assumptions!$C$3:$C$18=Forecasting_Worst!$C$1),0))</f>
        <v>3200</v>
      </c>
      <c r="E47" s="82">
        <f t="array" ref="E47">INDEX(Assumptions!$E$3:$E$18, MATCH(1, (Assumptions!$B$3:$B$18=Forecasting_Worst!B47)*(Assumptions!$C$3:$C$18=Forecasting_Worst!$C$1),0))</f>
        <v>2800</v>
      </c>
      <c r="F47" s="82">
        <f t="shared" si="4"/>
        <v>2816000.0000000005</v>
      </c>
      <c r="G47" s="82">
        <f t="shared" si="5"/>
        <v>2464000.0000000005</v>
      </c>
      <c r="H47" s="82">
        <f t="shared" si="6"/>
        <v>352000</v>
      </c>
      <c r="I47" s="83">
        <f t="shared" si="7"/>
        <v>0.12499999999999999</v>
      </c>
      <c r="J47" s="84">
        <f>VLOOKUP(A47,Seasonality!$B$4:$C$15,2,FALSE)</f>
        <v>1.1000000000000001</v>
      </c>
    </row>
    <row r="48" spans="1:10" x14ac:dyDescent="0.25">
      <c r="A48" s="78" t="s">
        <v>34</v>
      </c>
      <c r="B48" s="65" t="s">
        <v>14</v>
      </c>
      <c r="C48" s="81">
        <f t="array" ref="C48">INDEX(Assumptions!$F$3:$F$18, MATCH(1, (Assumptions!$B$3:$B$18=Forecasting_Worst!B48)*(Assumptions!$C$3:$C$18=Forecasting_Worst!$C$1),0))*J48</f>
        <v>990.00000000000011</v>
      </c>
      <c r="D48" s="82">
        <f t="array" ref="D48">INDEX(Assumptions!$D$3:$D$18, MATCH(1, (Assumptions!$B$3:$B$18=Forecasting_Worst!B48)*(Assumptions!$C$3:$C$18=Forecasting_Worst!$C$1),0))</f>
        <v>2300</v>
      </c>
      <c r="E48" s="82">
        <f t="array" ref="E48">INDEX(Assumptions!$E$3:$E$18, MATCH(1, (Assumptions!$B$3:$B$18=Forecasting_Worst!B48)*(Assumptions!$C$3:$C$18=Forecasting_Worst!$C$1),0))</f>
        <v>2100</v>
      </c>
      <c r="F48" s="82">
        <f t="shared" si="4"/>
        <v>2277000.0000000005</v>
      </c>
      <c r="G48" s="82">
        <f t="shared" si="5"/>
        <v>2079000.0000000002</v>
      </c>
      <c r="H48" s="82">
        <f t="shared" si="6"/>
        <v>198000.00000000023</v>
      </c>
      <c r="I48" s="83">
        <f t="shared" si="7"/>
        <v>8.6956521739130516E-2</v>
      </c>
      <c r="J48" s="84">
        <f>VLOOKUP(A48,Seasonality!$B$4:$C$15,2,FALSE)</f>
        <v>1.1000000000000001</v>
      </c>
    </row>
    <row r="49" spans="1:10" x14ac:dyDescent="0.25">
      <c r="A49" s="78" t="s">
        <v>34</v>
      </c>
      <c r="B49" s="65" t="s">
        <v>39</v>
      </c>
      <c r="C49" s="81">
        <f t="array" ref="C49">INDEX(Assumptions!$F$3:$F$18, MATCH(1, (Assumptions!$B$3:$B$18=Forecasting_Worst!B49)*(Assumptions!$C$3:$C$18=Forecasting_Worst!$C$1),0))*J49</f>
        <v>1650.0000000000002</v>
      </c>
      <c r="D49" s="82">
        <f t="array" ref="D49">INDEX(Assumptions!$D$3:$D$18, MATCH(1, (Assumptions!$B$3:$B$18=Forecasting_Worst!B49)*(Assumptions!$C$3:$C$18=Forecasting_Worst!$C$1),0))</f>
        <v>1000</v>
      </c>
      <c r="E49" s="82">
        <f t="array" ref="E49">INDEX(Assumptions!$E$3:$E$18, MATCH(1, (Assumptions!$B$3:$B$18=Forecasting_Worst!B49)*(Assumptions!$C$3:$C$18=Forecasting_Worst!$C$1),0))</f>
        <v>800</v>
      </c>
      <c r="F49" s="82">
        <f t="shared" si="4"/>
        <v>1650000.0000000002</v>
      </c>
      <c r="G49" s="82">
        <f t="shared" si="5"/>
        <v>1320000.0000000002</v>
      </c>
      <c r="H49" s="82">
        <f t="shared" si="6"/>
        <v>330000</v>
      </c>
      <c r="I49" s="83">
        <f t="shared" si="7"/>
        <v>0.19999999999999998</v>
      </c>
      <c r="J49" s="84">
        <f>VLOOKUP(A49,Seasonality!$B$4:$C$15,2,FALSE)</f>
        <v>1.1000000000000001</v>
      </c>
    </row>
    <row r="50" spans="1:10" x14ac:dyDescent="0.25">
      <c r="A50" s="78" t="s">
        <v>34</v>
      </c>
      <c r="B50" s="65" t="s">
        <v>6</v>
      </c>
      <c r="C50" s="81">
        <f t="array" ref="C50">INDEX(Assumptions!$F$3:$F$18, MATCH(1, (Assumptions!$B$3:$B$18=Forecasting_Worst!B50)*(Assumptions!$C$3:$C$18=Forecasting_Worst!$C$1),0))*J50</f>
        <v>2200</v>
      </c>
      <c r="D50" s="82">
        <f t="array" ref="D50">INDEX(Assumptions!$D$3:$D$18, MATCH(1, (Assumptions!$B$3:$B$18=Forecasting_Worst!B50)*(Assumptions!$C$3:$C$18=Forecasting_Worst!$C$1),0))</f>
        <v>400</v>
      </c>
      <c r="E50" s="82">
        <f t="array" ref="E50">INDEX(Assumptions!$E$3:$E$18, MATCH(1, (Assumptions!$B$3:$B$18=Forecasting_Worst!B50)*(Assumptions!$C$3:$C$18=Forecasting_Worst!$C$1),0))</f>
        <v>400</v>
      </c>
      <c r="F50" s="82">
        <f t="shared" si="4"/>
        <v>880000</v>
      </c>
      <c r="G50" s="82">
        <f t="shared" si="5"/>
        <v>880000</v>
      </c>
      <c r="H50" s="82">
        <f t="shared" si="6"/>
        <v>0</v>
      </c>
      <c r="I50" s="83">
        <f t="shared" si="7"/>
        <v>0</v>
      </c>
      <c r="J50" s="84">
        <f>VLOOKUP(A50,Seasonality!$B$4:$C$15,2,FALSE)</f>
        <v>1.1000000000000001</v>
      </c>
    </row>
    <row r="51" spans="1:10" x14ac:dyDescent="0.25">
      <c r="A51" s="78"/>
      <c r="B51" s="65"/>
      <c r="C51" s="81"/>
      <c r="D51" s="82"/>
      <c r="E51" s="82"/>
      <c r="F51" s="82"/>
      <c r="G51" s="82"/>
      <c r="H51" s="82"/>
      <c r="I51" s="83"/>
      <c r="J51" s="84"/>
    </row>
    <row r="52" spans="1:10" x14ac:dyDescent="0.25">
      <c r="A52" s="78" t="s">
        <v>35</v>
      </c>
      <c r="B52" s="65" t="s">
        <v>4</v>
      </c>
      <c r="C52" s="81">
        <f t="array" ref="C52">INDEX(Assumptions!$F$3:$F$18, MATCH(1, (Assumptions!$B$3:$B$18=Forecasting_Worst!B52)*(Assumptions!$C$3:$C$18=Forecasting_Worst!$C$1),0))*J52</f>
        <v>1380</v>
      </c>
      <c r="D52" s="82">
        <f t="array" ref="D52">INDEX(Assumptions!$D$3:$D$18, MATCH(1, (Assumptions!$B$3:$B$18=Forecasting_Worst!B52)*(Assumptions!$C$3:$C$18=Forecasting_Worst!$C$1),0))</f>
        <v>2300</v>
      </c>
      <c r="E52" s="82">
        <f t="array" ref="E52">INDEX(Assumptions!$E$3:$E$18, MATCH(1, (Assumptions!$B$3:$B$18=Forecasting_Worst!B52)*(Assumptions!$C$3:$C$18=Forecasting_Worst!$C$1),0))</f>
        <v>1800</v>
      </c>
      <c r="F52" s="82">
        <f t="shared" si="4"/>
        <v>3174000</v>
      </c>
      <c r="G52" s="82">
        <f t="shared" si="5"/>
        <v>2484000</v>
      </c>
      <c r="H52" s="82">
        <f t="shared" si="6"/>
        <v>690000</v>
      </c>
      <c r="I52" s="83">
        <f t="shared" si="7"/>
        <v>0.21739130434782608</v>
      </c>
      <c r="J52" s="84">
        <f>VLOOKUP(A52,Seasonality!$B$4:$C$15,2,FALSE)</f>
        <v>1.1499999999999999</v>
      </c>
    </row>
    <row r="53" spans="1:10" x14ac:dyDescent="0.25">
      <c r="A53" s="78" t="s">
        <v>35</v>
      </c>
      <c r="B53" s="65" t="s">
        <v>5</v>
      </c>
      <c r="C53" s="81">
        <f t="array" ref="C53">INDEX(Assumptions!$F$3:$F$18, MATCH(1, (Assumptions!$B$3:$B$18=Forecasting_Worst!B53)*(Assumptions!$C$3:$C$18=Forecasting_Worst!$C$1),0))*J53</f>
        <v>919.99999999999989</v>
      </c>
      <c r="D53" s="82">
        <f t="array" ref="D53">INDEX(Assumptions!$D$3:$D$18, MATCH(1, (Assumptions!$B$3:$B$18=Forecasting_Worst!B53)*(Assumptions!$C$3:$C$18=Forecasting_Worst!$C$1),0))</f>
        <v>3200</v>
      </c>
      <c r="E53" s="82">
        <f t="array" ref="E53">INDEX(Assumptions!$E$3:$E$18, MATCH(1, (Assumptions!$B$3:$B$18=Forecasting_Worst!B53)*(Assumptions!$C$3:$C$18=Forecasting_Worst!$C$1),0))</f>
        <v>2800</v>
      </c>
      <c r="F53" s="82">
        <f t="shared" si="4"/>
        <v>2943999.9999999995</v>
      </c>
      <c r="G53" s="82">
        <f t="shared" si="5"/>
        <v>2575999.9999999995</v>
      </c>
      <c r="H53" s="82">
        <f t="shared" si="6"/>
        <v>368000</v>
      </c>
      <c r="I53" s="83">
        <f t="shared" si="7"/>
        <v>0.12500000000000003</v>
      </c>
      <c r="J53" s="84">
        <f>VLOOKUP(A53,Seasonality!$B$4:$C$15,2,FALSE)</f>
        <v>1.1499999999999999</v>
      </c>
    </row>
    <row r="54" spans="1:10" x14ac:dyDescent="0.25">
      <c r="A54" s="78" t="s">
        <v>35</v>
      </c>
      <c r="B54" s="65" t="s">
        <v>14</v>
      </c>
      <c r="C54" s="81">
        <f t="array" ref="C54">INDEX(Assumptions!$F$3:$F$18, MATCH(1, (Assumptions!$B$3:$B$18=Forecasting_Worst!B54)*(Assumptions!$C$3:$C$18=Forecasting_Worst!$C$1),0))*J54</f>
        <v>1035</v>
      </c>
      <c r="D54" s="82">
        <f t="array" ref="D54">INDEX(Assumptions!$D$3:$D$18, MATCH(1, (Assumptions!$B$3:$B$18=Forecasting_Worst!B54)*(Assumptions!$C$3:$C$18=Forecasting_Worst!$C$1),0))</f>
        <v>2300</v>
      </c>
      <c r="E54" s="82">
        <f t="array" ref="E54">INDEX(Assumptions!$E$3:$E$18, MATCH(1, (Assumptions!$B$3:$B$18=Forecasting_Worst!B54)*(Assumptions!$C$3:$C$18=Forecasting_Worst!$C$1),0))</f>
        <v>2100</v>
      </c>
      <c r="F54" s="82">
        <f t="shared" si="4"/>
        <v>2380500</v>
      </c>
      <c r="G54" s="82">
        <f t="shared" si="5"/>
        <v>2173500</v>
      </c>
      <c r="H54" s="82">
        <f t="shared" si="6"/>
        <v>207000</v>
      </c>
      <c r="I54" s="83">
        <f t="shared" si="7"/>
        <v>8.6956521739130432E-2</v>
      </c>
      <c r="J54" s="84">
        <f>VLOOKUP(A54,Seasonality!$B$4:$C$15,2,FALSE)</f>
        <v>1.1499999999999999</v>
      </c>
    </row>
    <row r="55" spans="1:10" x14ac:dyDescent="0.25">
      <c r="A55" s="78" t="s">
        <v>35</v>
      </c>
      <c r="B55" s="65" t="s">
        <v>39</v>
      </c>
      <c r="C55" s="81">
        <f t="array" ref="C55">INDEX(Assumptions!$F$3:$F$18, MATCH(1, (Assumptions!$B$3:$B$18=Forecasting_Worst!B55)*(Assumptions!$C$3:$C$18=Forecasting_Worst!$C$1),0))*J55</f>
        <v>1724.9999999999998</v>
      </c>
      <c r="D55" s="82">
        <f t="array" ref="D55">INDEX(Assumptions!$D$3:$D$18, MATCH(1, (Assumptions!$B$3:$B$18=Forecasting_Worst!B55)*(Assumptions!$C$3:$C$18=Forecasting_Worst!$C$1),0))</f>
        <v>1000</v>
      </c>
      <c r="E55" s="82">
        <f t="array" ref="E55">INDEX(Assumptions!$E$3:$E$18, MATCH(1, (Assumptions!$B$3:$B$18=Forecasting_Worst!B55)*(Assumptions!$C$3:$C$18=Forecasting_Worst!$C$1),0))</f>
        <v>800</v>
      </c>
      <c r="F55" s="82">
        <f t="shared" si="4"/>
        <v>1724999.9999999998</v>
      </c>
      <c r="G55" s="82">
        <f t="shared" si="5"/>
        <v>1379999.9999999998</v>
      </c>
      <c r="H55" s="82">
        <f t="shared" si="6"/>
        <v>345000</v>
      </c>
      <c r="I55" s="83">
        <f t="shared" si="7"/>
        <v>0.20000000000000004</v>
      </c>
      <c r="J55" s="84">
        <f>VLOOKUP(A55,Seasonality!$B$4:$C$15,2,FALSE)</f>
        <v>1.1499999999999999</v>
      </c>
    </row>
    <row r="56" spans="1:10" x14ac:dyDescent="0.25">
      <c r="A56" s="78" t="s">
        <v>35</v>
      </c>
      <c r="B56" s="65" t="s">
        <v>6</v>
      </c>
      <c r="C56" s="81">
        <f t="array" ref="C56">INDEX(Assumptions!$F$3:$F$18, MATCH(1, (Assumptions!$B$3:$B$18=Forecasting_Worst!B56)*(Assumptions!$C$3:$C$18=Forecasting_Worst!$C$1),0))*J56</f>
        <v>2300</v>
      </c>
      <c r="D56" s="82">
        <f t="array" ref="D56">INDEX(Assumptions!$D$3:$D$18, MATCH(1, (Assumptions!$B$3:$B$18=Forecasting_Worst!B56)*(Assumptions!$C$3:$C$18=Forecasting_Worst!$C$1),0))</f>
        <v>400</v>
      </c>
      <c r="E56" s="82">
        <f t="array" ref="E56">INDEX(Assumptions!$E$3:$E$18, MATCH(1, (Assumptions!$B$3:$B$18=Forecasting_Worst!B56)*(Assumptions!$C$3:$C$18=Forecasting_Worst!$C$1),0))</f>
        <v>400</v>
      </c>
      <c r="F56" s="82">
        <f t="shared" si="4"/>
        <v>920000</v>
      </c>
      <c r="G56" s="82">
        <f t="shared" si="5"/>
        <v>920000</v>
      </c>
      <c r="H56" s="82">
        <f t="shared" si="6"/>
        <v>0</v>
      </c>
      <c r="I56" s="83">
        <f t="shared" si="7"/>
        <v>0</v>
      </c>
      <c r="J56" s="84">
        <f>VLOOKUP(A56,Seasonality!$B$4:$C$15,2,FALSE)</f>
        <v>1.1499999999999999</v>
      </c>
    </row>
    <row r="57" spans="1:10" x14ac:dyDescent="0.25">
      <c r="A57" s="78"/>
      <c r="B57" s="65"/>
      <c r="C57" s="81"/>
      <c r="D57" s="82"/>
      <c r="E57" s="82"/>
      <c r="F57" s="82"/>
      <c r="G57" s="82"/>
      <c r="H57" s="82"/>
      <c r="I57" s="83"/>
      <c r="J57" s="84"/>
    </row>
    <row r="58" spans="1:10" x14ac:dyDescent="0.25">
      <c r="A58" s="78" t="s">
        <v>36</v>
      </c>
      <c r="B58" s="65" t="s">
        <v>4</v>
      </c>
      <c r="C58" s="81">
        <f t="array" ref="C58">INDEX(Assumptions!$F$3:$F$18, MATCH(1, (Assumptions!$B$3:$B$18=Forecasting_Worst!B58)*(Assumptions!$C$3:$C$18=Forecasting_Worst!$C$1),0))*J58</f>
        <v>1560</v>
      </c>
      <c r="D58" s="82">
        <f t="array" ref="D58">INDEX(Assumptions!$D$3:$D$18, MATCH(1, (Assumptions!$B$3:$B$18=Forecasting_Worst!B58)*(Assumptions!$C$3:$C$18=Forecasting_Worst!$C$1),0))</f>
        <v>2300</v>
      </c>
      <c r="E58" s="82">
        <f t="array" ref="E58">INDEX(Assumptions!$E$3:$E$18, MATCH(1, (Assumptions!$B$3:$B$18=Forecasting_Worst!B58)*(Assumptions!$C$3:$C$18=Forecasting_Worst!$C$1),0))</f>
        <v>1800</v>
      </c>
      <c r="F58" s="82">
        <f t="shared" si="4"/>
        <v>3588000</v>
      </c>
      <c r="G58" s="82">
        <f t="shared" si="5"/>
        <v>2808000</v>
      </c>
      <c r="H58" s="82">
        <f t="shared" si="6"/>
        <v>780000</v>
      </c>
      <c r="I58" s="83">
        <f t="shared" si="7"/>
        <v>0.21739130434782608</v>
      </c>
      <c r="J58" s="84">
        <f>VLOOKUP(A58,Seasonality!$B$4:$C$15,2,FALSE)</f>
        <v>1.3</v>
      </c>
    </row>
    <row r="59" spans="1:10" x14ac:dyDescent="0.25">
      <c r="A59" s="78" t="s">
        <v>36</v>
      </c>
      <c r="B59" s="65" t="s">
        <v>5</v>
      </c>
      <c r="C59" s="81">
        <f t="array" ref="C59">INDEX(Assumptions!$F$3:$F$18, MATCH(1, (Assumptions!$B$3:$B$18=Forecasting_Worst!B59)*(Assumptions!$C$3:$C$18=Forecasting_Worst!$C$1),0))*J59</f>
        <v>1040</v>
      </c>
      <c r="D59" s="82">
        <f t="array" ref="D59">INDEX(Assumptions!$D$3:$D$18, MATCH(1, (Assumptions!$B$3:$B$18=Forecasting_Worst!B59)*(Assumptions!$C$3:$C$18=Forecasting_Worst!$C$1),0))</f>
        <v>3200</v>
      </c>
      <c r="E59" s="82">
        <f t="array" ref="E59">INDEX(Assumptions!$E$3:$E$18, MATCH(1, (Assumptions!$B$3:$B$18=Forecasting_Worst!B59)*(Assumptions!$C$3:$C$18=Forecasting_Worst!$C$1),0))</f>
        <v>2800</v>
      </c>
      <c r="F59" s="82">
        <f t="shared" si="4"/>
        <v>3328000</v>
      </c>
      <c r="G59" s="82">
        <f t="shared" si="5"/>
        <v>2912000</v>
      </c>
      <c r="H59" s="82">
        <f t="shared" si="6"/>
        <v>416000</v>
      </c>
      <c r="I59" s="83">
        <f t="shared" si="7"/>
        <v>0.125</v>
      </c>
      <c r="J59" s="84">
        <f>VLOOKUP(A59,Seasonality!$B$4:$C$15,2,FALSE)</f>
        <v>1.3</v>
      </c>
    </row>
    <row r="60" spans="1:10" x14ac:dyDescent="0.25">
      <c r="A60" s="78" t="s">
        <v>36</v>
      </c>
      <c r="B60" s="65" t="s">
        <v>14</v>
      </c>
      <c r="C60" s="81">
        <f t="array" ref="C60">INDEX(Assumptions!$F$3:$F$18, MATCH(1, (Assumptions!$B$3:$B$18=Forecasting_Worst!B60)*(Assumptions!$C$3:$C$18=Forecasting_Worst!$C$1),0))*J60</f>
        <v>1170</v>
      </c>
      <c r="D60" s="82">
        <f t="array" ref="D60">INDEX(Assumptions!$D$3:$D$18, MATCH(1, (Assumptions!$B$3:$B$18=Forecasting_Worst!B60)*(Assumptions!$C$3:$C$18=Forecasting_Worst!$C$1),0))</f>
        <v>2300</v>
      </c>
      <c r="E60" s="82">
        <f t="array" ref="E60">INDEX(Assumptions!$E$3:$E$18, MATCH(1, (Assumptions!$B$3:$B$18=Forecasting_Worst!B60)*(Assumptions!$C$3:$C$18=Forecasting_Worst!$C$1),0))</f>
        <v>2100</v>
      </c>
      <c r="F60" s="82">
        <f t="shared" si="4"/>
        <v>2691000</v>
      </c>
      <c r="G60" s="82">
        <f t="shared" si="5"/>
        <v>2457000</v>
      </c>
      <c r="H60" s="82">
        <f t="shared" si="6"/>
        <v>234000</v>
      </c>
      <c r="I60" s="83">
        <f t="shared" si="7"/>
        <v>8.6956521739130432E-2</v>
      </c>
      <c r="J60" s="84">
        <f>VLOOKUP(A60,Seasonality!$B$4:$C$15,2,FALSE)</f>
        <v>1.3</v>
      </c>
    </row>
    <row r="61" spans="1:10" x14ac:dyDescent="0.25">
      <c r="A61" s="78" t="s">
        <v>36</v>
      </c>
      <c r="B61" s="65" t="s">
        <v>39</v>
      </c>
      <c r="C61" s="81">
        <f t="array" ref="C61">INDEX(Assumptions!$F$3:$F$18, MATCH(1, (Assumptions!$B$3:$B$18=Forecasting_Worst!B61)*(Assumptions!$C$3:$C$18=Forecasting_Worst!$C$1),0))*J61</f>
        <v>1950</v>
      </c>
      <c r="D61" s="82">
        <f t="array" ref="D61">INDEX(Assumptions!$D$3:$D$18, MATCH(1, (Assumptions!$B$3:$B$18=Forecasting_Worst!B61)*(Assumptions!$C$3:$C$18=Forecasting_Worst!$C$1),0))</f>
        <v>1000</v>
      </c>
      <c r="E61" s="82">
        <f t="array" ref="E61">INDEX(Assumptions!$E$3:$E$18, MATCH(1, (Assumptions!$B$3:$B$18=Forecasting_Worst!B61)*(Assumptions!$C$3:$C$18=Forecasting_Worst!$C$1),0))</f>
        <v>800</v>
      </c>
      <c r="F61" s="82">
        <f t="shared" si="4"/>
        <v>1950000</v>
      </c>
      <c r="G61" s="82">
        <f t="shared" si="5"/>
        <v>1560000</v>
      </c>
      <c r="H61" s="82">
        <f t="shared" si="6"/>
        <v>390000</v>
      </c>
      <c r="I61" s="83">
        <f t="shared" si="7"/>
        <v>0.2</v>
      </c>
      <c r="J61" s="84">
        <f>VLOOKUP(A61,Seasonality!$B$4:$C$15,2,FALSE)</f>
        <v>1.3</v>
      </c>
    </row>
    <row r="62" spans="1:10" x14ac:dyDescent="0.25">
      <c r="A62" s="78" t="s">
        <v>36</v>
      </c>
      <c r="B62" s="65" t="s">
        <v>6</v>
      </c>
      <c r="C62" s="81">
        <f t="array" ref="C62">INDEX(Assumptions!$F$3:$F$18, MATCH(1, (Assumptions!$B$3:$B$18=Forecasting_Worst!B62)*(Assumptions!$C$3:$C$18=Forecasting_Worst!$C$1),0))*J62</f>
        <v>2600</v>
      </c>
      <c r="D62" s="82">
        <f t="array" ref="D62">INDEX(Assumptions!$D$3:$D$18, MATCH(1, (Assumptions!$B$3:$B$18=Forecasting_Worst!B62)*(Assumptions!$C$3:$C$18=Forecasting_Worst!$C$1),0))</f>
        <v>400</v>
      </c>
      <c r="E62" s="82">
        <f t="array" ref="E62">INDEX(Assumptions!$E$3:$E$18, MATCH(1, (Assumptions!$B$3:$B$18=Forecasting_Worst!B62)*(Assumptions!$C$3:$C$18=Forecasting_Worst!$C$1),0))</f>
        <v>400</v>
      </c>
      <c r="F62" s="82">
        <f t="shared" si="4"/>
        <v>1040000</v>
      </c>
      <c r="G62" s="82">
        <f t="shared" si="5"/>
        <v>1040000</v>
      </c>
      <c r="H62" s="82">
        <f t="shared" si="6"/>
        <v>0</v>
      </c>
      <c r="I62" s="83">
        <f t="shared" si="7"/>
        <v>0</v>
      </c>
      <c r="J62" s="84">
        <f>VLOOKUP(A62,Seasonality!$B$4:$C$15,2,FALSE)</f>
        <v>1.3</v>
      </c>
    </row>
    <row r="63" spans="1:10" x14ac:dyDescent="0.25">
      <c r="A63" s="78"/>
      <c r="B63" s="65"/>
      <c r="C63" s="81"/>
      <c r="D63" s="82"/>
      <c r="E63" s="82"/>
      <c r="F63" s="82"/>
      <c r="G63" s="82"/>
      <c r="H63" s="82"/>
      <c r="I63" s="83"/>
      <c r="J63" s="84"/>
    </row>
    <row r="64" spans="1:10" x14ac:dyDescent="0.25">
      <c r="A64" s="78" t="s">
        <v>37</v>
      </c>
      <c r="B64" s="65" t="s">
        <v>4</v>
      </c>
      <c r="C64" s="81">
        <f t="array" ref="C64">INDEX(Assumptions!$F$3:$F$18, MATCH(1, (Assumptions!$B$3:$B$18=Forecasting_Worst!B64)*(Assumptions!$C$3:$C$18=Forecasting_Worst!$C$1),0))*J64</f>
        <v>1500</v>
      </c>
      <c r="D64" s="82">
        <f t="array" ref="D64">INDEX(Assumptions!$D$3:$D$18, MATCH(1, (Assumptions!$B$3:$B$18=Forecasting_Worst!B64)*(Assumptions!$C$3:$C$18=Forecasting_Worst!$C$1),0))</f>
        <v>2300</v>
      </c>
      <c r="E64" s="82">
        <f t="array" ref="E64">INDEX(Assumptions!$E$3:$E$18, MATCH(1, (Assumptions!$B$3:$B$18=Forecasting_Worst!B64)*(Assumptions!$C$3:$C$18=Forecasting_Worst!$C$1),0))</f>
        <v>1800</v>
      </c>
      <c r="F64" s="82">
        <f t="shared" si="4"/>
        <v>3450000</v>
      </c>
      <c r="G64" s="82">
        <f t="shared" si="5"/>
        <v>2700000</v>
      </c>
      <c r="H64" s="82">
        <f t="shared" si="6"/>
        <v>750000</v>
      </c>
      <c r="I64" s="83">
        <f t="shared" si="7"/>
        <v>0.21739130434782608</v>
      </c>
      <c r="J64" s="84">
        <f>VLOOKUP(A64,Seasonality!$B$4:$C$15,2,FALSE)</f>
        <v>1.25</v>
      </c>
    </row>
    <row r="65" spans="1:10" x14ac:dyDescent="0.25">
      <c r="A65" s="78" t="s">
        <v>37</v>
      </c>
      <c r="B65" s="65" t="s">
        <v>5</v>
      </c>
      <c r="C65" s="81">
        <f t="array" ref="C65">INDEX(Assumptions!$F$3:$F$18, MATCH(1, (Assumptions!$B$3:$B$18=Forecasting_Worst!B65)*(Assumptions!$C$3:$C$18=Forecasting_Worst!$C$1),0))*J65</f>
        <v>1000</v>
      </c>
      <c r="D65" s="82">
        <f t="array" ref="D65">INDEX(Assumptions!$D$3:$D$18, MATCH(1, (Assumptions!$B$3:$B$18=Forecasting_Worst!B65)*(Assumptions!$C$3:$C$18=Forecasting_Worst!$C$1),0))</f>
        <v>3200</v>
      </c>
      <c r="E65" s="82">
        <f t="array" ref="E65">INDEX(Assumptions!$E$3:$E$18, MATCH(1, (Assumptions!$B$3:$B$18=Forecasting_Worst!B65)*(Assumptions!$C$3:$C$18=Forecasting_Worst!$C$1),0))</f>
        <v>2800</v>
      </c>
      <c r="F65" s="82">
        <f t="shared" si="4"/>
        <v>3200000</v>
      </c>
      <c r="G65" s="82">
        <f t="shared" si="5"/>
        <v>2800000</v>
      </c>
      <c r="H65" s="82">
        <f t="shared" si="6"/>
        <v>400000</v>
      </c>
      <c r="I65" s="83">
        <f t="shared" si="7"/>
        <v>0.125</v>
      </c>
      <c r="J65" s="84">
        <f>VLOOKUP(A65,Seasonality!$B$4:$C$15,2,FALSE)</f>
        <v>1.25</v>
      </c>
    </row>
    <row r="66" spans="1:10" x14ac:dyDescent="0.25">
      <c r="A66" s="78" t="s">
        <v>37</v>
      </c>
      <c r="B66" s="65" t="s">
        <v>14</v>
      </c>
      <c r="C66" s="81">
        <f t="array" ref="C66">INDEX(Assumptions!$F$3:$F$18, MATCH(1, (Assumptions!$B$3:$B$18=Forecasting_Worst!B66)*(Assumptions!$C$3:$C$18=Forecasting_Worst!$C$1),0))*J66</f>
        <v>1125</v>
      </c>
      <c r="D66" s="82">
        <f t="array" ref="D66">INDEX(Assumptions!$D$3:$D$18, MATCH(1, (Assumptions!$B$3:$B$18=Forecasting_Worst!B66)*(Assumptions!$C$3:$C$18=Forecasting_Worst!$C$1),0))</f>
        <v>2300</v>
      </c>
      <c r="E66" s="82">
        <f t="array" ref="E66">INDEX(Assumptions!$E$3:$E$18, MATCH(1, (Assumptions!$B$3:$B$18=Forecasting_Worst!B66)*(Assumptions!$C$3:$C$18=Forecasting_Worst!$C$1),0))</f>
        <v>2100</v>
      </c>
      <c r="F66" s="82">
        <f t="shared" si="4"/>
        <v>2587500</v>
      </c>
      <c r="G66" s="82">
        <f t="shared" si="5"/>
        <v>2362500</v>
      </c>
      <c r="H66" s="82">
        <f t="shared" si="6"/>
        <v>225000</v>
      </c>
      <c r="I66" s="83">
        <f t="shared" si="7"/>
        <v>8.6956521739130432E-2</v>
      </c>
      <c r="J66" s="84">
        <f>VLOOKUP(A66,Seasonality!$B$4:$C$15,2,FALSE)</f>
        <v>1.25</v>
      </c>
    </row>
    <row r="67" spans="1:10" x14ac:dyDescent="0.25">
      <c r="A67" s="78" t="s">
        <v>37</v>
      </c>
      <c r="B67" s="65" t="s">
        <v>39</v>
      </c>
      <c r="C67" s="81">
        <f t="array" ref="C67">INDEX(Assumptions!$F$3:$F$18, MATCH(1, (Assumptions!$B$3:$B$18=Forecasting_Worst!B67)*(Assumptions!$C$3:$C$18=Forecasting_Worst!$C$1),0))*J67</f>
        <v>1875</v>
      </c>
      <c r="D67" s="82">
        <f t="array" ref="D67">INDEX(Assumptions!$D$3:$D$18, MATCH(1, (Assumptions!$B$3:$B$18=Forecasting_Worst!B67)*(Assumptions!$C$3:$C$18=Forecasting_Worst!$C$1),0))</f>
        <v>1000</v>
      </c>
      <c r="E67" s="82">
        <f t="array" ref="E67">INDEX(Assumptions!$E$3:$E$18, MATCH(1, (Assumptions!$B$3:$B$18=Forecasting_Worst!B67)*(Assumptions!$C$3:$C$18=Forecasting_Worst!$C$1),0))</f>
        <v>800</v>
      </c>
      <c r="F67" s="82">
        <f t="shared" si="4"/>
        <v>1875000</v>
      </c>
      <c r="G67" s="82">
        <f t="shared" si="5"/>
        <v>1500000</v>
      </c>
      <c r="H67" s="82">
        <f t="shared" si="6"/>
        <v>375000</v>
      </c>
      <c r="I67" s="83">
        <f t="shared" si="7"/>
        <v>0.2</v>
      </c>
      <c r="J67" s="84">
        <f>VLOOKUP(A67,Seasonality!$B$4:$C$15,2,FALSE)</f>
        <v>1.25</v>
      </c>
    </row>
    <row r="68" spans="1:10" x14ac:dyDescent="0.25">
      <c r="A68" s="78" t="s">
        <v>37</v>
      </c>
      <c r="B68" s="65" t="s">
        <v>6</v>
      </c>
      <c r="C68" s="81">
        <f t="array" ref="C68">INDEX(Assumptions!$F$3:$F$18, MATCH(1, (Assumptions!$B$3:$B$18=Forecasting_Worst!B68)*(Assumptions!$C$3:$C$18=Forecasting_Worst!$C$1),0))*J68</f>
        <v>2500</v>
      </c>
      <c r="D68" s="82">
        <f t="array" ref="D68">INDEX(Assumptions!$D$3:$D$18, MATCH(1, (Assumptions!$B$3:$B$18=Forecasting_Worst!B68)*(Assumptions!$C$3:$C$18=Forecasting_Worst!$C$1),0))</f>
        <v>400</v>
      </c>
      <c r="E68" s="82">
        <f t="array" ref="E68">INDEX(Assumptions!$E$3:$E$18, MATCH(1, (Assumptions!$B$3:$B$18=Forecasting_Worst!B68)*(Assumptions!$C$3:$C$18=Forecasting_Worst!$C$1),0))</f>
        <v>400</v>
      </c>
      <c r="F68" s="82">
        <f t="shared" si="4"/>
        <v>1000000</v>
      </c>
      <c r="G68" s="82">
        <f t="shared" si="5"/>
        <v>1000000</v>
      </c>
      <c r="H68" s="82">
        <f t="shared" si="6"/>
        <v>0</v>
      </c>
      <c r="I68" s="83">
        <f t="shared" si="7"/>
        <v>0</v>
      </c>
      <c r="J68" s="84">
        <f>VLOOKUP(A68,Seasonality!$B$4:$C$15,2,FALSE)</f>
        <v>1.25</v>
      </c>
    </row>
    <row r="69" spans="1:10" x14ac:dyDescent="0.25">
      <c r="A69" s="78"/>
      <c r="B69" s="65"/>
      <c r="C69" s="81"/>
      <c r="D69" s="82"/>
      <c r="E69" s="82"/>
      <c r="F69" s="82"/>
      <c r="G69" s="82"/>
      <c r="H69" s="82"/>
      <c r="I69" s="83"/>
      <c r="J69" s="84"/>
    </row>
    <row r="70" spans="1:10" x14ac:dyDescent="0.25">
      <c r="A70" s="78" t="s">
        <v>38</v>
      </c>
      <c r="B70" s="65" t="s">
        <v>4</v>
      </c>
      <c r="C70" s="81">
        <f t="array" ref="C70">INDEX(Assumptions!$F$3:$F$18, MATCH(1, (Assumptions!$B$3:$B$18=Forecasting_Worst!B70)*(Assumptions!$C$3:$C$18=Forecasting_Worst!$C$1),0))*J70</f>
        <v>1440</v>
      </c>
      <c r="D70" s="82">
        <f t="array" ref="D70">INDEX(Assumptions!$D$3:$D$18, MATCH(1, (Assumptions!$B$3:$B$18=Forecasting_Worst!B70)*(Assumptions!$C$3:$C$18=Forecasting_Worst!$C$1),0))</f>
        <v>2300</v>
      </c>
      <c r="E70" s="82">
        <f t="array" ref="E70">INDEX(Assumptions!$E$3:$E$18, MATCH(1, (Assumptions!$B$3:$B$18=Forecasting_Worst!B70)*(Assumptions!$C$3:$C$18=Forecasting_Worst!$C$1),0))</f>
        <v>1800</v>
      </c>
      <c r="F70" s="82">
        <f t="shared" si="4"/>
        <v>3312000</v>
      </c>
      <c r="G70" s="82">
        <f t="shared" si="5"/>
        <v>2592000</v>
      </c>
      <c r="H70" s="82">
        <f t="shared" si="6"/>
        <v>720000</v>
      </c>
      <c r="I70" s="83">
        <f t="shared" si="7"/>
        <v>0.21739130434782608</v>
      </c>
      <c r="J70" s="84">
        <f>VLOOKUP(A70,Seasonality!$B$4:$C$15,2,FALSE)</f>
        <v>1.2</v>
      </c>
    </row>
    <row r="71" spans="1:10" x14ac:dyDescent="0.25">
      <c r="A71" s="78" t="s">
        <v>38</v>
      </c>
      <c r="B71" s="65" t="s">
        <v>5</v>
      </c>
      <c r="C71" s="81">
        <f t="array" ref="C71">INDEX(Assumptions!$F$3:$F$18, MATCH(1, (Assumptions!$B$3:$B$18=Forecasting_Worst!B71)*(Assumptions!$C$3:$C$18=Forecasting_Worst!$C$1),0))*J71</f>
        <v>960</v>
      </c>
      <c r="D71" s="82">
        <f t="array" ref="D71">INDEX(Assumptions!$D$3:$D$18, MATCH(1, (Assumptions!$B$3:$B$18=Forecasting_Worst!B71)*(Assumptions!$C$3:$C$18=Forecasting_Worst!$C$1),0))</f>
        <v>3200</v>
      </c>
      <c r="E71" s="82">
        <f t="array" ref="E71">INDEX(Assumptions!$E$3:$E$18, MATCH(1, (Assumptions!$B$3:$B$18=Forecasting_Worst!B71)*(Assumptions!$C$3:$C$18=Forecasting_Worst!$C$1),0))</f>
        <v>2800</v>
      </c>
      <c r="F71" s="82">
        <f t="shared" si="4"/>
        <v>3072000</v>
      </c>
      <c r="G71" s="82">
        <f t="shared" si="5"/>
        <v>2688000</v>
      </c>
      <c r="H71" s="82">
        <f t="shared" si="6"/>
        <v>384000</v>
      </c>
      <c r="I71" s="83">
        <f t="shared" si="7"/>
        <v>0.125</v>
      </c>
      <c r="J71" s="84">
        <f>VLOOKUP(A71,Seasonality!$B$4:$C$15,2,FALSE)</f>
        <v>1.2</v>
      </c>
    </row>
    <row r="72" spans="1:10" x14ac:dyDescent="0.25">
      <c r="A72" s="78" t="s">
        <v>38</v>
      </c>
      <c r="B72" s="65" t="s">
        <v>14</v>
      </c>
      <c r="C72" s="81">
        <f t="array" ref="C72">INDEX(Assumptions!$F$3:$F$18, MATCH(1, (Assumptions!$B$3:$B$18=Forecasting_Worst!B72)*(Assumptions!$C$3:$C$18=Forecasting_Worst!$C$1),0))*J72</f>
        <v>1080</v>
      </c>
      <c r="D72" s="82">
        <f t="array" ref="D72">INDEX(Assumptions!$D$3:$D$18, MATCH(1, (Assumptions!$B$3:$B$18=Forecasting_Worst!B72)*(Assumptions!$C$3:$C$18=Forecasting_Worst!$C$1),0))</f>
        <v>2300</v>
      </c>
      <c r="E72" s="82">
        <f t="array" ref="E72">INDEX(Assumptions!$E$3:$E$18, MATCH(1, (Assumptions!$B$3:$B$18=Forecasting_Worst!B72)*(Assumptions!$C$3:$C$18=Forecasting_Worst!$C$1),0))</f>
        <v>2100</v>
      </c>
      <c r="F72" s="82">
        <f t="shared" si="4"/>
        <v>2484000</v>
      </c>
      <c r="G72" s="82">
        <f t="shared" si="5"/>
        <v>2268000</v>
      </c>
      <c r="H72" s="82">
        <f t="shared" si="6"/>
        <v>216000</v>
      </c>
      <c r="I72" s="83">
        <f t="shared" si="7"/>
        <v>8.6956521739130432E-2</v>
      </c>
      <c r="J72" s="84">
        <f>VLOOKUP(A72,Seasonality!$B$4:$C$15,2,FALSE)</f>
        <v>1.2</v>
      </c>
    </row>
    <row r="73" spans="1:10" x14ac:dyDescent="0.25">
      <c r="A73" s="78" t="s">
        <v>38</v>
      </c>
      <c r="B73" s="65" t="s">
        <v>39</v>
      </c>
      <c r="C73" s="81">
        <f t="array" ref="C73">INDEX(Assumptions!$F$3:$F$18, MATCH(1, (Assumptions!$B$3:$B$18=Forecasting_Worst!B73)*(Assumptions!$C$3:$C$18=Forecasting_Worst!$C$1),0))*J73</f>
        <v>1800</v>
      </c>
      <c r="D73" s="82">
        <f t="array" ref="D73">INDEX(Assumptions!$D$3:$D$18, MATCH(1, (Assumptions!$B$3:$B$18=Forecasting_Worst!B73)*(Assumptions!$C$3:$C$18=Forecasting_Worst!$C$1),0))</f>
        <v>1000</v>
      </c>
      <c r="E73" s="82">
        <f t="array" ref="E73">INDEX(Assumptions!$E$3:$E$18, MATCH(1, (Assumptions!$B$3:$B$18=Forecasting_Worst!B73)*(Assumptions!$C$3:$C$18=Forecasting_Worst!$C$1),0))</f>
        <v>800</v>
      </c>
      <c r="F73" s="82">
        <f t="shared" si="4"/>
        <v>1800000</v>
      </c>
      <c r="G73" s="82">
        <f t="shared" si="5"/>
        <v>1440000</v>
      </c>
      <c r="H73" s="82">
        <f t="shared" si="6"/>
        <v>360000</v>
      </c>
      <c r="I73" s="83">
        <f t="shared" si="7"/>
        <v>0.2</v>
      </c>
      <c r="J73" s="84">
        <f>VLOOKUP(A73,Seasonality!$B$4:$C$15,2,FALSE)</f>
        <v>1.2</v>
      </c>
    </row>
    <row r="74" spans="1:10" x14ac:dyDescent="0.25">
      <c r="A74" s="78" t="s">
        <v>38</v>
      </c>
      <c r="B74" s="65" t="s">
        <v>6</v>
      </c>
      <c r="C74" s="81">
        <f t="array" ref="C74">INDEX(Assumptions!$F$3:$F$18, MATCH(1, (Assumptions!$B$3:$B$18=Forecasting_Worst!B74)*(Assumptions!$C$3:$C$18=Forecasting_Worst!$C$1),0))*J74</f>
        <v>2400</v>
      </c>
      <c r="D74" s="82">
        <f t="array" ref="D74">INDEX(Assumptions!$D$3:$D$18, MATCH(1, (Assumptions!$B$3:$B$18=Forecasting_Worst!B74)*(Assumptions!$C$3:$C$18=Forecasting_Worst!$C$1),0))</f>
        <v>400</v>
      </c>
      <c r="E74" s="82">
        <f t="array" ref="E74">INDEX(Assumptions!$E$3:$E$18, MATCH(1, (Assumptions!$B$3:$B$18=Forecasting_Worst!B74)*(Assumptions!$C$3:$C$18=Forecasting_Worst!$C$1),0))</f>
        <v>400</v>
      </c>
      <c r="F74" s="82">
        <f t="shared" si="4"/>
        <v>960000</v>
      </c>
      <c r="G74" s="82">
        <f t="shared" si="5"/>
        <v>960000</v>
      </c>
      <c r="H74" s="82">
        <f t="shared" si="6"/>
        <v>0</v>
      </c>
      <c r="I74" s="83">
        <f t="shared" si="7"/>
        <v>0</v>
      </c>
      <c r="J74" s="84">
        <f>VLOOKUP(A74,Seasonality!$B$4:$C$15,2,FALSE)</f>
        <v>1.2</v>
      </c>
    </row>
    <row r="75" spans="1:10" x14ac:dyDescent="0.25">
      <c r="A75" s="204"/>
      <c r="B75" s="205"/>
      <c r="C75" s="206"/>
      <c r="D75" s="207"/>
      <c r="E75" s="207"/>
      <c r="F75" s="207"/>
      <c r="G75" s="207"/>
      <c r="H75" s="207"/>
      <c r="I75" s="208"/>
      <c r="J75" s="209"/>
    </row>
    <row r="77" spans="1:10" s="214" customFormat="1" x14ac:dyDescent="0.25">
      <c r="A77" s="200" t="s">
        <v>40</v>
      </c>
      <c r="B77" s="200"/>
      <c r="C77" s="148"/>
      <c r="D77" s="213"/>
      <c r="E77" s="213"/>
      <c r="F77" s="213">
        <f>SUM(F4:F76)</f>
        <v>129846000</v>
      </c>
      <c r="G77" s="213">
        <f t="shared" ref="G77:H77" si="8">SUM(G4:G76)</f>
        <v>111086000</v>
      </c>
      <c r="H77" s="213">
        <f t="shared" si="8"/>
        <v>18760000</v>
      </c>
      <c r="I77" s="215"/>
      <c r="J77" s="216"/>
    </row>
    <row r="78" spans="1:10" x14ac:dyDescent="0.25">
      <c r="G78" s="212"/>
    </row>
  </sheetData>
  <scenarios current="0" show="0">
    <scenario name="Best" locked="1" count="1" user="DELL" comment="Created by DELL on 22-06-2025">
      <inputCells r="C1" val="200"/>
    </scenario>
  </scenarios>
  <conditionalFormatting sqref="I4:I75">
    <cfRule type="cellIs" dxfId="1033" priority="2" operator="greaterThan">
      <formula>0.5</formula>
    </cfRule>
    <cfRule type="cellIs" dxfId="1032" priority="3" operator="lessThan">
      <formula>0.2</formula>
    </cfRule>
  </conditionalFormatting>
  <conditionalFormatting sqref="C4:C74">
    <cfRule type="dataBar" priority="1">
      <dataBar>
        <cfvo type="min"/>
        <cfvo type="max"/>
        <color rgb="FF638EC6"/>
      </dataBar>
      <extLst>
        <ext xmlns:x14="http://schemas.microsoft.com/office/spreadsheetml/2009/9/main" uri="{B025F937-C7B1-47D3-B67F-A62EFF666E3E}">
          <x14:id>{C243A9B9-BD53-423B-9AF6-3DE707F89263}</x14:id>
        </ext>
      </extLst>
    </cfRule>
  </conditionalFormatting>
  <pageMargins left="0.7" right="0.7" top="0.75" bottom="0.75" header="0.3" footer="0.3"/>
  <pageSetup scale="45" orientation="landscape" horizontalDpi="1200" verticalDpi="12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C243A9B9-BD53-423B-9AF6-3DE707F89263}">
            <x14:dataBar minLength="0" maxLength="100" border="1" gradient="0">
              <x14:cfvo type="autoMin"/>
              <x14:cfvo type="autoMax"/>
              <x14:borderColor rgb="FF000000"/>
              <x14:negativeFillColor rgb="FFFF0000"/>
              <x14:axisColor rgb="FF000000"/>
            </x14:dataBar>
          </x14:cfRule>
          <xm:sqref>C4:C74</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Assumptions</vt:lpstr>
      <vt:lpstr>Forecasting_2026</vt:lpstr>
      <vt:lpstr>Actual_Over_2026</vt:lpstr>
      <vt:lpstr>Actual_Under_2026</vt:lpstr>
      <vt:lpstr>Income_Statement_Model</vt:lpstr>
      <vt:lpstr>Data_Consolidated</vt:lpstr>
      <vt:lpstr>Dashboard</vt:lpstr>
      <vt:lpstr>Dynamic_Dashboard</vt:lpstr>
      <vt:lpstr>Seasonality</vt:lpstr>
      <vt:lpstr>%age_Change_Logic</vt:lpstr>
      <vt:lpstr>Forecasting_Best</vt:lpstr>
      <vt:lpstr>Forecasting_Base</vt:lpstr>
      <vt:lpstr>Forecasting_Worst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2025-07-26T18:00:29Z</cp:lastPrinted>
  <dcterms:created xsi:type="dcterms:W3CDTF">2025-06-19T08:59:26Z</dcterms:created>
  <dcterms:modified xsi:type="dcterms:W3CDTF">2025-07-28T14:49:16Z</dcterms:modified>
</cp:coreProperties>
</file>