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amdawani/Documents/MGS3100_Fall19/9GroupProject/Sandbox_Wroth_03 - 10222019 - 935 PM/"/>
    </mc:Choice>
  </mc:AlternateContent>
  <xr:revisionPtr revIDLastSave="0" documentId="13_ncr:1_{93FFF19A-D8CC-FF49-B5EE-2C7171097F09}" xr6:coauthVersionLast="45" xr6:coauthVersionMax="45" xr10:uidLastSave="{00000000-0000-0000-0000-000000000000}"/>
  <bookViews>
    <workbookView xWindow="0" yWindow="0" windowWidth="28800" windowHeight="18000" activeTab="5" xr2:uid="{00000000-000D-0000-FFFF-FFFF00000000}"/>
  </bookViews>
  <sheets>
    <sheet name="data sets" sheetId="14" r:id="rId1"/>
    <sheet name="Financial information " sheetId="10" r:id="rId2"/>
    <sheet name="Monthly data" sheetId="8" r:id="rId3"/>
    <sheet name="Prof current operations" sheetId="11" r:id="rId4"/>
    <sheet name="Prof franchise " sheetId="12" r:id="rId5"/>
    <sheet name="Part 3 Decision Alt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" i="11" l="1"/>
  <c r="D36" i="11"/>
  <c r="D6" i="12" s="1"/>
  <c r="E36" i="11"/>
  <c r="F36" i="11"/>
  <c r="F6" i="12" s="1"/>
  <c r="G36" i="11"/>
  <c r="G6" i="12" s="1"/>
  <c r="H36" i="11"/>
  <c r="I36" i="11"/>
  <c r="J36" i="11"/>
  <c r="J6" i="12" s="1"/>
  <c r="K36" i="11"/>
  <c r="L36" i="11"/>
  <c r="M36" i="11"/>
  <c r="B36" i="11"/>
  <c r="N27" i="11"/>
  <c r="B52" i="11"/>
  <c r="C6" i="12"/>
  <c r="E6" i="12"/>
  <c r="H6" i="12"/>
  <c r="I6" i="12"/>
  <c r="K6" i="12"/>
  <c r="L6" i="12"/>
  <c r="M6" i="12"/>
  <c r="B6" i="12"/>
  <c r="B4" i="16"/>
  <c r="A31" i="14" l="1" a="1"/>
  <c r="A31" i="14" s="1"/>
  <c r="L1048576" i="16" l="1"/>
  <c r="L4" i="16"/>
  <c r="K4" i="16"/>
  <c r="J4" i="16"/>
  <c r="I4" i="16"/>
  <c r="H6" i="16"/>
  <c r="H5" i="16"/>
  <c r="D52" i="16"/>
  <c r="D60" i="16" s="1"/>
  <c r="C52" i="16"/>
  <c r="C60" i="16" s="1"/>
  <c r="B52" i="16"/>
  <c r="B60" i="16" s="1"/>
  <c r="F44" i="16"/>
  <c r="D16" i="16"/>
  <c r="D23" i="16" s="1"/>
  <c r="D30" i="16" s="1"/>
  <c r="D47" i="16" s="1"/>
  <c r="C16" i="16"/>
  <c r="C23" i="16" s="1"/>
  <c r="B16" i="16"/>
  <c r="B23" i="16" s="1"/>
  <c r="B30" i="16" s="1"/>
  <c r="A16" i="16"/>
  <c r="A23" i="16" s="1"/>
  <c r="A30" i="16" s="1"/>
  <c r="A37" i="16" s="1"/>
  <c r="A47" i="16" s="1"/>
  <c r="A63" i="16" s="1"/>
  <c r="A15" i="16"/>
  <c r="A22" i="16" s="1"/>
  <c r="A29" i="16" s="1"/>
  <c r="A36" i="16" s="1"/>
  <c r="A46" i="16" s="1"/>
  <c r="A62" i="16" s="1"/>
  <c r="A14" i="16"/>
  <c r="A21" i="16" s="1"/>
  <c r="A28" i="16" s="1"/>
  <c r="A35" i="16" s="1"/>
  <c r="A45" i="16" s="1"/>
  <c r="A61" i="16" s="1"/>
  <c r="D13" i="16"/>
  <c r="D20" i="16" s="1"/>
  <c r="D27" i="16" s="1"/>
  <c r="D34" i="16" s="1"/>
  <c r="D43" i="16" s="1"/>
  <c r="D51" i="16" s="1"/>
  <c r="D59" i="16" s="1"/>
  <c r="C13" i="16"/>
  <c r="C20" i="16" s="1"/>
  <c r="C27" i="16" s="1"/>
  <c r="C34" i="16" s="1"/>
  <c r="C43" i="16" s="1"/>
  <c r="C51" i="16" s="1"/>
  <c r="C59" i="16" s="1"/>
  <c r="B13" i="16"/>
  <c r="B20" i="16" s="1"/>
  <c r="B27" i="16" s="1"/>
  <c r="B34" i="16" s="1"/>
  <c r="B43" i="16" s="1"/>
  <c r="B51" i="16" s="1"/>
  <c r="B59" i="16" s="1"/>
  <c r="F16" i="16" l="1"/>
  <c r="B47" i="16"/>
  <c r="C30" i="16"/>
  <c r="C47" i="16" s="1"/>
  <c r="F23" i="16"/>
  <c r="F47" i="16" l="1"/>
  <c r="F30" i="16"/>
  <c r="R27" i="12" l="1"/>
  <c r="B65" i="11" l="1"/>
  <c r="B34" i="11"/>
  <c r="G2" i="11"/>
  <c r="F2" i="11"/>
  <c r="B64" i="12" l="1"/>
  <c r="B34" i="12"/>
  <c r="F2" i="12"/>
  <c r="G2" i="12"/>
  <c r="F32" i="11"/>
  <c r="F63" i="11" s="1"/>
  <c r="G32" i="11"/>
  <c r="G63" i="11" s="1"/>
  <c r="E32" i="11"/>
  <c r="E63" i="11" s="1"/>
  <c r="E32" i="12" l="1"/>
  <c r="E62" i="12" s="1"/>
  <c r="M81" i="12"/>
  <c r="L81" i="12"/>
  <c r="K81" i="12"/>
  <c r="J81" i="12"/>
  <c r="I81" i="12"/>
  <c r="H81" i="12"/>
  <c r="G81" i="12"/>
  <c r="F81" i="12"/>
  <c r="E81" i="12"/>
  <c r="D81" i="12"/>
  <c r="C81" i="12"/>
  <c r="B81" i="12"/>
  <c r="M80" i="12"/>
  <c r="M82" i="12" s="1"/>
  <c r="L80" i="12"/>
  <c r="L82" i="12" s="1"/>
  <c r="K80" i="12"/>
  <c r="K82" i="12" s="1"/>
  <c r="J80" i="12"/>
  <c r="I80" i="12"/>
  <c r="H80" i="12"/>
  <c r="G80" i="12"/>
  <c r="F80" i="12"/>
  <c r="F82" i="12" s="1"/>
  <c r="E80" i="12"/>
  <c r="E82" i="12" s="1"/>
  <c r="D80" i="12"/>
  <c r="D82" i="12" s="1"/>
  <c r="C80" i="12"/>
  <c r="C82" i="12" s="1"/>
  <c r="B80" i="12"/>
  <c r="B82" i="12" s="1"/>
  <c r="F32" i="12"/>
  <c r="F62" i="12" s="1"/>
  <c r="G32" i="12"/>
  <c r="G62" i="12" s="1"/>
  <c r="B50" i="12"/>
  <c r="C50" i="12"/>
  <c r="D50" i="12"/>
  <c r="E50" i="12"/>
  <c r="F50" i="12"/>
  <c r="G50" i="12"/>
  <c r="H50" i="12"/>
  <c r="I50" i="12"/>
  <c r="J50" i="12"/>
  <c r="K50" i="12"/>
  <c r="L50" i="12"/>
  <c r="M50" i="12"/>
  <c r="B51" i="12"/>
  <c r="B52" i="12" s="1"/>
  <c r="C51" i="12"/>
  <c r="C52" i="12" s="1"/>
  <c r="D51" i="12"/>
  <c r="E51" i="12"/>
  <c r="F51" i="12"/>
  <c r="G51" i="12"/>
  <c r="G52" i="12" s="1"/>
  <c r="H51" i="12"/>
  <c r="I51" i="12"/>
  <c r="J51" i="12"/>
  <c r="K51" i="12"/>
  <c r="K52" i="12" s="1"/>
  <c r="L51" i="12"/>
  <c r="M51" i="12"/>
  <c r="C16" i="12"/>
  <c r="C46" i="12" s="1"/>
  <c r="C76" i="12" s="1"/>
  <c r="D16" i="12"/>
  <c r="D46" i="12" s="1"/>
  <c r="D76" i="12" s="1"/>
  <c r="E16" i="12"/>
  <c r="E46" i="12" s="1"/>
  <c r="E76" i="12" s="1"/>
  <c r="F16" i="12"/>
  <c r="F46" i="12" s="1"/>
  <c r="F76" i="12" s="1"/>
  <c r="G16" i="12"/>
  <c r="G46" i="12" s="1"/>
  <c r="H16" i="12"/>
  <c r="H46" i="12" s="1"/>
  <c r="H76" i="12" s="1"/>
  <c r="I16" i="12"/>
  <c r="I46" i="12" s="1"/>
  <c r="I76" i="12" s="1"/>
  <c r="J16" i="12"/>
  <c r="J46" i="12" s="1"/>
  <c r="J76" i="12" s="1"/>
  <c r="K16" i="12"/>
  <c r="K46" i="12" s="1"/>
  <c r="K76" i="12" s="1"/>
  <c r="L16" i="12"/>
  <c r="L46" i="12" s="1"/>
  <c r="L76" i="12" s="1"/>
  <c r="M16" i="12"/>
  <c r="M46" i="12" s="1"/>
  <c r="M76" i="12" s="1"/>
  <c r="B16" i="12"/>
  <c r="B46" i="12" s="1"/>
  <c r="B76" i="12" s="1"/>
  <c r="G82" i="12" l="1"/>
  <c r="H82" i="12"/>
  <c r="I82" i="12"/>
  <c r="J82" i="12"/>
  <c r="H52" i="12"/>
  <c r="L52" i="12"/>
  <c r="D52" i="12"/>
  <c r="M52" i="12"/>
  <c r="J52" i="12"/>
  <c r="F52" i="12"/>
  <c r="I52" i="12"/>
  <c r="E52" i="12"/>
  <c r="G76" i="12"/>
  <c r="M81" i="11"/>
  <c r="L81" i="11"/>
  <c r="K81" i="11"/>
  <c r="J81" i="11"/>
  <c r="I81" i="11"/>
  <c r="H81" i="11"/>
  <c r="G81" i="11"/>
  <c r="F81" i="11"/>
  <c r="E81" i="11"/>
  <c r="D81" i="11"/>
  <c r="C81" i="11"/>
  <c r="B81" i="11"/>
  <c r="M80" i="11"/>
  <c r="L80" i="11"/>
  <c r="K80" i="11"/>
  <c r="J80" i="11"/>
  <c r="I80" i="11"/>
  <c r="I82" i="11" s="1"/>
  <c r="H80" i="11"/>
  <c r="G80" i="11"/>
  <c r="G82" i="11" s="1"/>
  <c r="F80" i="11"/>
  <c r="E80" i="11"/>
  <c r="D80" i="11"/>
  <c r="C80" i="11"/>
  <c r="B80" i="11"/>
  <c r="M50" i="11"/>
  <c r="L50" i="11"/>
  <c r="K50" i="11"/>
  <c r="J50" i="11"/>
  <c r="I50" i="11"/>
  <c r="H50" i="11"/>
  <c r="G50" i="11"/>
  <c r="F50" i="11"/>
  <c r="E50" i="11"/>
  <c r="D50" i="11"/>
  <c r="C50" i="11"/>
  <c r="B50" i="11"/>
  <c r="M49" i="11"/>
  <c r="L49" i="11"/>
  <c r="K49" i="11"/>
  <c r="J49" i="11"/>
  <c r="J51" i="11" s="1"/>
  <c r="I49" i="11"/>
  <c r="I51" i="11" s="1"/>
  <c r="H49" i="11"/>
  <c r="G49" i="11"/>
  <c r="G51" i="11" s="1"/>
  <c r="F49" i="11"/>
  <c r="E49" i="11"/>
  <c r="D49" i="11"/>
  <c r="C49" i="11"/>
  <c r="B49" i="11"/>
  <c r="B51" i="11" s="1"/>
  <c r="C51" i="11" l="1"/>
  <c r="C82" i="11"/>
  <c r="K82" i="11"/>
  <c r="L51" i="11"/>
  <c r="D82" i="11"/>
  <c r="L82" i="11"/>
  <c r="K51" i="11"/>
  <c r="D51" i="11"/>
  <c r="E51" i="11"/>
  <c r="M51" i="11"/>
  <c r="E82" i="11"/>
  <c r="M82" i="11"/>
  <c r="F82" i="11"/>
  <c r="F51" i="11"/>
  <c r="H82" i="11"/>
  <c r="H51" i="11"/>
  <c r="B82" i="11"/>
  <c r="J82" i="11"/>
  <c r="J39" i="8"/>
  <c r="J40" i="8"/>
  <c r="J41" i="8"/>
  <c r="J42" i="8"/>
  <c r="J43" i="8"/>
  <c r="J44" i="8"/>
  <c r="J45" i="8"/>
  <c r="J46" i="8"/>
  <c r="J47" i="8"/>
  <c r="J48" i="8"/>
  <c r="J49" i="8"/>
  <c r="J38" i="8"/>
  <c r="M21" i="12"/>
  <c r="L21" i="12"/>
  <c r="K21" i="12"/>
  <c r="J21" i="12"/>
  <c r="I21" i="12"/>
  <c r="H21" i="12"/>
  <c r="G21" i="12"/>
  <c r="F21" i="12"/>
  <c r="E21" i="12"/>
  <c r="D21" i="12"/>
  <c r="C21" i="12"/>
  <c r="B21" i="12"/>
  <c r="M20" i="12"/>
  <c r="L20" i="12"/>
  <c r="K20" i="12"/>
  <c r="J20" i="12"/>
  <c r="J22" i="12" s="1"/>
  <c r="I20" i="12"/>
  <c r="H20" i="12"/>
  <c r="G20" i="12"/>
  <c r="F20" i="12"/>
  <c r="E20" i="12"/>
  <c r="D20" i="12"/>
  <c r="C20" i="12"/>
  <c r="B20" i="12"/>
  <c r="B22" i="12" s="1"/>
  <c r="M20" i="11"/>
  <c r="L20" i="11"/>
  <c r="K20" i="11"/>
  <c r="J20" i="11"/>
  <c r="I20" i="11"/>
  <c r="H20" i="11"/>
  <c r="G20" i="11"/>
  <c r="F20" i="11"/>
  <c r="E20" i="11"/>
  <c r="D20" i="11"/>
  <c r="C20" i="11"/>
  <c r="B20" i="11"/>
  <c r="M19" i="11"/>
  <c r="L19" i="11"/>
  <c r="K19" i="11"/>
  <c r="J19" i="11"/>
  <c r="J21" i="11" s="1"/>
  <c r="I19" i="11"/>
  <c r="I21" i="11" s="1"/>
  <c r="H19" i="11"/>
  <c r="H21" i="11" s="1"/>
  <c r="G19" i="11"/>
  <c r="F19" i="11"/>
  <c r="E19" i="11"/>
  <c r="D19" i="11"/>
  <c r="C19" i="11"/>
  <c r="B19" i="11"/>
  <c r="B21" i="11" s="1"/>
  <c r="G10" i="10"/>
  <c r="G12" i="10"/>
  <c r="K15" i="12" s="1"/>
  <c r="K17" i="12" s="1"/>
  <c r="E21" i="11" l="1"/>
  <c r="M21" i="11"/>
  <c r="G21" i="11"/>
  <c r="C15" i="11"/>
  <c r="C16" i="11" s="1"/>
  <c r="G15" i="11"/>
  <c r="G16" i="11" s="1"/>
  <c r="K15" i="11"/>
  <c r="K16" i="11" s="1"/>
  <c r="C15" i="12"/>
  <c r="C17" i="12" s="1"/>
  <c r="G15" i="12"/>
  <c r="G17" i="12" s="1"/>
  <c r="J75" i="12"/>
  <c r="J77" i="12" s="1"/>
  <c r="J83" i="12" s="1"/>
  <c r="F75" i="12"/>
  <c r="F77" i="12" s="1"/>
  <c r="F83" i="12" s="1"/>
  <c r="B75" i="12"/>
  <c r="B77" i="12" s="1"/>
  <c r="B83" i="12" s="1"/>
  <c r="B45" i="12"/>
  <c r="B47" i="12" s="1"/>
  <c r="B53" i="12" s="1"/>
  <c r="F45" i="12"/>
  <c r="F47" i="12" s="1"/>
  <c r="F53" i="12" s="1"/>
  <c r="J45" i="12"/>
  <c r="J47" i="12" s="1"/>
  <c r="J53" i="12" s="1"/>
  <c r="M75" i="12"/>
  <c r="M77" i="12" s="1"/>
  <c r="M83" i="12" s="1"/>
  <c r="I75" i="12"/>
  <c r="I77" i="12" s="1"/>
  <c r="I83" i="12" s="1"/>
  <c r="E75" i="12"/>
  <c r="E77" i="12" s="1"/>
  <c r="E83" i="12" s="1"/>
  <c r="C45" i="12"/>
  <c r="C47" i="12" s="1"/>
  <c r="C53" i="12" s="1"/>
  <c r="G45" i="12"/>
  <c r="G47" i="12" s="1"/>
  <c r="G53" i="12" s="1"/>
  <c r="K45" i="12"/>
  <c r="K47" i="12" s="1"/>
  <c r="K53" i="12" s="1"/>
  <c r="L75" i="12"/>
  <c r="L77" i="12" s="1"/>
  <c r="L83" i="12" s="1"/>
  <c r="H75" i="12"/>
  <c r="H77" i="12" s="1"/>
  <c r="H83" i="12" s="1"/>
  <c r="D75" i="12"/>
  <c r="D77" i="12" s="1"/>
  <c r="D83" i="12" s="1"/>
  <c r="D45" i="12"/>
  <c r="D47" i="12" s="1"/>
  <c r="D53" i="12" s="1"/>
  <c r="H45" i="12"/>
  <c r="H47" i="12" s="1"/>
  <c r="H53" i="12" s="1"/>
  <c r="L45" i="12"/>
  <c r="L47" i="12" s="1"/>
  <c r="L53" i="12" s="1"/>
  <c r="K75" i="12"/>
  <c r="K77" i="12" s="1"/>
  <c r="K83" i="12" s="1"/>
  <c r="G75" i="12"/>
  <c r="G77" i="12" s="1"/>
  <c r="G83" i="12" s="1"/>
  <c r="C75" i="12"/>
  <c r="C77" i="12" s="1"/>
  <c r="C83" i="12" s="1"/>
  <c r="E45" i="12"/>
  <c r="E47" i="12" s="1"/>
  <c r="E53" i="12" s="1"/>
  <c r="I45" i="12"/>
  <c r="I47" i="12" s="1"/>
  <c r="I53" i="12" s="1"/>
  <c r="M45" i="12"/>
  <c r="M47" i="12" s="1"/>
  <c r="M53" i="12" s="1"/>
  <c r="K76" i="11"/>
  <c r="K77" i="11" s="1"/>
  <c r="K83" i="11" s="1"/>
  <c r="G76" i="11"/>
  <c r="G77" i="11" s="1"/>
  <c r="G83" i="11" s="1"/>
  <c r="C76" i="11"/>
  <c r="C77" i="11" s="1"/>
  <c r="C83" i="11" s="1"/>
  <c r="L45" i="11"/>
  <c r="L46" i="11" s="1"/>
  <c r="L52" i="11" s="1"/>
  <c r="H45" i="11"/>
  <c r="H46" i="11" s="1"/>
  <c r="H52" i="11" s="1"/>
  <c r="D45" i="11"/>
  <c r="D46" i="11" s="1"/>
  <c r="D52" i="11" s="1"/>
  <c r="J76" i="11"/>
  <c r="J77" i="11" s="1"/>
  <c r="J83" i="11" s="1"/>
  <c r="F76" i="11"/>
  <c r="F77" i="11" s="1"/>
  <c r="F83" i="11" s="1"/>
  <c r="B76" i="11"/>
  <c r="B77" i="11" s="1"/>
  <c r="B83" i="11" s="1"/>
  <c r="K45" i="11"/>
  <c r="K46" i="11" s="1"/>
  <c r="K52" i="11" s="1"/>
  <c r="G45" i="11"/>
  <c r="G46" i="11" s="1"/>
  <c r="G52" i="11" s="1"/>
  <c r="C45" i="11"/>
  <c r="C46" i="11" s="1"/>
  <c r="C52" i="11" s="1"/>
  <c r="M76" i="11"/>
  <c r="M77" i="11" s="1"/>
  <c r="M83" i="11" s="1"/>
  <c r="I76" i="11"/>
  <c r="I77" i="11" s="1"/>
  <c r="I83" i="11" s="1"/>
  <c r="E76" i="11"/>
  <c r="E77" i="11" s="1"/>
  <c r="E83" i="11" s="1"/>
  <c r="J45" i="11"/>
  <c r="J46" i="11" s="1"/>
  <c r="J52" i="11" s="1"/>
  <c r="F45" i="11"/>
  <c r="F46" i="11" s="1"/>
  <c r="B45" i="11"/>
  <c r="B46" i="11" s="1"/>
  <c r="I45" i="11"/>
  <c r="I46" i="11" s="1"/>
  <c r="I52" i="11" s="1"/>
  <c r="L76" i="11"/>
  <c r="L77" i="11" s="1"/>
  <c r="L83" i="11" s="1"/>
  <c r="H76" i="11"/>
  <c r="H77" i="11" s="1"/>
  <c r="H83" i="11" s="1"/>
  <c r="D76" i="11"/>
  <c r="D77" i="11" s="1"/>
  <c r="D83" i="11" s="1"/>
  <c r="M45" i="11"/>
  <c r="M46" i="11" s="1"/>
  <c r="M52" i="11" s="1"/>
  <c r="E45" i="11"/>
  <c r="E46" i="11" s="1"/>
  <c r="E52" i="11" s="1"/>
  <c r="D15" i="11"/>
  <c r="D16" i="11" s="1"/>
  <c r="H15" i="11"/>
  <c r="H16" i="11" s="1"/>
  <c r="H22" i="11" s="1"/>
  <c r="L15" i="11"/>
  <c r="L16" i="11" s="1"/>
  <c r="D15" i="12"/>
  <c r="D17" i="12" s="1"/>
  <c r="H15" i="12"/>
  <c r="H17" i="12" s="1"/>
  <c r="L15" i="12"/>
  <c r="L17" i="12" s="1"/>
  <c r="E15" i="11"/>
  <c r="E16" i="11" s="1"/>
  <c r="E22" i="11" s="1"/>
  <c r="I15" i="11"/>
  <c r="I16" i="11" s="1"/>
  <c r="I22" i="11" s="1"/>
  <c r="M15" i="11"/>
  <c r="M16" i="11" s="1"/>
  <c r="M22" i="11" s="1"/>
  <c r="E15" i="12"/>
  <c r="E17" i="12" s="1"/>
  <c r="I15" i="12"/>
  <c r="I17" i="12" s="1"/>
  <c r="M15" i="12"/>
  <c r="M17" i="12" s="1"/>
  <c r="B15" i="11"/>
  <c r="B16" i="11" s="1"/>
  <c r="B22" i="11" s="1"/>
  <c r="F15" i="11"/>
  <c r="F16" i="11" s="1"/>
  <c r="J15" i="11"/>
  <c r="J16" i="11" s="1"/>
  <c r="J22" i="11" s="1"/>
  <c r="B15" i="12"/>
  <c r="B17" i="12" s="1"/>
  <c r="B23" i="12" s="1"/>
  <c r="F15" i="12"/>
  <c r="F17" i="12" s="1"/>
  <c r="J15" i="12"/>
  <c r="J17" i="12" s="1"/>
  <c r="J23" i="12" s="1"/>
  <c r="F52" i="11"/>
  <c r="I22" i="12"/>
  <c r="C21" i="11"/>
  <c r="C22" i="11" s="1"/>
  <c r="K21" i="11"/>
  <c r="C22" i="12"/>
  <c r="K22" i="12"/>
  <c r="K23" i="12" s="1"/>
  <c r="D21" i="11"/>
  <c r="L21" i="11"/>
  <c r="L22" i="11" s="1"/>
  <c r="D22" i="12"/>
  <c r="L22" i="12"/>
  <c r="F21" i="11"/>
  <c r="F22" i="12"/>
  <c r="E22" i="12"/>
  <c r="M22" i="12"/>
  <c r="G22" i="12"/>
  <c r="H22" i="12"/>
  <c r="G22" i="11"/>
  <c r="F22" i="11" l="1"/>
  <c r="G23" i="12"/>
  <c r="L23" i="12"/>
  <c r="E23" i="12"/>
  <c r="H23" i="12"/>
  <c r="F23" i="12"/>
  <c r="K22" i="11"/>
  <c r="C23" i="12"/>
  <c r="D22" i="11"/>
  <c r="D23" i="12"/>
  <c r="I23" i="12"/>
  <c r="M23" i="12"/>
  <c r="C37" i="8" l="1"/>
  <c r="D30" i="8" s="1"/>
  <c r="C25" i="8"/>
  <c r="D16" i="8" s="1"/>
  <c r="C13" i="8"/>
  <c r="D4" i="8" s="1"/>
  <c r="D32" i="8" l="1"/>
  <c r="D33" i="8"/>
  <c r="D37" i="8"/>
  <c r="D29" i="8"/>
  <c r="D36" i="8"/>
  <c r="D28" i="8"/>
  <c r="F4" i="8" s="1"/>
  <c r="D11" i="8"/>
  <c r="D7" i="8"/>
  <c r="D3" i="8"/>
  <c r="D23" i="8"/>
  <c r="D19" i="8"/>
  <c r="D15" i="8"/>
  <c r="D35" i="8"/>
  <c r="D31" i="8"/>
  <c r="D27" i="8"/>
  <c r="D2" i="8"/>
  <c r="D10" i="8"/>
  <c r="D6" i="8"/>
  <c r="D14" i="8"/>
  <c r="D22" i="8"/>
  <c r="D18" i="8"/>
  <c r="D26" i="8"/>
  <c r="D34" i="8"/>
  <c r="D13" i="8"/>
  <c r="D9" i="8"/>
  <c r="D5" i="8"/>
  <c r="D25" i="8"/>
  <c r="D21" i="8"/>
  <c r="D17" i="8"/>
  <c r="D12" i="8"/>
  <c r="D8" i="8"/>
  <c r="F8" i="8" s="1"/>
  <c r="D24" i="8"/>
  <c r="D20" i="8"/>
  <c r="F11" i="8" l="1"/>
  <c r="F6" i="8"/>
  <c r="H30" i="8" s="1"/>
  <c r="F5" i="8"/>
  <c r="H17" i="8" s="1"/>
  <c r="F13" i="8"/>
  <c r="H37" i="8" s="1"/>
  <c r="F7" i="8"/>
  <c r="K43" i="8" s="1"/>
  <c r="G66" i="12" s="1"/>
  <c r="E13" i="8"/>
  <c r="F2" i="8"/>
  <c r="H19" i="8"/>
  <c r="K44" i="8"/>
  <c r="H66" i="12" s="1"/>
  <c r="H20" i="8"/>
  <c r="H32" i="8"/>
  <c r="H8" i="8"/>
  <c r="E25" i="8"/>
  <c r="F12" i="8"/>
  <c r="E37" i="8"/>
  <c r="K42" i="8"/>
  <c r="F66" i="12" s="1"/>
  <c r="H6" i="8"/>
  <c r="H18" i="8"/>
  <c r="K47" i="8"/>
  <c r="K66" i="12" s="1"/>
  <c r="H35" i="8"/>
  <c r="H11" i="8"/>
  <c r="H23" i="8"/>
  <c r="H29" i="8"/>
  <c r="F9" i="8"/>
  <c r="F10" i="8"/>
  <c r="F3" i="8"/>
  <c r="K40" i="8"/>
  <c r="D66" i="12" s="1"/>
  <c r="H16" i="8"/>
  <c r="H28" i="8"/>
  <c r="H4" i="8"/>
  <c r="H5" i="8" l="1"/>
  <c r="H13" i="8"/>
  <c r="K41" i="8"/>
  <c r="E66" i="12" s="1"/>
  <c r="K49" i="8"/>
  <c r="M66" i="12" s="1"/>
  <c r="H7" i="8"/>
  <c r="H31" i="8"/>
  <c r="H25" i="8"/>
  <c r="K39" i="8"/>
  <c r="C66" i="12" s="1"/>
  <c r="H27" i="8"/>
  <c r="H3" i="8"/>
  <c r="H15" i="8"/>
  <c r="K48" i="8"/>
  <c r="L66" i="12" s="1"/>
  <c r="H24" i="8"/>
  <c r="H36" i="8"/>
  <c r="H12" i="8"/>
  <c r="K46" i="8"/>
  <c r="J66" i="12" s="1"/>
  <c r="H34" i="8"/>
  <c r="H10" i="8"/>
  <c r="H22" i="8"/>
  <c r="H7" i="11"/>
  <c r="H36" i="12"/>
  <c r="H67" i="11"/>
  <c r="H8" i="11"/>
  <c r="H25" i="11" s="1"/>
  <c r="H9" i="11"/>
  <c r="H24" i="11" s="1"/>
  <c r="G36" i="12"/>
  <c r="G67" i="11"/>
  <c r="G9" i="11"/>
  <c r="G24" i="11" s="1"/>
  <c r="G8" i="11"/>
  <c r="G25" i="11" s="1"/>
  <c r="G7" i="11"/>
  <c r="K45" i="8"/>
  <c r="I66" i="12" s="1"/>
  <c r="H33" i="8"/>
  <c r="H9" i="8"/>
  <c r="H21" i="8"/>
  <c r="E36" i="12"/>
  <c r="E67" i="11"/>
  <c r="E9" i="11"/>
  <c r="E24" i="11" s="1"/>
  <c r="E7" i="11"/>
  <c r="E8" i="11"/>
  <c r="E25" i="11" s="1"/>
  <c r="K36" i="12"/>
  <c r="K67" i="11"/>
  <c r="K9" i="11"/>
  <c r="K24" i="11" s="1"/>
  <c r="K7" i="11"/>
  <c r="K8" i="11"/>
  <c r="K25" i="11" s="1"/>
  <c r="F36" i="12"/>
  <c r="F67" i="11"/>
  <c r="F9" i="11"/>
  <c r="F24" i="11" s="1"/>
  <c r="F7" i="11"/>
  <c r="F8" i="11"/>
  <c r="F25" i="11" s="1"/>
  <c r="K38" i="8"/>
  <c r="B66" i="12" s="1"/>
  <c r="H26" i="8"/>
  <c r="H14" i="8"/>
  <c r="H2" i="8"/>
  <c r="G13" i="8"/>
  <c r="D8" i="11"/>
  <c r="D25" i="11" s="1"/>
  <c r="D36" i="12"/>
  <c r="D67" i="11"/>
  <c r="D7" i="11"/>
  <c r="D9" i="11"/>
  <c r="D24" i="11" s="1"/>
  <c r="M67" i="11"/>
  <c r="M8" i="11" l="1"/>
  <c r="M25" i="11" s="1"/>
  <c r="M7" i="11"/>
  <c r="M9" i="11"/>
  <c r="M24" i="11" s="1"/>
  <c r="M36" i="12"/>
  <c r="M37" i="12" s="1"/>
  <c r="M39" i="11"/>
  <c r="M54" i="11" s="1"/>
  <c r="M39" i="12"/>
  <c r="M55" i="12" s="1"/>
  <c r="D70" i="11"/>
  <c r="D85" i="11" s="1"/>
  <c r="D68" i="11"/>
  <c r="D69" i="11"/>
  <c r="D86" i="11" s="1"/>
  <c r="B36" i="12"/>
  <c r="B67" i="11"/>
  <c r="B8" i="11"/>
  <c r="B25" i="11" s="1"/>
  <c r="B7" i="11"/>
  <c r="B9" i="11"/>
  <c r="B24" i="11" s="1"/>
  <c r="F37" i="11"/>
  <c r="F38" i="11"/>
  <c r="F55" i="11" s="1"/>
  <c r="F39" i="11"/>
  <c r="F54" i="11" s="1"/>
  <c r="K70" i="11"/>
  <c r="K85" i="11" s="1"/>
  <c r="K69" i="11"/>
  <c r="K86" i="11" s="1"/>
  <c r="K68" i="11"/>
  <c r="E12" i="11"/>
  <c r="E11" i="11"/>
  <c r="E9" i="12"/>
  <c r="E25" i="12" s="1"/>
  <c r="E8" i="12"/>
  <c r="E26" i="12" s="1"/>
  <c r="E7" i="12"/>
  <c r="G37" i="12"/>
  <c r="G38" i="12"/>
  <c r="G56" i="12" s="1"/>
  <c r="G39" i="12"/>
  <c r="G55" i="12" s="1"/>
  <c r="H69" i="11"/>
  <c r="H86" i="11" s="1"/>
  <c r="H70" i="11"/>
  <c r="H85" i="11" s="1"/>
  <c r="H68" i="11"/>
  <c r="D9" i="12"/>
  <c r="D25" i="12" s="1"/>
  <c r="D8" i="12"/>
  <c r="D26" i="12" s="1"/>
  <c r="D7" i="12"/>
  <c r="F69" i="11"/>
  <c r="F86" i="11" s="1"/>
  <c r="F70" i="11"/>
  <c r="F85" i="11" s="1"/>
  <c r="F68" i="11"/>
  <c r="K12" i="11"/>
  <c r="K11" i="11"/>
  <c r="K9" i="12"/>
  <c r="K25" i="12" s="1"/>
  <c r="K8" i="12"/>
  <c r="K26" i="12" s="1"/>
  <c r="K7" i="12"/>
  <c r="E39" i="12"/>
  <c r="E55" i="12" s="1"/>
  <c r="E37" i="12"/>
  <c r="E38" i="12"/>
  <c r="E56" i="12" s="1"/>
  <c r="I36" i="12"/>
  <c r="I67" i="11"/>
  <c r="I9" i="11"/>
  <c r="I24" i="11" s="1"/>
  <c r="I8" i="11"/>
  <c r="I25" i="11" s="1"/>
  <c r="I7" i="11"/>
  <c r="G38" i="11"/>
  <c r="G55" i="11" s="1"/>
  <c r="G39" i="11"/>
  <c r="G54" i="11" s="1"/>
  <c r="G37" i="11"/>
  <c r="H37" i="12"/>
  <c r="H39" i="12"/>
  <c r="H55" i="12" s="1"/>
  <c r="H38" i="12"/>
  <c r="H56" i="12" s="1"/>
  <c r="M70" i="11"/>
  <c r="M85" i="11" s="1"/>
  <c r="M68" i="11"/>
  <c r="M69" i="11"/>
  <c r="M86" i="11" s="1"/>
  <c r="D12" i="11"/>
  <c r="D11" i="11"/>
  <c r="D37" i="12"/>
  <c r="D39" i="12"/>
  <c r="D55" i="12" s="1"/>
  <c r="D38" i="12"/>
  <c r="D56" i="12" s="1"/>
  <c r="F12" i="11"/>
  <c r="F11" i="11"/>
  <c r="F9" i="12"/>
  <c r="F25" i="12" s="1"/>
  <c r="F7" i="12"/>
  <c r="F8" i="12"/>
  <c r="F26" i="12" s="1"/>
  <c r="K38" i="12"/>
  <c r="K56" i="12" s="1"/>
  <c r="K37" i="12"/>
  <c r="K39" i="12"/>
  <c r="K55" i="12" s="1"/>
  <c r="E37" i="11"/>
  <c r="E38" i="11"/>
  <c r="E55" i="11" s="1"/>
  <c r="E39" i="11"/>
  <c r="E54" i="11" s="1"/>
  <c r="G12" i="11"/>
  <c r="G11" i="11"/>
  <c r="G69" i="11"/>
  <c r="G86" i="11" s="1"/>
  <c r="G70" i="11"/>
  <c r="G85" i="11" s="1"/>
  <c r="G68" i="11"/>
  <c r="H7" i="12"/>
  <c r="H9" i="12"/>
  <c r="H25" i="12" s="1"/>
  <c r="H8" i="12"/>
  <c r="H26" i="12" s="1"/>
  <c r="M11" i="11"/>
  <c r="M12" i="11"/>
  <c r="M9" i="12"/>
  <c r="M25" i="12" s="1"/>
  <c r="M8" i="12"/>
  <c r="M26" i="12" s="1"/>
  <c r="M7" i="12"/>
  <c r="D39" i="11"/>
  <c r="D54" i="11" s="1"/>
  <c r="D37" i="11"/>
  <c r="D38" i="11"/>
  <c r="D55" i="11" s="1"/>
  <c r="F39" i="12"/>
  <c r="F55" i="12" s="1"/>
  <c r="F38" i="12"/>
  <c r="F56" i="12" s="1"/>
  <c r="F37" i="12"/>
  <c r="K37" i="11"/>
  <c r="K38" i="11"/>
  <c r="K55" i="11" s="1"/>
  <c r="K39" i="11"/>
  <c r="K54" i="11" s="1"/>
  <c r="E70" i="11"/>
  <c r="E85" i="11" s="1"/>
  <c r="E69" i="11"/>
  <c r="E86" i="11" s="1"/>
  <c r="E68" i="11"/>
  <c r="G9" i="12"/>
  <c r="G25" i="12" s="1"/>
  <c r="G7" i="12"/>
  <c r="G8" i="12"/>
  <c r="G26" i="12" s="1"/>
  <c r="H37" i="11"/>
  <c r="H38" i="11"/>
  <c r="H55" i="11" s="1"/>
  <c r="H39" i="11"/>
  <c r="H54" i="11" s="1"/>
  <c r="H11" i="11"/>
  <c r="H12" i="11"/>
  <c r="J8" i="11"/>
  <c r="J25" i="11" s="1"/>
  <c r="J36" i="12"/>
  <c r="J67" i="11"/>
  <c r="J9" i="11"/>
  <c r="J24" i="11" s="1"/>
  <c r="J7" i="11"/>
  <c r="L9" i="11"/>
  <c r="L24" i="11" s="1"/>
  <c r="L36" i="12"/>
  <c r="L67" i="11"/>
  <c r="L7" i="11"/>
  <c r="L8" i="11"/>
  <c r="L25" i="11" s="1"/>
  <c r="C36" i="12"/>
  <c r="C67" i="11"/>
  <c r="C9" i="11"/>
  <c r="C24" i="11" s="1"/>
  <c r="C8" i="11"/>
  <c r="C25" i="11" s="1"/>
  <c r="C7" i="11"/>
  <c r="M37" i="11" l="1"/>
  <c r="M38" i="11"/>
  <c r="M55" i="11" s="1"/>
  <c r="M38" i="12"/>
  <c r="M56" i="12" s="1"/>
  <c r="E13" i="11"/>
  <c r="E27" i="11" s="1"/>
  <c r="K13" i="11"/>
  <c r="K27" i="11" s="1"/>
  <c r="M13" i="11"/>
  <c r="M27" i="11" s="1"/>
  <c r="M42" i="11"/>
  <c r="M41" i="11"/>
  <c r="H72" i="11"/>
  <c r="H73" i="11"/>
  <c r="B37" i="12"/>
  <c r="B39" i="12"/>
  <c r="B55" i="12" s="1"/>
  <c r="B38" i="12"/>
  <c r="B56" i="12" s="1"/>
  <c r="I11" i="11"/>
  <c r="I12" i="11"/>
  <c r="E41" i="12"/>
  <c r="E42" i="12"/>
  <c r="M68" i="12"/>
  <c r="M86" i="12" s="1"/>
  <c r="M67" i="12"/>
  <c r="M69" i="12"/>
  <c r="M85" i="12" s="1"/>
  <c r="K73" i="11"/>
  <c r="K72" i="11"/>
  <c r="B12" i="11"/>
  <c r="B11" i="11"/>
  <c r="L70" i="11"/>
  <c r="L85" i="11" s="1"/>
  <c r="L69" i="11"/>
  <c r="L86" i="11" s="1"/>
  <c r="L68" i="11"/>
  <c r="J9" i="12"/>
  <c r="J25" i="12" s="1"/>
  <c r="J8" i="12"/>
  <c r="J26" i="12" s="1"/>
  <c r="J7" i="12"/>
  <c r="H69" i="12"/>
  <c r="H85" i="12" s="1"/>
  <c r="H68" i="12"/>
  <c r="H86" i="12" s="1"/>
  <c r="H67" i="12"/>
  <c r="C38" i="11"/>
  <c r="C55" i="11" s="1"/>
  <c r="C39" i="11"/>
  <c r="C54" i="11" s="1"/>
  <c r="C37" i="11"/>
  <c r="L9" i="12"/>
  <c r="L25" i="12" s="1"/>
  <c r="L8" i="12"/>
  <c r="L26" i="12" s="1"/>
  <c r="L7" i="12"/>
  <c r="J38" i="12"/>
  <c r="J56" i="12" s="1"/>
  <c r="J37" i="12"/>
  <c r="J39" i="12"/>
  <c r="J55" i="12" s="1"/>
  <c r="K41" i="11"/>
  <c r="K42" i="11"/>
  <c r="D68" i="12"/>
  <c r="D86" i="12" s="1"/>
  <c r="D69" i="12"/>
  <c r="D85" i="12" s="1"/>
  <c r="D67" i="12"/>
  <c r="H12" i="12"/>
  <c r="H11" i="12"/>
  <c r="G13" i="11"/>
  <c r="G27" i="11" s="1"/>
  <c r="E42" i="11"/>
  <c r="E41" i="11"/>
  <c r="F13" i="11"/>
  <c r="F27" i="11" s="1"/>
  <c r="D42" i="12"/>
  <c r="D41" i="12"/>
  <c r="M73" i="11"/>
  <c r="M72" i="11"/>
  <c r="G68" i="12"/>
  <c r="G86" i="12" s="1"/>
  <c r="G69" i="12"/>
  <c r="G85" i="12" s="1"/>
  <c r="G67" i="12"/>
  <c r="I37" i="12"/>
  <c r="I38" i="12"/>
  <c r="I56" i="12" s="1"/>
  <c r="I39" i="12"/>
  <c r="I55" i="12" s="1"/>
  <c r="K12" i="12"/>
  <c r="K11" i="12"/>
  <c r="D12" i="12"/>
  <c r="D11" i="12"/>
  <c r="G42" i="12"/>
  <c r="G41" i="12"/>
  <c r="F41" i="11"/>
  <c r="F42" i="11"/>
  <c r="B39" i="11"/>
  <c r="B54" i="11" s="1"/>
  <c r="B38" i="11"/>
  <c r="B55" i="11" s="1"/>
  <c r="B37" i="11"/>
  <c r="M42" i="12"/>
  <c r="M41" i="12"/>
  <c r="C9" i="12"/>
  <c r="C25" i="12" s="1"/>
  <c r="C8" i="12"/>
  <c r="C26" i="12" s="1"/>
  <c r="C7" i="12"/>
  <c r="L37" i="11"/>
  <c r="L38" i="11"/>
  <c r="L55" i="11" s="1"/>
  <c r="L39" i="11"/>
  <c r="L54" i="11" s="1"/>
  <c r="J68" i="11"/>
  <c r="J69" i="11"/>
  <c r="J86" i="11" s="1"/>
  <c r="J70" i="11"/>
  <c r="J85" i="11" s="1"/>
  <c r="H41" i="11"/>
  <c r="H42" i="11"/>
  <c r="F41" i="12"/>
  <c r="F42" i="12"/>
  <c r="D42" i="11"/>
  <c r="D41" i="11"/>
  <c r="F12" i="12"/>
  <c r="F11" i="12"/>
  <c r="G41" i="11"/>
  <c r="G42" i="11"/>
  <c r="I70" i="11"/>
  <c r="I85" i="11" s="1"/>
  <c r="I68" i="11"/>
  <c r="I69" i="11"/>
  <c r="I86" i="11" s="1"/>
  <c r="B9" i="12"/>
  <c r="B25" i="12" s="1"/>
  <c r="B8" i="12"/>
  <c r="B26" i="12" s="1"/>
  <c r="B7" i="12"/>
  <c r="C37" i="12"/>
  <c r="C39" i="12"/>
  <c r="C55" i="12" s="1"/>
  <c r="C38" i="12"/>
  <c r="C56" i="12" s="1"/>
  <c r="J12" i="11"/>
  <c r="J11" i="11"/>
  <c r="H13" i="11"/>
  <c r="H27" i="11" s="1"/>
  <c r="E73" i="11"/>
  <c r="E72" i="11"/>
  <c r="K41" i="12"/>
  <c r="K42" i="12"/>
  <c r="I9" i="12"/>
  <c r="I25" i="12" s="1"/>
  <c r="I7" i="12"/>
  <c r="I8" i="12"/>
  <c r="I26" i="12" s="1"/>
  <c r="C12" i="11"/>
  <c r="C11" i="11"/>
  <c r="C70" i="11"/>
  <c r="C85" i="11" s="1"/>
  <c r="C69" i="11"/>
  <c r="C86" i="11" s="1"/>
  <c r="C68" i="11"/>
  <c r="L12" i="11"/>
  <c r="L11" i="11"/>
  <c r="L38" i="12"/>
  <c r="L56" i="12" s="1"/>
  <c r="L37" i="12"/>
  <c r="L39" i="12"/>
  <c r="L55" i="12" s="1"/>
  <c r="J39" i="11"/>
  <c r="J54" i="11" s="1"/>
  <c r="J38" i="11"/>
  <c r="J55" i="11" s="1"/>
  <c r="J37" i="11"/>
  <c r="G12" i="12"/>
  <c r="G11" i="12"/>
  <c r="K67" i="12"/>
  <c r="K68" i="12"/>
  <c r="K86" i="12" s="1"/>
  <c r="K69" i="12"/>
  <c r="K85" i="12" s="1"/>
  <c r="M12" i="12"/>
  <c r="M11" i="12"/>
  <c r="G72" i="11"/>
  <c r="G73" i="11"/>
  <c r="E68" i="12"/>
  <c r="E86" i="12" s="1"/>
  <c r="E69" i="12"/>
  <c r="E85" i="12" s="1"/>
  <c r="E67" i="12"/>
  <c r="D13" i="11"/>
  <c r="D27" i="11" s="1"/>
  <c r="H42" i="12"/>
  <c r="H41" i="12"/>
  <c r="I38" i="11"/>
  <c r="I55" i="11" s="1"/>
  <c r="I37" i="11"/>
  <c r="I39" i="11"/>
  <c r="I54" i="11" s="1"/>
  <c r="F72" i="11"/>
  <c r="F73" i="11"/>
  <c r="E11" i="12"/>
  <c r="E12" i="12"/>
  <c r="F69" i="12"/>
  <c r="F85" i="12" s="1"/>
  <c r="F67" i="12"/>
  <c r="F68" i="12"/>
  <c r="F86" i="12" s="1"/>
  <c r="B69" i="11"/>
  <c r="B86" i="11" s="1"/>
  <c r="B68" i="11"/>
  <c r="B70" i="11"/>
  <c r="B85" i="11" s="1"/>
  <c r="D73" i="11"/>
  <c r="D72" i="11"/>
  <c r="H43" i="12" l="1"/>
  <c r="H58" i="12" s="1"/>
  <c r="M13" i="12"/>
  <c r="M28" i="12" s="1"/>
  <c r="M43" i="12"/>
  <c r="M58" i="12" s="1"/>
  <c r="G43" i="12"/>
  <c r="G58" i="12" s="1"/>
  <c r="K13" i="12"/>
  <c r="K28" i="12" s="1"/>
  <c r="H13" i="12"/>
  <c r="H28" i="12" s="1"/>
  <c r="F13" i="12"/>
  <c r="F28" i="12" s="1"/>
  <c r="D13" i="12"/>
  <c r="D28" i="12" s="1"/>
  <c r="D43" i="12"/>
  <c r="D58" i="12" s="1"/>
  <c r="E43" i="12"/>
  <c r="E58" i="12" s="1"/>
  <c r="D74" i="11"/>
  <c r="D88" i="11" s="1"/>
  <c r="D43" i="11"/>
  <c r="D57" i="11" s="1"/>
  <c r="M74" i="11"/>
  <c r="M88" i="11" s="1"/>
  <c r="K74" i="11"/>
  <c r="K88" i="11" s="1"/>
  <c r="F74" i="11"/>
  <c r="F88" i="11" s="1"/>
  <c r="G74" i="11"/>
  <c r="G88" i="11" s="1"/>
  <c r="L13" i="11"/>
  <c r="L27" i="11" s="1"/>
  <c r="E74" i="11"/>
  <c r="E88" i="11" s="1"/>
  <c r="F43" i="11"/>
  <c r="F57" i="11" s="1"/>
  <c r="K43" i="11"/>
  <c r="K57" i="11" s="1"/>
  <c r="B13" i="11"/>
  <c r="B27" i="11" s="1"/>
  <c r="M43" i="11"/>
  <c r="M57" i="11" s="1"/>
  <c r="I13" i="11"/>
  <c r="I27" i="11" s="1"/>
  <c r="L42" i="12"/>
  <c r="L41" i="12"/>
  <c r="J72" i="11"/>
  <c r="J73" i="11"/>
  <c r="L68" i="12"/>
  <c r="L86" i="12" s="1"/>
  <c r="L67" i="12"/>
  <c r="L69" i="12"/>
  <c r="L85" i="12" s="1"/>
  <c r="I41" i="12"/>
  <c r="I42" i="12"/>
  <c r="J42" i="12"/>
  <c r="J41" i="12"/>
  <c r="J12" i="12"/>
  <c r="J11" i="12"/>
  <c r="E13" i="12"/>
  <c r="E28" i="12" s="1"/>
  <c r="I42" i="11"/>
  <c r="I41" i="11"/>
  <c r="G13" i="12"/>
  <c r="G28" i="12" s="1"/>
  <c r="K43" i="12"/>
  <c r="K58" i="12" s="1"/>
  <c r="J13" i="11"/>
  <c r="J27" i="11" s="1"/>
  <c r="C41" i="12"/>
  <c r="C42" i="12"/>
  <c r="G43" i="11"/>
  <c r="G57" i="11" s="1"/>
  <c r="H43" i="11"/>
  <c r="H57" i="11" s="1"/>
  <c r="C11" i="12"/>
  <c r="C12" i="12"/>
  <c r="G71" i="12"/>
  <c r="G72" i="12"/>
  <c r="E43" i="11"/>
  <c r="E57" i="11" s="1"/>
  <c r="C41" i="11"/>
  <c r="C42" i="11"/>
  <c r="H72" i="12"/>
  <c r="H71" i="12"/>
  <c r="H74" i="11"/>
  <c r="H88" i="11" s="1"/>
  <c r="K71" i="12"/>
  <c r="K72" i="12"/>
  <c r="C72" i="11"/>
  <c r="C73" i="11"/>
  <c r="I11" i="12"/>
  <c r="I12" i="12"/>
  <c r="B42" i="11"/>
  <c r="B41" i="11"/>
  <c r="D72" i="12"/>
  <c r="D71" i="12"/>
  <c r="L12" i="12"/>
  <c r="L11" i="12"/>
  <c r="C68" i="12"/>
  <c r="C86" i="12" s="1"/>
  <c r="C69" i="12"/>
  <c r="C85" i="12" s="1"/>
  <c r="C67" i="12"/>
  <c r="F71" i="12"/>
  <c r="F72" i="12"/>
  <c r="J69" i="12"/>
  <c r="J85" i="12" s="1"/>
  <c r="J67" i="12"/>
  <c r="J68" i="12"/>
  <c r="J86" i="12" s="1"/>
  <c r="B11" i="12"/>
  <c r="B12" i="12"/>
  <c r="I72" i="11"/>
  <c r="I73" i="11"/>
  <c r="B73" i="11"/>
  <c r="B72" i="11"/>
  <c r="I67" i="12"/>
  <c r="I69" i="12"/>
  <c r="I85" i="12" s="1"/>
  <c r="I68" i="12"/>
  <c r="I86" i="12" s="1"/>
  <c r="E72" i="12"/>
  <c r="E71" i="12"/>
  <c r="J42" i="11"/>
  <c r="J41" i="11"/>
  <c r="C13" i="11"/>
  <c r="C27" i="11" s="1"/>
  <c r="F43" i="12"/>
  <c r="F58" i="12" s="1"/>
  <c r="L42" i="11"/>
  <c r="L41" i="11"/>
  <c r="B67" i="12"/>
  <c r="B69" i="12"/>
  <c r="B85" i="12" s="1"/>
  <c r="B68" i="12"/>
  <c r="B86" i="12" s="1"/>
  <c r="L73" i="11"/>
  <c r="L72" i="11"/>
  <c r="M71" i="12"/>
  <c r="M72" i="12"/>
  <c r="B42" i="12"/>
  <c r="B41" i="12"/>
  <c r="C13" i="12" l="1"/>
  <c r="C28" i="12" s="1"/>
  <c r="M73" i="12"/>
  <c r="M88" i="12" s="1"/>
  <c r="H73" i="12"/>
  <c r="H88" i="12" s="1"/>
  <c r="I43" i="12"/>
  <c r="I58" i="12" s="1"/>
  <c r="B43" i="12"/>
  <c r="B58" i="12" s="1"/>
  <c r="D73" i="12"/>
  <c r="D88" i="12" s="1"/>
  <c r="J43" i="12"/>
  <c r="J58" i="12" s="1"/>
  <c r="L43" i="11"/>
  <c r="L57" i="11" s="1"/>
  <c r="C74" i="11"/>
  <c r="C88" i="11" s="1"/>
  <c r="J43" i="11"/>
  <c r="J57" i="11" s="1"/>
  <c r="C4" i="16"/>
  <c r="I43" i="11"/>
  <c r="I57" i="11" s="1"/>
  <c r="L74" i="11"/>
  <c r="L88" i="11" s="1"/>
  <c r="B74" i="11"/>
  <c r="B88" i="11" s="1"/>
  <c r="C43" i="11"/>
  <c r="C57" i="11" s="1"/>
  <c r="B13" i="12"/>
  <c r="B28" i="12" s="1"/>
  <c r="J74" i="11"/>
  <c r="J88" i="11" s="1"/>
  <c r="I74" i="11"/>
  <c r="I88" i="11" s="1"/>
  <c r="F73" i="12"/>
  <c r="F88" i="12" s="1"/>
  <c r="I13" i="12"/>
  <c r="I28" i="12" s="1"/>
  <c r="K73" i="12"/>
  <c r="K88" i="12" s="1"/>
  <c r="G73" i="12"/>
  <c r="G88" i="12" s="1"/>
  <c r="L71" i="12"/>
  <c r="L72" i="12"/>
  <c r="L43" i="12"/>
  <c r="L58" i="12" s="1"/>
  <c r="B72" i="12"/>
  <c r="B71" i="12"/>
  <c r="C71" i="12"/>
  <c r="C72" i="12"/>
  <c r="E73" i="12"/>
  <c r="E88" i="12" s="1"/>
  <c r="I72" i="12"/>
  <c r="I71" i="12"/>
  <c r="J71" i="12"/>
  <c r="J72" i="12"/>
  <c r="L13" i="12"/>
  <c r="L28" i="12" s="1"/>
  <c r="B43" i="11"/>
  <c r="B57" i="11" s="1"/>
  <c r="C43" i="12"/>
  <c r="C58" i="12" s="1"/>
  <c r="J13" i="12"/>
  <c r="J28" i="12" s="1"/>
  <c r="N57" i="11" l="1"/>
  <c r="N58" i="12"/>
  <c r="I73" i="12"/>
  <c r="I88" i="12" s="1"/>
  <c r="C73" i="12"/>
  <c r="C88" i="12" s="1"/>
  <c r="J73" i="12"/>
  <c r="J88" i="12" s="1"/>
  <c r="L73" i="12"/>
  <c r="L88" i="12" s="1"/>
  <c r="B73" i="12"/>
  <c r="B88" i="12" s="1"/>
  <c r="D4" i="16"/>
  <c r="N88" i="11"/>
  <c r="N28" i="12"/>
  <c r="P28" i="12" l="1"/>
  <c r="C5" i="16"/>
  <c r="C15" i="16" s="1"/>
  <c r="C22" i="16" s="1"/>
  <c r="C29" i="16" s="1"/>
  <c r="C46" i="16" s="1"/>
  <c r="Q28" i="12"/>
  <c r="D5" i="16"/>
  <c r="D15" i="16" s="1"/>
  <c r="D22" i="16" s="1"/>
  <c r="D29" i="16" s="1"/>
  <c r="D46" i="16" s="1"/>
  <c r="B14" i="16"/>
  <c r="N88" i="12"/>
  <c r="R28" i="12" l="1"/>
  <c r="B5" i="16"/>
  <c r="C36" i="16"/>
  <c r="C62" i="16"/>
  <c r="C14" i="16"/>
  <c r="C21" i="16" s="1"/>
  <c r="C28" i="16" s="1"/>
  <c r="C45" i="16" s="1"/>
  <c r="C61" i="16"/>
  <c r="C35" i="16"/>
  <c r="B21" i="16"/>
  <c r="D62" i="16"/>
  <c r="D35" i="16"/>
  <c r="D14" i="16"/>
  <c r="D21" i="16" s="1"/>
  <c r="D28" i="16" s="1"/>
  <c r="D45" i="16" s="1"/>
  <c r="D53" i="16" s="1"/>
  <c r="D36" i="16"/>
  <c r="D61" i="16"/>
  <c r="S28" i="12"/>
  <c r="B15" i="16" l="1"/>
  <c r="B35" i="16"/>
  <c r="F35" i="16" s="1"/>
  <c r="L5" i="16" s="1"/>
  <c r="B62" i="16"/>
  <c r="B61" i="16"/>
  <c r="B36" i="16"/>
  <c r="F62" i="16"/>
  <c r="N6" i="16" s="1"/>
  <c r="F36" i="16"/>
  <c r="L6" i="16" s="1"/>
  <c r="F61" i="16"/>
  <c r="F37" i="16"/>
  <c r="F14" i="16"/>
  <c r="I5" i="16" s="1"/>
  <c r="F21" i="16"/>
  <c r="J5" i="16" s="1"/>
  <c r="B28" i="16"/>
  <c r="C53" i="16"/>
  <c r="G63" i="16" l="1"/>
  <c r="N5" i="16"/>
  <c r="B22" i="16"/>
  <c r="F15" i="16"/>
  <c r="I6" i="16" s="1"/>
  <c r="G35" i="16"/>
  <c r="G62" i="16"/>
  <c r="G61" i="16"/>
  <c r="F28" i="16"/>
  <c r="K5" i="16" s="1"/>
  <c r="B45" i="16"/>
  <c r="G37" i="16"/>
  <c r="G36" i="16"/>
  <c r="G14" i="16" l="1"/>
  <c r="B29" i="16"/>
  <c r="F22" i="16"/>
  <c r="G15" i="16"/>
  <c r="G16" i="16"/>
  <c r="F45" i="16"/>
  <c r="M5" i="16" s="1"/>
  <c r="J6" i="16" l="1"/>
  <c r="G23" i="16"/>
  <c r="G22" i="16"/>
  <c r="G21" i="16"/>
  <c r="F29" i="16"/>
  <c r="B46" i="16"/>
  <c r="F46" i="16" l="1"/>
  <c r="B53" i="16"/>
  <c r="F53" i="16" s="1"/>
  <c r="B55" i="16" s="1"/>
  <c r="K6" i="16"/>
  <c r="G29" i="16"/>
  <c r="G28" i="16"/>
  <c r="G30" i="16"/>
  <c r="M6" i="16" l="1"/>
  <c r="G45" i="16"/>
  <c r="G47" i="16"/>
  <c r="G46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<sst xmlns="http://schemas.openxmlformats.org/spreadsheetml/2006/main" count="446" uniqueCount="185">
  <si>
    <t xml:space="preserve"> 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</si>
  <si>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</si>
  <si>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</si>
  <si>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</si>
  <si>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</si>
  <si>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</si>
  <si>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</si>
  <si>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</si>
  <si>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</si>
  <si>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</si>
  <si>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</si>
  <si>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</si>
  <si>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</si>
  <si>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</si>
  <si>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</si>
  <si>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</si>
  <si>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</si>
  <si>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</si>
  <si>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</si>
  <si>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</si>
  <si>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</si>
  <si>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</si>
  <si>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</si>
  <si>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</si>
  <si>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</si>
  <si>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</si>
  <si>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</si>
  <si>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</si>
  <si>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</si>
  <si>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</si>
  <si>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</si>
  <si>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</si>
  <si>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</si>
  <si>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</si>
  <si>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</si>
  <si>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</si>
  <si>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Monthly </t>
  </si>
  <si>
    <t>Demand</t>
  </si>
  <si>
    <t>Seasonal index</t>
  </si>
  <si>
    <t>Average SI</t>
  </si>
  <si>
    <t>Deseasonalized</t>
  </si>
  <si>
    <t>Time</t>
  </si>
  <si>
    <t xml:space="preserve">Total </t>
  </si>
  <si>
    <t>month</t>
  </si>
  <si>
    <t>Utilities</t>
  </si>
  <si>
    <t>Supplies: Office</t>
  </si>
  <si>
    <t>Rent</t>
  </si>
  <si>
    <t>Powdered and Liquid Beverages</t>
  </si>
  <si>
    <t>Professional Fees: Legal</t>
  </si>
  <si>
    <t>Professional Fees: Accounting</t>
  </si>
  <si>
    <t>Payroll:  Wages (per Employees)</t>
  </si>
  <si>
    <t>Payroll:  Wages (Owner/ Manager)</t>
  </si>
  <si>
    <t>per cup</t>
  </si>
  <si>
    <t xml:space="preserve">Coffee cups </t>
  </si>
  <si>
    <t xml:space="preserve">Coffee </t>
  </si>
  <si>
    <t>Marketing &amp; Promotion: Advertising</t>
  </si>
  <si>
    <t>Maintenance &amp; Repairs to equipment</t>
  </si>
  <si>
    <t>Fixed Costs</t>
  </si>
  <si>
    <t>Insurance</t>
  </si>
  <si>
    <t>Variable costs</t>
  </si>
  <si>
    <t>paper products: napkins, plates etc</t>
  </si>
  <si>
    <t>per donut</t>
  </si>
  <si>
    <t>Revenue: Cup of Coffee</t>
  </si>
  <si>
    <t>Time period</t>
  </si>
  <si>
    <t>Previous research expense for Donuts advancements</t>
  </si>
  <si>
    <t xml:space="preserve">Donut and Coffee equipment rent </t>
  </si>
  <si>
    <t>Donut ingredients per donunt)</t>
  </si>
  <si>
    <t>Change to $4 and keep it there after ? 2</t>
  </si>
  <si>
    <t>Revenue: Donut</t>
  </si>
  <si>
    <t>set to whatever… just have class all use the same</t>
  </si>
  <si>
    <t>Assume that each customer will buy one donut and one cup of coffee</t>
  </si>
  <si>
    <r>
      <t xml:space="preserve">Based on the below data, create the profit model for </t>
    </r>
    <r>
      <rPr>
        <b/>
        <i/>
        <sz val="12"/>
        <color theme="1"/>
        <rFont val="Calibri"/>
        <family val="2"/>
        <scheme val="minor"/>
      </rPr>
      <t>Donuts to Go.</t>
    </r>
  </si>
  <si>
    <t xml:space="preserve">Donut Information </t>
  </si>
  <si>
    <t xml:space="preserve">Low </t>
  </si>
  <si>
    <t>Monthly Production</t>
  </si>
  <si>
    <t>Lost Sales</t>
  </si>
  <si>
    <t>Day old revenue</t>
  </si>
  <si>
    <t>DTG</t>
  </si>
  <si>
    <t xml:space="preserve">Month </t>
  </si>
  <si>
    <t xml:space="preserve">January </t>
  </si>
  <si>
    <t xml:space="preserve">February 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</si>
  <si>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</si>
  <si>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</si>
  <si>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</si>
  <si>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</si>
  <si>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</si>
  <si>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</si>
  <si>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</si>
  <si>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</si>
  <si>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</si>
  <si>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satisfied demand</t>
  </si>
  <si>
    <t xml:space="preserve">Extra donuts(over) </t>
  </si>
  <si>
    <t>Unsatisfied customers (short)</t>
  </si>
  <si>
    <t>Revenue</t>
  </si>
  <si>
    <t xml:space="preserve">coffee </t>
  </si>
  <si>
    <t>donut</t>
  </si>
  <si>
    <t>Total Revenue</t>
  </si>
  <si>
    <t>Fixed Expenses</t>
  </si>
  <si>
    <t>Total Fixed Expense</t>
  </si>
  <si>
    <t>Variable Expenses</t>
  </si>
  <si>
    <t>Coffee Variable expense</t>
  </si>
  <si>
    <t>Donut Variable expense</t>
  </si>
  <si>
    <t>Total Variable Expenses</t>
  </si>
  <si>
    <t>Total  Expenses</t>
  </si>
  <si>
    <t>Expenses: due to lost sales</t>
  </si>
  <si>
    <t xml:space="preserve">Revenue from day old sales </t>
  </si>
  <si>
    <t>Profit Donuts and Coffee</t>
  </si>
  <si>
    <t>Jan</t>
  </si>
  <si>
    <t>Desean</t>
  </si>
  <si>
    <t>Seas</t>
  </si>
  <si>
    <t>Year total</t>
  </si>
  <si>
    <t>Regression Output</t>
  </si>
  <si>
    <t>Profit low demand</t>
  </si>
  <si>
    <t>Profit High demand</t>
  </si>
  <si>
    <t xml:space="preserve">Total for year </t>
  </si>
  <si>
    <t xml:space="preserve">Expected Value </t>
  </si>
  <si>
    <t>average</t>
  </si>
  <si>
    <t xml:space="preserve">High </t>
  </si>
  <si>
    <t>percent</t>
  </si>
  <si>
    <t xml:space="preserve">payoff </t>
  </si>
  <si>
    <t>Franchise Expense</t>
  </si>
  <si>
    <t>Percent demand increase due to Franchise</t>
  </si>
  <si>
    <t>Production Expenses by level of production</t>
  </si>
  <si>
    <t>Version 1: average</t>
  </si>
  <si>
    <t>Version 2: High demand</t>
  </si>
  <si>
    <t>Version 3: low demand</t>
  </si>
  <si>
    <t>Data Sets:</t>
  </si>
  <si>
    <t>Cost of Lost Sales</t>
  </si>
  <si>
    <t>Sale price for leftovers</t>
  </si>
  <si>
    <t>Production Range</t>
  </si>
  <si>
    <t>High demand, % above Average</t>
  </si>
  <si>
    <t>Low Demand, % below average</t>
  </si>
  <si>
    <t>main</t>
  </si>
  <si>
    <t>3000- 3500</t>
  </si>
  <si>
    <t>3000- 3501</t>
  </si>
  <si>
    <t>3000- 3502</t>
  </si>
  <si>
    <t>3000- 3503</t>
  </si>
  <si>
    <t>3000- 3504</t>
  </si>
  <si>
    <t>3000- 3505</t>
  </si>
  <si>
    <t>3000- 3506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</si>
  <si>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</si>
  <si>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</si>
  <si>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</si>
  <si>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</si>
  <si>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</si>
  <si>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</si>
  <si>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</si>
  <si>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</si>
  <si>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</si>
  <si>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</si>
  <si>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</si>
  <si>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</si>
  <si>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Re-run Regression</t>
  </si>
  <si>
    <t>Re-run regression with your new data</t>
  </si>
  <si>
    <t>Update % and data starting at AM into work sheet</t>
  </si>
  <si>
    <t>This information is linked to Profit Current operations sheet.  It it highlighted in blue</t>
  </si>
  <si>
    <t>Instructions</t>
  </si>
  <si>
    <t>Monthly data for three years goes to the Monthly data sheet.  Where is goes is highlighted in blue.</t>
  </si>
  <si>
    <t>Payoff table</t>
  </si>
  <si>
    <t>State of Nature</t>
  </si>
  <si>
    <t>Decision Alternatives</t>
  </si>
  <si>
    <t>DM under Ignorance</t>
  </si>
  <si>
    <t>Maximin</t>
  </si>
  <si>
    <t>Min</t>
  </si>
  <si>
    <t>Max</t>
  </si>
  <si>
    <t>Maximax</t>
  </si>
  <si>
    <t>Laplace</t>
  </si>
  <si>
    <t>Average</t>
  </si>
  <si>
    <t xml:space="preserve">Minimax Regret </t>
  </si>
  <si>
    <t>Regret table</t>
  </si>
  <si>
    <t>Max Regret Value</t>
  </si>
  <si>
    <t>DM under Risk</t>
  </si>
  <si>
    <t>EVUII</t>
  </si>
  <si>
    <t>Expected Value</t>
  </si>
  <si>
    <t>Probability</t>
  </si>
  <si>
    <t>EVUPI</t>
  </si>
  <si>
    <t>Expected value</t>
  </si>
  <si>
    <t>Payoff</t>
  </si>
  <si>
    <t>EVPI</t>
  </si>
  <si>
    <t>EOL</t>
  </si>
  <si>
    <t>Regret Table</t>
  </si>
  <si>
    <t>Current Operation</t>
  </si>
  <si>
    <t xml:space="preserve">Franchise </t>
  </si>
  <si>
    <t xml:space="preserve">Average </t>
  </si>
  <si>
    <t>Yearly payoffs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</si>
</sst>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Unicode MS"/>
      <family val="2"/>
    </font>
    <font>
      <b/>
      <sz val="8"/>
      <color theme="1"/>
      <name val="Arial Unicode MS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Bernard MT Condensed"/>
      <family val="1"/>
    </font>
    <font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6">
    <xf numFmtId="0" fontId="0" fillId="0" borderId="0"/>
    <xf numFmtId="0" fontId="4" fillId="0" borderId="0"/>
    <xf numFmtId="44" fontId="17" fillId="0" borderId="0" applyFont="0" applyFill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43" fontId="17" fillId="0" borderId="0" applyFont="0" applyFill="0" applyBorder="0" applyAlignment="0" applyProtection="0"/>
  </cellStyleXfs>
  <cellXfs count="14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1" fillId="0" borderId="0" xfId="0" applyFont="1"/>
    <xf numFmtId="0" fontId="5" fillId="0" borderId="0" xfId="1" applyFont="1" applyFill="1" applyBorder="1" applyAlignment="1">
      <alignment horizontal="left" vertical="center"/>
    </xf>
    <xf numFmtId="0" fontId="0" fillId="0" borderId="0" xfId="0" applyBorder="1"/>
    <xf numFmtId="164" fontId="4" fillId="0" borderId="0" xfId="1" applyNumberFormat="1" applyBorder="1"/>
    <xf numFmtId="0" fontId="4" fillId="0" borderId="0" xfId="1" applyBorder="1"/>
    <xf numFmtId="164" fontId="4" fillId="0" borderId="4" xfId="1" applyNumberFormat="1" applyBorder="1"/>
    <xf numFmtId="164" fontId="4" fillId="0" borderId="5" xfId="1" applyNumberFormat="1" applyBorder="1"/>
    <xf numFmtId="0" fontId="4" fillId="0" borderId="6" xfId="1" applyFont="1" applyBorder="1"/>
    <xf numFmtId="164" fontId="4" fillId="0" borderId="7" xfId="1" applyNumberFormat="1" applyBorder="1"/>
    <xf numFmtId="164" fontId="4" fillId="0" borderId="8" xfId="1" applyNumberFormat="1" applyBorder="1"/>
    <xf numFmtId="0" fontId="4" fillId="0" borderId="9" xfId="1" applyBorder="1"/>
    <xf numFmtId="0" fontId="7" fillId="0" borderId="10" xfId="1" applyFont="1" applyFill="1" applyBorder="1" applyAlignment="1">
      <alignment horizontal="left" vertical="center" wrapText="1"/>
    </xf>
    <xf numFmtId="0" fontId="7" fillId="0" borderId="10" xfId="1" applyFont="1" applyFill="1" applyBorder="1" applyAlignment="1">
      <alignment horizontal="left" vertical="center"/>
    </xf>
    <xf numFmtId="0" fontId="4" fillId="0" borderId="6" xfId="1" applyBorder="1"/>
    <xf numFmtId="164" fontId="0" fillId="0" borderId="0" xfId="0" applyNumberFormat="1"/>
    <xf numFmtId="0" fontId="1" fillId="0" borderId="12" xfId="0" applyFont="1" applyBorder="1"/>
    <xf numFmtId="0" fontId="4" fillId="0" borderId="13" xfId="1" applyFont="1" applyBorder="1"/>
    <xf numFmtId="0" fontId="1" fillId="0" borderId="5" xfId="0" applyFont="1" applyBorder="1"/>
    <xf numFmtId="164" fontId="8" fillId="0" borderId="14" xfId="1" applyNumberFormat="1" applyFont="1" applyBorder="1"/>
    <xf numFmtId="0" fontId="1" fillId="0" borderId="1" xfId="0" applyFont="1" applyBorder="1"/>
    <xf numFmtId="0" fontId="8" fillId="0" borderId="15" xfId="1" applyFont="1" applyBorder="1"/>
    <xf numFmtId="0" fontId="9" fillId="0" borderId="0" xfId="0" applyFont="1"/>
    <xf numFmtId="164" fontId="4" fillId="3" borderId="11" xfId="1" applyNumberFormat="1" applyFont="1" applyFill="1" applyBorder="1"/>
    <xf numFmtId="0" fontId="10" fillId="0" borderId="0" xfId="0" applyFont="1"/>
    <xf numFmtId="0" fontId="11" fillId="0" borderId="0" xfId="0" applyFont="1"/>
    <xf numFmtId="0" fontId="2" fillId="0" borderId="0" xfId="0" applyFont="1"/>
    <xf numFmtId="0" fontId="1" fillId="0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9" fillId="3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0" fillId="0" borderId="0" xfId="0" applyFill="1" applyBorder="1" applyAlignment="1">
      <alignment vertical="center" wrapText="1"/>
    </xf>
    <xf numFmtId="0" fontId="9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4" fillId="2" borderId="0" xfId="0" applyFont="1" applyFill="1"/>
    <xf numFmtId="0" fontId="0" fillId="0" borderId="0" xfId="0" applyFill="1" applyBorder="1"/>
    <xf numFmtId="0" fontId="9" fillId="2" borderId="0" xfId="0" applyFont="1" applyFill="1" applyAlignment="1">
      <alignment horizontal="right" wrapText="1"/>
    </xf>
    <xf numFmtId="0" fontId="9" fillId="2" borderId="0" xfId="0" applyFont="1" applyFill="1" applyAlignment="1">
      <alignment horizontal="left" wrapText="1"/>
    </xf>
    <xf numFmtId="0" fontId="15" fillId="0" borderId="0" xfId="0" applyFont="1" applyAlignment="1">
      <alignment wrapText="1"/>
    </xf>
    <xf numFmtId="14" fontId="9" fillId="3" borderId="0" xfId="0" applyNumberFormat="1" applyFont="1" applyFill="1" applyAlignment="1">
      <alignment wrapText="1"/>
    </xf>
    <xf numFmtId="0" fontId="0" fillId="0" borderId="0" xfId="0" applyFill="1" applyAlignment="1"/>
    <xf numFmtId="0" fontId="9" fillId="0" borderId="0" xfId="0" applyFont="1" applyFill="1" applyAlignment="1"/>
    <xf numFmtId="0" fontId="1" fillId="0" borderId="0" xfId="0" applyFont="1" applyFill="1" applyAlignment="1"/>
    <xf numFmtId="0" fontId="0" fillId="0" borderId="0" xfId="0" applyAlignment="1"/>
    <xf numFmtId="0" fontId="0" fillId="3" borderId="0" xfId="0" applyFill="1" applyAlignment="1"/>
    <xf numFmtId="0" fontId="0" fillId="2" borderId="0" xfId="0" applyFill="1"/>
    <xf numFmtId="0" fontId="9" fillId="3" borderId="0" xfId="0" applyFont="1" applyFill="1" applyAlignment="1"/>
    <xf numFmtId="0" fontId="1" fillId="0" borderId="0" xfId="0" applyFont="1" applyBorder="1"/>
    <xf numFmtId="164" fontId="8" fillId="0" borderId="0" xfId="1" applyNumberFormat="1" applyFont="1" applyBorder="1"/>
    <xf numFmtId="0" fontId="4" fillId="0" borderId="0" xfId="1" applyFont="1" applyBorder="1"/>
    <xf numFmtId="164" fontId="4" fillId="0" borderId="0" xfId="1" applyNumberFormat="1" applyFont="1" applyBorder="1"/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/>
    </xf>
    <xf numFmtId="0" fontId="4" fillId="0" borderId="16" xfId="1" applyFont="1" applyFill="1" applyBorder="1"/>
    <xf numFmtId="4" fontId="0" fillId="0" borderId="0" xfId="0" applyNumberFormat="1"/>
    <xf numFmtId="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16" fillId="0" borderId="0" xfId="0" applyFont="1" applyAlignment="1">
      <alignment wrapText="1"/>
    </xf>
    <xf numFmtId="0" fontId="16" fillId="3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9" fontId="0" fillId="0" borderId="0" xfId="0" applyNumberFormat="1"/>
    <xf numFmtId="0" fontId="0" fillId="4" borderId="0" xfId="0" applyFill="1" applyAlignment="1">
      <alignment wrapText="1"/>
    </xf>
    <xf numFmtId="3" fontId="9" fillId="4" borderId="0" xfId="0" applyNumberFormat="1" applyFont="1" applyFill="1" applyAlignment="1">
      <alignment wrapText="1"/>
    </xf>
    <xf numFmtId="0" fontId="9" fillId="4" borderId="0" xfId="0" applyFont="1" applyFill="1" applyAlignment="1">
      <alignment wrapText="1"/>
    </xf>
    <xf numFmtId="0" fontId="0" fillId="4" borderId="0" xfId="0" applyFill="1"/>
    <xf numFmtId="9" fontId="0" fillId="4" borderId="0" xfId="0" applyNumberFormat="1" applyFill="1" applyAlignment="1">
      <alignment wrapText="1"/>
    </xf>
    <xf numFmtId="0" fontId="14" fillId="4" borderId="0" xfId="0" applyFont="1" applyFill="1"/>
    <xf numFmtId="0" fontId="14" fillId="0" borderId="0" xfId="0" applyFont="1" applyFill="1" applyBorder="1"/>
    <xf numFmtId="0" fontId="14" fillId="0" borderId="0" xfId="3" applyFont="1" applyFill="1" applyBorder="1" applyAlignment="1"/>
    <xf numFmtId="0" fontId="14" fillId="0" borderId="0" xfId="4" applyFont="1" applyFill="1" applyBorder="1" applyAlignment="1"/>
    <xf numFmtId="0" fontId="2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3" xfId="0" applyFont="1" applyBorder="1"/>
    <xf numFmtId="0" fontId="0" fillId="0" borderId="12" xfId="0" applyFont="1" applyBorder="1"/>
    <xf numFmtId="0" fontId="0" fillId="0" borderId="22" xfId="0" applyFont="1" applyBorder="1"/>
    <xf numFmtId="0" fontId="1" fillId="0" borderId="0" xfId="0" applyFont="1" applyAlignment="1">
      <alignment vertical="center" wrapText="1"/>
    </xf>
    <xf numFmtId="0" fontId="0" fillId="0" borderId="6" xfId="0" applyFont="1" applyBorder="1"/>
    <xf numFmtId="0" fontId="0" fillId="0" borderId="5" xfId="0" applyFont="1" applyBorder="1"/>
    <xf numFmtId="0" fontId="0" fillId="0" borderId="23" xfId="0" applyFont="1" applyBorder="1"/>
    <xf numFmtId="0" fontId="20" fillId="0" borderId="24" xfId="0" applyFont="1" applyBorder="1" applyAlignment="1">
      <alignment vertical="center" wrapText="1"/>
    </xf>
    <xf numFmtId="0" fontId="0" fillId="0" borderId="9" xfId="0" applyFont="1" applyBorder="1"/>
    <xf numFmtId="0" fontId="0" fillId="0" borderId="8" xfId="0" applyFont="1" applyBorder="1"/>
    <xf numFmtId="0" fontId="0" fillId="0" borderId="25" xfId="0" applyFont="1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0" fillId="0" borderId="19" xfId="0" applyBorder="1" applyAlignment="1"/>
    <xf numFmtId="0" fontId="1" fillId="0" borderId="6" xfId="0" applyFont="1" applyBorder="1" applyAlignment="1">
      <alignment wrapText="1"/>
    </xf>
    <xf numFmtId="0" fontId="0" fillId="0" borderId="12" xfId="0" applyBorder="1" applyAlignment="1">
      <alignment horizontal="center"/>
    </xf>
    <xf numFmtId="0" fontId="0" fillId="0" borderId="29" xfId="0" applyBorder="1"/>
    <xf numFmtId="0" fontId="0" fillId="0" borderId="5" xfId="0" applyBorder="1" applyAlignment="1">
      <alignment wrapText="1"/>
    </xf>
    <xf numFmtId="44" fontId="0" fillId="0" borderId="5" xfId="2" applyFont="1" applyBorder="1"/>
    <xf numFmtId="44" fontId="0" fillId="0" borderId="30" xfId="0" applyNumberFormat="1" applyFill="1" applyBorder="1"/>
    <xf numFmtId="44" fontId="0" fillId="0" borderId="0" xfId="0" applyNumberFormat="1" applyFill="1" applyBorder="1"/>
    <xf numFmtId="0" fontId="0" fillId="7" borderId="0" xfId="0" applyFill="1" applyBorder="1"/>
    <xf numFmtId="0" fontId="1" fillId="0" borderId="15" xfId="0" applyFont="1" applyBorder="1" applyAlignment="1">
      <alignment wrapText="1"/>
    </xf>
    <xf numFmtId="0" fontId="0" fillId="0" borderId="5" xfId="0" applyBorder="1" applyAlignment="1">
      <alignment horizontal="center"/>
    </xf>
    <xf numFmtId="44" fontId="0" fillId="0" borderId="30" xfId="0" applyNumberFormat="1" applyBorder="1"/>
    <xf numFmtId="0" fontId="0" fillId="0" borderId="29" xfId="0" applyFill="1" applyBorder="1"/>
    <xf numFmtId="0" fontId="0" fillId="0" borderId="6" xfId="0" applyBorder="1" applyAlignment="1">
      <alignment wrapText="1"/>
    </xf>
    <xf numFmtId="0" fontId="1" fillId="0" borderId="0" xfId="0" applyFont="1" applyFill="1" applyBorder="1" applyAlignment="1">
      <alignment wrapText="1"/>
    </xf>
    <xf numFmtId="44" fontId="0" fillId="0" borderId="32" xfId="0" applyNumberFormat="1" applyFont="1" applyFill="1" applyBorder="1"/>
    <xf numFmtId="44" fontId="0" fillId="0" borderId="33" xfId="2" applyFont="1" applyBorder="1"/>
    <xf numFmtId="0" fontId="1" fillId="0" borderId="15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5" xfId="0" applyFill="1" applyBorder="1"/>
    <xf numFmtId="0" fontId="0" fillId="3" borderId="30" xfId="0" applyFill="1" applyBorder="1"/>
    <xf numFmtId="0" fontId="0" fillId="0" borderId="30" xfId="0" applyFill="1" applyBorder="1"/>
    <xf numFmtId="43" fontId="0" fillId="0" borderId="0" xfId="5" applyFont="1" applyBorder="1"/>
    <xf numFmtId="0" fontId="1" fillId="0" borderId="34" xfId="0" applyFont="1" applyBorder="1" applyAlignment="1">
      <alignment wrapText="1"/>
    </xf>
    <xf numFmtId="0" fontId="0" fillId="0" borderId="9" xfId="0" applyBorder="1" applyAlignment="1">
      <alignment wrapText="1"/>
    </xf>
    <xf numFmtId="43" fontId="0" fillId="0" borderId="8" xfId="0" applyNumberFormat="1" applyBorder="1"/>
    <xf numFmtId="43" fontId="0" fillId="0" borderId="32" xfId="0" applyNumberFormat="1" applyFill="1" applyBorder="1"/>
    <xf numFmtId="43" fontId="14" fillId="3" borderId="0" xfId="0" applyNumberFormat="1" applyFont="1" applyFill="1" applyBorder="1"/>
    <xf numFmtId="44" fontId="0" fillId="0" borderId="5" xfId="2" applyFont="1" applyFill="1" applyBorder="1"/>
    <xf numFmtId="44" fontId="0" fillId="0" borderId="8" xfId="2" applyFont="1" applyBorder="1"/>
    <xf numFmtId="44" fontId="0" fillId="0" borderId="0" xfId="0" applyNumberFormat="1"/>
    <xf numFmtId="0" fontId="0" fillId="8" borderId="5" xfId="0" applyFill="1" applyBorder="1"/>
    <xf numFmtId="44" fontId="0" fillId="8" borderId="5" xfId="0" applyNumberFormat="1" applyFill="1" applyBorder="1"/>
    <xf numFmtId="2" fontId="0" fillId="8" borderId="5" xfId="0" applyNumberFormat="1" applyFill="1" applyBorder="1"/>
    <xf numFmtId="0" fontId="2" fillId="0" borderId="0" xfId="0" applyFont="1" applyBorder="1" applyAlignment="1">
      <alignment horizontal="left" vertical="center"/>
    </xf>
    <xf numFmtId="0" fontId="1" fillId="0" borderId="31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</cellXfs>
  <cellStyles count="6">
    <cellStyle name="Bad" xfId="4" builtinId="27"/>
    <cellStyle name="Comma" xfId="5" builtinId="3"/>
    <cellStyle name="Currency" xfId="2" builtinId="4"/>
    <cellStyle name="Good" xfId="3" builtinId="26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'Monthly data'!$A$3:$A$38</c:f>
              <c:numCache>
                <c:formatCode>m/d/yy</c:formatCode>
                <c:ptCount val="36"/>
                <c:pt idx="0">
                  <c:v>42401</c:v>
                </c:pt>
                <c:pt idx="1">
                  <c:v>42430</c:v>
                </c:pt>
                <c:pt idx="2">
                  <c:v>42461</c:v>
                </c:pt>
                <c:pt idx="3">
                  <c:v>42491</c:v>
                </c:pt>
                <c:pt idx="4">
                  <c:v>42522</c:v>
                </c:pt>
                <c:pt idx="5">
                  <c:v>42552</c:v>
                </c:pt>
                <c:pt idx="6">
                  <c:v>42583</c:v>
                </c:pt>
                <c:pt idx="7">
                  <c:v>42614</c:v>
                </c:pt>
                <c:pt idx="8">
                  <c:v>42644</c:v>
                </c:pt>
                <c:pt idx="9">
                  <c:v>42675</c:v>
                </c:pt>
                <c:pt idx="10">
                  <c:v>42705</c:v>
                </c:pt>
                <c:pt idx="11">
                  <c:v>42736</c:v>
                </c:pt>
                <c:pt idx="12">
                  <c:v>42767</c:v>
                </c:pt>
                <c:pt idx="13">
                  <c:v>42795</c:v>
                </c:pt>
                <c:pt idx="14">
                  <c:v>42826</c:v>
                </c:pt>
                <c:pt idx="15">
                  <c:v>42856</c:v>
                </c:pt>
                <c:pt idx="16">
                  <c:v>42887</c:v>
                </c:pt>
                <c:pt idx="17">
                  <c:v>42917</c:v>
                </c:pt>
                <c:pt idx="18">
                  <c:v>42948</c:v>
                </c:pt>
                <c:pt idx="19">
                  <c:v>42979</c:v>
                </c:pt>
                <c:pt idx="20">
                  <c:v>43009</c:v>
                </c:pt>
                <c:pt idx="21">
                  <c:v>43040</c:v>
                </c:pt>
                <c:pt idx="22">
                  <c:v>43070</c:v>
                </c:pt>
                <c:pt idx="23">
                  <c:v>43101</c:v>
                </c:pt>
                <c:pt idx="24">
                  <c:v>43132</c:v>
                </c:pt>
                <c:pt idx="25">
                  <c:v>43160</c:v>
                </c:pt>
                <c:pt idx="26">
                  <c:v>43191</c:v>
                </c:pt>
                <c:pt idx="27">
                  <c:v>43221</c:v>
                </c:pt>
                <c:pt idx="28">
                  <c:v>43252</c:v>
                </c:pt>
                <c:pt idx="29">
                  <c:v>43282</c:v>
                </c:pt>
                <c:pt idx="30">
                  <c:v>43313</c:v>
                </c:pt>
                <c:pt idx="31">
                  <c:v>43344</c:v>
                </c:pt>
                <c:pt idx="32">
                  <c:v>43374</c:v>
                </c:pt>
                <c:pt idx="33">
                  <c:v>43405</c:v>
                </c:pt>
                <c:pt idx="34">
                  <c:v>43435</c:v>
                </c:pt>
                <c:pt idx="35">
                  <c:v>43466</c:v>
                </c:pt>
              </c:numCache>
            </c:numRef>
          </c:cat>
          <c:val>
            <c:numRef>
              <c:f>'Monthly data'!$B$3:$B$38</c:f>
              <c:numCache>
                <c:formatCode>General</c:formatCode>
                <c:ptCount val="36"/>
                <c:pt idx="0">
                  <c:v>2324</c:v>
                </c:pt>
                <c:pt idx="1">
                  <c:v>2266</c:v>
                </c:pt>
                <c:pt idx="2">
                  <c:v>3121</c:v>
                </c:pt>
                <c:pt idx="3">
                  <c:v>3548</c:v>
                </c:pt>
                <c:pt idx="4">
                  <c:v>3313</c:v>
                </c:pt>
                <c:pt idx="5">
                  <c:v>2510</c:v>
                </c:pt>
                <c:pt idx="6">
                  <c:v>2172.5</c:v>
                </c:pt>
                <c:pt idx="7">
                  <c:v>2371.5</c:v>
                </c:pt>
                <c:pt idx="8">
                  <c:v>3341</c:v>
                </c:pt>
                <c:pt idx="9">
                  <c:v>3648.5</c:v>
                </c:pt>
                <c:pt idx="10">
                  <c:v>3564.5</c:v>
                </c:pt>
                <c:pt idx="11">
                  <c:v>2402</c:v>
                </c:pt>
                <c:pt idx="12">
                  <c:v>2657</c:v>
                </c:pt>
                <c:pt idx="13">
                  <c:v>2675</c:v>
                </c:pt>
                <c:pt idx="14">
                  <c:v>3019</c:v>
                </c:pt>
                <c:pt idx="15">
                  <c:v>3486.5</c:v>
                </c:pt>
                <c:pt idx="16">
                  <c:v>3575.5</c:v>
                </c:pt>
                <c:pt idx="17">
                  <c:v>2691</c:v>
                </c:pt>
                <c:pt idx="18">
                  <c:v>3162.5</c:v>
                </c:pt>
                <c:pt idx="19">
                  <c:v>3059.5</c:v>
                </c:pt>
                <c:pt idx="20">
                  <c:v>3716</c:v>
                </c:pt>
                <c:pt idx="21">
                  <c:v>4328.5</c:v>
                </c:pt>
                <c:pt idx="22">
                  <c:v>3968.5</c:v>
                </c:pt>
                <c:pt idx="23">
                  <c:v>2518</c:v>
                </c:pt>
                <c:pt idx="24">
                  <c:v>2673.5</c:v>
                </c:pt>
                <c:pt idx="25">
                  <c:v>2791.5</c:v>
                </c:pt>
                <c:pt idx="26">
                  <c:v>3498</c:v>
                </c:pt>
                <c:pt idx="27">
                  <c:v>3725</c:v>
                </c:pt>
                <c:pt idx="28">
                  <c:v>4093</c:v>
                </c:pt>
                <c:pt idx="29">
                  <c:v>3041</c:v>
                </c:pt>
                <c:pt idx="30">
                  <c:v>3454</c:v>
                </c:pt>
                <c:pt idx="31">
                  <c:v>3384</c:v>
                </c:pt>
                <c:pt idx="32">
                  <c:v>4341</c:v>
                </c:pt>
                <c:pt idx="33">
                  <c:v>4759</c:v>
                </c:pt>
                <c:pt idx="34">
                  <c:v>4723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F9-48BC-B68C-7EAD77E01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40368"/>
        <c:axId val="601804704"/>
      </c:lineChart>
      <c:dateAx>
        <c:axId val="6035403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04704"/>
        <c:crosses val="autoZero"/>
        <c:auto val="1"/>
        <c:lblOffset val="100"/>
        <c:baseTimeUnit val="months"/>
      </c:dateAx>
      <c:valAx>
        <c:axId val="60180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4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Donuts to Go: Revenue,  Expenses and Profit  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By Donuts Sold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'Prof current operations'!$A$27</c:f>
              <c:strCache>
                <c:ptCount val="1"/>
                <c:pt idx="0">
                  <c:v>Profit Donuts and Coffee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'Prof current operations'!$B$5:$M$5</c:f>
              <c:strCache>
                <c:ptCount val="12"/>
                <c:pt idx="0">
                  <c:v>January 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'Prof current operations'!$B$27:$M$27</c:f>
              <c:numCache>
                <c:formatCode>General</c:formatCode>
                <c:ptCount val="12"/>
                <c:pt idx="0">
                  <c:v>15069.483981514833</c:v>
                </c:pt>
                <c:pt idx="1">
                  <c:v>15975.028243771776</c:v>
                </c:pt>
                <c:pt idx="2">
                  <c:v>16685.00969210262</c:v>
                </c:pt>
                <c:pt idx="3">
                  <c:v>20903.249378861154</c:v>
                </c:pt>
                <c:pt idx="4">
                  <c:v>19532.505229336366</c:v>
                </c:pt>
                <c:pt idx="5">
                  <c:v>19319.938138799957</c:v>
                </c:pt>
                <c:pt idx="6">
                  <c:v>16062.916541640376</c:v>
                </c:pt>
                <c:pt idx="7">
                  <c:v>18614.99086261386</c:v>
                </c:pt>
                <c:pt idx="8">
                  <c:v>19170.299416113437</c:v>
                </c:pt>
                <c:pt idx="9">
                  <c:v>19640.147662346015</c:v>
                </c:pt>
                <c:pt idx="10">
                  <c:v>16582.759921669942</c:v>
                </c:pt>
                <c:pt idx="11">
                  <c:v>17159.697226735254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69-43CC-ADD6-03D8513F8E0C}"/>
            </c:ext>
          </c:extLst>
        </c:ser>
        <c:ser>
          <c:idx val="1"/>
          <c:order val="1"/>
          <c:tx>
            <c:strRef>
              <c:f>'Prof current operations'!$A$57</c:f>
              <c:strCache>
                <c:ptCount val="1"/>
                <c:pt idx="0">
                  <c:v>Profit High demand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'Prof current operations'!$B$5:$M$5</c:f>
              <c:strCache>
                <c:ptCount val="12"/>
                <c:pt idx="0">
                  <c:v>January 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'Prof current operations'!$B$57:$M$57</c:f>
              <c:numCache>
                <c:formatCode>General</c:formatCode>
                <c:ptCount val="12"/>
                <c:pt idx="0">
                  <c:v>18873.380777817802</c:v>
                </c:pt>
                <c:pt idx="1">
                  <c:v>19960.033892526128</c:v>
                </c:pt>
                <c:pt idx="2">
                  <c:v>20812.011630523146</c:v>
                </c:pt>
                <c:pt idx="3">
                  <c:v>18734.528357775976</c:v>
                </c:pt>
                <c:pt idx="4">
                  <c:v>16829.006275203639</c:v>
                </c:pt>
                <c:pt idx="5">
                  <c:v>16573.925766559951</c:v>
                </c:pt>
                <c:pt idx="6">
                  <c:v>20065.499849968448</c:v>
                </c:pt>
                <c:pt idx="7">
                  <c:v>20052.565263134416</c:v>
                </c:pt>
                <c:pt idx="8">
                  <c:v>19732.70753631866</c:v>
                </c:pt>
                <c:pt idx="9">
                  <c:v>16958.17719481522</c:v>
                </c:pt>
                <c:pt idx="10">
                  <c:v>13289.311906003932</c:v>
                </c:pt>
                <c:pt idx="11">
                  <c:v>13981.636672082306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BD-431D-BA22-7A5FDCFCD8E7}"/>
            </c:ext>
          </c:extLst>
        </c:ser>
        <c:ser>
          <c:idx val="2"/>
          <c:order val="2"/>
          <c:tx>
            <c:strRef>
              <c:f>'Prof current operations'!$A$88</c:f>
              <c:strCache>
                <c:ptCount val="1"/>
                <c:pt idx="0">
                  <c:v>Profit low demand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'Prof current operations'!$B$5:$M$5</c:f>
              <c:strCache>
                <c:ptCount val="12"/>
                <c:pt idx="0">
                  <c:v>January 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'Prof current operations'!$B$88:$M$88</c:f>
              <c:numCache>
                <c:formatCode>General</c:formatCode>
                <c:ptCount val="12"/>
                <c:pt idx="0">
                  <c:v>10314.612986136126</c:v>
                </c:pt>
                <c:pt idx="1">
                  <c:v>10993.771182828832</c:v>
                </c:pt>
                <c:pt idx="2">
                  <c:v>11526.257269076965</c:v>
                </c:pt>
                <c:pt idx="3">
                  <c:v>14689.937034145863</c:v>
                </c:pt>
                <c:pt idx="4">
                  <c:v>17171.085579161929</c:v>
                </c:pt>
                <c:pt idx="5">
                  <c:v>17503.221658125069</c:v>
                </c:pt>
                <c:pt idx="6">
                  <c:v>11059.687406230285</c:v>
                </c:pt>
                <c:pt idx="7">
                  <c:v>12973.743146960396</c:v>
                </c:pt>
                <c:pt idx="8">
                  <c:v>13390.224562085077</c:v>
                </c:pt>
                <c:pt idx="9">
                  <c:v>17002.894277584353</c:v>
                </c:pt>
                <c:pt idx="10">
                  <c:v>20699.569941252455</c:v>
                </c:pt>
                <c:pt idx="11">
                  <c:v>20878.598083226163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BD-431D-BA22-7A5FDCFCD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404704"/>
        <c:axId val="732407984"/>
      </c:lineChart>
      <c:catAx>
        <c:axId val="73240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407984"/>
        <c:crosses val="autoZero"/>
        <c:auto val="1"/>
        <c:lblAlgn val="ctr"/>
        <c:lblOffset val="100"/>
        <c:noMultiLvlLbl val="0"/>
      </c:catAx>
      <c:valAx>
        <c:axId val="73240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40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Donuts to Go: Revenue,  Expenses and Profit  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By Donuts Sold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'Prof franchise '!$A$28</c:f>
              <c:strCache>
                <c:ptCount val="1"/>
                <c:pt idx="0">
                  <c:v>Profit Donuts and Coffee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'Prof franchise '!$B$5:$M$5</c:f>
              <c:strCache>
                <c:ptCount val="12"/>
                <c:pt idx="0">
                  <c:v>January 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'Prof franchise '!$B$28:$M$28</c:f>
              <c:numCache>
                <c:formatCode>General</c:formatCode>
                <c:ptCount val="12"/>
                <c:pt idx="0">
                  <c:v>14294.180444243419</c:v>
                </c:pt>
                <c:pt idx="1">
                  <c:v>13663.052315220826</c:v>
                </c:pt>
                <c:pt idx="2">
                  <c:v>13168.223644992158</c:v>
                </c:pt>
                <c:pt idx="3">
                  <c:v>10228.279312908933</c:v>
                </c:pt>
                <c:pt idx="4">
                  <c:v>7922.5975929964034</c:v>
                </c:pt>
                <c:pt idx="5">
                  <c:v>7613.9501775375375</c:v>
                </c:pt>
                <c:pt idx="6">
                  <c:v>13601.797687138325</c:v>
                </c:pt>
                <c:pt idx="7">
                  <c:v>11823.103968392646</c:v>
                </c:pt>
                <c:pt idx="8">
                  <c:v>11436.076118945581</c:v>
                </c:pt>
                <c:pt idx="9">
                  <c:v>8078.8944057264171</c:v>
                </c:pt>
                <c:pt idx="10">
                  <c:v>3639.5674062647558</c:v>
                </c:pt>
                <c:pt idx="11">
                  <c:v>4477.2803732195898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C7-4F05-AB17-B411DD617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404704"/>
        <c:axId val="732407984"/>
      </c:lineChart>
      <c:catAx>
        <c:axId val="73240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407984"/>
        <c:crosses val="autoZero"/>
        <c:auto val="1"/>
        <c:lblAlgn val="ctr"/>
        <c:lblOffset val="100"/>
        <c:noMultiLvlLbl val="0"/>
      </c:catAx>
      <c:valAx>
        <c:axId val="73240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40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64293</xdr:colOff>
      <xdr:row>2</xdr:row>
      <xdr:rowOff>30956</xdr:rowOff>
    </xdr:from>
    <xdr:to>
      <xdr:col>19</xdr:col>
      <xdr:colOff>102393</xdr:colOff>
      <xdr:row>17</xdr:row>
      <xdr:rowOff>59531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2F7C80-8103-4A4A-831B-48EA0A622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715401</xdr:colOff>
      <xdr:row>0</xdr:row>
      <xdr:rowOff>145312</xdr:rowOff>
    </xdr:from>
    <xdr:to>
      <xdr:col>22</xdr:col>
      <xdr:colOff>181787</xdr:colOff>
      <xdr:row>16</xdr:row>
      <xdr:rowOff>190687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271097-8B92-44B7-B7D1-7AF0FE7B1D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372512</xdr:colOff>
      <xdr:row>3</xdr:row>
      <xdr:rowOff>170916</xdr:rowOff>
    </xdr:from>
    <xdr:to>
      <xdr:col>3</xdr:col>
      <xdr:colOff>306343</xdr:colOff>
      <xdr:row>9</xdr:row>
      <xdr:rowOff>134182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79D55FDC-0154-4A8A-A9A4-B95F45F5D437}"/>
            </a:ext>
          </a:extLst>
        </xdr:cNvPr>
        <xdr:cNvSpPr/>
      </xdr:nvSpPr>
      <xdr:spPr>
        <a:xfrm rot="382088">
          <a:off x="2034194" y="1132318"/>
          <a:ext cx="1868504" cy="186233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B.  Using satisfied demand for revenue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 editAs="oneCell">
    <xdr:from>
      <xdr:col>7</xdr:col>
      <xdr:colOff>749300</xdr:colOff>
      <xdr:row>1</xdr:row>
      <xdr:rowOff>50800</xdr:rowOff>
    </xdr:from>
    <xdr:to>
      <xdr:col>9</xdr:col>
      <xdr:colOff>118996</xdr:colOff>
      <xdr:row>4</xdr:row>
      <xdr:rowOff>232521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399C57-8E98-4645-A51F-04BEE3F8E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64450" y="419100"/>
          <a:ext cx="1414395" cy="1280271"/>
        </a:xfrm>
        <a:prstGeom prst="rect">
          <a:avLst/>
        </a:prstGeom>
      </xdr:spPr>
    </xdr:pic>
    <xdr:clientData/>
  </xdr:twoCellAnchor>
  <xdr:twoCellAnchor>
    <xdr:from>
      <xdr:col>2</xdr:col>
      <xdr:colOff>577850</xdr:colOff>
      <xdr:row>18</xdr:row>
      <xdr:rowOff>152400</xdr:rowOff>
    </xdr:from>
    <xdr:to>
      <xdr:col>4</xdr:col>
      <xdr:colOff>592225</xdr:colOff>
      <xdr:row>23</xdr:row>
      <xdr:rowOff>38196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E6B245D1-A051-43C4-96C2-D594A7BCE619}"/>
            </a:ext>
          </a:extLst>
        </xdr:cNvPr>
        <xdr:cNvSpPr/>
      </xdr:nvSpPr>
      <xdr:spPr>
        <a:xfrm rot="382088">
          <a:off x="3098800" y="4889500"/>
          <a:ext cx="1779675" cy="169554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C.  Unhappy customers as an</a:t>
          </a:r>
          <a:r>
            <a:rPr lang="en-US" sz="1100" baseline="0"/>
            <a:t> expense</a:t>
          </a:r>
          <a:endParaRPr lang="en-US" sz="1100"/>
        </a:p>
      </xdr:txBody>
    </xdr:sp>
    <xdr:clientData/>
  </xdr:twoCellAnchor>
  <xdr:twoCellAnchor>
    <xdr:from>
      <xdr:col>7</xdr:col>
      <xdr:colOff>493936</xdr:colOff>
      <xdr:row>17</xdr:row>
      <xdr:rowOff>149967</xdr:rowOff>
    </xdr:from>
    <xdr:to>
      <xdr:col>9</xdr:col>
      <xdr:colOff>442913</xdr:colOff>
      <xdr:row>21</xdr:row>
      <xdr:rowOff>243296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58CFD472-3CDC-4019-AB4E-A00AE37CB104}"/>
            </a:ext>
          </a:extLst>
        </xdr:cNvPr>
        <xdr:cNvSpPr/>
      </xdr:nvSpPr>
      <xdr:spPr>
        <a:xfrm rot="382088">
          <a:off x="8007114" y="4980715"/>
          <a:ext cx="2109163" cy="187370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D.  Unhappy customers as an</a:t>
          </a:r>
          <a:r>
            <a:rPr lang="en-US" sz="1100" baseline="0"/>
            <a:t> expense</a:t>
          </a:r>
          <a:endParaRPr lang="en-US" sz="1100"/>
        </a:p>
      </xdr:txBody>
    </xdr:sp>
    <xdr:clientData/>
  </xdr:twoCellAnchor>
  <xdr:twoCellAnchor>
    <xdr:from>
      <xdr:col>0</xdr:col>
      <xdr:colOff>1365252</xdr:colOff>
      <xdr:row>57</xdr:row>
      <xdr:rowOff>101600</xdr:rowOff>
    </xdr:from>
    <xdr:to>
      <xdr:col>2</xdr:col>
      <xdr:colOff>623977</xdr:colOff>
      <xdr:row>64</xdr:row>
      <xdr:rowOff>177896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1318AB92-52A8-4E31-A3E3-32E96F79D4FA}"/>
            </a:ext>
          </a:extLst>
        </xdr:cNvPr>
        <xdr:cNvSpPr/>
      </xdr:nvSpPr>
      <xdr:spPr>
        <a:xfrm rot="382088">
          <a:off x="1365252" y="15919450"/>
          <a:ext cx="1779675" cy="169554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F1 Low Demand</a:t>
          </a:r>
        </a:p>
      </xdr:txBody>
    </xdr:sp>
    <xdr:clientData/>
  </xdr:twoCellAnchor>
  <xdr:twoCellAnchor>
    <xdr:from>
      <xdr:col>2</xdr:col>
      <xdr:colOff>281518</xdr:colOff>
      <xdr:row>29</xdr:row>
      <xdr:rowOff>76200</xdr:rowOff>
    </xdr:from>
    <xdr:to>
      <xdr:col>4</xdr:col>
      <xdr:colOff>344576</xdr:colOff>
      <xdr:row>34</xdr:row>
      <xdr:rowOff>127096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5E4475CA-5AA2-4DC3-9FC6-AAE957BEB8EC}"/>
            </a:ext>
          </a:extLst>
        </xdr:cNvPr>
        <xdr:cNvSpPr/>
      </xdr:nvSpPr>
      <xdr:spPr>
        <a:xfrm rot="382088">
          <a:off x="2948518" y="8669867"/>
          <a:ext cx="1925725" cy="182889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F2. High  Demand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715401</xdr:colOff>
      <xdr:row>8</xdr:row>
      <xdr:rowOff>269137</xdr:rowOff>
    </xdr:from>
    <xdr:to>
      <xdr:col>23</xdr:col>
      <xdr:colOff>286562</xdr:colOff>
      <xdr:row>21</xdr:row>
      <xdr:rowOff>76387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783E24-CBD9-4433-B42C-DD22FFECBD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750100</xdr:colOff>
      <xdr:row>3</xdr:row>
      <xdr:rowOff>303817</xdr:rowOff>
    </xdr:from>
    <xdr:to>
      <xdr:col>6</xdr:col>
      <xdr:colOff>65975</xdr:colOff>
      <xdr:row>10</xdr:row>
      <xdr:rowOff>35097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3E961D0C-37DB-4B96-A084-46DFC888FFBE}"/>
            </a:ext>
          </a:extLst>
        </xdr:cNvPr>
        <xdr:cNvSpPr/>
      </xdr:nvSpPr>
      <xdr:spPr>
        <a:xfrm rot="382088">
          <a:off x="4183333" y="1645784"/>
          <a:ext cx="1779675" cy="169554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B.  Using satisfied demand for revenue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3</xdr:col>
      <xdr:colOff>640034</xdr:colOff>
      <xdr:row>19</xdr:row>
      <xdr:rowOff>109086</xdr:rowOff>
    </xdr:from>
    <xdr:to>
      <xdr:col>5</xdr:col>
      <xdr:colOff>607842</xdr:colOff>
      <xdr:row>23</xdr:row>
      <xdr:rowOff>174798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294E8B9D-EA5E-47DB-987B-6592C08BA8B6}"/>
            </a:ext>
          </a:extLst>
        </xdr:cNvPr>
        <xdr:cNvSpPr/>
      </xdr:nvSpPr>
      <xdr:spPr>
        <a:xfrm rot="382088">
          <a:off x="4073267" y="5510819"/>
          <a:ext cx="1779675" cy="169554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C.  Unhappy customers as an</a:t>
          </a:r>
          <a:r>
            <a:rPr lang="en-US" sz="1100" baseline="0"/>
            <a:t> expense</a:t>
          </a:r>
          <a:endParaRPr lang="en-US" sz="1100"/>
        </a:p>
      </xdr:txBody>
    </xdr:sp>
    <xdr:clientData/>
  </xdr:twoCellAnchor>
  <xdr:twoCellAnchor>
    <xdr:from>
      <xdr:col>6</xdr:col>
      <xdr:colOff>123568</xdr:colOff>
      <xdr:row>19</xdr:row>
      <xdr:rowOff>460452</xdr:rowOff>
    </xdr:from>
    <xdr:to>
      <xdr:col>7</xdr:col>
      <xdr:colOff>878776</xdr:colOff>
      <xdr:row>25</xdr:row>
      <xdr:rowOff>162098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7CAD881C-5AD7-401D-B1CF-D24549FA9E3B}"/>
            </a:ext>
          </a:extLst>
        </xdr:cNvPr>
        <xdr:cNvSpPr/>
      </xdr:nvSpPr>
      <xdr:spPr>
        <a:xfrm rot="382088">
          <a:off x="6020601" y="5862185"/>
          <a:ext cx="1779675" cy="169554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D.  Unhappy customers as an</a:t>
          </a:r>
          <a:r>
            <a:rPr lang="en-US" sz="1100" baseline="0"/>
            <a:t> expense</a:t>
          </a:r>
          <a:endParaRPr lang="en-US" sz="1100"/>
        </a:p>
      </xdr:txBody>
    </xdr:sp>
    <xdr:clientData/>
  </xdr:twoCellAnchor>
  <xdr:twoCellAnchor>
    <xdr:from>
      <xdr:col>9</xdr:col>
      <xdr:colOff>359833</xdr:colOff>
      <xdr:row>2</xdr:row>
      <xdr:rowOff>228601</xdr:rowOff>
    </xdr:from>
    <xdr:to>
      <xdr:col>10</xdr:col>
      <xdr:colOff>899141</xdr:colOff>
      <xdr:row>6</xdr:row>
      <xdr:rowOff>175780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F26D0498-F3CE-455E-90F9-4A2C298D22A9}"/>
            </a:ext>
          </a:extLst>
        </xdr:cNvPr>
        <xdr:cNvSpPr/>
      </xdr:nvSpPr>
      <xdr:spPr>
        <a:xfrm rot="382088">
          <a:off x="9330266" y="825501"/>
          <a:ext cx="1779675" cy="1695546"/>
        </a:xfrm>
        <a:prstGeom prst="down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Can only have leftovers or Unsatisfied</a:t>
          </a:r>
          <a:r>
            <a:rPr lang="en-US" sz="1100" baseline="0"/>
            <a:t> customers..  one of two will always be 0.</a:t>
          </a:r>
          <a:endParaRPr lang="en-US" sz="1100"/>
        </a:p>
      </xdr:txBody>
    </xdr:sp>
    <xdr:clientData/>
  </xdr:twoCellAnchor>
  <xdr:twoCellAnchor>
    <xdr:from>
      <xdr:col>6</xdr:col>
      <xdr:colOff>965788</xdr:colOff>
      <xdr:row>2</xdr:row>
      <xdr:rowOff>314804</xdr:rowOff>
    </xdr:from>
    <xdr:to>
      <xdr:col>8</xdr:col>
      <xdr:colOff>296758</xdr:colOff>
      <xdr:row>4</xdr:row>
      <xdr:rowOff>207194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60E6FDB5-4EA6-45A9-887B-669AD8612480}"/>
            </a:ext>
          </a:extLst>
        </xdr:cNvPr>
        <xdr:cNvSpPr/>
      </xdr:nvSpPr>
      <xdr:spPr>
        <a:xfrm rot="382088">
          <a:off x="6862821" y="911704"/>
          <a:ext cx="1379904" cy="122589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A. Forecast from part</a:t>
          </a:r>
          <a:r>
            <a:rPr lang="en-US" sz="1100" baseline="0"/>
            <a:t> 1 </a:t>
          </a:r>
          <a:endParaRPr lang="en-US" sz="1100"/>
        </a:p>
      </xdr:txBody>
    </xdr:sp>
    <xdr:clientData/>
  </xdr:twoCellAnchor>
  <xdr:twoCellAnchor>
    <xdr:from>
      <xdr:col>1</xdr:col>
      <xdr:colOff>767757</xdr:colOff>
      <xdr:row>0</xdr:row>
      <xdr:rowOff>96109</xdr:rowOff>
    </xdr:from>
    <xdr:to>
      <xdr:col>3</xdr:col>
      <xdr:colOff>697466</xdr:colOff>
      <xdr:row>2</xdr:row>
      <xdr:rowOff>338197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F00D5B5F-A18F-41CD-87B3-B14BD586D421}"/>
            </a:ext>
          </a:extLst>
        </xdr:cNvPr>
        <xdr:cNvSpPr/>
      </xdr:nvSpPr>
      <xdr:spPr>
        <a:xfrm rot="382088">
          <a:off x="2351024" y="96109"/>
          <a:ext cx="1779675" cy="8389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E1.  Increase demand </a:t>
          </a:r>
        </a:p>
      </xdr:txBody>
    </xdr:sp>
    <xdr:clientData/>
  </xdr:twoCellAnchor>
  <xdr:twoCellAnchor>
    <xdr:from>
      <xdr:col>0</xdr:col>
      <xdr:colOff>939799</xdr:colOff>
      <xdr:row>11</xdr:row>
      <xdr:rowOff>101599</xdr:rowOff>
    </xdr:from>
    <xdr:to>
      <xdr:col>2</xdr:col>
      <xdr:colOff>196407</xdr:colOff>
      <xdr:row>15</xdr:row>
      <xdr:rowOff>9254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FF586D1-2E45-4F19-BC7D-05129F45C2D9}"/>
            </a:ext>
          </a:extLst>
        </xdr:cNvPr>
        <xdr:cNvSpPr/>
      </xdr:nvSpPr>
      <xdr:spPr>
        <a:xfrm rot="382088">
          <a:off x="939799" y="3640666"/>
          <a:ext cx="1779675" cy="8389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E2.  Increase expense</a:t>
          </a:r>
        </a:p>
      </xdr:txBody>
    </xdr:sp>
    <xdr:clientData/>
  </xdr:twoCellAnchor>
  <xdr:twoCellAnchor>
    <xdr:from>
      <xdr:col>1</xdr:col>
      <xdr:colOff>9790</xdr:colOff>
      <xdr:row>59</xdr:row>
      <xdr:rowOff>140599</xdr:rowOff>
    </xdr:from>
    <xdr:to>
      <xdr:col>2</xdr:col>
      <xdr:colOff>416575</xdr:colOff>
      <xdr:row>63</xdr:row>
      <xdr:rowOff>239012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536E0783-1965-4575-9F75-C9510C74C075}"/>
            </a:ext>
          </a:extLst>
        </xdr:cNvPr>
        <xdr:cNvSpPr/>
      </xdr:nvSpPr>
      <xdr:spPr>
        <a:xfrm rot="382088">
          <a:off x="1593057" y="17040066"/>
          <a:ext cx="1346585" cy="116097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F1 Low Demand</a:t>
          </a:r>
        </a:p>
      </xdr:txBody>
    </xdr:sp>
    <xdr:clientData/>
  </xdr:twoCellAnchor>
  <xdr:twoCellAnchor>
    <xdr:from>
      <xdr:col>0</xdr:col>
      <xdr:colOff>1526219</xdr:colOff>
      <xdr:row>29</xdr:row>
      <xdr:rowOff>86015</xdr:rowOff>
    </xdr:from>
    <xdr:to>
      <xdr:col>3</xdr:col>
      <xdr:colOff>21463</xdr:colOff>
      <xdr:row>33</xdr:row>
      <xdr:rowOff>212690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B41F9A9F-7FF3-45CE-BE59-9BD8F4FD76DE}"/>
            </a:ext>
          </a:extLst>
        </xdr:cNvPr>
        <xdr:cNvSpPr/>
      </xdr:nvSpPr>
      <xdr:spPr>
        <a:xfrm rot="382088">
          <a:off x="1526219" y="8675448"/>
          <a:ext cx="1928477" cy="11892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F2. High  Demand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</xdr:colOff>
      <xdr:row>0</xdr:row>
      <xdr:rowOff>72390</xdr:rowOff>
    </xdr:from>
    <xdr:to>
      <xdr:col>11</xdr:col>
      <xdr:colOff>152400</xdr:colOff>
      <xdr:row>2</xdr:row>
      <xdr:rowOff>26670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98B4E22-91B3-4B40-8F5D-7B823DF43222}"/>
            </a:ext>
          </a:extLst>
        </xdr:cNvPr>
        <xdr:cNvSpPr/>
      </xdr:nvSpPr>
      <xdr:spPr>
        <a:xfrm>
          <a:off x="8362950" y="72390"/>
          <a:ext cx="4255770" cy="403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Should include some kind of summary /comparison</a:t>
          </a:r>
          <a:r>
            <a:rPr lang="en-US" sz="1100" baseline="0"/>
            <a:t> of alternatives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391712</xdr:colOff>
      <xdr:row>1</xdr:row>
      <xdr:rowOff>10808</xdr:rowOff>
    </xdr:from>
    <xdr:to>
      <xdr:col>7</xdr:col>
      <xdr:colOff>38328</xdr:colOff>
      <xdr:row>7</xdr:row>
      <xdr:rowOff>162132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F44D8CD0-1A23-4D04-AE1E-1711CABDEED9}"/>
            </a:ext>
          </a:extLst>
        </xdr:cNvPr>
        <xdr:cNvSpPr/>
      </xdr:nvSpPr>
      <xdr:spPr>
        <a:xfrm rot="17612997">
          <a:off x="6951120" y="83759"/>
          <a:ext cx="1249936" cy="162929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Include in write up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7"/>
  <sheetViews>
    <sheetView topLeftCell="A5" workbookViewId="0">
      <selection activeCell="B31" sqref="B31:M31"/>
    </sheetView>
  </sheetViews>
  <sheetFormatPr baseColWidth="10" defaultColWidth="8.83203125" defaultRowHeight="15" x14ac:dyDescent="0.2"/>
  <sheetData>
    <row r="1" spans="1:45" ht="64" x14ac:dyDescent="0.2">
      <c r="A1" s="7" t="s">
        <v>126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M1" s="42" t="s">
        <v>127</v>
      </c>
      <c r="AN1" s="42" t="s">
        <v>128</v>
      </c>
      <c r="AO1" s="42" t="s">
        <v>129</v>
      </c>
      <c r="AP1" s="42" t="s">
        <v>130</v>
      </c>
      <c r="AQ1" s="42" t="s">
        <v>131</v>
      </c>
      <c r="AR1" s="42"/>
      <c r="AS1" s="42"/>
    </row>
    <row r="2" spans="1:45" x14ac:dyDescent="0.2">
      <c r="A2" s="7">
        <v>1</v>
      </c>
      <c r="B2">
        <v>2323</v>
      </c>
      <c r="C2">
        <v>2553</v>
      </c>
      <c r="D2">
        <v>2566</v>
      </c>
      <c r="E2">
        <v>2980</v>
      </c>
      <c r="F2">
        <v>3565</v>
      </c>
      <c r="G2">
        <v>3621</v>
      </c>
      <c r="H2">
        <v>2201</v>
      </c>
      <c r="I2">
        <v>2352.5</v>
      </c>
      <c r="J2">
        <v>2409.5</v>
      </c>
      <c r="K2">
        <v>2719</v>
      </c>
      <c r="L2">
        <v>3567</v>
      </c>
      <c r="M2">
        <v>3106</v>
      </c>
      <c r="N2">
        <v>2608</v>
      </c>
      <c r="O2">
        <v>2486.5</v>
      </c>
      <c r="P2">
        <v>2641.5</v>
      </c>
      <c r="Q2">
        <v>3249</v>
      </c>
      <c r="R2">
        <v>3745</v>
      </c>
      <c r="S2">
        <v>3563</v>
      </c>
      <c r="T2">
        <v>2643</v>
      </c>
      <c r="U2">
        <v>3048</v>
      </c>
      <c r="V2">
        <v>3074</v>
      </c>
      <c r="W2">
        <v>3622</v>
      </c>
      <c r="X2">
        <v>4328</v>
      </c>
      <c r="Y2">
        <v>4307</v>
      </c>
      <c r="Z2">
        <v>2793</v>
      </c>
      <c r="AA2">
        <v>2972.5</v>
      </c>
      <c r="AB2">
        <v>3029.5</v>
      </c>
      <c r="AC2">
        <v>3627</v>
      </c>
      <c r="AD2">
        <v>3693</v>
      </c>
      <c r="AE2">
        <v>3922</v>
      </c>
      <c r="AF2">
        <v>2939</v>
      </c>
      <c r="AG2">
        <v>3329</v>
      </c>
      <c r="AH2">
        <v>3390</v>
      </c>
      <c r="AI2">
        <v>4359</v>
      </c>
      <c r="AJ2">
        <v>5079.5</v>
      </c>
      <c r="AK2">
        <v>5086.5</v>
      </c>
      <c r="AM2">
        <v>2.5</v>
      </c>
      <c r="AN2">
        <v>1</v>
      </c>
      <c r="AO2" t="s">
        <v>133</v>
      </c>
      <c r="AP2" s="70">
        <v>0.25</v>
      </c>
      <c r="AQ2" s="70">
        <v>0.25</v>
      </c>
    </row>
    <row r="3" spans="1:45" x14ac:dyDescent="0.2">
      <c r="A3" s="7">
        <v>2</v>
      </c>
      <c r="B3">
        <v>2289</v>
      </c>
      <c r="C3">
        <v>2792.5</v>
      </c>
      <c r="D3">
        <v>2454.5</v>
      </c>
      <c r="E3">
        <v>3254</v>
      </c>
      <c r="F3">
        <v>3586.5</v>
      </c>
      <c r="G3">
        <v>3635.5</v>
      </c>
      <c r="H3">
        <v>1986</v>
      </c>
      <c r="I3">
        <v>2685</v>
      </c>
      <c r="J3">
        <v>2868</v>
      </c>
      <c r="K3">
        <v>2948</v>
      </c>
      <c r="L3">
        <v>3451.5</v>
      </c>
      <c r="M3">
        <v>3523.5</v>
      </c>
      <c r="N3">
        <v>2403</v>
      </c>
      <c r="O3">
        <v>2473.5</v>
      </c>
      <c r="P3">
        <v>2583.5</v>
      </c>
      <c r="Q3">
        <v>3362</v>
      </c>
      <c r="R3">
        <v>3400.5</v>
      </c>
      <c r="S3">
        <v>3628.5</v>
      </c>
      <c r="T3">
        <v>2614</v>
      </c>
      <c r="U3">
        <v>2979</v>
      </c>
      <c r="V3">
        <v>3129</v>
      </c>
      <c r="W3">
        <v>3912</v>
      </c>
      <c r="X3">
        <v>4162.5</v>
      </c>
      <c r="Y3">
        <v>3958.5</v>
      </c>
      <c r="Z3">
        <v>2695</v>
      </c>
      <c r="AA3">
        <v>3203</v>
      </c>
      <c r="AB3">
        <v>3056</v>
      </c>
      <c r="AC3">
        <v>3620</v>
      </c>
      <c r="AD3">
        <v>3981.5</v>
      </c>
      <c r="AE3">
        <v>4053.5</v>
      </c>
      <c r="AF3">
        <v>3161</v>
      </c>
      <c r="AG3">
        <v>3619</v>
      </c>
      <c r="AH3">
        <v>3613</v>
      </c>
      <c r="AI3">
        <v>4048</v>
      </c>
      <c r="AJ3">
        <v>4529</v>
      </c>
      <c r="AK3">
        <v>4788</v>
      </c>
      <c r="AM3">
        <v>2.5</v>
      </c>
      <c r="AN3">
        <v>1</v>
      </c>
      <c r="AO3" t="s">
        <v>134</v>
      </c>
      <c r="AP3" s="70">
        <v>0.2</v>
      </c>
      <c r="AQ3" s="70">
        <v>0.25</v>
      </c>
    </row>
    <row r="4" spans="1:45" x14ac:dyDescent="0.2">
      <c r="A4" s="7">
        <v>3</v>
      </c>
      <c r="B4">
        <v>2304</v>
      </c>
      <c r="C4">
        <v>2778</v>
      </c>
      <c r="D4">
        <v>2428</v>
      </c>
      <c r="E4">
        <v>2996</v>
      </c>
      <c r="F4">
        <v>3349</v>
      </c>
      <c r="G4">
        <v>3449</v>
      </c>
      <c r="H4">
        <v>2338</v>
      </c>
      <c r="I4">
        <v>2604.5</v>
      </c>
      <c r="J4">
        <v>2251.5</v>
      </c>
      <c r="K4">
        <v>3246</v>
      </c>
      <c r="L4">
        <v>3542</v>
      </c>
      <c r="M4">
        <v>3331</v>
      </c>
      <c r="N4">
        <v>2217</v>
      </c>
      <c r="O4">
        <v>2683.5</v>
      </c>
      <c r="P4">
        <v>2954.5</v>
      </c>
      <c r="Q4">
        <v>3235</v>
      </c>
      <c r="R4">
        <v>3659</v>
      </c>
      <c r="S4">
        <v>3794</v>
      </c>
      <c r="T4">
        <v>2589</v>
      </c>
      <c r="U4">
        <v>3087</v>
      </c>
      <c r="V4">
        <v>3112</v>
      </c>
      <c r="W4">
        <v>3700</v>
      </c>
      <c r="X4">
        <v>4193</v>
      </c>
      <c r="Y4">
        <v>4129</v>
      </c>
      <c r="Z4">
        <v>2674</v>
      </c>
      <c r="AA4">
        <v>3112.5</v>
      </c>
      <c r="AB4">
        <v>2848.5</v>
      </c>
      <c r="AC4">
        <v>3398</v>
      </c>
      <c r="AD4">
        <v>3770</v>
      </c>
      <c r="AE4">
        <v>3714</v>
      </c>
      <c r="AF4">
        <v>3155</v>
      </c>
      <c r="AG4">
        <v>3268</v>
      </c>
      <c r="AH4">
        <v>3568</v>
      </c>
      <c r="AI4">
        <v>4475</v>
      </c>
      <c r="AJ4">
        <v>5248.5</v>
      </c>
      <c r="AK4">
        <v>4591.5</v>
      </c>
      <c r="AM4">
        <v>2.5</v>
      </c>
      <c r="AN4">
        <v>1</v>
      </c>
      <c r="AO4" t="s">
        <v>135</v>
      </c>
      <c r="AP4" s="70">
        <v>0.25</v>
      </c>
      <c r="AQ4" s="70">
        <v>0.2</v>
      </c>
    </row>
    <row r="5" spans="1:45" x14ac:dyDescent="0.2">
      <c r="A5" s="7">
        <v>4</v>
      </c>
      <c r="B5">
        <v>2357</v>
      </c>
      <c r="C5">
        <v>2572.5</v>
      </c>
      <c r="D5">
        <v>2666.5</v>
      </c>
      <c r="E5">
        <v>2978</v>
      </c>
      <c r="F5">
        <v>3443</v>
      </c>
      <c r="G5">
        <v>3325</v>
      </c>
      <c r="H5">
        <v>2177</v>
      </c>
      <c r="I5">
        <v>2319</v>
      </c>
      <c r="J5">
        <v>2490</v>
      </c>
      <c r="K5">
        <v>3536</v>
      </c>
      <c r="L5">
        <v>3398.5</v>
      </c>
      <c r="M5">
        <v>3490.5</v>
      </c>
      <c r="N5">
        <v>2408</v>
      </c>
      <c r="O5">
        <v>2605.5</v>
      </c>
      <c r="P5">
        <v>2698.5</v>
      </c>
      <c r="Q5">
        <v>2965</v>
      </c>
      <c r="R5">
        <v>3577</v>
      </c>
      <c r="S5">
        <v>3462</v>
      </c>
      <c r="T5">
        <v>2611</v>
      </c>
      <c r="U5">
        <v>3027.5</v>
      </c>
      <c r="V5">
        <v>3022.5</v>
      </c>
      <c r="W5">
        <v>3782</v>
      </c>
      <c r="X5">
        <v>4252.5</v>
      </c>
      <c r="Y5">
        <v>3977.5</v>
      </c>
      <c r="Z5">
        <v>2459</v>
      </c>
      <c r="AA5">
        <v>3012.5</v>
      </c>
      <c r="AB5">
        <v>3028.5</v>
      </c>
      <c r="AC5">
        <v>3405</v>
      </c>
      <c r="AD5">
        <v>3696</v>
      </c>
      <c r="AE5">
        <v>3907</v>
      </c>
      <c r="AF5">
        <v>2973</v>
      </c>
      <c r="AG5">
        <v>3285.5</v>
      </c>
      <c r="AH5">
        <v>3314.5</v>
      </c>
      <c r="AI5">
        <v>4506</v>
      </c>
      <c r="AJ5">
        <v>4692</v>
      </c>
      <c r="AK5">
        <v>5059</v>
      </c>
      <c r="AM5">
        <v>2.5</v>
      </c>
      <c r="AN5">
        <v>1</v>
      </c>
      <c r="AO5" t="s">
        <v>136</v>
      </c>
      <c r="AP5" s="70">
        <v>0.25</v>
      </c>
      <c r="AQ5" s="70">
        <v>0.2</v>
      </c>
    </row>
    <row r="6" spans="1:45" x14ac:dyDescent="0.2">
      <c r="A6" s="7">
        <v>5</v>
      </c>
      <c r="B6">
        <v>2436</v>
      </c>
      <c r="C6">
        <v>2665.5</v>
      </c>
      <c r="D6">
        <v>2597.5</v>
      </c>
      <c r="E6">
        <v>3104</v>
      </c>
      <c r="F6">
        <v>3410</v>
      </c>
      <c r="G6">
        <v>3592</v>
      </c>
      <c r="H6">
        <v>2240</v>
      </c>
      <c r="I6">
        <v>2683.5</v>
      </c>
      <c r="J6">
        <v>2697.5</v>
      </c>
      <c r="K6">
        <v>3090</v>
      </c>
      <c r="L6">
        <v>3342.5</v>
      </c>
      <c r="M6">
        <v>3304.5</v>
      </c>
      <c r="N6">
        <v>2135</v>
      </c>
      <c r="O6">
        <v>2971</v>
      </c>
      <c r="P6">
        <v>2811</v>
      </c>
      <c r="Q6">
        <v>3144</v>
      </c>
      <c r="R6">
        <v>3464.5</v>
      </c>
      <c r="S6">
        <v>3609.5</v>
      </c>
      <c r="T6">
        <v>2770</v>
      </c>
      <c r="U6">
        <v>3077</v>
      </c>
      <c r="V6">
        <v>3064</v>
      </c>
      <c r="W6">
        <v>3744</v>
      </c>
      <c r="X6">
        <v>4253.5</v>
      </c>
      <c r="Y6">
        <v>3985.5</v>
      </c>
      <c r="Z6">
        <v>2584</v>
      </c>
      <c r="AA6">
        <v>3033</v>
      </c>
      <c r="AB6">
        <v>2932</v>
      </c>
      <c r="AC6">
        <v>3551</v>
      </c>
      <c r="AD6">
        <v>3970.5</v>
      </c>
      <c r="AE6">
        <v>3888.5</v>
      </c>
      <c r="AF6">
        <v>3025</v>
      </c>
      <c r="AG6">
        <v>3430.5</v>
      </c>
      <c r="AH6">
        <v>3008.5</v>
      </c>
      <c r="AI6">
        <v>4123</v>
      </c>
      <c r="AJ6">
        <v>4743</v>
      </c>
      <c r="AK6">
        <v>4754</v>
      </c>
      <c r="AM6">
        <v>3</v>
      </c>
      <c r="AN6">
        <v>1.25</v>
      </c>
      <c r="AO6" t="s">
        <v>137</v>
      </c>
      <c r="AP6" s="70">
        <v>0.25</v>
      </c>
      <c r="AQ6" s="70">
        <v>0.2</v>
      </c>
    </row>
    <row r="7" spans="1:45" x14ac:dyDescent="0.2">
      <c r="A7" s="7">
        <v>6</v>
      </c>
      <c r="B7">
        <v>2304</v>
      </c>
      <c r="C7">
        <v>2304.5</v>
      </c>
      <c r="D7">
        <v>2519.5</v>
      </c>
      <c r="E7">
        <v>2984</v>
      </c>
      <c r="F7">
        <v>3327.5</v>
      </c>
      <c r="G7">
        <v>3335.5</v>
      </c>
      <c r="H7">
        <v>2131</v>
      </c>
      <c r="I7">
        <v>2570</v>
      </c>
      <c r="J7">
        <v>2619</v>
      </c>
      <c r="K7">
        <v>3314</v>
      </c>
      <c r="L7">
        <v>3894</v>
      </c>
      <c r="M7">
        <v>3607</v>
      </c>
      <c r="N7">
        <v>2514</v>
      </c>
      <c r="O7">
        <v>2656</v>
      </c>
      <c r="P7">
        <v>2802</v>
      </c>
      <c r="Q7">
        <v>3201</v>
      </c>
      <c r="R7">
        <v>3618.5</v>
      </c>
      <c r="S7">
        <v>3627.5</v>
      </c>
      <c r="T7">
        <v>2724</v>
      </c>
      <c r="U7">
        <v>3042.5</v>
      </c>
      <c r="V7">
        <v>3021.5</v>
      </c>
      <c r="W7">
        <v>3467</v>
      </c>
      <c r="X7">
        <v>4290.5</v>
      </c>
      <c r="Y7">
        <v>4289.5</v>
      </c>
      <c r="Z7">
        <v>2501</v>
      </c>
      <c r="AA7">
        <v>3091</v>
      </c>
      <c r="AB7">
        <v>2837</v>
      </c>
      <c r="AC7">
        <v>3428</v>
      </c>
      <c r="AD7">
        <v>3848</v>
      </c>
      <c r="AE7">
        <v>3761</v>
      </c>
      <c r="AF7">
        <v>2890</v>
      </c>
      <c r="AG7">
        <v>3391.5</v>
      </c>
      <c r="AH7">
        <v>3411.5</v>
      </c>
      <c r="AI7">
        <v>4333</v>
      </c>
      <c r="AJ7">
        <v>4767.5</v>
      </c>
      <c r="AK7">
        <v>5109.5</v>
      </c>
      <c r="AM7">
        <v>3</v>
      </c>
      <c r="AN7">
        <v>1.25</v>
      </c>
      <c r="AO7" t="s">
        <v>138</v>
      </c>
      <c r="AP7" s="70">
        <v>0.2</v>
      </c>
      <c r="AQ7" s="70">
        <v>0.25</v>
      </c>
    </row>
    <row r="8" spans="1:45" x14ac:dyDescent="0.2">
      <c r="A8" s="7">
        <v>7</v>
      </c>
      <c r="B8">
        <v>2184</v>
      </c>
      <c r="C8">
        <v>2324</v>
      </c>
      <c r="D8">
        <v>2266</v>
      </c>
      <c r="E8">
        <v>3121</v>
      </c>
      <c r="F8">
        <v>3548</v>
      </c>
      <c r="G8">
        <v>3313</v>
      </c>
      <c r="H8">
        <v>2510</v>
      </c>
      <c r="I8">
        <v>2172.5</v>
      </c>
      <c r="J8">
        <v>2371.5</v>
      </c>
      <c r="K8">
        <v>3341</v>
      </c>
      <c r="L8">
        <v>3648.5</v>
      </c>
      <c r="M8">
        <v>3564.5</v>
      </c>
      <c r="N8">
        <v>2402</v>
      </c>
      <c r="O8">
        <v>2657</v>
      </c>
      <c r="P8">
        <v>2675</v>
      </c>
      <c r="Q8">
        <v>3019</v>
      </c>
      <c r="R8">
        <v>3486.5</v>
      </c>
      <c r="S8">
        <v>3575.5</v>
      </c>
      <c r="T8">
        <v>2691</v>
      </c>
      <c r="U8">
        <v>3162.5</v>
      </c>
      <c r="V8">
        <v>3059.5</v>
      </c>
      <c r="W8">
        <v>3716</v>
      </c>
      <c r="X8">
        <v>4328.5</v>
      </c>
      <c r="Y8">
        <v>3968.5</v>
      </c>
      <c r="Z8">
        <v>2518</v>
      </c>
      <c r="AA8">
        <v>2673.5</v>
      </c>
      <c r="AB8">
        <v>2791.5</v>
      </c>
      <c r="AC8">
        <v>3498</v>
      </c>
      <c r="AD8">
        <v>3725</v>
      </c>
      <c r="AE8">
        <v>4093</v>
      </c>
      <c r="AF8">
        <v>3041</v>
      </c>
      <c r="AG8">
        <v>3454</v>
      </c>
      <c r="AH8">
        <v>3384</v>
      </c>
      <c r="AI8">
        <v>4341</v>
      </c>
      <c r="AJ8">
        <v>4759</v>
      </c>
      <c r="AK8">
        <v>4723</v>
      </c>
      <c r="AM8">
        <v>3</v>
      </c>
      <c r="AN8">
        <v>1.25</v>
      </c>
      <c r="AO8" t="s">
        <v>139</v>
      </c>
      <c r="AP8" s="70">
        <v>0.2</v>
      </c>
      <c r="AQ8" s="70">
        <v>0.25</v>
      </c>
    </row>
    <row r="10" spans="1:45" x14ac:dyDescent="0.2">
      <c r="A10" t="s">
        <v>156</v>
      </c>
    </row>
    <row r="11" spans="1:45" x14ac:dyDescent="0.2">
      <c r="A11" s="7">
        <v>1</v>
      </c>
      <c r="B11" t="s">
        <v>157</v>
      </c>
    </row>
    <row r="12" spans="1:45" x14ac:dyDescent="0.2">
      <c r="A12" s="7">
        <v>2</v>
      </c>
      <c r="B12" t="s">
        <v>153</v>
      </c>
    </row>
    <row r="13" spans="1:45" x14ac:dyDescent="0.2">
      <c r="A13" s="7">
        <v>3</v>
      </c>
      <c r="B13" t="s">
        <v>154</v>
      </c>
    </row>
    <row r="14" spans="1:45" x14ac:dyDescent="0.2">
      <c r="A14" s="7">
        <v>4</v>
      </c>
      <c r="B14" t="s">
        <v>155</v>
      </c>
    </row>
    <row r="15" spans="1:45" x14ac:dyDescent="0.2">
      <c r="N15" s="44"/>
    </row>
    <row r="16" spans="1:45" x14ac:dyDescent="0.2">
      <c r="A16" s="7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N16" s="77"/>
    </row>
    <row r="17" spans="1:14" x14ac:dyDescent="0.2">
      <c r="A17">
        <v>3043.1174370423737</v>
      </c>
      <c r="B17">
        <v>2855.9827920831558</v>
      </c>
      <c r="C17">
        <v>2789.1761702400959</v>
      </c>
      <c r="D17">
        <v>2783.7876376519639</v>
      </c>
      <c r="E17">
        <v>2717.0087038824263</v>
      </c>
      <c r="F17">
        <v>2810.9986690541509</v>
      </c>
      <c r="G17">
        <v>2738.1022156353506</v>
      </c>
      <c r="N17" s="77"/>
    </row>
    <row r="18" spans="1:14" x14ac:dyDescent="0.2">
      <c r="A18">
        <v>3188.0045190034839</v>
      </c>
      <c r="B18">
        <v>3298.4064527736236</v>
      </c>
      <c r="C18">
        <v>3353.0547720198706</v>
      </c>
      <c r="D18">
        <v>3164.2555540871549</v>
      </c>
      <c r="E18">
        <v>3304.627414073419</v>
      </c>
      <c r="F18">
        <v>3090.3513997242417</v>
      </c>
      <c r="G18">
        <v>2971.5070400171535</v>
      </c>
      <c r="N18" s="78"/>
    </row>
    <row r="19" spans="1:14" x14ac:dyDescent="0.2">
      <c r="A19">
        <v>3301.6015507364195</v>
      </c>
      <c r="B19">
        <v>3168.0244148621741</v>
      </c>
      <c r="C19">
        <v>3235.3976466310382</v>
      </c>
      <c r="D19">
        <v>3269.0943274404808</v>
      </c>
      <c r="E19">
        <v>3200.2716454189754</v>
      </c>
      <c r="F19">
        <v>3172.6462994661101</v>
      </c>
      <c r="G19">
        <v>3015.5983046696747</v>
      </c>
      <c r="N19" s="77"/>
    </row>
    <row r="20" spans="1:14" x14ac:dyDescent="0.2">
      <c r="A20">
        <v>3976.5199006177841</v>
      </c>
      <c r="B20">
        <v>4053.5522597713939</v>
      </c>
      <c r="C20">
        <v>3818.3238434839172</v>
      </c>
      <c r="D20">
        <v>3664.8791493603167</v>
      </c>
      <c r="E20">
        <v>3781.9874941476633</v>
      </c>
      <c r="F20">
        <v>3761.3794418277116</v>
      </c>
      <c r="G20">
        <v>3799.3773138246706</v>
      </c>
      <c r="N20" s="78"/>
    </row>
    <row r="21" spans="1:14" x14ac:dyDescent="0.2">
      <c r="A21">
        <v>4505.8315902212116</v>
      </c>
      <c r="B21">
        <v>4373.0025066939215</v>
      </c>
      <c r="C21">
        <v>4306.0711674994009</v>
      </c>
      <c r="D21">
        <v>4240.6442826621433</v>
      </c>
      <c r="E21">
        <v>4209.3625704010774</v>
      </c>
      <c r="F21">
        <v>4251.0332928077014</v>
      </c>
      <c r="G21">
        <v>4281.497882495979</v>
      </c>
      <c r="N21" s="78"/>
    </row>
    <row r="22" spans="1:14" x14ac:dyDescent="0.2">
      <c r="A22">
        <v>4576.6872870666812</v>
      </c>
      <c r="B22">
        <v>4544.8796907072183</v>
      </c>
      <c r="C22">
        <v>4416.3789499447657</v>
      </c>
      <c r="D22">
        <v>4246.1007923405623</v>
      </c>
      <c r="E22">
        <v>4341.9971897520581</v>
      </c>
      <c r="F22">
        <v>4255.6841753327972</v>
      </c>
      <c r="G22">
        <v>4373.2084770119091</v>
      </c>
      <c r="N22" s="77"/>
    </row>
    <row r="23" spans="1:14" x14ac:dyDescent="0.2">
      <c r="A23">
        <v>3202.0666466624602</v>
      </c>
      <c r="B23">
        <v>3099.8994195288324</v>
      </c>
      <c r="C23">
        <v>3252.4579973193927</v>
      </c>
      <c r="D23">
        <v>3086.0793385935995</v>
      </c>
      <c r="E23">
        <v>3142.0843446179256</v>
      </c>
      <c r="F23">
        <v>3073.7728481064596</v>
      </c>
      <c r="G23">
        <v>3307.383367974146</v>
      </c>
      <c r="N23" s="77"/>
    </row>
    <row r="24" spans="1:14" x14ac:dyDescent="0.2">
      <c r="A24">
        <v>3610.3985380182176</v>
      </c>
      <c r="B24">
        <v>3753.9461668251424</v>
      </c>
      <c r="C24">
        <v>3641.3876273746682</v>
      </c>
      <c r="D24">
        <v>3452.1148836229668</v>
      </c>
      <c r="E24">
        <v>3622.5902061841789</v>
      </c>
      <c r="F24">
        <v>3600.5848538817477</v>
      </c>
      <c r="G24">
        <v>3516.8058466414304</v>
      </c>
      <c r="N24" s="77"/>
    </row>
    <row r="25" spans="1:14" x14ac:dyDescent="0.2">
      <c r="A25">
        <v>3699.2479065781499</v>
      </c>
      <c r="B25">
        <v>3923.8189820628345</v>
      </c>
      <c r="C25">
        <v>3623.421678419933</v>
      </c>
      <c r="D25">
        <v>3560.841176782817</v>
      </c>
      <c r="E25">
        <v>3493.5772527638023</v>
      </c>
      <c r="F25">
        <v>3645.3691555691553</v>
      </c>
      <c r="G25">
        <v>3564.4656491235664</v>
      </c>
      <c r="N25" s="79"/>
    </row>
    <row r="26" spans="1:14" x14ac:dyDescent="0.2">
      <c r="A26">
        <v>4469.9507792179948</v>
      </c>
      <c r="B26">
        <v>4476.165655121049</v>
      </c>
      <c r="C26">
        <v>4690.1336498278324</v>
      </c>
      <c r="D26">
        <v>4806.9877540313073</v>
      </c>
      <c r="E26">
        <v>4365.3685757356707</v>
      </c>
      <c r="F26">
        <v>4504.5279108795912</v>
      </c>
      <c r="G26">
        <v>4655.8746683930494</v>
      </c>
      <c r="N26" s="79"/>
    </row>
    <row r="27" spans="1:14" x14ac:dyDescent="0.2">
      <c r="A27">
        <v>5489.0800261100194</v>
      </c>
      <c r="B27">
        <v>5022.3708012507714</v>
      </c>
      <c r="C27">
        <v>5353.6601532116401</v>
      </c>
      <c r="D27">
        <v>5038.8989190013726</v>
      </c>
      <c r="E27">
        <v>4935.8122333822248</v>
      </c>
      <c r="F27">
        <v>5296.2124728871722</v>
      </c>
      <c r="G27">
        <v>5236.7483996610345</v>
      </c>
      <c r="N27" s="77"/>
    </row>
    <row r="28" spans="1:14" x14ac:dyDescent="0.2">
      <c r="A28">
        <v>5296.767591088249</v>
      </c>
      <c r="B28">
        <v>5099.2436061960325</v>
      </c>
      <c r="C28">
        <v>5018.0482638842213</v>
      </c>
      <c r="D28">
        <v>5135.1290137552123</v>
      </c>
      <c r="E28">
        <v>4843.8761452542149</v>
      </c>
      <c r="F28">
        <v>5324.6801450135627</v>
      </c>
      <c r="G28">
        <v>5070.0300409756292</v>
      </c>
      <c r="N28" s="78"/>
    </row>
    <row r="31" spans="1:14" x14ac:dyDescent="0.2">
      <c r="A31" cm="1">
        <f t="array" ref="A31:M37">TRANSPOSE(A16:G28)</f>
        <v>1</v>
      </c>
      <c r="B31">
        <v>3043.1174370423737</v>
      </c>
      <c r="C31">
        <v>3188.0045190034839</v>
      </c>
      <c r="D31">
        <v>3301.6015507364195</v>
      </c>
      <c r="E31">
        <v>3976.5199006177841</v>
      </c>
      <c r="F31">
        <v>4505.8315902212116</v>
      </c>
      <c r="G31">
        <v>4576.6872870666812</v>
      </c>
      <c r="H31">
        <v>3202.0666466624602</v>
      </c>
      <c r="I31">
        <v>3610.3985380182176</v>
      </c>
      <c r="J31">
        <v>3699.2479065781499</v>
      </c>
      <c r="K31">
        <v>4469.9507792179948</v>
      </c>
      <c r="L31">
        <v>5489.0800261100194</v>
      </c>
      <c r="M31">
        <v>5296.767591088249</v>
      </c>
    </row>
    <row r="32" spans="1:14" x14ac:dyDescent="0.2">
      <c r="A32">
        <v>2</v>
      </c>
      <c r="B32">
        <v>2855.9827920831558</v>
      </c>
      <c r="C32">
        <v>3298.4064527736236</v>
      </c>
      <c r="D32">
        <v>3168.0244148621741</v>
      </c>
      <c r="E32">
        <v>4053.5522597713939</v>
      </c>
      <c r="F32">
        <v>4373.0025066939215</v>
      </c>
      <c r="G32">
        <v>4544.8796907072183</v>
      </c>
      <c r="H32">
        <v>3099.8994195288324</v>
      </c>
      <c r="I32">
        <v>3753.9461668251424</v>
      </c>
      <c r="J32">
        <v>3923.8189820628345</v>
      </c>
      <c r="K32">
        <v>4476.165655121049</v>
      </c>
      <c r="L32">
        <v>5022.3708012507714</v>
      </c>
      <c r="M32">
        <v>5099.2436061960325</v>
      </c>
    </row>
    <row r="33" spans="1:13" x14ac:dyDescent="0.2">
      <c r="A33">
        <v>3</v>
      </c>
      <c r="B33">
        <v>2789.1761702400959</v>
      </c>
      <c r="C33">
        <v>3353.0547720198706</v>
      </c>
      <c r="D33">
        <v>3235.3976466310382</v>
      </c>
      <c r="E33">
        <v>3818.3238434839172</v>
      </c>
      <c r="F33">
        <v>4306.0711674994009</v>
      </c>
      <c r="G33">
        <v>4416.3789499447657</v>
      </c>
      <c r="H33">
        <v>3252.4579973193927</v>
      </c>
      <c r="I33">
        <v>3641.3876273746682</v>
      </c>
      <c r="J33">
        <v>3623.421678419933</v>
      </c>
      <c r="K33">
        <v>4690.1336498278324</v>
      </c>
      <c r="L33">
        <v>5353.6601532116401</v>
      </c>
      <c r="M33">
        <v>5018.0482638842213</v>
      </c>
    </row>
    <row r="34" spans="1:13" x14ac:dyDescent="0.2">
      <c r="A34">
        <v>4</v>
      </c>
      <c r="B34">
        <v>2783.7876376519639</v>
      </c>
      <c r="C34">
        <v>3164.2555540871549</v>
      </c>
      <c r="D34">
        <v>3269.0943274404808</v>
      </c>
      <c r="E34">
        <v>3664.8791493603167</v>
      </c>
      <c r="F34">
        <v>4240.6442826621433</v>
      </c>
      <c r="G34">
        <v>4246.1007923405623</v>
      </c>
      <c r="H34">
        <v>3086.0793385935995</v>
      </c>
      <c r="I34">
        <v>3452.1148836229668</v>
      </c>
      <c r="J34">
        <v>3560.841176782817</v>
      </c>
      <c r="K34">
        <v>4806.9877540313073</v>
      </c>
      <c r="L34">
        <v>5038.8989190013726</v>
      </c>
      <c r="M34">
        <v>5135.1290137552123</v>
      </c>
    </row>
    <row r="35" spans="1:13" x14ac:dyDescent="0.2">
      <c r="A35">
        <v>5</v>
      </c>
      <c r="B35">
        <v>2717.0087038824263</v>
      </c>
      <c r="C35">
        <v>3304.627414073419</v>
      </c>
      <c r="D35">
        <v>3200.2716454189754</v>
      </c>
      <c r="E35">
        <v>3781.9874941476633</v>
      </c>
      <c r="F35">
        <v>4209.3625704010774</v>
      </c>
      <c r="G35">
        <v>4341.9971897520581</v>
      </c>
      <c r="H35">
        <v>3142.0843446179256</v>
      </c>
      <c r="I35">
        <v>3622.5902061841789</v>
      </c>
      <c r="J35">
        <v>3493.5772527638023</v>
      </c>
      <c r="K35">
        <v>4365.3685757356707</v>
      </c>
      <c r="L35">
        <v>4935.8122333822248</v>
      </c>
      <c r="M35">
        <v>4843.8761452542149</v>
      </c>
    </row>
    <row r="36" spans="1:13" x14ac:dyDescent="0.2">
      <c r="A36">
        <v>6</v>
      </c>
      <c r="B36">
        <v>2810.9986690541509</v>
      </c>
      <c r="C36">
        <v>3090.3513997242417</v>
      </c>
      <c r="D36">
        <v>3172.6462994661101</v>
      </c>
      <c r="E36">
        <v>3761.3794418277116</v>
      </c>
      <c r="F36">
        <v>4251.0332928077014</v>
      </c>
      <c r="G36">
        <v>4255.6841753327972</v>
      </c>
      <c r="H36">
        <v>3073.7728481064596</v>
      </c>
      <c r="I36">
        <v>3600.5848538817477</v>
      </c>
      <c r="J36">
        <v>3645.3691555691553</v>
      </c>
      <c r="K36">
        <v>4504.5279108795912</v>
      </c>
      <c r="L36">
        <v>5296.2124728871722</v>
      </c>
      <c r="M36">
        <v>5324.6801450135627</v>
      </c>
    </row>
    <row r="37" spans="1:13" x14ac:dyDescent="0.2">
      <c r="A37">
        <v>7</v>
      </c>
      <c r="B37">
        <v>2738.1022156353506</v>
      </c>
      <c r="C37">
        <v>2971.5070400171535</v>
      </c>
      <c r="D37">
        <v>3015.5983046696747</v>
      </c>
      <c r="E37">
        <v>3799.3773138246706</v>
      </c>
      <c r="F37">
        <v>4281.497882495979</v>
      </c>
      <c r="G37">
        <v>4373.2084770119091</v>
      </c>
      <c r="H37">
        <v>3307.383367974146</v>
      </c>
      <c r="I37">
        <v>3516.8058466414304</v>
      </c>
      <c r="J37">
        <v>3564.4656491235664</v>
      </c>
      <c r="K37">
        <v>4655.8746683930494</v>
      </c>
      <c r="L37">
        <v>5236.7483996610345</v>
      </c>
      <c r="M37">
        <v>5070.0300409756292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4"/>
  <sheetViews>
    <sheetView zoomScale="85" zoomScaleNormal="85" workbookViewId="0">
      <selection activeCell="M20" sqref="M20"/>
    </sheetView>
  </sheetViews>
  <sheetFormatPr baseColWidth="10" defaultColWidth="8.83203125" defaultRowHeight="15" x14ac:dyDescent="0.2"/>
  <cols>
    <col min="1" max="1" width="32.83203125" customWidth="1"/>
    <col min="2" max="2" width="10.83203125" customWidth="1"/>
    <col min="3" max="3" width="10.1640625" customWidth="1"/>
    <col min="5" max="5" width="19.33203125" customWidth="1"/>
    <col min="6" max="6" width="14" customWidth="1"/>
  </cols>
  <sheetData>
    <row r="1" spans="1:7" ht="21" x14ac:dyDescent="0.25">
      <c r="A1" s="32" t="s">
        <v>72</v>
      </c>
    </row>
    <row r="2" spans="1:7" ht="16" x14ac:dyDescent="0.2">
      <c r="A2" s="30" t="s">
        <v>71</v>
      </c>
      <c r="B2" s="30"/>
      <c r="C2" s="30"/>
      <c r="D2" s="30"/>
    </row>
    <row r="3" spans="1:7" ht="16" x14ac:dyDescent="0.2">
      <c r="A3" s="31" t="s">
        <v>70</v>
      </c>
      <c r="B3" s="30"/>
      <c r="C3" s="30"/>
      <c r="D3" s="30"/>
    </row>
    <row r="4" spans="1:7" ht="16" x14ac:dyDescent="0.2">
      <c r="A4" t="s">
        <v>0</v>
      </c>
      <c r="B4" s="30"/>
      <c r="C4" s="30"/>
      <c r="D4" s="30"/>
    </row>
    <row r="5" spans="1:7" ht="16" thickBot="1" x14ac:dyDescent="0.25">
      <c r="E5" s="21"/>
    </row>
    <row r="6" spans="1:7" x14ac:dyDescent="0.2">
      <c r="A6" s="27"/>
      <c r="B6" s="26" t="s">
        <v>63</v>
      </c>
      <c r="C6" s="25"/>
    </row>
    <row r="7" spans="1:7" x14ac:dyDescent="0.2">
      <c r="A7" s="23" t="s">
        <v>62</v>
      </c>
      <c r="B7" s="24"/>
      <c r="C7" s="29">
        <v>4</v>
      </c>
      <c r="D7" s="7" t="s">
        <v>69</v>
      </c>
    </row>
    <row r="8" spans="1:7" x14ac:dyDescent="0.2">
      <c r="A8" s="23" t="s">
        <v>68</v>
      </c>
      <c r="B8" s="22" t="s">
        <v>0</v>
      </c>
      <c r="C8" s="29">
        <v>3.5</v>
      </c>
      <c r="D8">
        <v>4</v>
      </c>
      <c r="E8" t="s">
        <v>67</v>
      </c>
    </row>
    <row r="9" spans="1:7" x14ac:dyDescent="0.2">
      <c r="A9" s="20" t="s">
        <v>66</v>
      </c>
      <c r="B9" s="13" t="s">
        <v>61</v>
      </c>
      <c r="C9" s="12">
        <v>0.5</v>
      </c>
    </row>
    <row r="10" spans="1:7" x14ac:dyDescent="0.2">
      <c r="A10" s="20" t="s">
        <v>60</v>
      </c>
      <c r="B10" s="13"/>
      <c r="C10" s="12"/>
      <c r="F10" t="s">
        <v>59</v>
      </c>
      <c r="G10" s="21">
        <f>C9+C15+C16</f>
        <v>0.85</v>
      </c>
    </row>
    <row r="11" spans="1:7" x14ac:dyDescent="0.2">
      <c r="A11" s="20" t="s">
        <v>58</v>
      </c>
      <c r="B11" s="13" t="s">
        <v>43</v>
      </c>
      <c r="C11" s="12">
        <v>200</v>
      </c>
    </row>
    <row r="12" spans="1:7" x14ac:dyDescent="0.2">
      <c r="A12" s="20" t="s">
        <v>0</v>
      </c>
      <c r="B12" s="13"/>
      <c r="C12" s="12"/>
      <c r="F12" t="s">
        <v>57</v>
      </c>
      <c r="G12" s="21">
        <f>C11+SUM(C13:C14)+SUM(C17:C23)+C25+C26</f>
        <v>5550</v>
      </c>
    </row>
    <row r="13" spans="1:7" x14ac:dyDescent="0.2">
      <c r="A13" s="20" t="s">
        <v>56</v>
      </c>
      <c r="B13" s="13" t="s">
        <v>43</v>
      </c>
      <c r="C13" s="12">
        <v>0</v>
      </c>
    </row>
    <row r="14" spans="1:7" x14ac:dyDescent="0.2">
      <c r="A14" s="20" t="s">
        <v>55</v>
      </c>
      <c r="B14" s="13" t="s">
        <v>43</v>
      </c>
      <c r="C14" s="12">
        <v>50</v>
      </c>
    </row>
    <row r="15" spans="1:7" x14ac:dyDescent="0.2">
      <c r="A15" s="20" t="s">
        <v>54</v>
      </c>
      <c r="B15" s="13" t="s">
        <v>52</v>
      </c>
      <c r="C15" s="12">
        <v>0.25</v>
      </c>
    </row>
    <row r="16" spans="1:7" x14ac:dyDescent="0.2">
      <c r="A16" s="20" t="s">
        <v>53</v>
      </c>
      <c r="B16" s="13" t="s">
        <v>52</v>
      </c>
      <c r="C16" s="12">
        <v>0.1</v>
      </c>
    </row>
    <row r="17" spans="1:9" x14ac:dyDescent="0.2">
      <c r="A17" s="20" t="s">
        <v>51</v>
      </c>
      <c r="B17" s="13" t="s">
        <v>43</v>
      </c>
      <c r="C17" s="12">
        <v>2500</v>
      </c>
    </row>
    <row r="18" spans="1:9" x14ac:dyDescent="0.2">
      <c r="A18" s="20" t="s">
        <v>50</v>
      </c>
      <c r="B18" s="13" t="s">
        <v>43</v>
      </c>
      <c r="C18" s="12">
        <v>1000</v>
      </c>
      <c r="I18" t="s">
        <v>0</v>
      </c>
    </row>
    <row r="19" spans="1:9" x14ac:dyDescent="0.2">
      <c r="A19" s="20" t="s">
        <v>65</v>
      </c>
      <c r="B19" s="13" t="s">
        <v>43</v>
      </c>
      <c r="C19" s="12">
        <v>500</v>
      </c>
    </row>
    <row r="20" spans="1:9" x14ac:dyDescent="0.2">
      <c r="A20" s="20" t="s">
        <v>49</v>
      </c>
      <c r="B20" s="13" t="s">
        <v>43</v>
      </c>
      <c r="C20" s="12">
        <v>50</v>
      </c>
    </row>
    <row r="21" spans="1:9" x14ac:dyDescent="0.2">
      <c r="A21" s="14" t="s">
        <v>48</v>
      </c>
      <c r="B21" s="13" t="s">
        <v>43</v>
      </c>
      <c r="C21" s="12">
        <v>25</v>
      </c>
    </row>
    <row r="22" spans="1:9" x14ac:dyDescent="0.2">
      <c r="A22" s="19" t="s">
        <v>47</v>
      </c>
      <c r="B22" s="13"/>
      <c r="C22" s="12">
        <v>0</v>
      </c>
    </row>
    <row r="23" spans="1:9" x14ac:dyDescent="0.2">
      <c r="A23" s="14" t="s">
        <v>46</v>
      </c>
      <c r="B23" s="13" t="s">
        <v>43</v>
      </c>
      <c r="C23" s="12">
        <v>1000</v>
      </c>
    </row>
    <row r="24" spans="1:9" ht="28" x14ac:dyDescent="0.2">
      <c r="A24" s="18" t="s">
        <v>64</v>
      </c>
      <c r="B24" s="13"/>
      <c r="C24" s="12">
        <v>1500</v>
      </c>
    </row>
    <row r="25" spans="1:9" x14ac:dyDescent="0.2">
      <c r="A25" s="14" t="s">
        <v>45</v>
      </c>
      <c r="B25" s="13" t="s">
        <v>43</v>
      </c>
      <c r="C25" s="12">
        <v>25</v>
      </c>
    </row>
    <row r="26" spans="1:9" ht="16" thickBot="1" x14ac:dyDescent="0.25">
      <c r="A26" s="17" t="s">
        <v>44</v>
      </c>
      <c r="B26" s="16" t="s">
        <v>43</v>
      </c>
      <c r="C26" s="15">
        <v>200</v>
      </c>
    </row>
    <row r="27" spans="1:9" x14ac:dyDescent="0.2">
      <c r="A27" s="14" t="s">
        <v>0</v>
      </c>
      <c r="B27" s="13"/>
      <c r="C27" s="12" t="s">
        <v>0</v>
      </c>
    </row>
    <row r="28" spans="1:9" x14ac:dyDescent="0.2">
      <c r="A28" s="63" t="s">
        <v>122</v>
      </c>
      <c r="E28" s="43" t="s">
        <v>120</v>
      </c>
      <c r="F28" s="64">
        <v>5500</v>
      </c>
    </row>
    <row r="29" spans="1:9" x14ac:dyDescent="0.2">
      <c r="A29">
        <v>2000</v>
      </c>
      <c r="B29" s="10"/>
      <c r="C29" s="10"/>
      <c r="D29" s="9"/>
    </row>
    <row r="30" spans="1:9" x14ac:dyDescent="0.2">
      <c r="A30" s="11">
        <v>2500</v>
      </c>
      <c r="B30" s="10"/>
      <c r="C30" s="10"/>
      <c r="D30" s="9"/>
    </row>
    <row r="31" spans="1:9" x14ac:dyDescent="0.2">
      <c r="A31" s="11">
        <v>3000</v>
      </c>
      <c r="B31" s="10"/>
      <c r="C31" s="10"/>
      <c r="D31" s="9"/>
    </row>
    <row r="32" spans="1:9" x14ac:dyDescent="0.2">
      <c r="A32" s="11">
        <v>3500</v>
      </c>
      <c r="B32" s="9"/>
      <c r="C32" s="9"/>
      <c r="D32" s="9"/>
    </row>
    <row r="33" spans="1:7" x14ac:dyDescent="0.2">
      <c r="A33" s="11">
        <v>4000</v>
      </c>
      <c r="B33" s="9"/>
      <c r="C33" s="9"/>
      <c r="D33" s="9"/>
    </row>
    <row r="34" spans="1:7" x14ac:dyDescent="0.2">
      <c r="A34" s="11">
        <v>4500</v>
      </c>
      <c r="B34" s="56"/>
      <c r="C34" s="57"/>
      <c r="D34" s="9"/>
    </row>
    <row r="35" spans="1:7" x14ac:dyDescent="0.2">
      <c r="A35" s="58"/>
      <c r="B35" s="56"/>
      <c r="C35" s="59"/>
      <c r="D35" s="9"/>
    </row>
    <row r="36" spans="1:7" x14ac:dyDescent="0.2">
      <c r="A36" s="58"/>
      <c r="B36" s="56"/>
      <c r="C36" s="59"/>
      <c r="D36" s="9"/>
    </row>
    <row r="37" spans="1:7" x14ac:dyDescent="0.2">
      <c r="A37" s="11"/>
      <c r="B37" s="10"/>
      <c r="C37" s="10"/>
      <c r="D37" s="9"/>
    </row>
    <row r="38" spans="1:7" x14ac:dyDescent="0.2">
      <c r="A38" s="11"/>
      <c r="B38" s="10"/>
      <c r="C38" s="10"/>
      <c r="D38" s="9"/>
      <c r="G38" s="21"/>
    </row>
    <row r="39" spans="1:7" x14ac:dyDescent="0.2">
      <c r="A39" s="11"/>
      <c r="B39" s="10"/>
      <c r="C39" s="10"/>
      <c r="D39" s="9"/>
    </row>
    <row r="40" spans="1:7" x14ac:dyDescent="0.2">
      <c r="A40" s="11"/>
      <c r="B40" s="10"/>
      <c r="C40" s="10"/>
      <c r="D40" s="9"/>
      <c r="G40" s="21"/>
    </row>
    <row r="41" spans="1:7" x14ac:dyDescent="0.2">
      <c r="A41" s="11"/>
      <c r="B41" s="10"/>
      <c r="C41" s="10"/>
      <c r="D41" s="9"/>
    </row>
    <row r="42" spans="1:7" x14ac:dyDescent="0.2">
      <c r="A42" s="11"/>
      <c r="B42" s="10"/>
      <c r="C42" s="10"/>
      <c r="D42" s="9"/>
    </row>
    <row r="43" spans="1:7" x14ac:dyDescent="0.2">
      <c r="A43" s="11"/>
      <c r="B43" s="10"/>
      <c r="C43" s="10"/>
      <c r="D43" s="9"/>
    </row>
    <row r="44" spans="1:7" x14ac:dyDescent="0.2">
      <c r="A44" s="11"/>
      <c r="B44" s="10"/>
      <c r="C44" s="10"/>
      <c r="D44" s="9"/>
    </row>
    <row r="45" spans="1:7" x14ac:dyDescent="0.2">
      <c r="A45" s="11"/>
      <c r="B45" s="10"/>
      <c r="C45" s="10"/>
      <c r="D45" s="9"/>
    </row>
    <row r="46" spans="1:7" x14ac:dyDescent="0.2">
      <c r="A46" s="11"/>
      <c r="B46" s="10"/>
      <c r="C46" s="10"/>
      <c r="D46" s="9"/>
    </row>
    <row r="47" spans="1:7" x14ac:dyDescent="0.2">
      <c r="A47" s="11"/>
      <c r="B47" s="10"/>
      <c r="C47" s="10"/>
      <c r="D47" s="9"/>
    </row>
    <row r="48" spans="1:7" x14ac:dyDescent="0.2">
      <c r="A48" s="11"/>
      <c r="B48" s="10"/>
      <c r="C48" s="10"/>
      <c r="D48" s="9"/>
    </row>
    <row r="49" spans="1:4" x14ac:dyDescent="0.2">
      <c r="A49" s="58"/>
      <c r="B49" s="10"/>
      <c r="C49" s="10"/>
      <c r="D49" s="9"/>
    </row>
    <row r="50" spans="1:4" x14ac:dyDescent="0.2">
      <c r="A50" s="60"/>
      <c r="B50" s="10"/>
      <c r="C50" s="10"/>
      <c r="D50" s="9"/>
    </row>
    <row r="51" spans="1:4" x14ac:dyDescent="0.2">
      <c r="A51" s="58"/>
      <c r="B51" s="10"/>
      <c r="C51" s="10"/>
      <c r="D51" s="9"/>
    </row>
    <row r="52" spans="1:4" x14ac:dyDescent="0.2">
      <c r="A52" s="61"/>
      <c r="B52" s="10"/>
      <c r="C52" s="10"/>
      <c r="D52" s="9"/>
    </row>
    <row r="53" spans="1:4" x14ac:dyDescent="0.2">
      <c r="A53" s="58"/>
      <c r="B53" s="10"/>
      <c r="C53" s="10"/>
      <c r="D53" s="9"/>
    </row>
    <row r="54" spans="1:4" x14ac:dyDescent="0.2">
      <c r="A54" s="11"/>
      <c r="B54" s="10"/>
      <c r="C54" s="10"/>
      <c r="D54" s="9"/>
    </row>
    <row r="55" spans="1:4" x14ac:dyDescent="0.2">
      <c r="A55" s="58"/>
      <c r="B55" s="10"/>
      <c r="C55" s="10"/>
      <c r="D55" s="9"/>
    </row>
    <row r="56" spans="1:4" x14ac:dyDescent="0.2">
      <c r="A56" s="11"/>
      <c r="B56" s="10"/>
      <c r="C56" s="10"/>
      <c r="D56" s="9"/>
    </row>
    <row r="57" spans="1:4" x14ac:dyDescent="0.2">
      <c r="A57" s="9"/>
      <c r="B57" s="9"/>
      <c r="C57" s="9"/>
      <c r="D57" s="9"/>
    </row>
    <row r="58" spans="1:4" x14ac:dyDescent="0.2">
      <c r="A58" s="9"/>
      <c r="B58" s="9"/>
      <c r="C58" s="9"/>
      <c r="D58" s="9"/>
    </row>
    <row r="59" spans="1:4" x14ac:dyDescent="0.2">
      <c r="A59" s="9"/>
      <c r="B59" s="9"/>
      <c r="C59" s="9"/>
      <c r="D59" s="9"/>
    </row>
    <row r="60" spans="1:4" x14ac:dyDescent="0.2">
      <c r="A60" s="9"/>
      <c r="B60" s="9"/>
      <c r="C60" s="9"/>
      <c r="D60" s="9"/>
    </row>
    <row r="61" spans="1:4" x14ac:dyDescent="0.2">
      <c r="A61" s="9"/>
      <c r="B61" s="9"/>
      <c r="C61" s="9"/>
      <c r="D61" s="9"/>
    </row>
    <row r="62" spans="1:4" x14ac:dyDescent="0.2">
      <c r="A62" s="9"/>
      <c r="B62" s="9"/>
      <c r="C62" s="9"/>
      <c r="D62" s="9"/>
    </row>
    <row r="63" spans="1:4" x14ac:dyDescent="0.2">
      <c r="A63" s="62" t="s">
        <v>42</v>
      </c>
      <c r="B63" s="9"/>
      <c r="C63" s="9"/>
      <c r="D63" s="9"/>
    </row>
    <row r="64" spans="1:4" x14ac:dyDescent="0.2">
      <c r="A64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59"/>
  <sheetViews>
    <sheetView zoomScale="115" zoomScaleNormal="115" workbookViewId="0">
      <selection activeCell="E21" sqref="E21"/>
    </sheetView>
  </sheetViews>
  <sheetFormatPr baseColWidth="10" defaultColWidth="8.83203125" defaultRowHeight="15" x14ac:dyDescent="0.2"/>
  <cols>
    <col min="1" max="1" width="12.5" style="1" customWidth="1"/>
    <col min="2" max="2" width="11.1640625" customWidth="1"/>
    <col min="3" max="3" width="10.83203125" bestFit="1" customWidth="1"/>
    <col min="4" max="4" width="12" bestFit="1" customWidth="1"/>
    <col min="6" max="6" width="13.1640625" customWidth="1"/>
    <col min="8" max="8" width="19.33203125" style="52" bestFit="1" customWidth="1"/>
    <col min="11" max="11" width="14.6640625" customWidth="1"/>
  </cols>
  <sheetData>
    <row r="1" spans="1:9" s="2" customFormat="1" ht="40" x14ac:dyDescent="0.25">
      <c r="A1" s="48" t="s">
        <v>36</v>
      </c>
      <c r="B1" s="37" t="s">
        <v>37</v>
      </c>
      <c r="C1" s="37" t="s">
        <v>110</v>
      </c>
      <c r="D1" s="37" t="s">
        <v>38</v>
      </c>
      <c r="E1" s="37"/>
      <c r="F1" s="37" t="s">
        <v>39</v>
      </c>
      <c r="G1" s="37"/>
      <c r="H1" s="55" t="s">
        <v>40</v>
      </c>
      <c r="I1" s="37" t="s">
        <v>41</v>
      </c>
    </row>
    <row r="2" spans="1:9" x14ac:dyDescent="0.2">
      <c r="A2" s="1">
        <v>42370</v>
      </c>
      <c r="B2" s="74">
        <v>2184</v>
      </c>
      <c r="D2">
        <f>B2/($C$13/12)</f>
        <v>0.76265859620533116</v>
      </c>
      <c r="F2">
        <f>AVERAGE(D2,D14,D26)</f>
        <v>0.73645263155351115</v>
      </c>
      <c r="H2" s="52">
        <f>B2/F2</f>
        <v>2965.5675143599633</v>
      </c>
      <c r="I2">
        <v>1</v>
      </c>
    </row>
    <row r="3" spans="1:9" x14ac:dyDescent="0.2">
      <c r="A3" s="1">
        <v>42401</v>
      </c>
      <c r="B3" s="74">
        <v>2324</v>
      </c>
      <c r="D3">
        <f t="shared" ref="D3:D13" si="0">B3/($C$13/12)</f>
        <v>0.81154696775695501</v>
      </c>
      <c r="F3">
        <f t="shared" ref="F3:F12" si="1">AVERAGE(D3,D15,D27)</f>
        <v>0.79354223098995735</v>
      </c>
      <c r="H3" s="52">
        <f t="shared" ref="H3:H13" si="2">B3/F3</f>
        <v>2928.6406056811502</v>
      </c>
      <c r="I3">
        <v>2</v>
      </c>
    </row>
    <row r="4" spans="1:9" x14ac:dyDescent="0.2">
      <c r="A4" s="1">
        <v>42430</v>
      </c>
      <c r="B4" s="74">
        <v>2266</v>
      </c>
      <c r="D4">
        <f t="shared" si="0"/>
        <v>0.7912932138284251</v>
      </c>
      <c r="F4">
        <f>AVERAGE(D4,D16,D28)</f>
        <v>0.79962596476616143</v>
      </c>
      <c r="H4" s="52">
        <f t="shared" si="2"/>
        <v>2833.8249379666622</v>
      </c>
      <c r="I4">
        <v>3</v>
      </c>
    </row>
    <row r="5" spans="1:9" x14ac:dyDescent="0.2">
      <c r="A5" s="1">
        <v>42461</v>
      </c>
      <c r="B5" s="74">
        <v>3121</v>
      </c>
      <c r="D5">
        <f t="shared" si="0"/>
        <v>1.0898614829472704</v>
      </c>
      <c r="F5">
        <f t="shared" si="1"/>
        <v>1.000386049757761</v>
      </c>
      <c r="H5" s="52">
        <f t="shared" si="2"/>
        <v>3119.7956036629421</v>
      </c>
      <c r="I5">
        <v>4</v>
      </c>
    </row>
    <row r="6" spans="1:9" x14ac:dyDescent="0.2">
      <c r="A6" s="1">
        <v>42491</v>
      </c>
      <c r="B6" s="74">
        <v>3548</v>
      </c>
      <c r="D6">
        <f t="shared" si="0"/>
        <v>1.2389710161797229</v>
      </c>
      <c r="F6">
        <f t="shared" si="1"/>
        <v>1.1194742909514612</v>
      </c>
      <c r="H6" s="52">
        <f t="shared" si="2"/>
        <v>3169.3447796684027</v>
      </c>
      <c r="I6">
        <v>5</v>
      </c>
    </row>
    <row r="7" spans="1:9" x14ac:dyDescent="0.2">
      <c r="A7" s="1">
        <v>42522</v>
      </c>
      <c r="B7" s="74">
        <v>3313</v>
      </c>
      <c r="D7">
        <f t="shared" si="0"/>
        <v>1.1569083925037831</v>
      </c>
      <c r="F7">
        <f t="shared" si="1"/>
        <v>1.1355410761587377</v>
      </c>
      <c r="H7" s="52">
        <f t="shared" si="2"/>
        <v>2917.5518786225525</v>
      </c>
      <c r="I7">
        <v>6</v>
      </c>
    </row>
    <row r="8" spans="1:9" x14ac:dyDescent="0.2">
      <c r="A8" s="1">
        <v>42552</v>
      </c>
      <c r="B8" s="74">
        <v>2510</v>
      </c>
      <c r="D8">
        <f t="shared" si="0"/>
        <v>0.87649866138982657</v>
      </c>
      <c r="F8">
        <f t="shared" si="1"/>
        <v>0.85288853979963564</v>
      </c>
      <c r="H8" s="52">
        <f t="shared" si="2"/>
        <v>2942.940235296936</v>
      </c>
      <c r="I8">
        <v>7</v>
      </c>
    </row>
    <row r="9" spans="1:9" x14ac:dyDescent="0.2">
      <c r="A9" s="1">
        <v>42583</v>
      </c>
      <c r="B9" s="74">
        <v>2172.5</v>
      </c>
      <c r="D9">
        <f t="shared" si="0"/>
        <v>0.7586427656850192</v>
      </c>
      <c r="F9">
        <f t="shared" si="1"/>
        <v>0.90070322704019323</v>
      </c>
      <c r="H9" s="52">
        <f t="shared" si="2"/>
        <v>2412.0042371104482</v>
      </c>
      <c r="I9">
        <v>8</v>
      </c>
    </row>
    <row r="10" spans="1:9" x14ac:dyDescent="0.2">
      <c r="A10" s="1">
        <v>42614</v>
      </c>
      <c r="B10" s="74">
        <v>2371.5</v>
      </c>
      <c r="D10">
        <f t="shared" si="0"/>
        <v>0.82813409381911307</v>
      </c>
      <c r="F10">
        <f t="shared" si="1"/>
        <v>0.9067207985417266</v>
      </c>
      <c r="H10" s="52">
        <f t="shared" si="2"/>
        <v>2615.4688453315161</v>
      </c>
      <c r="I10">
        <v>9</v>
      </c>
    </row>
    <row r="11" spans="1:9" x14ac:dyDescent="0.2">
      <c r="A11" s="1">
        <v>42644</v>
      </c>
      <c r="B11" s="74">
        <v>3341</v>
      </c>
      <c r="D11">
        <f t="shared" si="0"/>
        <v>1.1666860668141079</v>
      </c>
      <c r="F11">
        <f t="shared" si="1"/>
        <v>1.1763761269571111</v>
      </c>
      <c r="H11" s="52">
        <f t="shared" si="2"/>
        <v>2840.0780357911904</v>
      </c>
      <c r="I11">
        <v>10</v>
      </c>
    </row>
    <row r="12" spans="1:9" x14ac:dyDescent="0.2">
      <c r="A12" s="1">
        <v>42675</v>
      </c>
      <c r="B12" s="74">
        <v>3648.5</v>
      </c>
      <c r="D12">
        <f t="shared" si="0"/>
        <v>1.2740658829007101</v>
      </c>
      <c r="F12">
        <f t="shared" si="1"/>
        <v>1.3142927102311404</v>
      </c>
      <c r="H12" s="52">
        <f t="shared" si="2"/>
        <v>2776.0178319473066</v>
      </c>
      <c r="I12">
        <v>11</v>
      </c>
    </row>
    <row r="13" spans="1:9" x14ac:dyDescent="0.2">
      <c r="A13" s="1">
        <v>42705</v>
      </c>
      <c r="B13" s="74">
        <v>3564.5</v>
      </c>
      <c r="C13">
        <f>SUM(B2:B13)</f>
        <v>34364</v>
      </c>
      <c r="D13">
        <f t="shared" si="0"/>
        <v>1.2447328599697358</v>
      </c>
      <c r="E13">
        <f>SUM(D2:D13)</f>
        <v>12.000000000000002</v>
      </c>
      <c r="F13">
        <f>AVERAGE(D13,D25,D37)</f>
        <v>1.263996353252604</v>
      </c>
      <c r="G13">
        <f>SUM(F2:F13)</f>
        <v>12</v>
      </c>
      <c r="H13" s="52">
        <f t="shared" si="2"/>
        <v>2820.0239587935353</v>
      </c>
      <c r="I13">
        <v>12</v>
      </c>
    </row>
    <row r="14" spans="1:9" x14ac:dyDescent="0.2">
      <c r="A14" s="1">
        <v>42736</v>
      </c>
      <c r="B14" s="74">
        <v>2402</v>
      </c>
      <c r="D14">
        <f>B14/($C$25/12)</f>
        <v>0.7440179654629463</v>
      </c>
      <c r="H14" s="52">
        <f>B14/F2</f>
        <v>3261.5811215625604</v>
      </c>
      <c r="I14">
        <v>13</v>
      </c>
    </row>
    <row r="15" spans="1:9" x14ac:dyDescent="0.2">
      <c r="A15" s="1">
        <v>42767</v>
      </c>
      <c r="B15" s="74">
        <v>2657</v>
      </c>
      <c r="D15">
        <f t="shared" ref="D15:D25" si="3">B15/($C$25/12)</f>
        <v>0.82300405255414166</v>
      </c>
      <c r="H15" s="52">
        <f t="shared" ref="H15:H24" si="4">B15/F3</f>
        <v>3348.2780074418315</v>
      </c>
      <c r="I15">
        <v>14</v>
      </c>
    </row>
    <row r="16" spans="1:9" x14ac:dyDescent="0.2">
      <c r="A16" s="1">
        <v>42795</v>
      </c>
      <c r="B16" s="74">
        <v>2675</v>
      </c>
      <c r="D16">
        <f t="shared" si="3"/>
        <v>0.82857954105469667</v>
      </c>
      <c r="H16" s="52">
        <f t="shared" si="4"/>
        <v>3345.3140816685004</v>
      </c>
      <c r="I16">
        <v>15</v>
      </c>
    </row>
    <row r="17" spans="1:18" x14ac:dyDescent="0.2">
      <c r="A17" s="1">
        <v>42826</v>
      </c>
      <c r="B17" s="74">
        <v>3019</v>
      </c>
      <c r="D17">
        <f t="shared" si="3"/>
        <v>0.93513332128752491</v>
      </c>
      <c r="H17" s="52">
        <f t="shared" si="4"/>
        <v>3017.8349655425895</v>
      </c>
      <c r="I17">
        <v>16</v>
      </c>
    </row>
    <row r="18" spans="1:18" x14ac:dyDescent="0.2">
      <c r="A18" s="1">
        <v>42856</v>
      </c>
      <c r="B18" s="74">
        <v>3486.5</v>
      </c>
      <c r="D18">
        <f t="shared" si="3"/>
        <v>1.0799411476213832</v>
      </c>
      <c r="H18" s="52">
        <f t="shared" si="4"/>
        <v>3114.408279118908</v>
      </c>
      <c r="I18">
        <v>17</v>
      </c>
    </row>
    <row r="19" spans="1:18" x14ac:dyDescent="0.2">
      <c r="A19" s="1">
        <v>42887</v>
      </c>
      <c r="B19" s="74">
        <v>3575.5</v>
      </c>
      <c r="D19">
        <f t="shared" si="3"/>
        <v>1.107508840763016</v>
      </c>
      <c r="H19" s="52">
        <f t="shared" si="4"/>
        <v>3148.7192097841644</v>
      </c>
      <c r="I19">
        <v>18</v>
      </c>
    </row>
    <row r="20" spans="1:18" ht="19" x14ac:dyDescent="0.25">
      <c r="A20" s="1">
        <v>42917</v>
      </c>
      <c r="B20" s="74">
        <v>2691</v>
      </c>
      <c r="D20">
        <f t="shared" si="3"/>
        <v>0.83353553083296772</v>
      </c>
      <c r="H20" s="52">
        <f t="shared" si="4"/>
        <v>3155.1602283601815</v>
      </c>
      <c r="I20">
        <v>19</v>
      </c>
      <c r="K20" s="74" t="s">
        <v>152</v>
      </c>
      <c r="M20" s="28" t="s">
        <v>111</v>
      </c>
    </row>
    <row r="21" spans="1:18" x14ac:dyDescent="0.2">
      <c r="A21" s="1">
        <v>42948</v>
      </c>
      <c r="B21" s="74">
        <v>3162.5</v>
      </c>
      <c r="D21">
        <f t="shared" si="3"/>
        <v>0.97958235461139365</v>
      </c>
      <c r="H21" s="52">
        <f t="shared" si="4"/>
        <v>3511.1454084519182</v>
      </c>
      <c r="I21">
        <v>20</v>
      </c>
    </row>
    <row r="22" spans="1:18" x14ac:dyDescent="0.2">
      <c r="A22" s="1">
        <v>42979</v>
      </c>
      <c r="B22" s="74">
        <v>3059.5</v>
      </c>
      <c r="D22">
        <f t="shared" si="3"/>
        <v>0.94767817041377356</v>
      </c>
      <c r="H22" s="52">
        <f t="shared" si="4"/>
        <v>3374.2470724401323</v>
      </c>
      <c r="I22">
        <v>21</v>
      </c>
      <c r="M22" t="s">
        <v>13</v>
      </c>
    </row>
    <row r="23" spans="1:18" ht="16" thickBot="1" x14ac:dyDescent="0.25">
      <c r="A23" s="1">
        <v>43009</v>
      </c>
      <c r="B23" s="74">
        <v>3716</v>
      </c>
      <c r="D23">
        <f t="shared" si="3"/>
        <v>1.151028626003459</v>
      </c>
      <c r="H23" s="52">
        <f t="shared" si="4"/>
        <v>3158.8536309488363</v>
      </c>
      <c r="I23">
        <v>22</v>
      </c>
    </row>
    <row r="24" spans="1:18" x14ac:dyDescent="0.2">
      <c r="A24" s="1">
        <v>43040</v>
      </c>
      <c r="B24" s="74">
        <v>4328.5</v>
      </c>
      <c r="D24">
        <f t="shared" si="3"/>
        <v>1.3407501097028989</v>
      </c>
      <c r="H24" s="52">
        <f t="shared" si="4"/>
        <v>3293.4063822348685</v>
      </c>
      <c r="I24">
        <v>23</v>
      </c>
      <c r="M24" s="6" t="s">
        <v>14</v>
      </c>
      <c r="N24" s="6"/>
    </row>
    <row r="25" spans="1:18" x14ac:dyDescent="0.2">
      <c r="A25" s="1">
        <v>43070</v>
      </c>
      <c r="B25" s="74">
        <v>3968.5</v>
      </c>
      <c r="C25">
        <f>SUM(B14:B25)</f>
        <v>38741</v>
      </c>
      <c r="D25">
        <f t="shared" si="3"/>
        <v>1.2292403396917995</v>
      </c>
      <c r="E25">
        <f>SUM(D14:D25)</f>
        <v>12</v>
      </c>
      <c r="H25" s="52">
        <f>B25/F13</f>
        <v>3139.6451340923395</v>
      </c>
      <c r="I25">
        <v>24</v>
      </c>
      <c r="M25" s="3" t="s">
        <v>15</v>
      </c>
      <c r="N25" s="3">
        <v>0.83082830593275714</v>
      </c>
    </row>
    <row r="26" spans="1:18" x14ac:dyDescent="0.2">
      <c r="A26" s="1">
        <v>43101</v>
      </c>
      <c r="B26" s="74">
        <v>2518</v>
      </c>
      <c r="D26">
        <f>B26/($C$37/12)</f>
        <v>0.70268133299225599</v>
      </c>
      <c r="H26" s="52">
        <f>B26/F2</f>
        <v>3419.092949248346</v>
      </c>
      <c r="I26">
        <v>25</v>
      </c>
      <c r="M26" s="3" t="s">
        <v>16</v>
      </c>
      <c r="N26" s="3">
        <v>0.69027567393909517</v>
      </c>
    </row>
    <row r="27" spans="1:18" x14ac:dyDescent="0.2">
      <c r="A27" s="1">
        <v>43132</v>
      </c>
      <c r="B27" s="74">
        <v>2673.5</v>
      </c>
      <c r="D27">
        <f t="shared" ref="D27:D37" si="5">B27/($C$37/12)</f>
        <v>0.74607567265877539</v>
      </c>
      <c r="H27" s="52">
        <f t="shared" ref="H27:H37" si="6">B27/F3</f>
        <v>3369.0708516732166</v>
      </c>
      <c r="I27">
        <v>26</v>
      </c>
      <c r="M27" s="3" t="s">
        <v>17</v>
      </c>
      <c r="N27" s="3">
        <v>0.68116613493730394</v>
      </c>
    </row>
    <row r="28" spans="1:18" x14ac:dyDescent="0.2">
      <c r="A28" s="1">
        <v>43160</v>
      </c>
      <c r="B28" s="74">
        <v>2791.5</v>
      </c>
      <c r="D28">
        <f t="shared" si="5"/>
        <v>0.77900513941536242</v>
      </c>
      <c r="H28" s="52">
        <f t="shared" si="6"/>
        <v>3491.0071996178012</v>
      </c>
      <c r="I28">
        <v>27</v>
      </c>
      <c r="M28" s="3" t="s">
        <v>18</v>
      </c>
      <c r="N28" s="3">
        <v>190.82266666258886</v>
      </c>
    </row>
    <row r="29" spans="1:18" ht="16" thickBot="1" x14ac:dyDescent="0.25">
      <c r="A29" s="1">
        <v>43191</v>
      </c>
      <c r="B29" s="74">
        <v>3498</v>
      </c>
      <c r="D29">
        <f t="shared" si="5"/>
        <v>0.97616334503848756</v>
      </c>
      <c r="H29" s="52">
        <f t="shared" si="6"/>
        <v>3496.6501190685585</v>
      </c>
      <c r="I29">
        <v>28</v>
      </c>
      <c r="M29" s="4" t="s">
        <v>19</v>
      </c>
      <c r="N29" s="4">
        <v>36</v>
      </c>
    </row>
    <row r="30" spans="1:18" x14ac:dyDescent="0.2">
      <c r="A30" s="1">
        <v>43221</v>
      </c>
      <c r="B30" s="74">
        <v>3725</v>
      </c>
      <c r="D30">
        <f t="shared" si="5"/>
        <v>1.0395107090532778</v>
      </c>
      <c r="H30" s="52">
        <f t="shared" si="6"/>
        <v>3327.4547080791431</v>
      </c>
      <c r="I30">
        <v>29</v>
      </c>
    </row>
    <row r="31" spans="1:18" ht="16" thickBot="1" x14ac:dyDescent="0.25">
      <c r="A31" s="1">
        <v>43252</v>
      </c>
      <c r="B31" s="74">
        <v>4093</v>
      </c>
      <c r="D31">
        <f t="shared" si="5"/>
        <v>1.1422059952094137</v>
      </c>
      <c r="H31" s="52">
        <f t="shared" si="6"/>
        <v>3604.4490912170563</v>
      </c>
      <c r="I31">
        <v>30</v>
      </c>
      <c r="M31" t="s">
        <v>20</v>
      </c>
    </row>
    <row r="32" spans="1:18" x14ac:dyDescent="0.2">
      <c r="A32" s="1">
        <v>43282</v>
      </c>
      <c r="B32" s="74">
        <v>3041</v>
      </c>
      <c r="D32">
        <f t="shared" si="5"/>
        <v>0.84863142717611217</v>
      </c>
      <c r="H32" s="52">
        <f t="shared" si="6"/>
        <v>3565.5303806924235</v>
      </c>
      <c r="I32">
        <v>31</v>
      </c>
      <c r="M32" s="5"/>
      <c r="N32" s="5" t="s">
        <v>24</v>
      </c>
      <c r="O32" s="5" t="s">
        <v>25</v>
      </c>
      <c r="P32" s="5" t="s">
        <v>26</v>
      </c>
      <c r="Q32" s="5" t="s">
        <v>27</v>
      </c>
      <c r="R32" s="5" t="s">
        <v>28</v>
      </c>
    </row>
    <row r="33" spans="1:21" x14ac:dyDescent="0.2">
      <c r="A33" s="1">
        <v>43313</v>
      </c>
      <c r="B33" s="74">
        <v>3454</v>
      </c>
      <c r="D33">
        <f t="shared" si="5"/>
        <v>0.96388456082416696</v>
      </c>
      <c r="H33" s="52">
        <f t="shared" si="6"/>
        <v>3834.7814200135731</v>
      </c>
      <c r="I33">
        <v>32</v>
      </c>
      <c r="M33" s="3" t="s">
        <v>21</v>
      </c>
      <c r="N33" s="3">
        <v>1</v>
      </c>
      <c r="O33" s="3">
        <v>2759218.4815950459</v>
      </c>
      <c r="P33" s="3">
        <v>2759218.4815950459</v>
      </c>
      <c r="Q33" s="3">
        <v>75.775039088515683</v>
      </c>
      <c r="R33" s="3">
        <v>3.5876810756114787E-10</v>
      </c>
    </row>
    <row r="34" spans="1:21" x14ac:dyDescent="0.2">
      <c r="A34" s="1">
        <v>43344</v>
      </c>
      <c r="B34" s="74">
        <v>3384</v>
      </c>
      <c r="D34">
        <f t="shared" si="5"/>
        <v>0.94435013139229329</v>
      </c>
      <c r="H34" s="52">
        <f t="shared" si="6"/>
        <v>3732.1301170574957</v>
      </c>
      <c r="I34">
        <v>33</v>
      </c>
      <c r="M34" s="3" t="s">
        <v>22</v>
      </c>
      <c r="N34" s="3">
        <v>34</v>
      </c>
      <c r="O34" s="3">
        <v>1238051.8638155311</v>
      </c>
      <c r="P34" s="3">
        <v>36413.290112221504</v>
      </c>
      <c r="Q34" s="3"/>
      <c r="R34" s="3"/>
    </row>
    <row r="35" spans="1:21" ht="16" thickBot="1" x14ac:dyDescent="0.25">
      <c r="A35" s="1">
        <v>43374</v>
      </c>
      <c r="B35" s="74">
        <v>4341</v>
      </c>
      <c r="D35">
        <f t="shared" si="5"/>
        <v>1.2114136880537663</v>
      </c>
      <c r="H35" s="52">
        <f t="shared" si="6"/>
        <v>3690.1462895449135</v>
      </c>
      <c r="I35">
        <v>34</v>
      </c>
      <c r="M35" s="4" t="s">
        <v>1</v>
      </c>
      <c r="N35" s="4">
        <v>35</v>
      </c>
      <c r="O35" s="4">
        <v>3997270.345410577</v>
      </c>
      <c r="P35" s="4"/>
      <c r="Q35" s="4"/>
      <c r="R35" s="4"/>
    </row>
    <row r="36" spans="1:21" ht="16" thickBot="1" x14ac:dyDescent="0.25">
      <c r="A36" s="1">
        <v>43405</v>
      </c>
      <c r="B36" s="74">
        <v>4759</v>
      </c>
      <c r="D36">
        <f t="shared" si="5"/>
        <v>1.3280621380898119</v>
      </c>
      <c r="H36" s="52">
        <f t="shared" si="6"/>
        <v>3620.9589864978025</v>
      </c>
      <c r="I36">
        <v>35</v>
      </c>
    </row>
    <row r="37" spans="1:21" x14ac:dyDescent="0.2">
      <c r="A37" s="1">
        <v>43435</v>
      </c>
      <c r="B37" s="74">
        <v>4723</v>
      </c>
      <c r="C37">
        <f>SUM(B26:B37)</f>
        <v>43001</v>
      </c>
      <c r="D37">
        <f t="shared" si="5"/>
        <v>1.3180158600962768</v>
      </c>
      <c r="E37">
        <f>SUM(D26:D37)</f>
        <v>12.000000000000004</v>
      </c>
      <c r="H37" s="52">
        <f t="shared" si="6"/>
        <v>3736.5614132085475</v>
      </c>
      <c r="I37">
        <v>36</v>
      </c>
      <c r="J37" t="s">
        <v>108</v>
      </c>
      <c r="K37" t="s">
        <v>109</v>
      </c>
      <c r="M37" s="5"/>
      <c r="N37" s="5" t="s">
        <v>29</v>
      </c>
      <c r="O37" s="5" t="s">
        <v>18</v>
      </c>
      <c r="P37" s="5" t="s">
        <v>30</v>
      </c>
      <c r="Q37" s="5" t="s">
        <v>31</v>
      </c>
      <c r="R37" s="5" t="s">
        <v>32</v>
      </c>
      <c r="S37" s="5" t="s">
        <v>33</v>
      </c>
      <c r="T37" s="5" t="s">
        <v>34</v>
      </c>
      <c r="U37" s="5" t="s">
        <v>35</v>
      </c>
    </row>
    <row r="38" spans="1:21" x14ac:dyDescent="0.2">
      <c r="A38" s="1">
        <v>43466</v>
      </c>
      <c r="H38" s="52" t="s">
        <v>107</v>
      </c>
      <c r="I38">
        <v>37</v>
      </c>
      <c r="J38">
        <f>$N$38+I38*$N$39</f>
        <v>3717.9610722001989</v>
      </c>
      <c r="K38">
        <f>J38*F2</f>
        <v>2738.1022156353506</v>
      </c>
      <c r="M38" s="3" t="s">
        <v>23</v>
      </c>
      <c r="N38" s="3">
        <v>2731.910345121928</v>
      </c>
      <c r="O38" s="3">
        <v>64.956275625702062</v>
      </c>
      <c r="P38" s="3">
        <v>42.057681398854072</v>
      </c>
      <c r="Q38" s="3">
        <v>6.6182747144062152E-31</v>
      </c>
      <c r="R38" s="3">
        <v>2599.9033106358665</v>
      </c>
      <c r="S38" s="3">
        <v>2863.9173796079895</v>
      </c>
      <c r="T38" s="3">
        <v>2599.9033106358665</v>
      </c>
      <c r="U38" s="3">
        <v>2863.9173796079895</v>
      </c>
    </row>
    <row r="39" spans="1:21" ht="16" thickBot="1" x14ac:dyDescent="0.25">
      <c r="A39" s="1">
        <v>43497</v>
      </c>
      <c r="H39" s="52" t="s">
        <v>2</v>
      </c>
      <c r="I39">
        <v>38</v>
      </c>
      <c r="J39">
        <f t="shared" ref="J39:J49" si="7">$N$38+I39*$N$39</f>
        <v>3744.611091850963</v>
      </c>
      <c r="K39">
        <f t="shared" ref="K39:K49" si="8">J39*F3</f>
        <v>2971.5070400171535</v>
      </c>
      <c r="M39" s="4" t="s">
        <v>41</v>
      </c>
      <c r="N39" s="4">
        <v>26.650019650764079</v>
      </c>
      <c r="O39" s="4">
        <v>3.0615013061692569</v>
      </c>
      <c r="P39" s="4">
        <v>8.7048859319646219</v>
      </c>
      <c r="Q39" s="4">
        <v>3.5876810756115309E-10</v>
      </c>
      <c r="R39" s="4">
        <v>20.428300431032582</v>
      </c>
      <c r="S39" s="4">
        <v>32.871738870495577</v>
      </c>
      <c r="T39" s="4">
        <v>20.428300431032582</v>
      </c>
      <c r="U39" s="4">
        <v>32.871738870495577</v>
      </c>
    </row>
    <row r="40" spans="1:21" x14ac:dyDescent="0.2">
      <c r="A40" s="1">
        <v>43525</v>
      </c>
      <c r="H40" s="52" t="s">
        <v>3</v>
      </c>
      <c r="I40">
        <v>39</v>
      </c>
      <c r="J40">
        <f t="shared" si="7"/>
        <v>3771.2611115017271</v>
      </c>
      <c r="K40">
        <f t="shared" si="8"/>
        <v>3015.5983046696747</v>
      </c>
    </row>
    <row r="41" spans="1:21" x14ac:dyDescent="0.2">
      <c r="A41" s="1">
        <v>43556</v>
      </c>
      <c r="H41" s="52" t="s">
        <v>4</v>
      </c>
      <c r="I41">
        <v>40</v>
      </c>
      <c r="J41">
        <f t="shared" si="7"/>
        <v>3797.9111311524912</v>
      </c>
      <c r="K41">
        <f t="shared" si="8"/>
        <v>3799.3773138246706</v>
      </c>
    </row>
    <row r="42" spans="1:21" x14ac:dyDescent="0.2">
      <c r="A42" s="1">
        <v>43586</v>
      </c>
      <c r="H42" s="52" t="s">
        <v>5</v>
      </c>
      <c r="I42">
        <v>41</v>
      </c>
      <c r="J42">
        <f t="shared" si="7"/>
        <v>3824.5611508032553</v>
      </c>
      <c r="K42">
        <f t="shared" si="8"/>
        <v>4281.497882495979</v>
      </c>
    </row>
    <row r="43" spans="1:21" x14ac:dyDescent="0.2">
      <c r="A43" s="1">
        <v>43617</v>
      </c>
      <c r="H43" s="52" t="s">
        <v>6</v>
      </c>
      <c r="I43">
        <v>42</v>
      </c>
      <c r="J43">
        <f t="shared" si="7"/>
        <v>3851.2111704540193</v>
      </c>
      <c r="K43">
        <f t="shared" si="8"/>
        <v>4373.2084770119091</v>
      </c>
    </row>
    <row r="44" spans="1:21" x14ac:dyDescent="0.2">
      <c r="A44" s="1">
        <v>43647</v>
      </c>
      <c r="H44" s="52" t="s">
        <v>7</v>
      </c>
      <c r="I44">
        <v>43</v>
      </c>
      <c r="J44">
        <f t="shared" si="7"/>
        <v>3877.8611901047834</v>
      </c>
      <c r="K44">
        <f t="shared" si="8"/>
        <v>3307.383367974146</v>
      </c>
    </row>
    <row r="45" spans="1:21" x14ac:dyDescent="0.2">
      <c r="A45" s="1">
        <v>43678</v>
      </c>
      <c r="H45" s="52" t="s">
        <v>8</v>
      </c>
      <c r="I45">
        <v>44</v>
      </c>
      <c r="J45">
        <f t="shared" si="7"/>
        <v>3904.5112097555475</v>
      </c>
      <c r="K45">
        <f t="shared" si="8"/>
        <v>3516.8058466414304</v>
      </c>
    </row>
    <row r="46" spans="1:21" x14ac:dyDescent="0.2">
      <c r="A46" s="1">
        <v>43709</v>
      </c>
      <c r="H46" s="52" t="s">
        <v>9</v>
      </c>
      <c r="I46">
        <v>45</v>
      </c>
      <c r="J46">
        <f t="shared" si="7"/>
        <v>3931.1612294063116</v>
      </c>
      <c r="K46">
        <f t="shared" si="8"/>
        <v>3564.4656491235664</v>
      </c>
    </row>
    <row r="47" spans="1:21" x14ac:dyDescent="0.2">
      <c r="A47" s="1">
        <v>43739</v>
      </c>
      <c r="H47" s="52" t="s">
        <v>10</v>
      </c>
      <c r="I47">
        <v>46</v>
      </c>
      <c r="J47">
        <f t="shared" si="7"/>
        <v>3957.8112490570757</v>
      </c>
      <c r="K47">
        <f t="shared" si="8"/>
        <v>4655.8746683930494</v>
      </c>
    </row>
    <row r="48" spans="1:21" x14ac:dyDescent="0.2">
      <c r="A48" s="1">
        <v>43770</v>
      </c>
      <c r="H48" s="52" t="s">
        <v>11</v>
      </c>
      <c r="I48">
        <v>47</v>
      </c>
      <c r="J48">
        <f t="shared" si="7"/>
        <v>3984.4612687078397</v>
      </c>
      <c r="K48">
        <f t="shared" si="8"/>
        <v>5236.7483996610345</v>
      </c>
    </row>
    <row r="49" spans="1:11" x14ac:dyDescent="0.2">
      <c r="A49" s="1">
        <v>43800</v>
      </c>
      <c r="H49" s="52" t="s">
        <v>12</v>
      </c>
      <c r="I49">
        <v>48</v>
      </c>
      <c r="J49">
        <f t="shared" si="7"/>
        <v>4011.1112883586038</v>
      </c>
      <c r="K49">
        <f t="shared" si="8"/>
        <v>5070.0300409756292</v>
      </c>
    </row>
    <row r="50" spans="1:11" x14ac:dyDescent="0.2">
      <c r="A50"/>
    </row>
    <row r="51" spans="1:11" x14ac:dyDescent="0.2">
      <c r="A51"/>
    </row>
    <row r="52" spans="1:11" x14ac:dyDescent="0.2">
      <c r="A52"/>
    </row>
    <row r="53" spans="1:11" x14ac:dyDescent="0.2">
      <c r="A53"/>
    </row>
    <row r="54" spans="1:11" x14ac:dyDescent="0.2">
      <c r="A54"/>
    </row>
    <row r="55" spans="1:11" x14ac:dyDescent="0.2">
      <c r="A55"/>
    </row>
    <row r="56" spans="1:11" x14ac:dyDescent="0.2">
      <c r="A56"/>
    </row>
    <row r="57" spans="1:11" x14ac:dyDescent="0.2">
      <c r="A57"/>
    </row>
    <row r="58" spans="1:11" x14ac:dyDescent="0.2">
      <c r="A58"/>
    </row>
    <row r="59" spans="1:11" x14ac:dyDescent="0.2">
      <c r="A59"/>
    </row>
    <row r="60" spans="1:11" x14ac:dyDescent="0.2">
      <c r="A60"/>
    </row>
    <row r="61" spans="1:11" x14ac:dyDescent="0.2">
      <c r="A61"/>
    </row>
    <row r="62" spans="1:11" x14ac:dyDescent="0.2">
      <c r="A62"/>
    </row>
    <row r="63" spans="1:11" x14ac:dyDescent="0.2">
      <c r="A63"/>
    </row>
    <row r="64" spans="1:1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</sheetData>
  <sortState xmlns:xlrd2="http://schemas.microsoft.com/office/spreadsheetml/2017/richdata2" ref="A2:B162">
    <sortCondition ref="A2:A162"/>
  </sortState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1"/>
  <sheetViews>
    <sheetView topLeftCell="A35" zoomScale="106" zoomScaleNormal="60" workbookViewId="0">
      <selection activeCell="B36" sqref="B36:M36"/>
    </sheetView>
  </sheetViews>
  <sheetFormatPr baseColWidth="10" defaultColWidth="8.83203125" defaultRowHeight="15" x14ac:dyDescent="0.2"/>
  <cols>
    <col min="1" max="1" width="21.83203125" style="2" customWidth="1"/>
    <col min="2" max="2" width="13" style="2" customWidth="1"/>
    <col min="3" max="3" width="12.5" style="2" customWidth="1"/>
    <col min="4" max="4" width="11.83203125" style="2" customWidth="1"/>
    <col min="5" max="5" width="13.1640625" style="2" customWidth="1"/>
    <col min="6" max="6" width="12.33203125" style="2" bestFit="1" customWidth="1"/>
    <col min="7" max="9" width="14.1640625" style="2" customWidth="1"/>
    <col min="10" max="11" width="17.1640625" style="2" customWidth="1"/>
    <col min="12" max="12" width="12.1640625" style="2" bestFit="1" customWidth="1"/>
    <col min="13" max="13" width="12.33203125" style="2" bestFit="1" customWidth="1"/>
    <col min="14" max="14" width="19.6640625" style="52" customWidth="1"/>
    <col min="16" max="16" width="14" customWidth="1"/>
    <col min="17" max="17" width="16.83203125" customWidth="1"/>
    <col min="18" max="18" width="17.6640625" customWidth="1"/>
    <col min="19" max="19" width="15.5" customWidth="1"/>
  </cols>
  <sheetData>
    <row r="1" spans="1:27" ht="32" x14ac:dyDescent="0.2">
      <c r="A1" s="33"/>
      <c r="B1" s="35"/>
      <c r="C1" s="35"/>
      <c r="D1" s="35"/>
      <c r="E1" s="71" t="s">
        <v>74</v>
      </c>
      <c r="F1" s="71" t="s">
        <v>75</v>
      </c>
      <c r="G1" s="71" t="s">
        <v>76</v>
      </c>
      <c r="H1" s="35"/>
      <c r="I1" s="35"/>
      <c r="J1" s="35"/>
      <c r="K1" s="35"/>
      <c r="L1" s="35"/>
      <c r="M1" s="35"/>
      <c r="N1" s="49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ht="20" x14ac:dyDescent="0.25">
      <c r="A2" s="33"/>
      <c r="B2" s="38"/>
      <c r="C2" s="38"/>
      <c r="D2" s="38"/>
      <c r="E2" s="72">
        <v>4000</v>
      </c>
      <c r="F2" s="73">
        <f>'data sets'!AM8</f>
        <v>3</v>
      </c>
      <c r="G2" s="73">
        <f>'data sets'!AN8</f>
        <v>1.25</v>
      </c>
      <c r="H2" s="38" t="s">
        <v>132</v>
      </c>
      <c r="I2" s="38"/>
      <c r="J2" s="38"/>
      <c r="K2" s="38"/>
      <c r="L2" s="38"/>
      <c r="M2" s="38"/>
      <c r="N2" s="50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 spans="1:27" ht="24" x14ac:dyDescent="0.25">
      <c r="A3" s="39" t="s">
        <v>77</v>
      </c>
      <c r="N3" s="49"/>
      <c r="Q3" s="40"/>
    </row>
    <row r="4" spans="1:27" ht="50" x14ac:dyDescent="0.3">
      <c r="A4" s="67" t="s">
        <v>123</v>
      </c>
      <c r="N4" s="49"/>
      <c r="Q4" s="40"/>
    </row>
    <row r="5" spans="1:27" ht="20" x14ac:dyDescent="0.25">
      <c r="A5" s="41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5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s="49"/>
      <c r="Q5" s="40"/>
    </row>
    <row r="6" spans="1:27" ht="16" x14ac:dyDescent="0.2">
      <c r="A6" s="42" t="s">
        <v>37</v>
      </c>
      <c r="B6" s="76">
        <v>3043.1174370423737</v>
      </c>
      <c r="C6" s="76">
        <v>3188.0045190034839</v>
      </c>
      <c r="D6" s="76">
        <v>3301.6015507364195</v>
      </c>
      <c r="E6" s="76">
        <v>3976.5199006177841</v>
      </c>
      <c r="F6" s="76">
        <v>4505.8315902212116</v>
      </c>
      <c r="G6" s="76">
        <v>4576.6872870666812</v>
      </c>
      <c r="H6" s="76">
        <v>3202.0666466624602</v>
      </c>
      <c r="I6" s="76">
        <v>3610.3985380182176</v>
      </c>
      <c r="J6" s="76">
        <v>3699.2479065781499</v>
      </c>
      <c r="K6" s="76">
        <v>4469.9507792179948</v>
      </c>
      <c r="L6" s="76">
        <v>5489.0800261100194</v>
      </c>
      <c r="M6" s="76">
        <v>5296.767591088249</v>
      </c>
      <c r="N6" s="51"/>
      <c r="Q6" s="40"/>
    </row>
    <row r="7" spans="1:27" ht="16" x14ac:dyDescent="0.2">
      <c r="A7" s="42" t="s">
        <v>90</v>
      </c>
      <c r="B7" s="43">
        <f>IF($E$2&gt;B6,B6,$E$2)</f>
        <v>3043.1174370423737</v>
      </c>
      <c r="C7" s="43">
        <f t="shared" ref="C7:M7" si="0">IF($E$2&gt;C6,C6,$E$2)</f>
        <v>3188.0045190034839</v>
      </c>
      <c r="D7" s="43">
        <f t="shared" si="0"/>
        <v>3301.6015507364195</v>
      </c>
      <c r="E7" s="43">
        <f t="shared" si="0"/>
        <v>3976.5199006177841</v>
      </c>
      <c r="F7" s="43">
        <f t="shared" si="0"/>
        <v>4000</v>
      </c>
      <c r="G7" s="43">
        <f t="shared" si="0"/>
        <v>4000</v>
      </c>
      <c r="H7" s="43">
        <f t="shared" si="0"/>
        <v>3202.0666466624602</v>
      </c>
      <c r="I7" s="43">
        <f t="shared" si="0"/>
        <v>3610.3985380182176</v>
      </c>
      <c r="J7" s="43">
        <f t="shared" si="0"/>
        <v>3699.2479065781499</v>
      </c>
      <c r="K7" s="43">
        <f t="shared" si="0"/>
        <v>4000</v>
      </c>
      <c r="L7" s="43">
        <f t="shared" si="0"/>
        <v>4000</v>
      </c>
      <c r="M7" s="43">
        <f t="shared" si="0"/>
        <v>4000</v>
      </c>
      <c r="N7" s="51"/>
      <c r="Q7" s="40"/>
    </row>
    <row r="8" spans="1:27" ht="16" x14ac:dyDescent="0.2">
      <c r="A8" s="42" t="s">
        <v>91</v>
      </c>
      <c r="B8" s="43">
        <f>IF($E$2-B6&gt;0,$E$2-B6,0)</f>
        <v>956.88256295762631</v>
      </c>
      <c r="C8" s="43">
        <f t="shared" ref="C8:M8" si="1">IF($E$2-C6&gt;0,$E$2-C6,0)</f>
        <v>811.99548099651611</v>
      </c>
      <c r="D8" s="43">
        <f t="shared" si="1"/>
        <v>698.39844926358046</v>
      </c>
      <c r="E8" s="43">
        <f t="shared" si="1"/>
        <v>23.48009938221594</v>
      </c>
      <c r="F8" s="43">
        <f t="shared" si="1"/>
        <v>0</v>
      </c>
      <c r="G8" s="43">
        <f t="shared" si="1"/>
        <v>0</v>
      </c>
      <c r="H8" s="43">
        <f t="shared" si="1"/>
        <v>797.93335333753976</v>
      </c>
      <c r="I8" s="43">
        <f t="shared" si="1"/>
        <v>389.60146198178245</v>
      </c>
      <c r="J8" s="43">
        <f t="shared" si="1"/>
        <v>300.75209342185008</v>
      </c>
      <c r="K8" s="43">
        <f t="shared" si="1"/>
        <v>0</v>
      </c>
      <c r="L8" s="43">
        <f t="shared" si="1"/>
        <v>0</v>
      </c>
      <c r="M8" s="43">
        <f t="shared" si="1"/>
        <v>0</v>
      </c>
      <c r="N8" s="51"/>
      <c r="Q8" s="40"/>
    </row>
    <row r="9" spans="1:27" ht="32" x14ac:dyDescent="0.2">
      <c r="A9" s="42" t="s">
        <v>92</v>
      </c>
      <c r="B9" s="43">
        <f>IF($E$2-B6&gt;0,0,$E$2-B6)</f>
        <v>0</v>
      </c>
      <c r="C9" s="43">
        <f t="shared" ref="C9:M9" si="2">IF($E$2-C6&gt;0,0,$E$2-C6)</f>
        <v>0</v>
      </c>
      <c r="D9" s="43">
        <f t="shared" si="2"/>
        <v>0</v>
      </c>
      <c r="E9" s="43">
        <f t="shared" si="2"/>
        <v>0</v>
      </c>
      <c r="F9" s="43">
        <f t="shared" si="2"/>
        <v>-505.83159022121163</v>
      </c>
      <c r="G9" s="43">
        <f t="shared" si="2"/>
        <v>-576.68728706668117</v>
      </c>
      <c r="H9" s="43">
        <f t="shared" si="2"/>
        <v>0</v>
      </c>
      <c r="I9" s="43">
        <f t="shared" si="2"/>
        <v>0</v>
      </c>
      <c r="J9" s="43">
        <f t="shared" si="2"/>
        <v>0</v>
      </c>
      <c r="K9" s="43">
        <f t="shared" si="2"/>
        <v>-469.95077921799475</v>
      </c>
      <c r="L9" s="43">
        <f t="shared" si="2"/>
        <v>-1489.0800261100194</v>
      </c>
      <c r="M9" s="43">
        <f t="shared" si="2"/>
        <v>-1296.767591088249</v>
      </c>
      <c r="N9" s="51"/>
      <c r="Q9" s="40"/>
    </row>
    <row r="10" spans="1:27" ht="20" x14ac:dyDescent="0.25">
      <c r="A10" s="41" t="s">
        <v>93</v>
      </c>
      <c r="N10" s="49"/>
      <c r="Q10" s="44"/>
    </row>
    <row r="11" spans="1:27" ht="20" x14ac:dyDescent="0.25">
      <c r="A11" s="45" t="s">
        <v>94</v>
      </c>
      <c r="B11" s="2">
        <f>'Financial information '!$C$7*B7</f>
        <v>12172.469748169495</v>
      </c>
      <c r="C11" s="2">
        <f>'Financial information '!$C$7*C7</f>
        <v>12752.018076013936</v>
      </c>
      <c r="D11" s="2">
        <f>'Financial information '!$C$7*D7</f>
        <v>13206.406202945678</v>
      </c>
      <c r="E11" s="2">
        <f>'Financial information '!$C$7*E7</f>
        <v>15906.079602471136</v>
      </c>
      <c r="F11" s="2">
        <f>'Financial information '!$C$7*F7</f>
        <v>16000</v>
      </c>
      <c r="G11" s="2">
        <f>'Financial information '!$C$7*G7</f>
        <v>16000</v>
      </c>
      <c r="H11" s="2">
        <f>'Financial information '!$C$7*H7</f>
        <v>12808.266586649841</v>
      </c>
      <c r="I11" s="2">
        <f>'Financial information '!$C$7*I7</f>
        <v>14441.59415207287</v>
      </c>
      <c r="J11" s="2">
        <f>'Financial information '!$C$7*J7</f>
        <v>14796.9916263126</v>
      </c>
      <c r="K11" s="2">
        <f>'Financial information '!$C$7*K7</f>
        <v>16000</v>
      </c>
      <c r="L11" s="2">
        <f>'Financial information '!$C$7*L7</f>
        <v>16000</v>
      </c>
      <c r="M11" s="2">
        <f>'Financial information '!$C$7*M7</f>
        <v>16000</v>
      </c>
      <c r="N11" s="49"/>
    </row>
    <row r="12" spans="1:27" ht="20" x14ac:dyDescent="0.25">
      <c r="A12" s="45" t="s">
        <v>95</v>
      </c>
      <c r="B12" s="2">
        <f>'Financial information '!$C$8*B7</f>
        <v>10650.911029648309</v>
      </c>
      <c r="C12" s="2">
        <f>'Financial information '!$C$8*C7</f>
        <v>11158.015816512194</v>
      </c>
      <c r="D12" s="2">
        <f>'Financial information '!$C$8*D7</f>
        <v>11555.605427577468</v>
      </c>
      <c r="E12" s="2">
        <f>'Financial information '!$C$8*E7</f>
        <v>13917.819652162245</v>
      </c>
      <c r="F12" s="2">
        <f>'Financial information '!$C$8*F7</f>
        <v>14000</v>
      </c>
      <c r="G12" s="2">
        <f>'Financial information '!$C$8*G7</f>
        <v>14000</v>
      </c>
      <c r="H12" s="2">
        <f>'Financial information '!$C$8*H7</f>
        <v>11207.233263318611</v>
      </c>
      <c r="I12" s="2">
        <f>'Financial information '!$C$8*I7</f>
        <v>12636.394883063762</v>
      </c>
      <c r="J12" s="2">
        <f>'Financial information '!$C$8*J7</f>
        <v>12947.367673023524</v>
      </c>
      <c r="K12" s="2">
        <f>'Financial information '!$C$8*K7</f>
        <v>14000</v>
      </c>
      <c r="L12" s="2">
        <f>'Financial information '!$C$8*L7</f>
        <v>14000</v>
      </c>
      <c r="M12" s="2">
        <f>'Financial information '!$C$8*M7</f>
        <v>14000</v>
      </c>
      <c r="N12" s="49"/>
      <c r="V12" t="s">
        <v>0</v>
      </c>
    </row>
    <row r="13" spans="1:27" ht="20" x14ac:dyDescent="0.25">
      <c r="A13" s="45" t="s">
        <v>96</v>
      </c>
      <c r="B13" s="2">
        <f>B11+B12</f>
        <v>22823.380777817802</v>
      </c>
      <c r="C13" s="2">
        <f t="shared" ref="C13:M13" si="3">C11+C12</f>
        <v>23910.033892526131</v>
      </c>
      <c r="D13" s="2">
        <f t="shared" si="3"/>
        <v>24762.011630523146</v>
      </c>
      <c r="E13" s="2">
        <f t="shared" si="3"/>
        <v>29823.899254633383</v>
      </c>
      <c r="F13" s="2">
        <f t="shared" si="3"/>
        <v>30000</v>
      </c>
      <c r="G13" s="2">
        <f t="shared" si="3"/>
        <v>30000</v>
      </c>
      <c r="H13" s="2">
        <f t="shared" si="3"/>
        <v>24015.499849968452</v>
      </c>
      <c r="I13" s="2">
        <f t="shared" si="3"/>
        <v>27077.989035136634</v>
      </c>
      <c r="J13" s="2">
        <f t="shared" si="3"/>
        <v>27744.359299336124</v>
      </c>
      <c r="K13" s="2">
        <f t="shared" si="3"/>
        <v>30000</v>
      </c>
      <c r="L13" s="2">
        <f t="shared" si="3"/>
        <v>30000</v>
      </c>
      <c r="M13" s="2">
        <f t="shared" si="3"/>
        <v>30000</v>
      </c>
      <c r="N13" s="49"/>
      <c r="V13" t="s">
        <v>0</v>
      </c>
    </row>
    <row r="14" spans="1:27" ht="19" x14ac:dyDescent="0.25">
      <c r="A14" s="45"/>
      <c r="N14" s="49"/>
    </row>
    <row r="15" spans="1:27" ht="20" x14ac:dyDescent="0.25">
      <c r="A15" s="41" t="s">
        <v>97</v>
      </c>
      <c r="B15" s="2">
        <f>'Financial information '!$G$12</f>
        <v>5550</v>
      </c>
      <c r="C15" s="2">
        <f>'Financial information '!$G$12</f>
        <v>5550</v>
      </c>
      <c r="D15" s="2">
        <f>'Financial information '!$G$12</f>
        <v>5550</v>
      </c>
      <c r="E15" s="2">
        <f>'Financial information '!$G$12</f>
        <v>5550</v>
      </c>
      <c r="F15" s="2">
        <f>'Financial information '!$G$12</f>
        <v>5550</v>
      </c>
      <c r="G15" s="2">
        <f>'Financial information '!$G$12</f>
        <v>5550</v>
      </c>
      <c r="H15" s="2">
        <f>'Financial information '!$G$12</f>
        <v>5550</v>
      </c>
      <c r="I15" s="2">
        <f>'Financial information '!$G$12</f>
        <v>5550</v>
      </c>
      <c r="J15" s="2">
        <f>'Financial information '!$G$12</f>
        <v>5550</v>
      </c>
      <c r="K15" s="2">
        <f>'Financial information '!$G$12</f>
        <v>5550</v>
      </c>
      <c r="L15" s="2">
        <f>'Financial information '!$G$12</f>
        <v>5550</v>
      </c>
      <c r="M15" s="2">
        <f>'Financial information '!$G$12</f>
        <v>5550</v>
      </c>
      <c r="N15" s="49"/>
    </row>
    <row r="16" spans="1:27" ht="20" x14ac:dyDescent="0.25">
      <c r="A16" s="45" t="s">
        <v>98</v>
      </c>
      <c r="B16" s="2">
        <f>B15</f>
        <v>5550</v>
      </c>
      <c r="C16" s="2">
        <f t="shared" ref="C16:M16" si="4">C15</f>
        <v>5550</v>
      </c>
      <c r="D16" s="2">
        <f t="shared" si="4"/>
        <v>5550</v>
      </c>
      <c r="E16" s="2">
        <f t="shared" si="4"/>
        <v>5550</v>
      </c>
      <c r="F16" s="2">
        <f t="shared" si="4"/>
        <v>5550</v>
      </c>
      <c r="G16" s="2">
        <f t="shared" si="4"/>
        <v>5550</v>
      </c>
      <c r="H16" s="2">
        <f t="shared" si="4"/>
        <v>5550</v>
      </c>
      <c r="I16" s="2">
        <f t="shared" si="4"/>
        <v>5550</v>
      </c>
      <c r="J16" s="2">
        <f t="shared" si="4"/>
        <v>5550</v>
      </c>
      <c r="K16" s="2">
        <f t="shared" si="4"/>
        <v>5550</v>
      </c>
      <c r="L16" s="2">
        <f t="shared" si="4"/>
        <v>5550</v>
      </c>
      <c r="M16" s="2">
        <f t="shared" si="4"/>
        <v>5550</v>
      </c>
      <c r="N16" s="49"/>
    </row>
    <row r="17" spans="1:27" ht="19" x14ac:dyDescent="0.25">
      <c r="A17" s="41"/>
      <c r="N17" s="49"/>
    </row>
    <row r="18" spans="1:27" ht="20" x14ac:dyDescent="0.25">
      <c r="A18" s="41" t="s">
        <v>99</v>
      </c>
      <c r="N18" s="49"/>
    </row>
    <row r="19" spans="1:27" ht="40" x14ac:dyDescent="0.25">
      <c r="A19" s="45" t="s">
        <v>100</v>
      </c>
      <c r="B19" s="2">
        <f>'Financial information '!$C$15*$E$2+'Financial information '!$C$16*$E$2</f>
        <v>1400</v>
      </c>
      <c r="C19" s="2">
        <f>'Financial information '!$C$15*$E$2+'Financial information '!$C$16*$E$2</f>
        <v>1400</v>
      </c>
      <c r="D19" s="2">
        <f>'Financial information '!$C$15*$E$2+'Financial information '!$C$16*$E$2</f>
        <v>1400</v>
      </c>
      <c r="E19" s="2">
        <f>'Financial information '!$C$15*$E$2+'Financial information '!$C$16*$E$2</f>
        <v>1400</v>
      </c>
      <c r="F19" s="2">
        <f>'Financial information '!$C$15*$E$2+'Financial information '!$C$16*$E$2</f>
        <v>1400</v>
      </c>
      <c r="G19" s="2">
        <f>'Financial information '!$C$15*$E$2+'Financial information '!$C$16*$E$2</f>
        <v>1400</v>
      </c>
      <c r="H19" s="2">
        <f>'Financial information '!$C$15*$E$2+'Financial information '!$C$16*$E$2</f>
        <v>1400</v>
      </c>
      <c r="I19" s="2">
        <f>'Financial information '!$C$15*$E$2+'Financial information '!$C$16*$E$2</f>
        <v>1400</v>
      </c>
      <c r="J19" s="2">
        <f>'Financial information '!$C$15*$E$2+'Financial information '!$C$16*$E$2</f>
        <v>1400</v>
      </c>
      <c r="K19" s="2">
        <f>'Financial information '!$C$15*$E$2+'Financial information '!$C$16*$E$2</f>
        <v>1400</v>
      </c>
      <c r="L19" s="2">
        <f>'Financial information '!$C$15*$E$2+'Financial information '!$C$16*$E$2</f>
        <v>1400</v>
      </c>
      <c r="M19" s="2">
        <f>'Financial information '!$C$15*$E$2+'Financial information '!$C$16*$E$2</f>
        <v>1400</v>
      </c>
      <c r="N19" s="49"/>
      <c r="AA19" t="s">
        <v>0</v>
      </c>
    </row>
    <row r="20" spans="1:27" ht="40" x14ac:dyDescent="0.25">
      <c r="A20" s="45" t="s">
        <v>101</v>
      </c>
      <c r="B20" s="2">
        <f>'Financial information '!$C$9*$E$2</f>
        <v>2000</v>
      </c>
      <c r="C20" s="2">
        <f>'Financial information '!$C$9*$E$2</f>
        <v>2000</v>
      </c>
      <c r="D20" s="2">
        <f>'Financial information '!$C$9*$E$2</f>
        <v>2000</v>
      </c>
      <c r="E20" s="2">
        <f>'Financial information '!$C$9*$E$2</f>
        <v>2000</v>
      </c>
      <c r="F20" s="2">
        <f>'Financial information '!$C$9*$E$2</f>
        <v>2000</v>
      </c>
      <c r="G20" s="2">
        <f>'Financial information '!$C$9*$E$2</f>
        <v>2000</v>
      </c>
      <c r="H20" s="2">
        <f>'Financial information '!$C$9*$E$2</f>
        <v>2000</v>
      </c>
      <c r="I20" s="2">
        <f>'Financial information '!$C$9*$E$2</f>
        <v>2000</v>
      </c>
      <c r="J20" s="2">
        <f>'Financial information '!$C$9*$E$2</f>
        <v>2000</v>
      </c>
      <c r="K20" s="2">
        <f>'Financial information '!$C$9*$E$2</f>
        <v>2000</v>
      </c>
      <c r="L20" s="2">
        <f>'Financial information '!$C$9*$E$2</f>
        <v>2000</v>
      </c>
      <c r="M20" s="2">
        <f>'Financial information '!$C$9*$E$2</f>
        <v>2000</v>
      </c>
      <c r="N20" s="49"/>
    </row>
    <row r="21" spans="1:27" ht="40" x14ac:dyDescent="0.25">
      <c r="A21" s="41" t="s">
        <v>102</v>
      </c>
      <c r="B21" s="2">
        <f>B19+B20</f>
        <v>3400</v>
      </c>
      <c r="C21" s="2">
        <f t="shared" ref="C21:M21" si="5">C19+C20</f>
        <v>3400</v>
      </c>
      <c r="D21" s="2">
        <f t="shared" si="5"/>
        <v>3400</v>
      </c>
      <c r="E21" s="2">
        <f t="shared" si="5"/>
        <v>3400</v>
      </c>
      <c r="F21" s="2">
        <f t="shared" si="5"/>
        <v>3400</v>
      </c>
      <c r="G21" s="2">
        <f t="shared" si="5"/>
        <v>3400</v>
      </c>
      <c r="H21" s="2">
        <f t="shared" si="5"/>
        <v>3400</v>
      </c>
      <c r="I21" s="2">
        <f t="shared" si="5"/>
        <v>3400</v>
      </c>
      <c r="J21" s="2">
        <f t="shared" si="5"/>
        <v>3400</v>
      </c>
      <c r="K21" s="2">
        <f t="shared" si="5"/>
        <v>3400</v>
      </c>
      <c r="L21" s="2">
        <f t="shared" si="5"/>
        <v>3400</v>
      </c>
      <c r="M21" s="2">
        <f t="shared" si="5"/>
        <v>3400</v>
      </c>
      <c r="N21" s="49"/>
    </row>
    <row r="22" spans="1:27" ht="20" x14ac:dyDescent="0.25">
      <c r="A22" s="41" t="s">
        <v>103</v>
      </c>
      <c r="B22" s="2">
        <f>B21+B16</f>
        <v>8950</v>
      </c>
      <c r="C22" s="2">
        <f t="shared" ref="C22:M22" si="6">C21+C16</f>
        <v>8950</v>
      </c>
      <c r="D22" s="2">
        <f t="shared" si="6"/>
        <v>8950</v>
      </c>
      <c r="E22" s="2">
        <f t="shared" si="6"/>
        <v>8950</v>
      </c>
      <c r="F22" s="2">
        <f t="shared" si="6"/>
        <v>8950</v>
      </c>
      <c r="G22" s="2">
        <f t="shared" si="6"/>
        <v>8950</v>
      </c>
      <c r="H22" s="2">
        <f t="shared" si="6"/>
        <v>8950</v>
      </c>
      <c r="I22" s="2">
        <f t="shared" si="6"/>
        <v>8950</v>
      </c>
      <c r="J22" s="2">
        <f t="shared" si="6"/>
        <v>8950</v>
      </c>
      <c r="K22" s="2">
        <f t="shared" si="6"/>
        <v>8950</v>
      </c>
      <c r="L22" s="2">
        <f t="shared" si="6"/>
        <v>8950</v>
      </c>
      <c r="M22" s="2">
        <f t="shared" si="6"/>
        <v>8950</v>
      </c>
      <c r="N22" s="49"/>
    </row>
    <row r="24" spans="1:27" ht="16" x14ac:dyDescent="0.2">
      <c r="A24" s="2" t="s">
        <v>104</v>
      </c>
      <c r="B24" s="2">
        <f>($F$2*B9)</f>
        <v>0</v>
      </c>
      <c r="C24" s="2">
        <f t="shared" ref="C24:M24" si="7">($F$2*C9)</f>
        <v>0</v>
      </c>
      <c r="D24" s="2">
        <f t="shared" si="7"/>
        <v>0</v>
      </c>
      <c r="E24" s="2">
        <f t="shared" si="7"/>
        <v>0</v>
      </c>
      <c r="F24" s="2">
        <f t="shared" si="7"/>
        <v>-1517.4947706636349</v>
      </c>
      <c r="G24" s="2">
        <f t="shared" si="7"/>
        <v>-1730.0618612000435</v>
      </c>
      <c r="H24" s="2">
        <f t="shared" si="7"/>
        <v>0</v>
      </c>
      <c r="I24" s="2">
        <f t="shared" si="7"/>
        <v>0</v>
      </c>
      <c r="J24" s="2">
        <f t="shared" si="7"/>
        <v>0</v>
      </c>
      <c r="K24" s="2">
        <f t="shared" si="7"/>
        <v>-1409.8523376539843</v>
      </c>
      <c r="L24" s="2">
        <f t="shared" si="7"/>
        <v>-4467.2400783300582</v>
      </c>
      <c r="M24" s="2">
        <f t="shared" si="7"/>
        <v>-3890.302773264747</v>
      </c>
    </row>
    <row r="25" spans="1:27" ht="16" x14ac:dyDescent="0.2">
      <c r="A25" s="2" t="s">
        <v>105</v>
      </c>
      <c r="B25" s="2">
        <f>$G$2*B8</f>
        <v>1196.1032036970328</v>
      </c>
      <c r="C25" s="2">
        <f t="shared" ref="C25:M25" si="8">$G$2*C8</f>
        <v>1014.9943512456451</v>
      </c>
      <c r="D25" s="2">
        <f t="shared" si="8"/>
        <v>872.99806157947557</v>
      </c>
      <c r="E25" s="2">
        <f t="shared" si="8"/>
        <v>29.350124227769925</v>
      </c>
      <c r="F25" s="2">
        <f t="shared" si="8"/>
        <v>0</v>
      </c>
      <c r="G25" s="2">
        <f t="shared" si="8"/>
        <v>0</v>
      </c>
      <c r="H25" s="2">
        <f t="shared" si="8"/>
        <v>997.4166916719247</v>
      </c>
      <c r="I25" s="2">
        <f t="shared" si="8"/>
        <v>487.00182747722806</v>
      </c>
      <c r="J25" s="2">
        <f t="shared" si="8"/>
        <v>375.9401167773126</v>
      </c>
      <c r="K25" s="2">
        <f t="shared" si="8"/>
        <v>0</v>
      </c>
      <c r="L25" s="2">
        <f t="shared" si="8"/>
        <v>0</v>
      </c>
      <c r="M25" s="2">
        <f t="shared" si="8"/>
        <v>0</v>
      </c>
    </row>
    <row r="26" spans="1:27" x14ac:dyDescent="0.2">
      <c r="N26" s="53" t="s">
        <v>114</v>
      </c>
    </row>
    <row r="27" spans="1:27" ht="40" x14ac:dyDescent="0.25">
      <c r="A27" s="46" t="s">
        <v>106</v>
      </c>
      <c r="B27" s="2">
        <f>B13-B22+B24+B25</f>
        <v>15069.483981514833</v>
      </c>
      <c r="C27" s="2">
        <f t="shared" ref="C27:M27" si="9">C13-C22+C24+C25</f>
        <v>15975.028243771776</v>
      </c>
      <c r="D27" s="2">
        <f t="shared" si="9"/>
        <v>16685.00969210262</v>
      </c>
      <c r="E27" s="2">
        <f>E13-E22+E24+E25</f>
        <v>20903.249378861154</v>
      </c>
      <c r="F27" s="2">
        <f>F13-F22+F24+F25</f>
        <v>19532.505229336366</v>
      </c>
      <c r="G27" s="2">
        <f t="shared" si="9"/>
        <v>19319.938138799957</v>
      </c>
      <c r="H27" s="2">
        <f t="shared" si="9"/>
        <v>16062.916541640376</v>
      </c>
      <c r="I27" s="2">
        <f t="shared" si="9"/>
        <v>18614.99086261386</v>
      </c>
      <c r="J27" s="2">
        <f t="shared" si="9"/>
        <v>19170.299416113437</v>
      </c>
      <c r="K27" s="2">
        <f t="shared" si="9"/>
        <v>19640.147662346015</v>
      </c>
      <c r="L27" s="2">
        <f t="shared" si="9"/>
        <v>16582.759921669942</v>
      </c>
      <c r="M27" s="2">
        <f t="shared" si="9"/>
        <v>17159.697226735254</v>
      </c>
      <c r="N27" s="34">
        <f>SUM(B27:M27)</f>
        <v>214716.02629550558</v>
      </c>
    </row>
    <row r="28" spans="1:27" x14ac:dyDescent="0.2">
      <c r="N28" s="49"/>
    </row>
    <row r="30" spans="1:27" ht="16" x14ac:dyDescent="0.2">
      <c r="A30" s="47"/>
      <c r="B30"/>
      <c r="C30"/>
      <c r="D30"/>
      <c r="E30"/>
      <c r="F30"/>
      <c r="G30"/>
      <c r="H30"/>
      <c r="L30" s="2" t="s">
        <v>0</v>
      </c>
    </row>
    <row r="31" spans="1:27" ht="32" x14ac:dyDescent="0.2">
      <c r="A31" s="33"/>
      <c r="B31" s="35"/>
      <c r="C31" s="35"/>
      <c r="D31" s="35"/>
      <c r="E31" s="34" t="s">
        <v>74</v>
      </c>
      <c r="F31" s="34" t="s">
        <v>75</v>
      </c>
      <c r="G31" s="34" t="s">
        <v>76</v>
      </c>
      <c r="H31" s="35"/>
      <c r="I31" s="35"/>
      <c r="J31" s="35"/>
      <c r="K31" s="35"/>
      <c r="L31" s="35"/>
      <c r="M31" s="35"/>
      <c r="N31" s="49"/>
    </row>
    <row r="32" spans="1:27" ht="19" x14ac:dyDescent="0.25">
      <c r="A32" s="33"/>
      <c r="B32" s="38"/>
      <c r="C32" s="38"/>
      <c r="D32" s="38"/>
      <c r="E32" s="37">
        <f>E2</f>
        <v>4000</v>
      </c>
      <c r="F32" s="37">
        <f t="shared" ref="F32:G32" si="10">F2</f>
        <v>3</v>
      </c>
      <c r="G32" s="37">
        <f t="shared" si="10"/>
        <v>1.25</v>
      </c>
      <c r="H32" s="38"/>
      <c r="I32" s="38"/>
      <c r="J32" s="38"/>
      <c r="K32" s="38"/>
      <c r="L32" s="38"/>
      <c r="M32" s="38"/>
      <c r="N32" s="50"/>
    </row>
    <row r="33" spans="1:14" ht="24" x14ac:dyDescent="0.25">
      <c r="A33" s="39" t="s">
        <v>77</v>
      </c>
      <c r="N33" s="49"/>
    </row>
    <row r="34" spans="1:14" ht="50" x14ac:dyDescent="0.3">
      <c r="A34" s="68" t="s">
        <v>124</v>
      </c>
      <c r="B34" s="75">
        <f>1+'data sets'!AP8</f>
        <v>1.2</v>
      </c>
      <c r="N34" s="49"/>
    </row>
    <row r="35" spans="1:14" ht="20" x14ac:dyDescent="0.25">
      <c r="A35" s="41" t="s">
        <v>78</v>
      </c>
      <c r="B35" t="s">
        <v>79</v>
      </c>
      <c r="C35" t="s">
        <v>80</v>
      </c>
      <c r="D35" t="s">
        <v>81</v>
      </c>
      <c r="E35" t="s">
        <v>82</v>
      </c>
      <c r="F35" t="s">
        <v>5</v>
      </c>
      <c r="G35" t="s">
        <v>83</v>
      </c>
      <c r="H35" t="s">
        <v>84</v>
      </c>
      <c r="I35" t="s">
        <v>85</v>
      </c>
      <c r="J35" t="s">
        <v>86</v>
      </c>
      <c r="K35" t="s">
        <v>87</v>
      </c>
      <c r="L35" t="s">
        <v>88</v>
      </c>
      <c r="M35" t="s">
        <v>89</v>
      </c>
      <c r="N35" s="49"/>
    </row>
    <row r="36" spans="1:14" ht="16" x14ac:dyDescent="0.2">
      <c r="A36" s="42" t="s">
        <v>37</v>
      </c>
      <c r="B36" s="43">
        <f>B6*1.2</f>
        <v>3651.7409244508485</v>
      </c>
      <c r="C36" s="43">
        <f t="shared" ref="C36:M36" si="11">C6*1.2</f>
        <v>3825.6054228041803</v>
      </c>
      <c r="D36" s="43">
        <f t="shared" si="11"/>
        <v>3961.9218608837032</v>
      </c>
      <c r="E36" s="43">
        <f t="shared" si="11"/>
        <v>4771.8238807413409</v>
      </c>
      <c r="F36" s="43">
        <f t="shared" si="11"/>
        <v>5406.9979082654536</v>
      </c>
      <c r="G36" s="43">
        <f t="shared" si="11"/>
        <v>5492.024744480017</v>
      </c>
      <c r="H36" s="43">
        <f t="shared" si="11"/>
        <v>3842.4799759949519</v>
      </c>
      <c r="I36" s="43">
        <f t="shared" si="11"/>
        <v>4332.4782456218609</v>
      </c>
      <c r="J36" s="43">
        <f t="shared" si="11"/>
        <v>4439.0974878937795</v>
      </c>
      <c r="K36" s="43">
        <f t="shared" si="11"/>
        <v>5363.9409350615933</v>
      </c>
      <c r="L36" s="43">
        <f t="shared" si="11"/>
        <v>6586.8960313320231</v>
      </c>
      <c r="M36" s="43">
        <f t="shared" si="11"/>
        <v>6356.1211093058982</v>
      </c>
      <c r="N36" s="51"/>
    </row>
    <row r="37" spans="1:14" ht="16" x14ac:dyDescent="0.2">
      <c r="A37" s="42" t="s">
        <v>90</v>
      </c>
      <c r="B37" s="43">
        <f>IF($E$2&gt;B36,B36,$E$2)</f>
        <v>3651.7409244508485</v>
      </c>
      <c r="C37" s="43">
        <f t="shared" ref="C37:M37" si="12">IF($E$2&gt;C36,C36,$E$2)</f>
        <v>3825.6054228041803</v>
      </c>
      <c r="D37" s="43">
        <f t="shared" si="12"/>
        <v>3961.9218608837032</v>
      </c>
      <c r="E37" s="43">
        <f t="shared" si="12"/>
        <v>4000</v>
      </c>
      <c r="F37" s="43">
        <f t="shared" si="12"/>
        <v>4000</v>
      </c>
      <c r="G37" s="43">
        <f t="shared" si="12"/>
        <v>4000</v>
      </c>
      <c r="H37" s="43">
        <f t="shared" si="12"/>
        <v>3842.4799759949519</v>
      </c>
      <c r="I37" s="43">
        <f t="shared" si="12"/>
        <v>4000</v>
      </c>
      <c r="J37" s="43">
        <f t="shared" si="12"/>
        <v>4000</v>
      </c>
      <c r="K37" s="43">
        <f t="shared" si="12"/>
        <v>4000</v>
      </c>
      <c r="L37" s="43">
        <f t="shared" si="12"/>
        <v>4000</v>
      </c>
      <c r="M37" s="43">
        <f t="shared" si="12"/>
        <v>4000</v>
      </c>
      <c r="N37" s="51"/>
    </row>
    <row r="38" spans="1:14" ht="16" x14ac:dyDescent="0.2">
      <c r="A38" s="42" t="s">
        <v>91</v>
      </c>
      <c r="B38" s="43">
        <f>IF($E$2-B36&gt;0,$E$2-B36,0)</f>
        <v>348.25907554915148</v>
      </c>
      <c r="C38" s="43">
        <f t="shared" ref="C38:M38" si="13">IF($E$2-C36&gt;0,$E$2-C36,0)</f>
        <v>174.39457719581969</v>
      </c>
      <c r="D38" s="43">
        <f t="shared" si="13"/>
        <v>38.078139116296825</v>
      </c>
      <c r="E38" s="43">
        <f t="shared" si="13"/>
        <v>0</v>
      </c>
      <c r="F38" s="43">
        <f t="shared" si="13"/>
        <v>0</v>
      </c>
      <c r="G38" s="43">
        <f t="shared" si="13"/>
        <v>0</v>
      </c>
      <c r="H38" s="43">
        <f t="shared" si="13"/>
        <v>157.52002400504807</v>
      </c>
      <c r="I38" s="43">
        <f t="shared" si="13"/>
        <v>0</v>
      </c>
      <c r="J38" s="43">
        <f t="shared" si="13"/>
        <v>0</v>
      </c>
      <c r="K38" s="43">
        <f t="shared" si="13"/>
        <v>0</v>
      </c>
      <c r="L38" s="43">
        <f t="shared" si="13"/>
        <v>0</v>
      </c>
      <c r="M38" s="43">
        <f t="shared" si="13"/>
        <v>0</v>
      </c>
      <c r="N38" s="51"/>
    </row>
    <row r="39" spans="1:14" ht="32" x14ac:dyDescent="0.2">
      <c r="A39" s="42" t="s">
        <v>92</v>
      </c>
      <c r="B39" s="43">
        <f>IF($E$2-B36&gt;0,0,$E$2-B36)</f>
        <v>0</v>
      </c>
      <c r="C39" s="43">
        <f t="shared" ref="C39:M39" si="14">IF($E$2-C36&gt;0,0,$E$2-C36)</f>
        <v>0</v>
      </c>
      <c r="D39" s="43">
        <f t="shared" si="14"/>
        <v>0</v>
      </c>
      <c r="E39" s="43">
        <f t="shared" si="14"/>
        <v>-771.82388074134087</v>
      </c>
      <c r="F39" s="43">
        <f t="shared" si="14"/>
        <v>-1406.9979082654536</v>
      </c>
      <c r="G39" s="43">
        <f t="shared" si="14"/>
        <v>-1492.024744480017</v>
      </c>
      <c r="H39" s="43">
        <f t="shared" si="14"/>
        <v>0</v>
      </c>
      <c r="I39" s="43">
        <f t="shared" si="14"/>
        <v>-332.47824562186088</v>
      </c>
      <c r="J39" s="43">
        <f t="shared" si="14"/>
        <v>-439.09748789377954</v>
      </c>
      <c r="K39" s="43">
        <f t="shared" si="14"/>
        <v>-1363.9409350615933</v>
      </c>
      <c r="L39" s="43">
        <f t="shared" si="14"/>
        <v>-2586.8960313320231</v>
      </c>
      <c r="M39" s="43">
        <f t="shared" si="14"/>
        <v>-2356.1211093058982</v>
      </c>
      <c r="N39" s="51"/>
    </row>
    <row r="40" spans="1:14" ht="20" x14ac:dyDescent="0.25">
      <c r="A40" s="41" t="s">
        <v>93</v>
      </c>
      <c r="N40" s="49"/>
    </row>
    <row r="41" spans="1:14" ht="20" x14ac:dyDescent="0.25">
      <c r="A41" s="45" t="s">
        <v>94</v>
      </c>
      <c r="B41" s="2">
        <f>'Financial information '!$C$7*B37</f>
        <v>14606.963697803394</v>
      </c>
      <c r="C41" s="2">
        <f>'Financial information '!$C$7*C37</f>
        <v>15302.421691216721</v>
      </c>
      <c r="D41" s="2">
        <f>'Financial information '!$C$7*D37</f>
        <v>15847.687443534813</v>
      </c>
      <c r="E41" s="2">
        <f>'Financial information '!$C$7*E37</f>
        <v>16000</v>
      </c>
      <c r="F41" s="2">
        <f>'Financial information '!$C$7*F37</f>
        <v>16000</v>
      </c>
      <c r="G41" s="2">
        <f>'Financial information '!$C$7*G37</f>
        <v>16000</v>
      </c>
      <c r="H41" s="2">
        <f>'Financial information '!$C$7*H37</f>
        <v>15369.919903979808</v>
      </c>
      <c r="I41" s="2">
        <f>'Financial information '!$C$7*I37</f>
        <v>16000</v>
      </c>
      <c r="J41" s="2">
        <f>'Financial information '!$C$7*J37</f>
        <v>16000</v>
      </c>
      <c r="K41" s="2">
        <f>'Financial information '!$C$7*K37</f>
        <v>16000</v>
      </c>
      <c r="L41" s="2">
        <f>'Financial information '!$C$7*L37</f>
        <v>16000</v>
      </c>
      <c r="M41" s="2">
        <f>'Financial information '!$C$7*M37</f>
        <v>16000</v>
      </c>
      <c r="N41" s="49"/>
    </row>
    <row r="42" spans="1:14" ht="20" x14ac:dyDescent="0.25">
      <c r="A42" s="45" t="s">
        <v>95</v>
      </c>
      <c r="B42" s="2">
        <f>'Financial information '!$C$8*B37</f>
        <v>12781.09323557797</v>
      </c>
      <c r="C42" s="2">
        <f>'Financial information '!$C$8*C37</f>
        <v>13389.618979814632</v>
      </c>
      <c r="D42" s="2">
        <f>'Financial information '!$C$8*D37</f>
        <v>13866.726513092961</v>
      </c>
      <c r="E42" s="2">
        <f>'Financial information '!$C$8*E37</f>
        <v>14000</v>
      </c>
      <c r="F42" s="2">
        <f>'Financial information '!$C$8*F37</f>
        <v>14000</v>
      </c>
      <c r="G42" s="2">
        <f>'Financial information '!$C$8*G37</f>
        <v>14000</v>
      </c>
      <c r="H42" s="2">
        <f>'Financial information '!$C$8*H37</f>
        <v>13448.679915982331</v>
      </c>
      <c r="I42" s="2">
        <f>'Financial information '!$C$8*I37</f>
        <v>14000</v>
      </c>
      <c r="J42" s="2">
        <f>'Financial information '!$C$8*J37</f>
        <v>14000</v>
      </c>
      <c r="K42" s="2">
        <f>'Financial information '!$C$8*K37</f>
        <v>14000</v>
      </c>
      <c r="L42" s="2">
        <f>'Financial information '!$C$8*L37</f>
        <v>14000</v>
      </c>
      <c r="M42" s="2">
        <f>'Financial information '!$C$8*M37</f>
        <v>14000</v>
      </c>
      <c r="N42" s="49"/>
    </row>
    <row r="43" spans="1:14" ht="20" x14ac:dyDescent="0.25">
      <c r="A43" s="45" t="s">
        <v>96</v>
      </c>
      <c r="B43" s="2">
        <f>B41+B42</f>
        <v>27388.056933381362</v>
      </c>
      <c r="C43" s="2">
        <f t="shared" ref="C43:M43" si="15">C41+C42</f>
        <v>28692.040671031355</v>
      </c>
      <c r="D43" s="2">
        <f t="shared" si="15"/>
        <v>29714.413956627774</v>
      </c>
      <c r="E43" s="2">
        <f t="shared" si="15"/>
        <v>30000</v>
      </c>
      <c r="F43" s="2">
        <f t="shared" si="15"/>
        <v>30000</v>
      </c>
      <c r="G43" s="2">
        <f t="shared" si="15"/>
        <v>30000</v>
      </c>
      <c r="H43" s="2">
        <f t="shared" si="15"/>
        <v>28818.599819962139</v>
      </c>
      <c r="I43" s="2">
        <f t="shared" si="15"/>
        <v>30000</v>
      </c>
      <c r="J43" s="2">
        <f t="shared" si="15"/>
        <v>30000</v>
      </c>
      <c r="K43" s="2">
        <f t="shared" si="15"/>
        <v>30000</v>
      </c>
      <c r="L43" s="2">
        <f t="shared" si="15"/>
        <v>30000</v>
      </c>
      <c r="M43" s="2">
        <f t="shared" si="15"/>
        <v>30000</v>
      </c>
      <c r="N43" s="49"/>
    </row>
    <row r="44" spans="1:14" ht="19" x14ac:dyDescent="0.25">
      <c r="A44" s="45"/>
      <c r="N44" s="49"/>
    </row>
    <row r="45" spans="1:14" ht="20" x14ac:dyDescent="0.25">
      <c r="A45" s="41" t="s">
        <v>97</v>
      </c>
      <c r="B45" s="2">
        <f>'Financial information '!$G$12</f>
        <v>5550</v>
      </c>
      <c r="C45" s="2">
        <f>'Financial information '!$G$12</f>
        <v>5550</v>
      </c>
      <c r="D45" s="2">
        <f>'Financial information '!$G$12</f>
        <v>5550</v>
      </c>
      <c r="E45" s="2">
        <f>'Financial information '!$G$12</f>
        <v>5550</v>
      </c>
      <c r="F45" s="2">
        <f>'Financial information '!$G$12</f>
        <v>5550</v>
      </c>
      <c r="G45" s="2">
        <f>'Financial information '!$G$12</f>
        <v>5550</v>
      </c>
      <c r="H45" s="2">
        <f>'Financial information '!$G$12</f>
        <v>5550</v>
      </c>
      <c r="I45" s="2">
        <f>'Financial information '!$G$12</f>
        <v>5550</v>
      </c>
      <c r="J45" s="2">
        <f>'Financial information '!$G$12</f>
        <v>5550</v>
      </c>
      <c r="K45" s="2">
        <f>'Financial information '!$G$12</f>
        <v>5550</v>
      </c>
      <c r="L45" s="2">
        <f>'Financial information '!$G$12</f>
        <v>5550</v>
      </c>
      <c r="M45" s="2">
        <f>'Financial information '!$G$12</f>
        <v>5550</v>
      </c>
      <c r="N45" s="49"/>
    </row>
    <row r="46" spans="1:14" ht="20" x14ac:dyDescent="0.25">
      <c r="A46" s="45" t="s">
        <v>98</v>
      </c>
      <c r="B46" s="2">
        <f>B45</f>
        <v>5550</v>
      </c>
      <c r="C46" s="2">
        <f t="shared" ref="C46:M46" si="16">C45</f>
        <v>5550</v>
      </c>
      <c r="D46" s="2">
        <f t="shared" si="16"/>
        <v>5550</v>
      </c>
      <c r="E46" s="2">
        <f t="shared" si="16"/>
        <v>5550</v>
      </c>
      <c r="F46" s="2">
        <f t="shared" si="16"/>
        <v>5550</v>
      </c>
      <c r="G46" s="2">
        <f t="shared" si="16"/>
        <v>5550</v>
      </c>
      <c r="H46" s="2">
        <f t="shared" si="16"/>
        <v>5550</v>
      </c>
      <c r="I46" s="2">
        <f t="shared" si="16"/>
        <v>5550</v>
      </c>
      <c r="J46" s="2">
        <f t="shared" si="16"/>
        <v>5550</v>
      </c>
      <c r="K46" s="2">
        <f t="shared" si="16"/>
        <v>5550</v>
      </c>
      <c r="L46" s="2">
        <f t="shared" si="16"/>
        <v>5550</v>
      </c>
      <c r="M46" s="2">
        <f t="shared" si="16"/>
        <v>5550</v>
      </c>
      <c r="N46" s="49"/>
    </row>
    <row r="47" spans="1:14" ht="19" x14ac:dyDescent="0.25">
      <c r="A47" s="41"/>
      <c r="N47" s="49"/>
    </row>
    <row r="48" spans="1:14" ht="20" x14ac:dyDescent="0.25">
      <c r="A48" s="41" t="s">
        <v>99</v>
      </c>
      <c r="N48" s="49"/>
    </row>
    <row r="49" spans="1:15" ht="40" x14ac:dyDescent="0.25">
      <c r="A49" s="45" t="s">
        <v>100</v>
      </c>
      <c r="B49" s="2">
        <f>'Financial information '!$C$15*$E$2+'Financial information '!$C$16*$E$2</f>
        <v>1400</v>
      </c>
      <c r="C49" s="2">
        <f>'Financial information '!$C$15*$E$2+'Financial information '!$C$16*$E$2</f>
        <v>1400</v>
      </c>
      <c r="D49" s="2">
        <f>'Financial information '!$C$15*$E$2+'Financial information '!$C$16*$E$2</f>
        <v>1400</v>
      </c>
      <c r="E49" s="2">
        <f>'Financial information '!$C$15*$E$2+'Financial information '!$C$16*$E$2</f>
        <v>1400</v>
      </c>
      <c r="F49" s="2">
        <f>'Financial information '!$C$15*$E$2+'Financial information '!$C$16*$E$2</f>
        <v>1400</v>
      </c>
      <c r="G49" s="2">
        <f>'Financial information '!$C$15*$E$2+'Financial information '!$C$16*$E$2</f>
        <v>1400</v>
      </c>
      <c r="H49" s="2">
        <f>'Financial information '!$C$15*$E$2+'Financial information '!$C$16*$E$2</f>
        <v>1400</v>
      </c>
      <c r="I49" s="2">
        <f>'Financial information '!$C$15*$E$2+'Financial information '!$C$16*$E$2</f>
        <v>1400</v>
      </c>
      <c r="J49" s="2">
        <f>'Financial information '!$C$15*$E$2+'Financial information '!$C$16*$E$2</f>
        <v>1400</v>
      </c>
      <c r="K49" s="2">
        <f>'Financial information '!$C$15*$E$2+'Financial information '!$C$16*$E$2</f>
        <v>1400</v>
      </c>
      <c r="L49" s="2">
        <f>'Financial information '!$C$15*$E$2+'Financial information '!$C$16*$E$2</f>
        <v>1400</v>
      </c>
      <c r="M49" s="2">
        <f>'Financial information '!$C$15*$E$2+'Financial information '!$C$16*$E$2</f>
        <v>1400</v>
      </c>
      <c r="N49" s="49"/>
    </row>
    <row r="50" spans="1:15" ht="40" x14ac:dyDescent="0.25">
      <c r="A50" s="45" t="s">
        <v>101</v>
      </c>
      <c r="B50" s="2">
        <f>'Financial information '!$C$9*$E$2</f>
        <v>2000</v>
      </c>
      <c r="C50" s="2">
        <f>'Financial information '!$C$9*$E$2</f>
        <v>2000</v>
      </c>
      <c r="D50" s="2">
        <f>'Financial information '!$C$9*$E$2</f>
        <v>2000</v>
      </c>
      <c r="E50" s="2">
        <f>'Financial information '!$C$9*$E$2</f>
        <v>2000</v>
      </c>
      <c r="F50" s="2">
        <f>'Financial information '!$C$9*$E$2</f>
        <v>2000</v>
      </c>
      <c r="G50" s="2">
        <f>'Financial information '!$C$9*$E$2</f>
        <v>2000</v>
      </c>
      <c r="H50" s="2">
        <f>'Financial information '!$C$9*$E$2</f>
        <v>2000</v>
      </c>
      <c r="I50" s="2">
        <f>'Financial information '!$C$9*$E$2</f>
        <v>2000</v>
      </c>
      <c r="J50" s="2">
        <f>'Financial information '!$C$9*$E$2</f>
        <v>2000</v>
      </c>
      <c r="K50" s="2">
        <f>'Financial information '!$C$9*$E$2</f>
        <v>2000</v>
      </c>
      <c r="L50" s="2">
        <f>'Financial information '!$C$9*$E$2</f>
        <v>2000</v>
      </c>
      <c r="M50" s="2">
        <f>'Financial information '!$C$9*$E$2</f>
        <v>2000</v>
      </c>
      <c r="N50" s="49"/>
    </row>
    <row r="51" spans="1:15" ht="40" x14ac:dyDescent="0.25">
      <c r="A51" s="41" t="s">
        <v>102</v>
      </c>
      <c r="B51" s="2">
        <f>B49+B50</f>
        <v>3400</v>
      </c>
      <c r="C51" s="2">
        <f t="shared" ref="C51:M51" si="17">C49+C50</f>
        <v>3400</v>
      </c>
      <c r="D51" s="2">
        <f t="shared" si="17"/>
        <v>3400</v>
      </c>
      <c r="E51" s="2">
        <f t="shared" si="17"/>
        <v>3400</v>
      </c>
      <c r="F51" s="2">
        <f t="shared" si="17"/>
        <v>3400</v>
      </c>
      <c r="G51" s="2">
        <f t="shared" si="17"/>
        <v>3400</v>
      </c>
      <c r="H51" s="2">
        <f t="shared" si="17"/>
        <v>3400</v>
      </c>
      <c r="I51" s="2">
        <f t="shared" si="17"/>
        <v>3400</v>
      </c>
      <c r="J51" s="2">
        <f t="shared" si="17"/>
        <v>3400</v>
      </c>
      <c r="K51" s="2">
        <f t="shared" si="17"/>
        <v>3400</v>
      </c>
      <c r="L51" s="2">
        <f t="shared" si="17"/>
        <v>3400</v>
      </c>
      <c r="M51" s="2">
        <f t="shared" si="17"/>
        <v>3400</v>
      </c>
      <c r="N51" s="49"/>
    </row>
    <row r="52" spans="1:15" ht="20" x14ac:dyDescent="0.25">
      <c r="A52" s="41" t="s">
        <v>103</v>
      </c>
      <c r="B52" s="2">
        <f>B51+B46</f>
        <v>8950</v>
      </c>
      <c r="C52" s="2">
        <f t="shared" ref="C52:M52" si="18">C51+C46</f>
        <v>8950</v>
      </c>
      <c r="D52" s="2">
        <f t="shared" si="18"/>
        <v>8950</v>
      </c>
      <c r="E52" s="2">
        <f t="shared" si="18"/>
        <v>8950</v>
      </c>
      <c r="F52" s="2">
        <f t="shared" si="18"/>
        <v>8950</v>
      </c>
      <c r="G52" s="2">
        <f t="shared" si="18"/>
        <v>8950</v>
      </c>
      <c r="H52" s="2">
        <f t="shared" si="18"/>
        <v>8950</v>
      </c>
      <c r="I52" s="2">
        <f t="shared" si="18"/>
        <v>8950</v>
      </c>
      <c r="J52" s="2">
        <f t="shared" si="18"/>
        <v>8950</v>
      </c>
      <c r="K52" s="2">
        <f t="shared" si="18"/>
        <v>8950</v>
      </c>
      <c r="L52" s="2">
        <f t="shared" si="18"/>
        <v>8950</v>
      </c>
      <c r="M52" s="2">
        <f t="shared" si="18"/>
        <v>8950</v>
      </c>
      <c r="N52" s="49"/>
    </row>
    <row r="54" spans="1:15" ht="16" x14ac:dyDescent="0.2">
      <c r="A54" s="2" t="s">
        <v>104</v>
      </c>
      <c r="B54" s="2">
        <f>($F$2*B39)</f>
        <v>0</v>
      </c>
      <c r="C54" s="2">
        <f t="shared" ref="C54:M54" si="19">($F$2*C39)</f>
        <v>0</v>
      </c>
      <c r="D54" s="2">
        <f t="shared" si="19"/>
        <v>0</v>
      </c>
      <c r="E54" s="2">
        <f t="shared" si="19"/>
        <v>-2315.4716422240226</v>
      </c>
      <c r="F54" s="2">
        <f t="shared" si="19"/>
        <v>-4220.9937247963608</v>
      </c>
      <c r="G54" s="2">
        <f t="shared" si="19"/>
        <v>-4476.0742334400511</v>
      </c>
      <c r="H54" s="2">
        <f t="shared" si="19"/>
        <v>0</v>
      </c>
      <c r="I54" s="2">
        <f t="shared" si="19"/>
        <v>-997.43473686558264</v>
      </c>
      <c r="J54" s="2">
        <f t="shared" si="19"/>
        <v>-1317.2924636813386</v>
      </c>
      <c r="K54" s="2">
        <f t="shared" si="19"/>
        <v>-4091.82280518478</v>
      </c>
      <c r="L54" s="2">
        <f t="shared" si="19"/>
        <v>-7760.6880939960693</v>
      </c>
      <c r="M54" s="2">
        <f t="shared" si="19"/>
        <v>-7068.3633279176947</v>
      </c>
    </row>
    <row r="55" spans="1:15" ht="16" x14ac:dyDescent="0.2">
      <c r="A55" s="2" t="s">
        <v>105</v>
      </c>
      <c r="B55" s="2">
        <f>$G$2*B38</f>
        <v>435.32384443643934</v>
      </c>
      <c r="C55" s="2">
        <f t="shared" ref="C55:M55" si="20">$G$2*C38</f>
        <v>217.99322149477462</v>
      </c>
      <c r="D55" s="2">
        <f t="shared" si="20"/>
        <v>47.597673895371031</v>
      </c>
      <c r="E55" s="2">
        <f t="shared" si="20"/>
        <v>0</v>
      </c>
      <c r="F55" s="2">
        <f t="shared" si="20"/>
        <v>0</v>
      </c>
      <c r="G55" s="2">
        <f t="shared" si="20"/>
        <v>0</v>
      </c>
      <c r="H55" s="2">
        <f t="shared" si="20"/>
        <v>196.90003000631009</v>
      </c>
      <c r="I55" s="2">
        <f t="shared" si="20"/>
        <v>0</v>
      </c>
      <c r="J55" s="2">
        <f t="shared" si="20"/>
        <v>0</v>
      </c>
      <c r="K55" s="2">
        <f t="shared" si="20"/>
        <v>0</v>
      </c>
      <c r="L55" s="2">
        <f t="shared" si="20"/>
        <v>0</v>
      </c>
      <c r="M55" s="2">
        <f t="shared" si="20"/>
        <v>0</v>
      </c>
    </row>
    <row r="56" spans="1:15" x14ac:dyDescent="0.2">
      <c r="N56" s="53" t="s">
        <v>114</v>
      </c>
    </row>
    <row r="57" spans="1:15" ht="20" x14ac:dyDescent="0.25">
      <c r="A57" s="46" t="s">
        <v>113</v>
      </c>
      <c r="B57" s="2">
        <f>B43-B52+B54+B55</f>
        <v>18873.380777817802</v>
      </c>
      <c r="C57" s="2">
        <f t="shared" ref="C57:D57" si="21">C43-C52+C54+C55</f>
        <v>19960.033892526128</v>
      </c>
      <c r="D57" s="2">
        <f t="shared" si="21"/>
        <v>20812.011630523146</v>
      </c>
      <c r="E57" s="2">
        <f>E43-E52+E54+E55</f>
        <v>18734.528357775976</v>
      </c>
      <c r="F57" s="2">
        <f t="shared" ref="F57:M57" si="22">F43-F52+F54+F55</f>
        <v>16829.006275203639</v>
      </c>
      <c r="G57" s="2">
        <f t="shared" si="22"/>
        <v>16573.925766559951</v>
      </c>
      <c r="H57" s="2">
        <f t="shared" si="22"/>
        <v>20065.499849968448</v>
      </c>
      <c r="I57" s="2">
        <f t="shared" si="22"/>
        <v>20052.565263134416</v>
      </c>
      <c r="J57" s="2">
        <f t="shared" si="22"/>
        <v>19732.70753631866</v>
      </c>
      <c r="K57" s="2">
        <f t="shared" si="22"/>
        <v>16958.17719481522</v>
      </c>
      <c r="L57" s="2">
        <f t="shared" si="22"/>
        <v>13289.311906003932</v>
      </c>
      <c r="M57" s="2">
        <f t="shared" si="22"/>
        <v>13981.636672082306</v>
      </c>
      <c r="N57" s="34">
        <f>SUM(B57:M57)</f>
        <v>215862.78512272961</v>
      </c>
    </row>
    <row r="58" spans="1:15" x14ac:dyDescent="0.2">
      <c r="N58" s="49"/>
    </row>
    <row r="60" spans="1:15" ht="16" x14ac:dyDescent="0.2">
      <c r="A60" s="47"/>
      <c r="B60"/>
      <c r="C60"/>
      <c r="D60"/>
      <c r="E60"/>
      <c r="F60"/>
      <c r="G60"/>
      <c r="H60"/>
      <c r="L60" s="2" t="s">
        <v>0</v>
      </c>
    </row>
    <row r="62" spans="1:15" ht="32" x14ac:dyDescent="0.2">
      <c r="A62" s="33"/>
      <c r="B62" s="35"/>
      <c r="C62" s="35"/>
      <c r="D62" s="35"/>
      <c r="E62" s="34" t="s">
        <v>74</v>
      </c>
      <c r="F62" s="34" t="s">
        <v>75</v>
      </c>
      <c r="G62" s="34" t="s">
        <v>76</v>
      </c>
      <c r="H62" s="35"/>
      <c r="I62" s="35"/>
      <c r="J62" s="35"/>
      <c r="K62" s="35"/>
      <c r="L62" s="35"/>
      <c r="M62" s="35"/>
      <c r="N62" s="49"/>
      <c r="O62" s="36"/>
    </row>
    <row r="63" spans="1:15" ht="19" x14ac:dyDescent="0.25">
      <c r="A63" s="33"/>
      <c r="B63" s="38"/>
      <c r="C63" s="38"/>
      <c r="D63" s="38"/>
      <c r="E63" s="37">
        <f>E32</f>
        <v>4000</v>
      </c>
      <c r="F63" s="37">
        <f t="shared" ref="F63:G63" si="23">F32</f>
        <v>3</v>
      </c>
      <c r="G63" s="37">
        <f t="shared" si="23"/>
        <v>1.25</v>
      </c>
      <c r="H63" s="38"/>
      <c r="I63" s="38"/>
      <c r="J63" s="38"/>
      <c r="K63" s="38"/>
      <c r="L63" s="38"/>
      <c r="M63" s="38"/>
      <c r="N63" s="50"/>
      <c r="O63" s="36"/>
    </row>
    <row r="64" spans="1:15" ht="24" x14ac:dyDescent="0.25">
      <c r="A64" s="39" t="s">
        <v>77</v>
      </c>
      <c r="N64" s="49"/>
    </row>
    <row r="65" spans="1:14" ht="50" x14ac:dyDescent="0.3">
      <c r="A65" s="68" t="s">
        <v>125</v>
      </c>
      <c r="B65" s="75">
        <f>1-'data sets'!AQ8</f>
        <v>0.75</v>
      </c>
      <c r="N65" s="49"/>
    </row>
    <row r="66" spans="1:14" ht="20" x14ac:dyDescent="0.25">
      <c r="A66" s="41" t="s">
        <v>78</v>
      </c>
      <c r="B66" t="s">
        <v>79</v>
      </c>
      <c r="C66" t="s">
        <v>80</v>
      </c>
      <c r="D66" t="s">
        <v>81</v>
      </c>
      <c r="E66" t="s">
        <v>82</v>
      </c>
      <c r="F66" t="s">
        <v>5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s="49"/>
    </row>
    <row r="67" spans="1:14" ht="16" x14ac:dyDescent="0.2">
      <c r="A67" s="42" t="s">
        <v>37</v>
      </c>
      <c r="B67" s="43">
        <f>$B$65*B6</f>
        <v>2282.3380777817802</v>
      </c>
      <c r="C67" s="43">
        <f t="shared" ref="C67:M67" si="24">$B$65*C6</f>
        <v>2391.003389252613</v>
      </c>
      <c r="D67" s="43">
        <f t="shared" si="24"/>
        <v>2476.2011630523148</v>
      </c>
      <c r="E67" s="43">
        <f t="shared" si="24"/>
        <v>2982.3899254633379</v>
      </c>
      <c r="F67" s="43">
        <f t="shared" si="24"/>
        <v>3379.3736926659085</v>
      </c>
      <c r="G67" s="43">
        <f t="shared" si="24"/>
        <v>3432.5154653000109</v>
      </c>
      <c r="H67" s="43">
        <f t="shared" si="24"/>
        <v>2401.5499849968451</v>
      </c>
      <c r="I67" s="43">
        <f t="shared" si="24"/>
        <v>2707.7989035136634</v>
      </c>
      <c r="J67" s="43">
        <f t="shared" si="24"/>
        <v>2774.4359299336124</v>
      </c>
      <c r="K67" s="43">
        <f t="shared" si="24"/>
        <v>3352.4630844134963</v>
      </c>
      <c r="L67" s="43">
        <f t="shared" si="24"/>
        <v>4116.8100195825145</v>
      </c>
      <c r="M67" s="43">
        <f t="shared" si="24"/>
        <v>3972.5756933161865</v>
      </c>
      <c r="N67" s="51"/>
    </row>
    <row r="68" spans="1:14" ht="16" x14ac:dyDescent="0.2">
      <c r="A68" s="42" t="s">
        <v>90</v>
      </c>
      <c r="B68" s="43">
        <f>IF($E$2&gt;B67,B67,$E$2)</f>
        <v>2282.3380777817802</v>
      </c>
      <c r="C68" s="43">
        <f t="shared" ref="C68:M68" si="25">IF($E$2&gt;C67,C67,$E$2)</f>
        <v>2391.003389252613</v>
      </c>
      <c r="D68" s="43">
        <f t="shared" si="25"/>
        <v>2476.2011630523148</v>
      </c>
      <c r="E68" s="43">
        <f t="shared" si="25"/>
        <v>2982.3899254633379</v>
      </c>
      <c r="F68" s="43">
        <f t="shared" si="25"/>
        <v>3379.3736926659085</v>
      </c>
      <c r="G68" s="43">
        <f t="shared" si="25"/>
        <v>3432.5154653000109</v>
      </c>
      <c r="H68" s="43">
        <f t="shared" si="25"/>
        <v>2401.5499849968451</v>
      </c>
      <c r="I68" s="43">
        <f t="shared" si="25"/>
        <v>2707.7989035136634</v>
      </c>
      <c r="J68" s="43">
        <f t="shared" si="25"/>
        <v>2774.4359299336124</v>
      </c>
      <c r="K68" s="43">
        <f t="shared" si="25"/>
        <v>3352.4630844134963</v>
      </c>
      <c r="L68" s="43">
        <f t="shared" si="25"/>
        <v>4000</v>
      </c>
      <c r="M68" s="43">
        <f t="shared" si="25"/>
        <v>3972.5756933161865</v>
      </c>
      <c r="N68" s="51"/>
    </row>
    <row r="69" spans="1:14" ht="16" x14ac:dyDescent="0.2">
      <c r="A69" s="42" t="s">
        <v>91</v>
      </c>
      <c r="B69" s="43">
        <f>IF($E$2-B67&gt;0,$E$2-B67,0)</f>
        <v>1717.6619222182198</v>
      </c>
      <c r="C69" s="43">
        <f t="shared" ref="C69:M69" si="26">IF($E$2-C67&gt;0,$E$2-C67,0)</f>
        <v>1608.996610747387</v>
      </c>
      <c r="D69" s="43">
        <f t="shared" si="26"/>
        <v>1523.7988369476852</v>
      </c>
      <c r="E69" s="43">
        <f t="shared" si="26"/>
        <v>1017.6100745366621</v>
      </c>
      <c r="F69" s="43">
        <f t="shared" si="26"/>
        <v>620.62630733409151</v>
      </c>
      <c r="G69" s="43">
        <f t="shared" si="26"/>
        <v>567.48453469998913</v>
      </c>
      <c r="H69" s="43">
        <f t="shared" si="26"/>
        <v>1598.4500150031549</v>
      </c>
      <c r="I69" s="43">
        <f t="shared" si="26"/>
        <v>1292.2010964863366</v>
      </c>
      <c r="J69" s="43">
        <f t="shared" si="26"/>
        <v>1225.5640700663876</v>
      </c>
      <c r="K69" s="43">
        <f t="shared" si="26"/>
        <v>647.53691558650371</v>
      </c>
      <c r="L69" s="43">
        <f t="shared" si="26"/>
        <v>0</v>
      </c>
      <c r="M69" s="43">
        <f t="shared" si="26"/>
        <v>27.424306683813484</v>
      </c>
      <c r="N69" s="51"/>
    </row>
    <row r="70" spans="1:14" ht="32" x14ac:dyDescent="0.2">
      <c r="A70" s="42" t="s">
        <v>92</v>
      </c>
      <c r="B70" s="43">
        <f>IF($E$2-B67&gt;0,0,$E$2-B67)</f>
        <v>0</v>
      </c>
      <c r="C70" s="43">
        <f t="shared" ref="C70:M70" si="27">IF($E$2-C67&gt;0,0,$E$2-C67)</f>
        <v>0</v>
      </c>
      <c r="D70" s="43">
        <f t="shared" si="27"/>
        <v>0</v>
      </c>
      <c r="E70" s="43">
        <f t="shared" si="27"/>
        <v>0</v>
      </c>
      <c r="F70" s="43">
        <f t="shared" si="27"/>
        <v>0</v>
      </c>
      <c r="G70" s="43">
        <f t="shared" si="27"/>
        <v>0</v>
      </c>
      <c r="H70" s="43">
        <f t="shared" si="27"/>
        <v>0</v>
      </c>
      <c r="I70" s="43">
        <f t="shared" si="27"/>
        <v>0</v>
      </c>
      <c r="J70" s="43">
        <f t="shared" si="27"/>
        <v>0</v>
      </c>
      <c r="K70" s="43">
        <f t="shared" si="27"/>
        <v>0</v>
      </c>
      <c r="L70" s="43">
        <f t="shared" si="27"/>
        <v>-116.81001958251454</v>
      </c>
      <c r="M70" s="43">
        <f t="shared" si="27"/>
        <v>0</v>
      </c>
      <c r="N70" s="51"/>
    </row>
    <row r="71" spans="1:14" ht="20" x14ac:dyDescent="0.25">
      <c r="A71" s="41" t="s">
        <v>93</v>
      </c>
      <c r="N71" s="49"/>
    </row>
    <row r="72" spans="1:14" ht="20" x14ac:dyDescent="0.25">
      <c r="A72" s="45" t="s">
        <v>94</v>
      </c>
      <c r="B72" s="2">
        <f>'Financial information '!$C$7*B68</f>
        <v>9129.3523111271206</v>
      </c>
      <c r="C72" s="2">
        <f>'Financial information '!$C$7*C68</f>
        <v>9564.0135570104521</v>
      </c>
      <c r="D72" s="2">
        <f>'Financial information '!$C$7*D68</f>
        <v>9904.8046522092591</v>
      </c>
      <c r="E72" s="2">
        <f>'Financial information '!$C$7*E68</f>
        <v>11929.559701853352</v>
      </c>
      <c r="F72" s="2">
        <f>'Financial information '!$C$7*F68</f>
        <v>13517.494770663634</v>
      </c>
      <c r="G72" s="2">
        <f>'Financial information '!$C$7*G68</f>
        <v>13730.061861200043</v>
      </c>
      <c r="H72" s="2">
        <f>'Financial information '!$C$7*H68</f>
        <v>9606.1999399873803</v>
      </c>
      <c r="I72" s="2">
        <f>'Financial information '!$C$7*I68</f>
        <v>10831.195614054654</v>
      </c>
      <c r="J72" s="2">
        <f>'Financial information '!$C$7*J68</f>
        <v>11097.74371973445</v>
      </c>
      <c r="K72" s="2">
        <f>'Financial information '!$C$7*K68</f>
        <v>13409.852337653985</v>
      </c>
      <c r="L72" s="2">
        <f>'Financial information '!$C$7*L68</f>
        <v>16000</v>
      </c>
      <c r="M72" s="2">
        <f>'Financial information '!$C$7*M68</f>
        <v>15890.302773264746</v>
      </c>
      <c r="N72" s="49"/>
    </row>
    <row r="73" spans="1:14" ht="20" x14ac:dyDescent="0.25">
      <c r="A73" s="45" t="s">
        <v>95</v>
      </c>
      <c r="B73" s="2">
        <f>'Financial information '!$C$8*B68</f>
        <v>7988.1832722362306</v>
      </c>
      <c r="C73" s="2">
        <f>'Financial information '!$C$8*C68</f>
        <v>8368.5118623841463</v>
      </c>
      <c r="D73" s="2">
        <f>'Financial information '!$C$8*D68</f>
        <v>8666.7040706831012</v>
      </c>
      <c r="E73" s="2">
        <f>'Financial information '!$C$8*E68</f>
        <v>10438.364739121684</v>
      </c>
      <c r="F73" s="2">
        <f>'Financial information '!$C$8*F68</f>
        <v>11827.80792433068</v>
      </c>
      <c r="G73" s="2">
        <f>'Financial information '!$C$8*G68</f>
        <v>12013.804128550039</v>
      </c>
      <c r="H73" s="2">
        <f>'Financial information '!$C$8*H68</f>
        <v>8405.4249474889584</v>
      </c>
      <c r="I73" s="2">
        <f>'Financial information '!$C$8*I68</f>
        <v>9477.2961622978219</v>
      </c>
      <c r="J73" s="2">
        <f>'Financial information '!$C$8*J68</f>
        <v>9710.5257547676429</v>
      </c>
      <c r="K73" s="2">
        <f>'Financial information '!$C$8*K68</f>
        <v>11733.620795447237</v>
      </c>
      <c r="L73" s="2">
        <f>'Financial information '!$C$8*L68</f>
        <v>14000</v>
      </c>
      <c r="M73" s="2">
        <f>'Financial information '!$C$8*M68</f>
        <v>13904.014926606653</v>
      </c>
      <c r="N73" s="49"/>
    </row>
    <row r="74" spans="1:14" ht="20" x14ac:dyDescent="0.25">
      <c r="A74" s="45" t="s">
        <v>96</v>
      </c>
      <c r="B74" s="2">
        <f>B72+B73</f>
        <v>17117.535583363351</v>
      </c>
      <c r="C74" s="2">
        <f t="shared" ref="C74:M74" si="28">C72+C73</f>
        <v>17932.525419394598</v>
      </c>
      <c r="D74" s="2">
        <f t="shared" si="28"/>
        <v>18571.508722892358</v>
      </c>
      <c r="E74" s="2">
        <f t="shared" si="28"/>
        <v>22367.924440975035</v>
      </c>
      <c r="F74" s="2">
        <f t="shared" si="28"/>
        <v>25345.302694994316</v>
      </c>
      <c r="G74" s="2">
        <f t="shared" si="28"/>
        <v>25743.865989750084</v>
      </c>
      <c r="H74" s="2">
        <f t="shared" si="28"/>
        <v>18011.624887476341</v>
      </c>
      <c r="I74" s="2">
        <f t="shared" si="28"/>
        <v>20308.491776352475</v>
      </c>
      <c r="J74" s="2">
        <f t="shared" si="28"/>
        <v>20808.269474502093</v>
      </c>
      <c r="K74" s="2">
        <f t="shared" si="28"/>
        <v>25143.473133101223</v>
      </c>
      <c r="L74" s="2">
        <f t="shared" si="28"/>
        <v>30000</v>
      </c>
      <c r="M74" s="2">
        <f t="shared" si="28"/>
        <v>29794.317699871397</v>
      </c>
      <c r="N74" s="49"/>
    </row>
    <row r="75" spans="1:14" ht="19" x14ac:dyDescent="0.25">
      <c r="A75" s="45"/>
      <c r="N75" s="49"/>
    </row>
    <row r="76" spans="1:14" ht="20" x14ac:dyDescent="0.25">
      <c r="A76" s="41" t="s">
        <v>97</v>
      </c>
      <c r="B76" s="2">
        <f>'Financial information '!$G$12</f>
        <v>5550</v>
      </c>
      <c r="C76" s="2">
        <f>'Financial information '!$G$12</f>
        <v>5550</v>
      </c>
      <c r="D76" s="2">
        <f>'Financial information '!$G$12</f>
        <v>5550</v>
      </c>
      <c r="E76" s="2">
        <f>'Financial information '!$G$12</f>
        <v>5550</v>
      </c>
      <c r="F76" s="2">
        <f>'Financial information '!$G$12</f>
        <v>5550</v>
      </c>
      <c r="G76" s="2">
        <f>'Financial information '!$G$12</f>
        <v>5550</v>
      </c>
      <c r="H76" s="2">
        <f>'Financial information '!$G$12</f>
        <v>5550</v>
      </c>
      <c r="I76" s="2">
        <f>'Financial information '!$G$12</f>
        <v>5550</v>
      </c>
      <c r="J76" s="2">
        <f>'Financial information '!$G$12</f>
        <v>5550</v>
      </c>
      <c r="K76" s="2">
        <f>'Financial information '!$G$12</f>
        <v>5550</v>
      </c>
      <c r="L76" s="2">
        <f>'Financial information '!$G$12</f>
        <v>5550</v>
      </c>
      <c r="M76" s="2">
        <f>'Financial information '!$G$12</f>
        <v>5550</v>
      </c>
      <c r="N76" s="49"/>
    </row>
    <row r="77" spans="1:14" ht="20" x14ac:dyDescent="0.25">
      <c r="A77" s="45" t="s">
        <v>98</v>
      </c>
      <c r="B77" s="2">
        <f>B76</f>
        <v>5550</v>
      </c>
      <c r="C77" s="2">
        <f t="shared" ref="C77:M77" si="29">C76</f>
        <v>5550</v>
      </c>
      <c r="D77" s="2">
        <f t="shared" si="29"/>
        <v>5550</v>
      </c>
      <c r="E77" s="2">
        <f t="shared" si="29"/>
        <v>5550</v>
      </c>
      <c r="F77" s="2">
        <f t="shared" si="29"/>
        <v>5550</v>
      </c>
      <c r="G77" s="2">
        <f t="shared" si="29"/>
        <v>5550</v>
      </c>
      <c r="H77" s="2">
        <f t="shared" si="29"/>
        <v>5550</v>
      </c>
      <c r="I77" s="2">
        <f t="shared" si="29"/>
        <v>5550</v>
      </c>
      <c r="J77" s="2">
        <f t="shared" si="29"/>
        <v>5550</v>
      </c>
      <c r="K77" s="2">
        <f t="shared" si="29"/>
        <v>5550</v>
      </c>
      <c r="L77" s="2">
        <f t="shared" si="29"/>
        <v>5550</v>
      </c>
      <c r="M77" s="2">
        <f t="shared" si="29"/>
        <v>5550</v>
      </c>
      <c r="N77" s="49"/>
    </row>
    <row r="78" spans="1:14" ht="19" x14ac:dyDescent="0.25">
      <c r="A78" s="41"/>
      <c r="N78" s="49"/>
    </row>
    <row r="79" spans="1:14" ht="20" x14ac:dyDescent="0.25">
      <c r="A79" s="41" t="s">
        <v>99</v>
      </c>
      <c r="N79" s="49"/>
    </row>
    <row r="80" spans="1:14" ht="40" x14ac:dyDescent="0.25">
      <c r="A80" s="45" t="s">
        <v>100</v>
      </c>
      <c r="B80" s="2">
        <f>'Financial information '!$C$15*$E$2+'Financial information '!$C$16*$E$2</f>
        <v>1400</v>
      </c>
      <c r="C80" s="2">
        <f>'Financial information '!$C$15*$E$2+'Financial information '!$C$16*$E$2</f>
        <v>1400</v>
      </c>
      <c r="D80" s="2">
        <f>'Financial information '!$C$15*$E$2+'Financial information '!$C$16*$E$2</f>
        <v>1400</v>
      </c>
      <c r="E80" s="2">
        <f>'Financial information '!$C$15*$E$2+'Financial information '!$C$16*$E$2</f>
        <v>1400</v>
      </c>
      <c r="F80" s="2">
        <f>'Financial information '!$C$15*$E$2+'Financial information '!$C$16*$E$2</f>
        <v>1400</v>
      </c>
      <c r="G80" s="2">
        <f>'Financial information '!$C$15*$E$2+'Financial information '!$C$16*$E$2</f>
        <v>1400</v>
      </c>
      <c r="H80" s="2">
        <f>'Financial information '!$C$15*$E$2+'Financial information '!$C$16*$E$2</f>
        <v>1400</v>
      </c>
      <c r="I80" s="2">
        <f>'Financial information '!$C$15*$E$2+'Financial information '!$C$16*$E$2</f>
        <v>1400</v>
      </c>
      <c r="J80" s="2">
        <f>'Financial information '!$C$15*$E$2+'Financial information '!$C$16*$E$2</f>
        <v>1400</v>
      </c>
      <c r="K80" s="2">
        <f>'Financial information '!$C$15*$E$2+'Financial information '!$C$16*$E$2</f>
        <v>1400</v>
      </c>
      <c r="L80" s="2">
        <f>'Financial information '!$C$15*$E$2+'Financial information '!$C$16*$E$2</f>
        <v>1400</v>
      </c>
      <c r="M80" s="2">
        <f>'Financial information '!$C$15*$E$2+'Financial information '!$C$16*$E$2</f>
        <v>1400</v>
      </c>
      <c r="N80" s="49"/>
    </row>
    <row r="81" spans="1:14" ht="40" x14ac:dyDescent="0.25">
      <c r="A81" s="45" t="s">
        <v>101</v>
      </c>
      <c r="B81" s="2">
        <f>'Financial information '!$C$9*$E$2</f>
        <v>2000</v>
      </c>
      <c r="C81" s="2">
        <f>'Financial information '!$C$9*$E$2</f>
        <v>2000</v>
      </c>
      <c r="D81" s="2">
        <f>'Financial information '!$C$9*$E$2</f>
        <v>2000</v>
      </c>
      <c r="E81" s="2">
        <f>'Financial information '!$C$9*$E$2</f>
        <v>2000</v>
      </c>
      <c r="F81" s="2">
        <f>'Financial information '!$C$9*$E$2</f>
        <v>2000</v>
      </c>
      <c r="G81" s="2">
        <f>'Financial information '!$C$9*$E$2</f>
        <v>2000</v>
      </c>
      <c r="H81" s="2">
        <f>'Financial information '!$C$9*$E$2</f>
        <v>2000</v>
      </c>
      <c r="I81" s="2">
        <f>'Financial information '!$C$9*$E$2</f>
        <v>2000</v>
      </c>
      <c r="J81" s="2">
        <f>'Financial information '!$C$9*$E$2</f>
        <v>2000</v>
      </c>
      <c r="K81" s="2">
        <f>'Financial information '!$C$9*$E$2</f>
        <v>2000</v>
      </c>
      <c r="L81" s="2">
        <f>'Financial information '!$C$9*$E$2</f>
        <v>2000</v>
      </c>
      <c r="M81" s="2">
        <f>'Financial information '!$C$9*$E$2</f>
        <v>2000</v>
      </c>
      <c r="N81" s="49"/>
    </row>
    <row r="82" spans="1:14" ht="40" x14ac:dyDescent="0.25">
      <c r="A82" s="41" t="s">
        <v>102</v>
      </c>
      <c r="B82" s="2">
        <f>B80+B81</f>
        <v>3400</v>
      </c>
      <c r="C82" s="2">
        <f t="shared" ref="C82:M82" si="30">C80+C81</f>
        <v>3400</v>
      </c>
      <c r="D82" s="2">
        <f t="shared" si="30"/>
        <v>3400</v>
      </c>
      <c r="E82" s="2">
        <f t="shared" si="30"/>
        <v>3400</v>
      </c>
      <c r="F82" s="2">
        <f t="shared" si="30"/>
        <v>3400</v>
      </c>
      <c r="G82" s="2">
        <f t="shared" si="30"/>
        <v>3400</v>
      </c>
      <c r="H82" s="2">
        <f t="shared" si="30"/>
        <v>3400</v>
      </c>
      <c r="I82" s="2">
        <f t="shared" si="30"/>
        <v>3400</v>
      </c>
      <c r="J82" s="2">
        <f t="shared" si="30"/>
        <v>3400</v>
      </c>
      <c r="K82" s="2">
        <f t="shared" si="30"/>
        <v>3400</v>
      </c>
      <c r="L82" s="2">
        <f t="shared" si="30"/>
        <v>3400</v>
      </c>
      <c r="M82" s="2">
        <f t="shared" si="30"/>
        <v>3400</v>
      </c>
      <c r="N82" s="49"/>
    </row>
    <row r="83" spans="1:14" ht="20" x14ac:dyDescent="0.25">
      <c r="A83" s="41" t="s">
        <v>103</v>
      </c>
      <c r="B83" s="2">
        <f>B82+B77</f>
        <v>8950</v>
      </c>
      <c r="C83" s="2">
        <f t="shared" ref="C83:M83" si="31">C82+C77</f>
        <v>8950</v>
      </c>
      <c r="D83" s="2">
        <f t="shared" si="31"/>
        <v>8950</v>
      </c>
      <c r="E83" s="2">
        <f t="shared" si="31"/>
        <v>8950</v>
      </c>
      <c r="F83" s="2">
        <f t="shared" si="31"/>
        <v>8950</v>
      </c>
      <c r="G83" s="2">
        <f t="shared" si="31"/>
        <v>8950</v>
      </c>
      <c r="H83" s="2">
        <f t="shared" si="31"/>
        <v>8950</v>
      </c>
      <c r="I83" s="2">
        <f t="shared" si="31"/>
        <v>8950</v>
      </c>
      <c r="J83" s="2">
        <f t="shared" si="31"/>
        <v>8950</v>
      </c>
      <c r="K83" s="2">
        <f t="shared" si="31"/>
        <v>8950</v>
      </c>
      <c r="L83" s="2">
        <f t="shared" si="31"/>
        <v>8950</v>
      </c>
      <c r="M83" s="2">
        <f t="shared" si="31"/>
        <v>8950</v>
      </c>
      <c r="N83" s="49"/>
    </row>
    <row r="85" spans="1:14" ht="16" x14ac:dyDescent="0.2">
      <c r="A85" s="2" t="s">
        <v>104</v>
      </c>
      <c r="B85" s="2">
        <f>($F$2*B70)</f>
        <v>0</v>
      </c>
      <c r="C85" s="2">
        <f t="shared" ref="C85:M85" si="32">($F$2*C70)</f>
        <v>0</v>
      </c>
      <c r="D85" s="2">
        <f t="shared" si="32"/>
        <v>0</v>
      </c>
      <c r="E85" s="2">
        <f t="shared" si="32"/>
        <v>0</v>
      </c>
      <c r="F85" s="2">
        <f t="shared" si="32"/>
        <v>0</v>
      </c>
      <c r="G85" s="2">
        <f t="shared" si="32"/>
        <v>0</v>
      </c>
      <c r="H85" s="2">
        <f t="shared" si="32"/>
        <v>0</v>
      </c>
      <c r="I85" s="2">
        <f t="shared" si="32"/>
        <v>0</v>
      </c>
      <c r="J85" s="2">
        <f t="shared" si="32"/>
        <v>0</v>
      </c>
      <c r="K85" s="2">
        <f t="shared" si="32"/>
        <v>0</v>
      </c>
      <c r="L85" s="2">
        <f t="shared" si="32"/>
        <v>-350.43005874754363</v>
      </c>
      <c r="M85" s="2">
        <f t="shared" si="32"/>
        <v>0</v>
      </c>
    </row>
    <row r="86" spans="1:14" ht="16" x14ac:dyDescent="0.2">
      <c r="A86" s="2" t="s">
        <v>105</v>
      </c>
      <c r="B86" s="2">
        <f>$G$2*B69</f>
        <v>2147.0774027727748</v>
      </c>
      <c r="C86" s="2">
        <f t="shared" ref="C86:M86" si="33">$G$2*C69</f>
        <v>2011.2457634342336</v>
      </c>
      <c r="D86" s="2">
        <f t="shared" si="33"/>
        <v>1904.7485461846065</v>
      </c>
      <c r="E86" s="2">
        <f t="shared" si="33"/>
        <v>1272.0125931708276</v>
      </c>
      <c r="F86" s="2">
        <f t="shared" si="33"/>
        <v>775.78288416761438</v>
      </c>
      <c r="G86" s="2">
        <f t="shared" si="33"/>
        <v>709.35566837498641</v>
      </c>
      <c r="H86" s="2">
        <f t="shared" si="33"/>
        <v>1998.0625187539436</v>
      </c>
      <c r="I86" s="2">
        <f t="shared" si="33"/>
        <v>1615.2513706079208</v>
      </c>
      <c r="J86" s="2">
        <f t="shared" si="33"/>
        <v>1531.9550875829846</v>
      </c>
      <c r="K86" s="2">
        <f t="shared" si="33"/>
        <v>809.42114448312964</v>
      </c>
      <c r="L86" s="2">
        <f t="shared" si="33"/>
        <v>0</v>
      </c>
      <c r="M86" s="2">
        <f t="shared" si="33"/>
        <v>34.280383354766855</v>
      </c>
    </row>
    <row r="87" spans="1:14" x14ac:dyDescent="0.2">
      <c r="N87" s="53" t="s">
        <v>114</v>
      </c>
    </row>
    <row r="88" spans="1:14" ht="20" x14ac:dyDescent="0.25">
      <c r="A88" s="46" t="s">
        <v>112</v>
      </c>
      <c r="B88" s="2">
        <f>B74-B83+B85+B86</f>
        <v>10314.612986136126</v>
      </c>
      <c r="C88" s="2">
        <f t="shared" ref="C88:D88" si="34">C74-C83+C85+C86</f>
        <v>10993.771182828832</v>
      </c>
      <c r="D88" s="2">
        <f t="shared" si="34"/>
        <v>11526.257269076965</v>
      </c>
      <c r="E88" s="2">
        <f>E74-E83+E85+E86</f>
        <v>14689.937034145863</v>
      </c>
      <c r="F88" s="2">
        <f t="shared" ref="F88:M88" si="35">F74-F83+F85+F86</f>
        <v>17171.085579161929</v>
      </c>
      <c r="G88" s="2">
        <f t="shared" si="35"/>
        <v>17503.221658125069</v>
      </c>
      <c r="H88" s="2">
        <f t="shared" si="35"/>
        <v>11059.687406230285</v>
      </c>
      <c r="I88" s="2">
        <f t="shared" si="35"/>
        <v>12973.743146960396</v>
      </c>
      <c r="J88" s="2">
        <f t="shared" si="35"/>
        <v>13390.224562085077</v>
      </c>
      <c r="K88" s="2">
        <f t="shared" si="35"/>
        <v>17002.894277584353</v>
      </c>
      <c r="L88" s="2">
        <f t="shared" si="35"/>
        <v>20699.569941252455</v>
      </c>
      <c r="M88" s="2">
        <f t="shared" si="35"/>
        <v>20878.598083226163</v>
      </c>
      <c r="N88" s="34">
        <f>SUM(B88:M88)</f>
        <v>178203.60312681351</v>
      </c>
    </row>
    <row r="89" spans="1:14" x14ac:dyDescent="0.2">
      <c r="N89" s="49"/>
    </row>
    <row r="91" spans="1:14" ht="16" x14ac:dyDescent="0.2">
      <c r="A91" s="47"/>
      <c r="B91"/>
      <c r="C91"/>
      <c r="D91"/>
      <c r="E91"/>
      <c r="F91"/>
      <c r="G91"/>
      <c r="H91"/>
      <c r="L91" s="2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89"/>
  <sheetViews>
    <sheetView topLeftCell="A2" zoomScale="90" zoomScaleNormal="90" workbookViewId="0">
      <selection activeCell="B6" sqref="B6:M6"/>
    </sheetView>
  </sheetViews>
  <sheetFormatPr baseColWidth="10" defaultColWidth="8.83203125" defaultRowHeight="15" x14ac:dyDescent="0.2"/>
  <cols>
    <col min="1" max="1" width="21.83203125" style="2" customWidth="1"/>
    <col min="2" max="2" width="13" style="2" customWidth="1"/>
    <col min="3" max="3" width="12.5" style="2" customWidth="1"/>
    <col min="4" max="4" width="11.83203125" style="2" customWidth="1"/>
    <col min="5" max="5" width="13.1640625" style="2" customWidth="1"/>
    <col min="6" max="6" width="9" style="2"/>
    <col min="7" max="9" width="14.1640625" style="2" customWidth="1"/>
    <col min="10" max="11" width="17.1640625" style="2" customWidth="1"/>
    <col min="12" max="13" width="9" style="2"/>
    <col min="14" max="14" width="22.83203125" style="2" customWidth="1"/>
  </cols>
  <sheetData>
    <row r="1" spans="1:27" ht="32" x14ac:dyDescent="0.2">
      <c r="A1" s="33"/>
      <c r="B1" s="35"/>
      <c r="C1" s="35"/>
      <c r="D1" s="35"/>
      <c r="E1" s="34" t="s">
        <v>74</v>
      </c>
      <c r="F1" s="34" t="s">
        <v>75</v>
      </c>
      <c r="G1" s="34" t="s">
        <v>76</v>
      </c>
      <c r="H1" s="35"/>
      <c r="I1" s="35"/>
      <c r="J1" s="35"/>
      <c r="K1" s="35"/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ht="19" x14ac:dyDescent="0.25">
      <c r="A2" s="33"/>
      <c r="B2" s="38"/>
      <c r="C2" s="38"/>
      <c r="D2" s="38"/>
      <c r="E2" s="37">
        <v>4000</v>
      </c>
      <c r="F2" s="37">
        <f>'Prof current operations'!F2</f>
        <v>3</v>
      </c>
      <c r="G2" s="37">
        <f>'Prof current operations'!G2</f>
        <v>1.25</v>
      </c>
      <c r="H2" s="38"/>
      <c r="I2" s="38"/>
      <c r="J2" s="38"/>
      <c r="K2" s="38"/>
      <c r="L2" s="38"/>
      <c r="M2" s="38"/>
      <c r="N2" s="38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 spans="1:27" ht="65" x14ac:dyDescent="0.25">
      <c r="A3" s="39" t="s">
        <v>77</v>
      </c>
      <c r="B3" s="66" t="s">
        <v>121</v>
      </c>
      <c r="C3" s="66">
        <v>0.21</v>
      </c>
      <c r="N3" s="36"/>
      <c r="Q3" s="40"/>
    </row>
    <row r="4" spans="1:27" ht="50" x14ac:dyDescent="0.3">
      <c r="A4" s="69" t="s">
        <v>123</v>
      </c>
      <c r="N4" s="35"/>
      <c r="Q4" s="40"/>
    </row>
    <row r="5" spans="1:27" ht="20" x14ac:dyDescent="0.25">
      <c r="A5" s="41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5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s="35"/>
      <c r="Q5" s="40"/>
    </row>
    <row r="6" spans="1:27" ht="16" x14ac:dyDescent="0.2">
      <c r="A6" s="42" t="s">
        <v>37</v>
      </c>
      <c r="B6">
        <f>'Prof current operations'!B36*1.21</f>
        <v>4418.6065185855268</v>
      </c>
      <c r="C6">
        <f>'Prof current operations'!C36*1.21</f>
        <v>4628.9825615930577</v>
      </c>
      <c r="D6">
        <f>'Prof current operations'!D36*1.21</f>
        <v>4793.9254516692808</v>
      </c>
      <c r="E6">
        <f>'Prof current operations'!E36*1.21</f>
        <v>5773.9068956970223</v>
      </c>
      <c r="F6">
        <f>'Prof current operations'!F36*1.21</f>
        <v>6542.4674690011989</v>
      </c>
      <c r="G6">
        <f>'Prof current operations'!G36*1.21</f>
        <v>6645.3499408208208</v>
      </c>
      <c r="H6">
        <f>'Prof current operations'!H36*1.21</f>
        <v>4649.4007709538919</v>
      </c>
      <c r="I6">
        <f>'Prof current operations'!I36*1.21</f>
        <v>5242.2986772024515</v>
      </c>
      <c r="J6">
        <f>'Prof current operations'!J36*1.21</f>
        <v>5371.3079603514734</v>
      </c>
      <c r="K6">
        <f>'Prof current operations'!K36*1.21</f>
        <v>6490.3685314245276</v>
      </c>
      <c r="L6">
        <f>'Prof current operations'!L36*1.21</f>
        <v>7970.1441979117481</v>
      </c>
      <c r="M6">
        <f>'Prof current operations'!M36*1.21</f>
        <v>7690.906542260137</v>
      </c>
      <c r="N6" s="33"/>
      <c r="Q6" s="40"/>
    </row>
    <row r="7" spans="1:27" ht="16" x14ac:dyDescent="0.2">
      <c r="A7" s="42" t="s">
        <v>90</v>
      </c>
      <c r="B7" s="43">
        <f>IF($E$2&gt;B6,B6,$E$2)</f>
        <v>4000</v>
      </c>
      <c r="C7" s="43">
        <f t="shared" ref="C7:M7" si="0">IF($E$2&gt;C6,C6,$E$2)</f>
        <v>4000</v>
      </c>
      <c r="D7" s="43">
        <f t="shared" si="0"/>
        <v>4000</v>
      </c>
      <c r="E7" s="43">
        <f t="shared" si="0"/>
        <v>4000</v>
      </c>
      <c r="F7" s="43">
        <f t="shared" si="0"/>
        <v>4000</v>
      </c>
      <c r="G7" s="43">
        <f t="shared" si="0"/>
        <v>4000</v>
      </c>
      <c r="H7" s="43">
        <f t="shared" si="0"/>
        <v>4000</v>
      </c>
      <c r="I7" s="43">
        <f t="shared" si="0"/>
        <v>4000</v>
      </c>
      <c r="J7" s="43">
        <f t="shared" si="0"/>
        <v>4000</v>
      </c>
      <c r="K7" s="43">
        <f t="shared" si="0"/>
        <v>4000</v>
      </c>
      <c r="L7" s="43">
        <f t="shared" si="0"/>
        <v>4000</v>
      </c>
      <c r="M7" s="43">
        <f t="shared" si="0"/>
        <v>4000</v>
      </c>
      <c r="N7" s="33"/>
      <c r="Q7" s="40"/>
    </row>
    <row r="8" spans="1:27" ht="16" x14ac:dyDescent="0.2">
      <c r="A8" s="42" t="s">
        <v>91</v>
      </c>
      <c r="B8" s="43">
        <f>IF($E$2-B6&gt;0,$E$2-B6,0)</f>
        <v>0</v>
      </c>
      <c r="C8" s="43">
        <f t="shared" ref="C8:M8" si="1">IF($E$2-C6&gt;0,$E$2-C6,0)</f>
        <v>0</v>
      </c>
      <c r="D8" s="43">
        <f t="shared" si="1"/>
        <v>0</v>
      </c>
      <c r="E8" s="43">
        <f t="shared" si="1"/>
        <v>0</v>
      </c>
      <c r="F8" s="43">
        <f t="shared" si="1"/>
        <v>0</v>
      </c>
      <c r="G8" s="43">
        <f t="shared" si="1"/>
        <v>0</v>
      </c>
      <c r="H8" s="43">
        <f t="shared" si="1"/>
        <v>0</v>
      </c>
      <c r="I8" s="43">
        <f t="shared" si="1"/>
        <v>0</v>
      </c>
      <c r="J8" s="43">
        <f t="shared" si="1"/>
        <v>0</v>
      </c>
      <c r="K8" s="43">
        <f t="shared" si="1"/>
        <v>0</v>
      </c>
      <c r="L8" s="43">
        <f t="shared" si="1"/>
        <v>0</v>
      </c>
      <c r="M8" s="43">
        <f t="shared" si="1"/>
        <v>0</v>
      </c>
      <c r="N8" s="33"/>
      <c r="Q8" s="40"/>
    </row>
    <row r="9" spans="1:27" ht="32" x14ac:dyDescent="0.2">
      <c r="A9" s="42" t="s">
        <v>92</v>
      </c>
      <c r="B9" s="43">
        <f>IF($E$2-B6&gt;0,0,$E$2-B6)</f>
        <v>-418.60651858552683</v>
      </c>
      <c r="C9" s="43">
        <f t="shared" ref="C9:M9" si="2">IF($E$2-C6&gt;0,0,$E$2-C6)</f>
        <v>-628.98256159305765</v>
      </c>
      <c r="D9" s="43">
        <f t="shared" si="2"/>
        <v>-793.92545166928085</v>
      </c>
      <c r="E9" s="43">
        <f t="shared" si="2"/>
        <v>-1773.9068956970223</v>
      </c>
      <c r="F9" s="43">
        <f t="shared" si="2"/>
        <v>-2542.4674690011989</v>
      </c>
      <c r="G9" s="43">
        <f t="shared" si="2"/>
        <v>-2645.3499408208208</v>
      </c>
      <c r="H9" s="43">
        <f t="shared" si="2"/>
        <v>-649.40077095389188</v>
      </c>
      <c r="I9" s="43">
        <f t="shared" si="2"/>
        <v>-1242.2986772024515</v>
      </c>
      <c r="J9" s="43">
        <f t="shared" si="2"/>
        <v>-1371.3079603514734</v>
      </c>
      <c r="K9" s="43">
        <f t="shared" si="2"/>
        <v>-2490.3685314245276</v>
      </c>
      <c r="L9" s="43">
        <f t="shared" si="2"/>
        <v>-3970.1441979117481</v>
      </c>
      <c r="M9" s="43">
        <f t="shared" si="2"/>
        <v>-3690.906542260137</v>
      </c>
      <c r="N9" s="33"/>
      <c r="Q9" s="40"/>
    </row>
    <row r="10" spans="1:27" ht="20" x14ac:dyDescent="0.25">
      <c r="A10" s="41" t="s">
        <v>93</v>
      </c>
      <c r="N10" s="35"/>
      <c r="Q10" s="44"/>
    </row>
    <row r="11" spans="1:27" ht="20" x14ac:dyDescent="0.25">
      <c r="A11" s="45" t="s">
        <v>94</v>
      </c>
      <c r="B11" s="2">
        <f>'Financial information '!$C$7*B7</f>
        <v>16000</v>
      </c>
      <c r="C11" s="2">
        <f>'Financial information '!$C$7*C7</f>
        <v>16000</v>
      </c>
      <c r="D11" s="2">
        <f>'Financial information '!$C$7*D7</f>
        <v>16000</v>
      </c>
      <c r="E11" s="2">
        <f>'Financial information '!$C$7*E7</f>
        <v>16000</v>
      </c>
      <c r="F11" s="2">
        <f>'Financial information '!$C$7*F7</f>
        <v>16000</v>
      </c>
      <c r="G11" s="2">
        <f>'Financial information '!$C$7*G7</f>
        <v>16000</v>
      </c>
      <c r="H11" s="2">
        <f>'Financial information '!$C$7*H7</f>
        <v>16000</v>
      </c>
      <c r="I11" s="2">
        <f>'Financial information '!$C$7*I7</f>
        <v>16000</v>
      </c>
      <c r="J11" s="2">
        <f>'Financial information '!$C$7*J7</f>
        <v>16000</v>
      </c>
      <c r="K11" s="2">
        <f>'Financial information '!$C$7*K7</f>
        <v>16000</v>
      </c>
      <c r="L11" s="2">
        <f>'Financial information '!$C$7*L7</f>
        <v>16000</v>
      </c>
      <c r="M11" s="2">
        <f>'Financial information '!$C$7*M7</f>
        <v>16000</v>
      </c>
      <c r="N11" s="35"/>
    </row>
    <row r="12" spans="1:27" ht="20" x14ac:dyDescent="0.25">
      <c r="A12" s="45" t="s">
        <v>95</v>
      </c>
      <c r="B12" s="2">
        <f>'Financial information '!$C$8*B7</f>
        <v>14000</v>
      </c>
      <c r="C12" s="2">
        <f>'Financial information '!$C$8*C7</f>
        <v>14000</v>
      </c>
      <c r="D12" s="2">
        <f>'Financial information '!$C$8*D7</f>
        <v>14000</v>
      </c>
      <c r="E12" s="2">
        <f>'Financial information '!$C$8*E7</f>
        <v>14000</v>
      </c>
      <c r="F12" s="2">
        <f>'Financial information '!$C$8*F7</f>
        <v>14000</v>
      </c>
      <c r="G12" s="2">
        <f>'Financial information '!$C$8*G7</f>
        <v>14000</v>
      </c>
      <c r="H12" s="2">
        <f>'Financial information '!$C$8*H7</f>
        <v>14000</v>
      </c>
      <c r="I12" s="2">
        <f>'Financial information '!$C$8*I7</f>
        <v>14000</v>
      </c>
      <c r="J12" s="2">
        <f>'Financial information '!$C$8*J7</f>
        <v>14000</v>
      </c>
      <c r="K12" s="2">
        <f>'Financial information '!$C$8*K7</f>
        <v>14000</v>
      </c>
      <c r="L12" s="2">
        <f>'Financial information '!$C$8*L7</f>
        <v>14000</v>
      </c>
      <c r="M12" s="2">
        <f>'Financial information '!$C$8*M7</f>
        <v>14000</v>
      </c>
      <c r="N12" s="35"/>
      <c r="V12" t="s">
        <v>0</v>
      </c>
    </row>
    <row r="13" spans="1:27" ht="20" x14ac:dyDescent="0.25">
      <c r="A13" s="45" t="s">
        <v>96</v>
      </c>
      <c r="B13" s="2">
        <f>B11+B12</f>
        <v>30000</v>
      </c>
      <c r="C13" s="2">
        <f t="shared" ref="C13:M13" si="3">C11+C12</f>
        <v>30000</v>
      </c>
      <c r="D13" s="2">
        <f t="shared" si="3"/>
        <v>30000</v>
      </c>
      <c r="E13" s="2">
        <f t="shared" si="3"/>
        <v>30000</v>
      </c>
      <c r="F13" s="2">
        <f t="shared" si="3"/>
        <v>30000</v>
      </c>
      <c r="G13" s="2">
        <f t="shared" si="3"/>
        <v>30000</v>
      </c>
      <c r="H13" s="2">
        <f t="shared" si="3"/>
        <v>30000</v>
      </c>
      <c r="I13" s="2">
        <f t="shared" si="3"/>
        <v>30000</v>
      </c>
      <c r="J13" s="2">
        <f t="shared" si="3"/>
        <v>30000</v>
      </c>
      <c r="K13" s="2">
        <f t="shared" si="3"/>
        <v>30000</v>
      </c>
      <c r="L13" s="2">
        <f t="shared" si="3"/>
        <v>30000</v>
      </c>
      <c r="M13" s="2">
        <f t="shared" si="3"/>
        <v>30000</v>
      </c>
      <c r="N13" s="35"/>
      <c r="V13" t="s">
        <v>0</v>
      </c>
    </row>
    <row r="14" spans="1:27" ht="19" x14ac:dyDescent="0.25">
      <c r="A14" s="45"/>
      <c r="N14" s="35"/>
    </row>
    <row r="15" spans="1:27" ht="20" x14ac:dyDescent="0.25">
      <c r="A15" s="41" t="s">
        <v>97</v>
      </c>
      <c r="B15" s="2">
        <f>'Financial information '!$G$12</f>
        <v>5550</v>
      </c>
      <c r="C15" s="2">
        <f>'Financial information '!$G$12</f>
        <v>5550</v>
      </c>
      <c r="D15" s="2">
        <f>'Financial information '!$G$12</f>
        <v>5550</v>
      </c>
      <c r="E15" s="2">
        <f>'Financial information '!$G$12</f>
        <v>5550</v>
      </c>
      <c r="F15" s="2">
        <f>'Financial information '!$G$12</f>
        <v>5550</v>
      </c>
      <c r="G15" s="2">
        <f>'Financial information '!$G$12</f>
        <v>5550</v>
      </c>
      <c r="H15" s="2">
        <f>'Financial information '!$G$12</f>
        <v>5550</v>
      </c>
      <c r="I15" s="2">
        <f>'Financial information '!$G$12</f>
        <v>5550</v>
      </c>
      <c r="J15" s="2">
        <f>'Financial information '!$G$12</f>
        <v>5550</v>
      </c>
      <c r="K15" s="2">
        <f>'Financial information '!$G$12</f>
        <v>5550</v>
      </c>
      <c r="L15" s="2">
        <f>'Financial information '!$G$12</f>
        <v>5550</v>
      </c>
      <c r="M15" s="2">
        <f>'Financial information '!$G$12</f>
        <v>5550</v>
      </c>
      <c r="N15" s="35"/>
    </row>
    <row r="16" spans="1:27" ht="20" x14ac:dyDescent="0.25">
      <c r="A16" s="41" t="s">
        <v>120</v>
      </c>
      <c r="B16" s="65">
        <f>'Financial information '!$F$28</f>
        <v>5500</v>
      </c>
      <c r="C16" s="65">
        <f>'Financial information '!$F$28</f>
        <v>5500</v>
      </c>
      <c r="D16" s="65">
        <f>'Financial information '!$F$28</f>
        <v>5500</v>
      </c>
      <c r="E16" s="65">
        <f>'Financial information '!$F$28</f>
        <v>5500</v>
      </c>
      <c r="F16" s="65">
        <f>'Financial information '!$F$28</f>
        <v>5500</v>
      </c>
      <c r="G16" s="65">
        <f>'Financial information '!$F$28</f>
        <v>5500</v>
      </c>
      <c r="H16" s="65">
        <f>'Financial information '!$F$28</f>
        <v>5500</v>
      </c>
      <c r="I16" s="65">
        <f>'Financial information '!$F$28</f>
        <v>5500</v>
      </c>
      <c r="J16" s="65">
        <f>'Financial information '!$F$28</f>
        <v>5500</v>
      </c>
      <c r="K16" s="65">
        <f>'Financial information '!$F$28</f>
        <v>5500</v>
      </c>
      <c r="L16" s="65">
        <f>'Financial information '!$F$28</f>
        <v>5500</v>
      </c>
      <c r="M16" s="65">
        <f>'Financial information '!$F$28</f>
        <v>5500</v>
      </c>
      <c r="N16" s="35"/>
    </row>
    <row r="17" spans="1:27" ht="20" x14ac:dyDescent="0.25">
      <c r="A17" s="45" t="s">
        <v>98</v>
      </c>
      <c r="B17" s="2">
        <f>B15+B16</f>
        <v>11050</v>
      </c>
      <c r="C17" s="2">
        <f t="shared" ref="C17:M17" si="4">C15+C16</f>
        <v>11050</v>
      </c>
      <c r="D17" s="2">
        <f t="shared" si="4"/>
        <v>11050</v>
      </c>
      <c r="E17" s="2">
        <f t="shared" si="4"/>
        <v>11050</v>
      </c>
      <c r="F17" s="2">
        <f t="shared" si="4"/>
        <v>11050</v>
      </c>
      <c r="G17" s="2">
        <f t="shared" si="4"/>
        <v>11050</v>
      </c>
      <c r="H17" s="2">
        <f t="shared" si="4"/>
        <v>11050</v>
      </c>
      <c r="I17" s="2">
        <f t="shared" si="4"/>
        <v>11050</v>
      </c>
      <c r="J17" s="2">
        <f t="shared" si="4"/>
        <v>11050</v>
      </c>
      <c r="K17" s="2">
        <f t="shared" si="4"/>
        <v>11050</v>
      </c>
      <c r="L17" s="2">
        <f t="shared" si="4"/>
        <v>11050</v>
      </c>
      <c r="M17" s="2">
        <f t="shared" si="4"/>
        <v>11050</v>
      </c>
      <c r="N17" s="35"/>
    </row>
    <row r="18" spans="1:27" ht="19" x14ac:dyDescent="0.25">
      <c r="A18" s="41"/>
      <c r="N18" s="35"/>
    </row>
    <row r="19" spans="1:27" ht="20" x14ac:dyDescent="0.25">
      <c r="A19" s="41" t="s">
        <v>99</v>
      </c>
      <c r="N19" s="35"/>
    </row>
    <row r="20" spans="1:27" ht="40" x14ac:dyDescent="0.25">
      <c r="A20" s="45" t="s">
        <v>100</v>
      </c>
      <c r="B20" s="2">
        <f>'Financial information '!$C$15*$E$2+'Financial information '!$C$16*$E$2</f>
        <v>1400</v>
      </c>
      <c r="C20" s="2">
        <f>'Financial information '!$C$15*$E$2+'Financial information '!$C$16*$E$2</f>
        <v>1400</v>
      </c>
      <c r="D20" s="2">
        <f>'Financial information '!$C$15*$E$2+'Financial information '!$C$16*$E$2</f>
        <v>1400</v>
      </c>
      <c r="E20" s="2">
        <f>'Financial information '!$C$15*$E$2+'Financial information '!$C$16*$E$2</f>
        <v>1400</v>
      </c>
      <c r="F20" s="2">
        <f>'Financial information '!$C$15*$E$2+'Financial information '!$C$16*$E$2</f>
        <v>1400</v>
      </c>
      <c r="G20" s="2">
        <f>'Financial information '!$C$15*$E$2+'Financial information '!$C$16*$E$2</f>
        <v>1400</v>
      </c>
      <c r="H20" s="2">
        <f>'Financial information '!$C$15*$E$2+'Financial information '!$C$16*$E$2</f>
        <v>1400</v>
      </c>
      <c r="I20" s="2">
        <f>'Financial information '!$C$15*$E$2+'Financial information '!$C$16*$E$2</f>
        <v>1400</v>
      </c>
      <c r="J20" s="2">
        <f>'Financial information '!$C$15*$E$2+'Financial information '!$C$16*$E$2</f>
        <v>1400</v>
      </c>
      <c r="K20" s="2">
        <f>'Financial information '!$C$15*$E$2+'Financial information '!$C$16*$E$2</f>
        <v>1400</v>
      </c>
      <c r="L20" s="2">
        <f>'Financial information '!$C$15*$E$2+'Financial information '!$C$16*$E$2</f>
        <v>1400</v>
      </c>
      <c r="M20" s="2">
        <f>'Financial information '!$C$15*$E$2+'Financial information '!$C$16*$E$2</f>
        <v>1400</v>
      </c>
      <c r="N20" s="35"/>
      <c r="AA20" t="s">
        <v>0</v>
      </c>
    </row>
    <row r="21" spans="1:27" ht="40" x14ac:dyDescent="0.25">
      <c r="A21" s="45" t="s">
        <v>101</v>
      </c>
      <c r="B21" s="2">
        <f>'Financial information '!$C$9*$E$2</f>
        <v>2000</v>
      </c>
      <c r="C21" s="2">
        <f>'Financial information '!$C$9*$E$2</f>
        <v>2000</v>
      </c>
      <c r="D21" s="2">
        <f>'Financial information '!$C$9*$E$2</f>
        <v>2000</v>
      </c>
      <c r="E21" s="2">
        <f>'Financial information '!$C$9*$E$2</f>
        <v>2000</v>
      </c>
      <c r="F21" s="2">
        <f>'Financial information '!$C$9*$E$2</f>
        <v>2000</v>
      </c>
      <c r="G21" s="2">
        <f>'Financial information '!$C$9*$E$2</f>
        <v>2000</v>
      </c>
      <c r="H21" s="2">
        <f>'Financial information '!$C$9*$E$2</f>
        <v>2000</v>
      </c>
      <c r="I21" s="2">
        <f>'Financial information '!$C$9*$E$2</f>
        <v>2000</v>
      </c>
      <c r="J21" s="2">
        <f>'Financial information '!$C$9*$E$2</f>
        <v>2000</v>
      </c>
      <c r="K21" s="2">
        <f>'Financial information '!$C$9*$E$2</f>
        <v>2000</v>
      </c>
      <c r="L21" s="2">
        <f>'Financial information '!$C$9*$E$2</f>
        <v>2000</v>
      </c>
      <c r="M21" s="2">
        <f>'Financial information '!$C$9*$E$2</f>
        <v>2000</v>
      </c>
      <c r="N21" s="35"/>
    </row>
    <row r="22" spans="1:27" ht="40" x14ac:dyDescent="0.25">
      <c r="A22" s="41" t="s">
        <v>102</v>
      </c>
      <c r="B22" s="2">
        <f>B20+B21</f>
        <v>3400</v>
      </c>
      <c r="C22" s="2">
        <f t="shared" ref="C22:M22" si="5">C20+C21</f>
        <v>3400</v>
      </c>
      <c r="D22" s="2">
        <f t="shared" si="5"/>
        <v>3400</v>
      </c>
      <c r="E22" s="2">
        <f t="shared" si="5"/>
        <v>3400</v>
      </c>
      <c r="F22" s="2">
        <f t="shared" si="5"/>
        <v>3400</v>
      </c>
      <c r="G22" s="2">
        <f t="shared" si="5"/>
        <v>3400</v>
      </c>
      <c r="H22" s="2">
        <f t="shared" si="5"/>
        <v>3400</v>
      </c>
      <c r="I22" s="2">
        <f t="shared" si="5"/>
        <v>3400</v>
      </c>
      <c r="J22" s="2">
        <f t="shared" si="5"/>
        <v>3400</v>
      </c>
      <c r="K22" s="2">
        <f t="shared" si="5"/>
        <v>3400</v>
      </c>
      <c r="L22" s="2">
        <f t="shared" si="5"/>
        <v>3400</v>
      </c>
      <c r="M22" s="2">
        <f t="shared" si="5"/>
        <v>3400</v>
      </c>
      <c r="N22" s="35"/>
    </row>
    <row r="23" spans="1:27" ht="20" x14ac:dyDescent="0.25">
      <c r="A23" s="41" t="s">
        <v>103</v>
      </c>
      <c r="B23" s="2">
        <f>B22+B17</f>
        <v>14450</v>
      </c>
      <c r="C23" s="2">
        <f t="shared" ref="C23:M23" si="6">C22+C17</f>
        <v>14450</v>
      </c>
      <c r="D23" s="2">
        <f t="shared" si="6"/>
        <v>14450</v>
      </c>
      <c r="E23" s="2">
        <f t="shared" si="6"/>
        <v>14450</v>
      </c>
      <c r="F23" s="2">
        <f t="shared" si="6"/>
        <v>14450</v>
      </c>
      <c r="G23" s="2">
        <f t="shared" si="6"/>
        <v>14450</v>
      </c>
      <c r="H23" s="2">
        <f t="shared" si="6"/>
        <v>14450</v>
      </c>
      <c r="I23" s="2">
        <f t="shared" si="6"/>
        <v>14450</v>
      </c>
      <c r="J23" s="2">
        <f t="shared" si="6"/>
        <v>14450</v>
      </c>
      <c r="K23" s="2">
        <f t="shared" si="6"/>
        <v>14450</v>
      </c>
      <c r="L23" s="2">
        <f t="shared" si="6"/>
        <v>14450</v>
      </c>
      <c r="M23" s="2">
        <f t="shared" si="6"/>
        <v>14450</v>
      </c>
      <c r="N23" s="35"/>
    </row>
    <row r="25" spans="1:27" ht="16" x14ac:dyDescent="0.2">
      <c r="A25" s="2" t="s">
        <v>104</v>
      </c>
      <c r="B25" s="2">
        <f>($F$2*B9)</f>
        <v>-1255.8195557565805</v>
      </c>
      <c r="C25" s="2">
        <f t="shared" ref="C25:M25" si="7">($F$2*C9)</f>
        <v>-1886.947684779173</v>
      </c>
      <c r="D25" s="2">
        <f t="shared" si="7"/>
        <v>-2381.7763550078425</v>
      </c>
      <c r="E25" s="2">
        <f t="shared" si="7"/>
        <v>-5321.7206870910668</v>
      </c>
      <c r="F25" s="2">
        <f t="shared" si="7"/>
        <v>-7627.4024070035966</v>
      </c>
      <c r="G25" s="2">
        <f t="shared" si="7"/>
        <v>-7936.0498224624625</v>
      </c>
      <c r="H25" s="2">
        <f t="shared" si="7"/>
        <v>-1948.2023128616756</v>
      </c>
      <c r="I25" s="2">
        <f t="shared" si="7"/>
        <v>-3726.8960316073544</v>
      </c>
      <c r="J25" s="2">
        <f t="shared" si="7"/>
        <v>-4113.9238810544202</v>
      </c>
      <c r="K25" s="2">
        <f t="shared" si="7"/>
        <v>-7471.1055942735829</v>
      </c>
      <c r="L25" s="2">
        <f t="shared" si="7"/>
        <v>-11910.432593735244</v>
      </c>
      <c r="M25" s="2">
        <f t="shared" si="7"/>
        <v>-11072.71962678041</v>
      </c>
      <c r="O25" s="54"/>
      <c r="P25" s="54" t="s">
        <v>115</v>
      </c>
      <c r="Q25" s="54"/>
      <c r="R25" s="54"/>
      <c r="S25" s="54"/>
    </row>
    <row r="26" spans="1:27" ht="16" x14ac:dyDescent="0.2">
      <c r="A26" s="2" t="s">
        <v>105</v>
      </c>
      <c r="B26" s="2">
        <f>$G$2*B8</f>
        <v>0</v>
      </c>
      <c r="C26" s="2">
        <f t="shared" ref="C26:M26" si="8">$G$2*C8</f>
        <v>0</v>
      </c>
      <c r="D26" s="2">
        <f t="shared" si="8"/>
        <v>0</v>
      </c>
      <c r="E26" s="2">
        <f t="shared" si="8"/>
        <v>0</v>
      </c>
      <c r="F26" s="2">
        <f t="shared" si="8"/>
        <v>0</v>
      </c>
      <c r="G26" s="2">
        <f t="shared" si="8"/>
        <v>0</v>
      </c>
      <c r="H26" s="2">
        <f t="shared" si="8"/>
        <v>0</v>
      </c>
      <c r="I26" s="2">
        <f t="shared" si="8"/>
        <v>0</v>
      </c>
      <c r="J26" s="2">
        <f t="shared" si="8"/>
        <v>0</v>
      </c>
      <c r="K26" s="2">
        <f t="shared" si="8"/>
        <v>0</v>
      </c>
      <c r="L26" s="2">
        <f t="shared" si="8"/>
        <v>0</v>
      </c>
      <c r="M26" s="2">
        <f t="shared" si="8"/>
        <v>0</v>
      </c>
      <c r="O26" s="54"/>
      <c r="P26" s="54" t="s">
        <v>116</v>
      </c>
      <c r="Q26" s="54" t="s">
        <v>117</v>
      </c>
      <c r="R26" s="54" t="s">
        <v>73</v>
      </c>
      <c r="S26" s="54"/>
    </row>
    <row r="27" spans="1:27" x14ac:dyDescent="0.2">
      <c r="N27" s="53" t="s">
        <v>114</v>
      </c>
      <c r="O27" s="54" t="s">
        <v>118</v>
      </c>
      <c r="P27" s="54">
        <v>0.55000000000000004</v>
      </c>
      <c r="Q27" s="54">
        <v>0.2</v>
      </c>
      <c r="R27" s="54">
        <f>1-P27-Q27</f>
        <v>0.24999999999999994</v>
      </c>
      <c r="S27" s="54"/>
    </row>
    <row r="28" spans="1:27" ht="40" x14ac:dyDescent="0.25">
      <c r="A28" s="46" t="s">
        <v>106</v>
      </c>
      <c r="B28" s="2">
        <f>B13-B23+B25+B26</f>
        <v>14294.180444243419</v>
      </c>
      <c r="C28" s="2">
        <f t="shared" ref="C28:M28" si="9">C13-C23+C25+C26</f>
        <v>13663.052315220826</v>
      </c>
      <c r="D28" s="2">
        <f t="shared" si="9"/>
        <v>13168.223644992158</v>
      </c>
      <c r="E28" s="2">
        <f t="shared" si="9"/>
        <v>10228.279312908933</v>
      </c>
      <c r="F28" s="2">
        <f t="shared" si="9"/>
        <v>7922.5975929964034</v>
      </c>
      <c r="G28" s="2">
        <f t="shared" si="9"/>
        <v>7613.9501775375375</v>
      </c>
      <c r="H28" s="2">
        <f t="shared" si="9"/>
        <v>13601.797687138325</v>
      </c>
      <c r="I28" s="2">
        <f t="shared" si="9"/>
        <v>11823.103968392646</v>
      </c>
      <c r="J28" s="2">
        <f t="shared" si="9"/>
        <v>11436.076118945581</v>
      </c>
      <c r="K28" s="2">
        <f t="shared" si="9"/>
        <v>8078.8944057264171</v>
      </c>
      <c r="L28" s="2">
        <f t="shared" si="9"/>
        <v>3639.5674062647558</v>
      </c>
      <c r="M28" s="2">
        <f t="shared" si="9"/>
        <v>4477.2803732195898</v>
      </c>
      <c r="N28" s="34">
        <f>SUM(B28:M28)</f>
        <v>119947.0034475866</v>
      </c>
      <c r="O28" s="54" t="s">
        <v>119</v>
      </c>
      <c r="P28" s="54">
        <f>N28</f>
        <v>119947.0034475866</v>
      </c>
      <c r="Q28" s="54">
        <f>N58</f>
        <v>119947.0034475866</v>
      </c>
      <c r="R28" s="54">
        <f>N88</f>
        <v>141582.79386317133</v>
      </c>
      <c r="S28" s="54">
        <f>SUMPRODUCT(P27:R27,P28:R28)</f>
        <v>125355.95105148279</v>
      </c>
    </row>
    <row r="29" spans="1:27" x14ac:dyDescent="0.2">
      <c r="N29" s="35"/>
    </row>
    <row r="31" spans="1:27" ht="32" x14ac:dyDescent="0.2">
      <c r="A31" s="33"/>
      <c r="B31" s="35"/>
      <c r="C31" s="35"/>
      <c r="D31" s="35"/>
      <c r="E31" s="34" t="s">
        <v>74</v>
      </c>
      <c r="F31" s="34" t="s">
        <v>75</v>
      </c>
      <c r="G31" s="34" t="s">
        <v>76</v>
      </c>
      <c r="H31" s="35"/>
      <c r="I31" s="35"/>
      <c r="J31" s="35"/>
      <c r="K31" s="35"/>
      <c r="L31" s="35"/>
      <c r="M31" s="35"/>
      <c r="N31" s="36"/>
    </row>
    <row r="32" spans="1:27" ht="19" x14ac:dyDescent="0.25">
      <c r="A32" s="33"/>
      <c r="B32" s="38"/>
      <c r="C32" s="38"/>
      <c r="D32" s="38"/>
      <c r="E32" s="37">
        <f>E2</f>
        <v>4000</v>
      </c>
      <c r="F32" s="37">
        <f>F2</f>
        <v>3</v>
      </c>
      <c r="G32" s="37">
        <f>G2</f>
        <v>1.25</v>
      </c>
      <c r="H32" s="38"/>
      <c r="I32" s="38"/>
      <c r="J32" s="38"/>
      <c r="K32" s="38"/>
      <c r="L32" s="38"/>
      <c r="M32" s="38"/>
      <c r="N32" s="38"/>
    </row>
    <row r="33" spans="1:14" ht="24" x14ac:dyDescent="0.25">
      <c r="A33" s="39" t="s">
        <v>77</v>
      </c>
      <c r="B33" s="35"/>
      <c r="C33" s="35"/>
      <c r="N33" s="36"/>
    </row>
    <row r="34" spans="1:14" ht="50" x14ac:dyDescent="0.3">
      <c r="A34" s="68" t="s">
        <v>124</v>
      </c>
      <c r="B34" s="34">
        <f>'Prof current operations'!B34</f>
        <v>1.2</v>
      </c>
      <c r="N34" s="35"/>
    </row>
    <row r="35" spans="1:14" ht="20" x14ac:dyDescent="0.25">
      <c r="A35" s="41" t="s">
        <v>78</v>
      </c>
      <c r="B35" t="s">
        <v>79</v>
      </c>
      <c r="C35" t="s">
        <v>80</v>
      </c>
      <c r="D35" t="s">
        <v>81</v>
      </c>
      <c r="E35" t="s">
        <v>82</v>
      </c>
      <c r="F35" t="s">
        <v>5</v>
      </c>
      <c r="G35" t="s">
        <v>83</v>
      </c>
      <c r="H35" t="s">
        <v>84</v>
      </c>
      <c r="I35" t="s">
        <v>85</v>
      </c>
      <c r="J35" t="s">
        <v>86</v>
      </c>
      <c r="K35" t="s">
        <v>87</v>
      </c>
      <c r="L35" t="s">
        <v>88</v>
      </c>
      <c r="M35" t="s">
        <v>89</v>
      </c>
      <c r="N35" s="35"/>
    </row>
    <row r="36" spans="1:14" ht="16" x14ac:dyDescent="0.2">
      <c r="A36" s="42" t="s">
        <v>37</v>
      </c>
      <c r="B36" s="43">
        <f>'Prof current operations'!B6*('Prof franchise '!$B$34)*(1+$C$3)</f>
        <v>4418.6065185855268</v>
      </c>
      <c r="C36" s="43">
        <f>'Prof current operations'!C6*('Prof franchise '!$B$34)*(1+$C$3)</f>
        <v>4628.9825615930577</v>
      </c>
      <c r="D36" s="43">
        <f>'Prof current operations'!D6*('Prof franchise '!$B$34)*(1+$C$3)</f>
        <v>4793.9254516692808</v>
      </c>
      <c r="E36" s="43">
        <f>'Prof current operations'!E6*('Prof franchise '!$B$34)*(1+$C$3)</f>
        <v>5773.9068956970223</v>
      </c>
      <c r="F36" s="43">
        <f>'Prof current operations'!F6*('Prof franchise '!$B$34)*(1+$C$3)</f>
        <v>6542.4674690011989</v>
      </c>
      <c r="G36" s="43">
        <f>'Prof current operations'!G6*('Prof franchise '!$B$34)*(1+$C$3)</f>
        <v>6645.3499408208208</v>
      </c>
      <c r="H36" s="43">
        <f>'Prof current operations'!H6*('Prof franchise '!$B$34)*(1+$C$3)</f>
        <v>4649.4007709538919</v>
      </c>
      <c r="I36" s="43">
        <f>'Prof current operations'!I6*('Prof franchise '!$B$34)*(1+$C$3)</f>
        <v>5242.2986772024515</v>
      </c>
      <c r="J36" s="43">
        <f>'Prof current operations'!J6*('Prof franchise '!$B$34)*(1+$C$3)</f>
        <v>5371.3079603514734</v>
      </c>
      <c r="K36" s="43">
        <f>'Prof current operations'!K6*('Prof franchise '!$B$34)*(1+$C$3)</f>
        <v>6490.3685314245276</v>
      </c>
      <c r="L36" s="43">
        <f>'Prof current operations'!L6*('Prof franchise '!$B$34)*(1+$C$3)</f>
        <v>7970.1441979117481</v>
      </c>
      <c r="M36" s="43">
        <f>'Prof current operations'!M6*('Prof franchise '!$B$34)*(1+$C$3)</f>
        <v>7690.906542260137</v>
      </c>
      <c r="N36" s="33"/>
    </row>
    <row r="37" spans="1:14" ht="16" x14ac:dyDescent="0.2">
      <c r="A37" s="42" t="s">
        <v>90</v>
      </c>
      <c r="B37" s="43">
        <f>IF($E$2&gt;B36,B36,$E$2)</f>
        <v>4000</v>
      </c>
      <c r="C37" s="43">
        <f t="shared" ref="C37:M37" si="10">IF($E$2&gt;C36,C36,$E$2)</f>
        <v>4000</v>
      </c>
      <c r="D37" s="43">
        <f t="shared" si="10"/>
        <v>4000</v>
      </c>
      <c r="E37" s="43">
        <f t="shared" si="10"/>
        <v>4000</v>
      </c>
      <c r="F37" s="43">
        <f t="shared" si="10"/>
        <v>4000</v>
      </c>
      <c r="G37" s="43">
        <f t="shared" si="10"/>
        <v>4000</v>
      </c>
      <c r="H37" s="43">
        <f t="shared" si="10"/>
        <v>4000</v>
      </c>
      <c r="I37" s="43">
        <f t="shared" si="10"/>
        <v>4000</v>
      </c>
      <c r="J37" s="43">
        <f t="shared" si="10"/>
        <v>4000</v>
      </c>
      <c r="K37" s="43">
        <f t="shared" si="10"/>
        <v>4000</v>
      </c>
      <c r="L37" s="43">
        <f t="shared" si="10"/>
        <v>4000</v>
      </c>
      <c r="M37" s="43">
        <f t="shared" si="10"/>
        <v>4000</v>
      </c>
      <c r="N37" s="33"/>
    </row>
    <row r="38" spans="1:14" ht="16" x14ac:dyDescent="0.2">
      <c r="A38" s="42" t="s">
        <v>91</v>
      </c>
      <c r="B38" s="43">
        <f>IF($E$2-B36&gt;0,$E$2-B36,0)</f>
        <v>0</v>
      </c>
      <c r="C38" s="43">
        <f t="shared" ref="C38:M38" si="11">IF($E$2-C36&gt;0,$E$2-C36,0)</f>
        <v>0</v>
      </c>
      <c r="D38" s="43">
        <f t="shared" si="11"/>
        <v>0</v>
      </c>
      <c r="E38" s="43">
        <f t="shared" si="11"/>
        <v>0</v>
      </c>
      <c r="F38" s="43">
        <f t="shared" si="11"/>
        <v>0</v>
      </c>
      <c r="G38" s="43">
        <f t="shared" si="11"/>
        <v>0</v>
      </c>
      <c r="H38" s="43">
        <f t="shared" si="11"/>
        <v>0</v>
      </c>
      <c r="I38" s="43">
        <f t="shared" si="11"/>
        <v>0</v>
      </c>
      <c r="J38" s="43">
        <f t="shared" si="11"/>
        <v>0</v>
      </c>
      <c r="K38" s="43">
        <f t="shared" si="11"/>
        <v>0</v>
      </c>
      <c r="L38" s="43">
        <f t="shared" si="11"/>
        <v>0</v>
      </c>
      <c r="M38" s="43">
        <f t="shared" si="11"/>
        <v>0</v>
      </c>
      <c r="N38" s="33"/>
    </row>
    <row r="39" spans="1:14" ht="32" x14ac:dyDescent="0.2">
      <c r="A39" s="42" t="s">
        <v>92</v>
      </c>
      <c r="B39" s="43">
        <f>IF($E$2-B36&gt;0,0,$E$2-B36)</f>
        <v>-418.60651858552683</v>
      </c>
      <c r="C39" s="43">
        <f t="shared" ref="C39:M39" si="12">IF($E$2-C36&gt;0,0,$E$2-C36)</f>
        <v>-628.98256159305765</v>
      </c>
      <c r="D39" s="43">
        <f t="shared" si="12"/>
        <v>-793.92545166928085</v>
      </c>
      <c r="E39" s="43">
        <f t="shared" si="12"/>
        <v>-1773.9068956970223</v>
      </c>
      <c r="F39" s="43">
        <f t="shared" si="12"/>
        <v>-2542.4674690011989</v>
      </c>
      <c r="G39" s="43">
        <f t="shared" si="12"/>
        <v>-2645.3499408208208</v>
      </c>
      <c r="H39" s="43">
        <f t="shared" si="12"/>
        <v>-649.40077095389188</v>
      </c>
      <c r="I39" s="43">
        <f t="shared" si="12"/>
        <v>-1242.2986772024515</v>
      </c>
      <c r="J39" s="43">
        <f t="shared" si="12"/>
        <v>-1371.3079603514734</v>
      </c>
      <c r="K39" s="43">
        <f t="shared" si="12"/>
        <v>-2490.3685314245276</v>
      </c>
      <c r="L39" s="43">
        <f t="shared" si="12"/>
        <v>-3970.1441979117481</v>
      </c>
      <c r="M39" s="43">
        <f t="shared" si="12"/>
        <v>-3690.906542260137</v>
      </c>
      <c r="N39" s="33"/>
    </row>
    <row r="40" spans="1:14" ht="20" x14ac:dyDescent="0.25">
      <c r="A40" s="41" t="s">
        <v>93</v>
      </c>
      <c r="N40" s="35"/>
    </row>
    <row r="41" spans="1:14" ht="20" x14ac:dyDescent="0.25">
      <c r="A41" s="45" t="s">
        <v>94</v>
      </c>
      <c r="B41" s="2">
        <f>'Financial information '!$C$7*B37</f>
        <v>16000</v>
      </c>
      <c r="C41" s="2">
        <f>'Financial information '!$C$7*C37</f>
        <v>16000</v>
      </c>
      <c r="D41" s="2">
        <f>'Financial information '!$C$7*D37</f>
        <v>16000</v>
      </c>
      <c r="E41" s="2">
        <f>'Financial information '!$C$7*E37</f>
        <v>16000</v>
      </c>
      <c r="F41" s="2">
        <f>'Financial information '!$C$7*F37</f>
        <v>16000</v>
      </c>
      <c r="G41" s="2">
        <f>'Financial information '!$C$7*G37</f>
        <v>16000</v>
      </c>
      <c r="H41" s="2">
        <f>'Financial information '!$C$7*H37</f>
        <v>16000</v>
      </c>
      <c r="I41" s="2">
        <f>'Financial information '!$C$7*I37</f>
        <v>16000</v>
      </c>
      <c r="J41" s="2">
        <f>'Financial information '!$C$7*J37</f>
        <v>16000</v>
      </c>
      <c r="K41" s="2">
        <f>'Financial information '!$C$7*K37</f>
        <v>16000</v>
      </c>
      <c r="L41" s="2">
        <f>'Financial information '!$C$7*L37</f>
        <v>16000</v>
      </c>
      <c r="M41" s="2">
        <f>'Financial information '!$C$7*M37</f>
        <v>16000</v>
      </c>
      <c r="N41" s="35"/>
    </row>
    <row r="42" spans="1:14" ht="20" x14ac:dyDescent="0.25">
      <c r="A42" s="45" t="s">
        <v>95</v>
      </c>
      <c r="B42" s="2">
        <f>'Financial information '!$C$8*B37</f>
        <v>14000</v>
      </c>
      <c r="C42" s="2">
        <f>'Financial information '!$C$8*C37</f>
        <v>14000</v>
      </c>
      <c r="D42" s="2">
        <f>'Financial information '!$C$8*D37</f>
        <v>14000</v>
      </c>
      <c r="E42" s="2">
        <f>'Financial information '!$C$8*E37</f>
        <v>14000</v>
      </c>
      <c r="F42" s="2">
        <f>'Financial information '!$C$8*F37</f>
        <v>14000</v>
      </c>
      <c r="G42" s="2">
        <f>'Financial information '!$C$8*G37</f>
        <v>14000</v>
      </c>
      <c r="H42" s="2">
        <f>'Financial information '!$C$8*H37</f>
        <v>14000</v>
      </c>
      <c r="I42" s="2">
        <f>'Financial information '!$C$8*I37</f>
        <v>14000</v>
      </c>
      <c r="J42" s="2">
        <f>'Financial information '!$C$8*J37</f>
        <v>14000</v>
      </c>
      <c r="K42" s="2">
        <f>'Financial information '!$C$8*K37</f>
        <v>14000</v>
      </c>
      <c r="L42" s="2">
        <f>'Financial information '!$C$8*L37</f>
        <v>14000</v>
      </c>
      <c r="M42" s="2">
        <f>'Financial information '!$C$8*M37</f>
        <v>14000</v>
      </c>
      <c r="N42" s="35"/>
    </row>
    <row r="43" spans="1:14" ht="20" x14ac:dyDescent="0.25">
      <c r="A43" s="45" t="s">
        <v>96</v>
      </c>
      <c r="B43" s="2">
        <f>B41+B42</f>
        <v>30000</v>
      </c>
      <c r="C43" s="2">
        <f t="shared" ref="C43:M43" si="13">C41+C42</f>
        <v>30000</v>
      </c>
      <c r="D43" s="2">
        <f t="shared" si="13"/>
        <v>30000</v>
      </c>
      <c r="E43" s="2">
        <f t="shared" si="13"/>
        <v>30000</v>
      </c>
      <c r="F43" s="2">
        <f t="shared" si="13"/>
        <v>30000</v>
      </c>
      <c r="G43" s="2">
        <f t="shared" si="13"/>
        <v>30000</v>
      </c>
      <c r="H43" s="2">
        <f t="shared" si="13"/>
        <v>30000</v>
      </c>
      <c r="I43" s="2">
        <f t="shared" si="13"/>
        <v>30000</v>
      </c>
      <c r="J43" s="2">
        <f t="shared" si="13"/>
        <v>30000</v>
      </c>
      <c r="K43" s="2">
        <f t="shared" si="13"/>
        <v>30000</v>
      </c>
      <c r="L43" s="2">
        <f t="shared" si="13"/>
        <v>30000</v>
      </c>
      <c r="M43" s="2">
        <f t="shared" si="13"/>
        <v>30000</v>
      </c>
      <c r="N43" s="35"/>
    </row>
    <row r="44" spans="1:14" ht="19" x14ac:dyDescent="0.25">
      <c r="A44" s="45"/>
      <c r="N44" s="35"/>
    </row>
    <row r="45" spans="1:14" ht="20" x14ac:dyDescent="0.25">
      <c r="A45" s="41" t="s">
        <v>97</v>
      </c>
      <c r="B45" s="2">
        <f>'Financial information '!$G$12</f>
        <v>5550</v>
      </c>
      <c r="C45" s="2">
        <f>'Financial information '!$G$12</f>
        <v>5550</v>
      </c>
      <c r="D45" s="2">
        <f>'Financial information '!$G$12</f>
        <v>5550</v>
      </c>
      <c r="E45" s="2">
        <f>'Financial information '!$G$12</f>
        <v>5550</v>
      </c>
      <c r="F45" s="2">
        <f>'Financial information '!$G$12</f>
        <v>5550</v>
      </c>
      <c r="G45" s="2">
        <f>'Financial information '!$G$12</f>
        <v>5550</v>
      </c>
      <c r="H45" s="2">
        <f>'Financial information '!$G$12</f>
        <v>5550</v>
      </c>
      <c r="I45" s="2">
        <f>'Financial information '!$G$12</f>
        <v>5550</v>
      </c>
      <c r="J45" s="2">
        <f>'Financial information '!$G$12</f>
        <v>5550</v>
      </c>
      <c r="K45" s="2">
        <f>'Financial information '!$G$12</f>
        <v>5550</v>
      </c>
      <c r="L45" s="2">
        <f>'Financial information '!$G$12</f>
        <v>5550</v>
      </c>
      <c r="M45" s="2">
        <f>'Financial information '!$G$12</f>
        <v>5550</v>
      </c>
      <c r="N45" s="35"/>
    </row>
    <row r="46" spans="1:14" ht="20" x14ac:dyDescent="0.25">
      <c r="A46" s="41" t="s">
        <v>120</v>
      </c>
      <c r="B46" s="65">
        <f>B16</f>
        <v>5500</v>
      </c>
      <c r="C46" s="65">
        <f t="shared" ref="C46:M46" si="14">C16</f>
        <v>5500</v>
      </c>
      <c r="D46" s="65">
        <f t="shared" si="14"/>
        <v>5500</v>
      </c>
      <c r="E46" s="65">
        <f t="shared" si="14"/>
        <v>5500</v>
      </c>
      <c r="F46" s="65">
        <f t="shared" si="14"/>
        <v>5500</v>
      </c>
      <c r="G46" s="65">
        <f t="shared" si="14"/>
        <v>5500</v>
      </c>
      <c r="H46" s="65">
        <f t="shared" si="14"/>
        <v>5500</v>
      </c>
      <c r="I46" s="65">
        <f t="shared" si="14"/>
        <v>5500</v>
      </c>
      <c r="J46" s="65">
        <f t="shared" si="14"/>
        <v>5500</v>
      </c>
      <c r="K46" s="65">
        <f t="shared" si="14"/>
        <v>5500</v>
      </c>
      <c r="L46" s="65">
        <f t="shared" si="14"/>
        <v>5500</v>
      </c>
      <c r="M46" s="65">
        <f t="shared" si="14"/>
        <v>5500</v>
      </c>
      <c r="N46" s="35"/>
    </row>
    <row r="47" spans="1:14" ht="20" x14ac:dyDescent="0.25">
      <c r="A47" s="45" t="s">
        <v>98</v>
      </c>
      <c r="B47" s="2">
        <f>B45+B46</f>
        <v>11050</v>
      </c>
      <c r="C47" s="2">
        <f t="shared" ref="C47" si="15">C45+C46</f>
        <v>11050</v>
      </c>
      <c r="D47" s="2">
        <f t="shared" ref="D47" si="16">D45+D46</f>
        <v>11050</v>
      </c>
      <c r="E47" s="2">
        <f t="shared" ref="E47" si="17">E45+E46</f>
        <v>11050</v>
      </c>
      <c r="F47" s="2">
        <f t="shared" ref="F47" si="18">F45+F46</f>
        <v>11050</v>
      </c>
      <c r="G47" s="2">
        <f t="shared" ref="G47" si="19">G45+G46</f>
        <v>11050</v>
      </c>
      <c r="H47" s="2">
        <f t="shared" ref="H47" si="20">H45+H46</f>
        <v>11050</v>
      </c>
      <c r="I47" s="2">
        <f t="shared" ref="I47" si="21">I45+I46</f>
        <v>11050</v>
      </c>
      <c r="J47" s="2">
        <f t="shared" ref="J47" si="22">J45+J46</f>
        <v>11050</v>
      </c>
      <c r="K47" s="2">
        <f t="shared" ref="K47" si="23">K45+K46</f>
        <v>11050</v>
      </c>
      <c r="L47" s="2">
        <f t="shared" ref="L47" si="24">L45+L46</f>
        <v>11050</v>
      </c>
      <c r="M47" s="2">
        <f t="shared" ref="M47" si="25">M45+M46</f>
        <v>11050</v>
      </c>
      <c r="N47" s="35"/>
    </row>
    <row r="48" spans="1:14" ht="19" x14ac:dyDescent="0.25">
      <c r="A48" s="41"/>
      <c r="N48" s="35"/>
    </row>
    <row r="49" spans="1:14" ht="20" x14ac:dyDescent="0.25">
      <c r="A49" s="41" t="s">
        <v>99</v>
      </c>
      <c r="N49" s="35"/>
    </row>
    <row r="50" spans="1:14" ht="40" x14ac:dyDescent="0.25">
      <c r="A50" s="45" t="s">
        <v>100</v>
      </c>
      <c r="B50" s="2">
        <f>'Financial information '!$C$15*$E$2+'Financial information '!$C$16*$E$2</f>
        <v>1400</v>
      </c>
      <c r="C50" s="2">
        <f>'Financial information '!$C$15*$E$2+'Financial information '!$C$16*$E$2</f>
        <v>1400</v>
      </c>
      <c r="D50" s="2">
        <f>'Financial information '!$C$15*$E$2+'Financial information '!$C$16*$E$2</f>
        <v>1400</v>
      </c>
      <c r="E50" s="2">
        <f>'Financial information '!$C$15*$E$2+'Financial information '!$C$16*$E$2</f>
        <v>1400</v>
      </c>
      <c r="F50" s="2">
        <f>'Financial information '!$C$15*$E$2+'Financial information '!$C$16*$E$2</f>
        <v>1400</v>
      </c>
      <c r="G50" s="2">
        <f>'Financial information '!$C$15*$E$2+'Financial information '!$C$16*$E$2</f>
        <v>1400</v>
      </c>
      <c r="H50" s="2">
        <f>'Financial information '!$C$15*$E$2+'Financial information '!$C$16*$E$2</f>
        <v>1400</v>
      </c>
      <c r="I50" s="2">
        <f>'Financial information '!$C$15*$E$2+'Financial information '!$C$16*$E$2</f>
        <v>1400</v>
      </c>
      <c r="J50" s="2">
        <f>'Financial information '!$C$15*$E$2+'Financial information '!$C$16*$E$2</f>
        <v>1400</v>
      </c>
      <c r="K50" s="2">
        <f>'Financial information '!$C$15*$E$2+'Financial information '!$C$16*$E$2</f>
        <v>1400</v>
      </c>
      <c r="L50" s="2">
        <f>'Financial information '!$C$15*$E$2+'Financial information '!$C$16*$E$2</f>
        <v>1400</v>
      </c>
      <c r="M50" s="2">
        <f>'Financial information '!$C$15*$E$2+'Financial information '!$C$16*$E$2</f>
        <v>1400</v>
      </c>
      <c r="N50" s="35"/>
    </row>
    <row r="51" spans="1:14" ht="40" x14ac:dyDescent="0.25">
      <c r="A51" s="45" t="s">
        <v>101</v>
      </c>
      <c r="B51" s="2">
        <f>'Financial information '!$C$9*$E$2</f>
        <v>2000</v>
      </c>
      <c r="C51" s="2">
        <f>'Financial information '!$C$9*$E$2</f>
        <v>2000</v>
      </c>
      <c r="D51" s="2">
        <f>'Financial information '!$C$9*$E$2</f>
        <v>2000</v>
      </c>
      <c r="E51" s="2">
        <f>'Financial information '!$C$9*$E$2</f>
        <v>2000</v>
      </c>
      <c r="F51" s="2">
        <f>'Financial information '!$C$9*$E$2</f>
        <v>2000</v>
      </c>
      <c r="G51" s="2">
        <f>'Financial information '!$C$9*$E$2</f>
        <v>2000</v>
      </c>
      <c r="H51" s="2">
        <f>'Financial information '!$C$9*$E$2</f>
        <v>2000</v>
      </c>
      <c r="I51" s="2">
        <f>'Financial information '!$C$9*$E$2</f>
        <v>2000</v>
      </c>
      <c r="J51" s="2">
        <f>'Financial information '!$C$9*$E$2</f>
        <v>2000</v>
      </c>
      <c r="K51" s="2">
        <f>'Financial information '!$C$9*$E$2</f>
        <v>2000</v>
      </c>
      <c r="L51" s="2">
        <f>'Financial information '!$C$9*$E$2</f>
        <v>2000</v>
      </c>
      <c r="M51" s="2">
        <f>'Financial information '!$C$9*$E$2</f>
        <v>2000</v>
      </c>
      <c r="N51" s="35"/>
    </row>
    <row r="52" spans="1:14" ht="40" x14ac:dyDescent="0.25">
      <c r="A52" s="41" t="s">
        <v>102</v>
      </c>
      <c r="B52" s="2">
        <f>B50+B51</f>
        <v>3400</v>
      </c>
      <c r="C52" s="2">
        <f t="shared" ref="C52:M52" si="26">C50+C51</f>
        <v>3400</v>
      </c>
      <c r="D52" s="2">
        <f t="shared" si="26"/>
        <v>3400</v>
      </c>
      <c r="E52" s="2">
        <f t="shared" si="26"/>
        <v>3400</v>
      </c>
      <c r="F52" s="2">
        <f t="shared" si="26"/>
        <v>3400</v>
      </c>
      <c r="G52" s="2">
        <f t="shared" si="26"/>
        <v>3400</v>
      </c>
      <c r="H52" s="2">
        <f t="shared" si="26"/>
        <v>3400</v>
      </c>
      <c r="I52" s="2">
        <f t="shared" si="26"/>
        <v>3400</v>
      </c>
      <c r="J52" s="2">
        <f t="shared" si="26"/>
        <v>3400</v>
      </c>
      <c r="K52" s="2">
        <f t="shared" si="26"/>
        <v>3400</v>
      </c>
      <c r="L52" s="2">
        <f t="shared" si="26"/>
        <v>3400</v>
      </c>
      <c r="M52" s="2">
        <f t="shared" si="26"/>
        <v>3400</v>
      </c>
      <c r="N52" s="35"/>
    </row>
    <row r="53" spans="1:14" ht="20" x14ac:dyDescent="0.25">
      <c r="A53" s="41" t="s">
        <v>103</v>
      </c>
      <c r="B53" s="2">
        <f>B52+B47</f>
        <v>14450</v>
      </c>
      <c r="C53" s="2">
        <f t="shared" ref="C53:M53" si="27">C52+C47</f>
        <v>14450</v>
      </c>
      <c r="D53" s="2">
        <f t="shared" si="27"/>
        <v>14450</v>
      </c>
      <c r="E53" s="2">
        <f t="shared" si="27"/>
        <v>14450</v>
      </c>
      <c r="F53" s="2">
        <f t="shared" si="27"/>
        <v>14450</v>
      </c>
      <c r="G53" s="2">
        <f t="shared" si="27"/>
        <v>14450</v>
      </c>
      <c r="H53" s="2">
        <f t="shared" si="27"/>
        <v>14450</v>
      </c>
      <c r="I53" s="2">
        <f t="shared" si="27"/>
        <v>14450</v>
      </c>
      <c r="J53" s="2">
        <f t="shared" si="27"/>
        <v>14450</v>
      </c>
      <c r="K53" s="2">
        <f t="shared" si="27"/>
        <v>14450</v>
      </c>
      <c r="L53" s="2">
        <f t="shared" si="27"/>
        <v>14450</v>
      </c>
      <c r="M53" s="2">
        <f t="shared" si="27"/>
        <v>14450</v>
      </c>
      <c r="N53" s="35"/>
    </row>
    <row r="55" spans="1:14" ht="16" x14ac:dyDescent="0.2">
      <c r="A55" s="2" t="s">
        <v>104</v>
      </c>
      <c r="B55" s="2">
        <f>($F$2*B39)</f>
        <v>-1255.8195557565805</v>
      </c>
      <c r="C55" s="2">
        <f t="shared" ref="C55:M55" si="28">($F$2*C39)</f>
        <v>-1886.947684779173</v>
      </c>
      <c r="D55" s="2">
        <f t="shared" si="28"/>
        <v>-2381.7763550078425</v>
      </c>
      <c r="E55" s="2">
        <f t="shared" si="28"/>
        <v>-5321.7206870910668</v>
      </c>
      <c r="F55" s="2">
        <f t="shared" si="28"/>
        <v>-7627.4024070035966</v>
      </c>
      <c r="G55" s="2">
        <f t="shared" si="28"/>
        <v>-7936.0498224624625</v>
      </c>
      <c r="H55" s="2">
        <f t="shared" si="28"/>
        <v>-1948.2023128616756</v>
      </c>
      <c r="I55" s="2">
        <f t="shared" si="28"/>
        <v>-3726.8960316073544</v>
      </c>
      <c r="J55" s="2">
        <f t="shared" si="28"/>
        <v>-4113.9238810544202</v>
      </c>
      <c r="K55" s="2">
        <f t="shared" si="28"/>
        <v>-7471.1055942735829</v>
      </c>
      <c r="L55" s="2">
        <f t="shared" si="28"/>
        <v>-11910.432593735244</v>
      </c>
      <c r="M55" s="2">
        <f t="shared" si="28"/>
        <v>-11072.71962678041</v>
      </c>
    </row>
    <row r="56" spans="1:14" ht="16" x14ac:dyDescent="0.2">
      <c r="A56" s="2" t="s">
        <v>105</v>
      </c>
      <c r="B56" s="2">
        <f>$G$2*B38</f>
        <v>0</v>
      </c>
      <c r="C56" s="2">
        <f t="shared" ref="C56:M56" si="29">$G$2*C38</f>
        <v>0</v>
      </c>
      <c r="D56" s="2">
        <f t="shared" si="29"/>
        <v>0</v>
      </c>
      <c r="E56" s="2">
        <f t="shared" si="29"/>
        <v>0</v>
      </c>
      <c r="F56" s="2">
        <f t="shared" si="29"/>
        <v>0</v>
      </c>
      <c r="G56" s="2">
        <f t="shared" si="29"/>
        <v>0</v>
      </c>
      <c r="H56" s="2">
        <f t="shared" si="29"/>
        <v>0</v>
      </c>
      <c r="I56" s="2">
        <f t="shared" si="29"/>
        <v>0</v>
      </c>
      <c r="J56" s="2">
        <f t="shared" si="29"/>
        <v>0</v>
      </c>
      <c r="K56" s="2">
        <f t="shared" si="29"/>
        <v>0</v>
      </c>
      <c r="L56" s="2">
        <f t="shared" si="29"/>
        <v>0</v>
      </c>
      <c r="M56" s="2">
        <f t="shared" si="29"/>
        <v>0</v>
      </c>
    </row>
    <row r="57" spans="1:14" x14ac:dyDescent="0.2">
      <c r="N57" s="53" t="s">
        <v>114</v>
      </c>
    </row>
    <row r="58" spans="1:14" ht="40" x14ac:dyDescent="0.25">
      <c r="A58" s="46" t="s">
        <v>106</v>
      </c>
      <c r="B58" s="2">
        <f>B43-B53+B55+B56</f>
        <v>14294.180444243419</v>
      </c>
      <c r="C58" s="2">
        <f t="shared" ref="C58:M58" si="30">C43-C53+C55+C56</f>
        <v>13663.052315220826</v>
      </c>
      <c r="D58" s="2">
        <f t="shared" si="30"/>
        <v>13168.223644992158</v>
      </c>
      <c r="E58" s="2">
        <f t="shared" si="30"/>
        <v>10228.279312908933</v>
      </c>
      <c r="F58" s="2">
        <f t="shared" si="30"/>
        <v>7922.5975929964034</v>
      </c>
      <c r="G58" s="2">
        <f t="shared" si="30"/>
        <v>7613.9501775375375</v>
      </c>
      <c r="H58" s="2">
        <f t="shared" si="30"/>
        <v>13601.797687138325</v>
      </c>
      <c r="I58" s="2">
        <f t="shared" si="30"/>
        <v>11823.103968392646</v>
      </c>
      <c r="J58" s="2">
        <f t="shared" si="30"/>
        <v>11436.076118945581</v>
      </c>
      <c r="K58" s="2">
        <f t="shared" si="30"/>
        <v>8078.8944057264171</v>
      </c>
      <c r="L58" s="2">
        <f t="shared" si="30"/>
        <v>3639.5674062647558</v>
      </c>
      <c r="M58" s="2">
        <f t="shared" si="30"/>
        <v>4477.2803732195898</v>
      </c>
      <c r="N58" s="34">
        <f>SUM(B58:M58)</f>
        <v>119947.0034475866</v>
      </c>
    </row>
    <row r="59" spans="1:14" x14ac:dyDescent="0.2">
      <c r="N59" s="35"/>
    </row>
    <row r="61" spans="1:14" ht="32" x14ac:dyDescent="0.2">
      <c r="A61" s="33"/>
      <c r="B61" s="35"/>
      <c r="C61" s="35"/>
      <c r="D61" s="35"/>
      <c r="E61" s="34" t="s">
        <v>74</v>
      </c>
      <c r="F61" s="34" t="s">
        <v>75</v>
      </c>
      <c r="G61" s="34" t="s">
        <v>76</v>
      </c>
      <c r="H61" s="35"/>
      <c r="I61" s="35"/>
      <c r="J61" s="35"/>
      <c r="K61" s="35"/>
      <c r="L61" s="35"/>
      <c r="M61" s="35"/>
      <c r="N61" s="36"/>
    </row>
    <row r="62" spans="1:14" ht="19" x14ac:dyDescent="0.25">
      <c r="A62" s="33"/>
      <c r="B62" s="38"/>
      <c r="C62" s="38"/>
      <c r="D62" s="38"/>
      <c r="E62" s="37">
        <f>E32</f>
        <v>4000</v>
      </c>
      <c r="F62" s="37">
        <f>F32</f>
        <v>3</v>
      </c>
      <c r="G62" s="37">
        <f>G32</f>
        <v>1.25</v>
      </c>
      <c r="H62" s="38"/>
      <c r="I62" s="38"/>
      <c r="J62" s="38"/>
      <c r="K62" s="38"/>
      <c r="L62" s="38"/>
      <c r="M62" s="38"/>
      <c r="N62" s="38"/>
    </row>
    <row r="63" spans="1:14" ht="24" x14ac:dyDescent="0.25">
      <c r="A63" s="39" t="s">
        <v>77</v>
      </c>
      <c r="B63" s="35"/>
      <c r="C63" s="35"/>
      <c r="N63" s="36"/>
    </row>
    <row r="64" spans="1:14" ht="50" x14ac:dyDescent="0.3">
      <c r="A64" s="68" t="s">
        <v>125</v>
      </c>
      <c r="B64" s="34">
        <f>'Prof current operations'!B65</f>
        <v>0.75</v>
      </c>
      <c r="N64" s="35"/>
    </row>
    <row r="65" spans="1:14" ht="20" x14ac:dyDescent="0.25">
      <c r="A65" s="41" t="s">
        <v>78</v>
      </c>
      <c r="B65" t="s">
        <v>79</v>
      </c>
      <c r="C65" t="s">
        <v>80</v>
      </c>
      <c r="D65" t="s">
        <v>81</v>
      </c>
      <c r="E65" t="s">
        <v>82</v>
      </c>
      <c r="F65" t="s">
        <v>5</v>
      </c>
      <c r="G65" t="s">
        <v>83</v>
      </c>
      <c r="H65" t="s">
        <v>84</v>
      </c>
      <c r="I65" t="s">
        <v>85</v>
      </c>
      <c r="J65" t="s">
        <v>86</v>
      </c>
      <c r="K65" t="s">
        <v>87</v>
      </c>
      <c r="L65" t="s">
        <v>88</v>
      </c>
      <c r="M65" t="s">
        <v>89</v>
      </c>
      <c r="N65" s="35"/>
    </row>
    <row r="66" spans="1:14" ht="16" x14ac:dyDescent="0.2">
      <c r="A66" s="42" t="s">
        <v>37</v>
      </c>
      <c r="B66" s="43">
        <f>'Prof current operations'!B6*(1+'Prof franchise '!$C$3)*$B$64</f>
        <v>2761.6290741159537</v>
      </c>
      <c r="C66" s="43">
        <f>'Prof current operations'!C6*(1+'Prof franchise '!$C$3)*$B$64</f>
        <v>2893.1141009956618</v>
      </c>
      <c r="D66" s="43">
        <f>'Prof current operations'!D6*(1+'Prof franchise '!$C$3)*$B$64</f>
        <v>2996.2034072933006</v>
      </c>
      <c r="E66" s="43">
        <f>'Prof current operations'!E6*(1+'Prof franchise '!$C$3)*$B$64</f>
        <v>3608.6918098106389</v>
      </c>
      <c r="F66" s="43">
        <f>'Prof current operations'!F6*(1+'Prof franchise '!$C$3)*$B$64</f>
        <v>4089.0421681257494</v>
      </c>
      <c r="G66" s="43">
        <f>'Prof current operations'!G6*(1+'Prof franchise '!$C$3)*$B$64</f>
        <v>4153.3437130130133</v>
      </c>
      <c r="H66" s="43">
        <f>'Prof current operations'!H6*(1+'Prof franchise '!$C$3)*$B$64</f>
        <v>2905.8754818461825</v>
      </c>
      <c r="I66" s="43">
        <f>'Prof current operations'!I6*(1+'Prof franchise '!$C$3)*$B$64</f>
        <v>3276.4366732515323</v>
      </c>
      <c r="J66" s="43">
        <f>'Prof current operations'!J6*(1+'Prof franchise '!$C$3)*$B$64</f>
        <v>3357.067475219671</v>
      </c>
      <c r="K66" s="43">
        <f>'Prof current operations'!K6*(1+'Prof franchise '!$C$3)*$B$64</f>
        <v>4056.4803321403301</v>
      </c>
      <c r="L66" s="43">
        <f>'Prof current operations'!L6*(1+'Prof franchise '!$C$3)*$B$64</f>
        <v>4981.340123694843</v>
      </c>
      <c r="M66" s="43">
        <f>'Prof current operations'!M6*(1+'Prof franchise '!$C$3)*$B$64</f>
        <v>4806.8165889125858</v>
      </c>
      <c r="N66" s="33"/>
    </row>
    <row r="67" spans="1:14" ht="16" x14ac:dyDescent="0.2">
      <c r="A67" s="42" t="s">
        <v>90</v>
      </c>
      <c r="B67" s="43">
        <f>IF($E$2&gt;B66,B66,$E$2)</f>
        <v>2761.6290741159537</v>
      </c>
      <c r="C67" s="43">
        <f t="shared" ref="C67:M67" si="31">IF($E$2&gt;C66,C66,$E$2)</f>
        <v>2893.1141009956618</v>
      </c>
      <c r="D67" s="43">
        <f t="shared" si="31"/>
        <v>2996.2034072933006</v>
      </c>
      <c r="E67" s="43">
        <f t="shared" si="31"/>
        <v>3608.6918098106389</v>
      </c>
      <c r="F67" s="43">
        <f t="shared" si="31"/>
        <v>4000</v>
      </c>
      <c r="G67" s="43">
        <f t="shared" si="31"/>
        <v>4000</v>
      </c>
      <c r="H67" s="43">
        <f t="shared" si="31"/>
        <v>2905.8754818461825</v>
      </c>
      <c r="I67" s="43">
        <f t="shared" si="31"/>
        <v>3276.4366732515323</v>
      </c>
      <c r="J67" s="43">
        <f t="shared" si="31"/>
        <v>3357.067475219671</v>
      </c>
      <c r="K67" s="43">
        <f t="shared" si="31"/>
        <v>4000</v>
      </c>
      <c r="L67" s="43">
        <f t="shared" si="31"/>
        <v>4000</v>
      </c>
      <c r="M67" s="43">
        <f t="shared" si="31"/>
        <v>4000</v>
      </c>
      <c r="N67" s="33"/>
    </row>
    <row r="68" spans="1:14" ht="16" x14ac:dyDescent="0.2">
      <c r="A68" s="42" t="s">
        <v>91</v>
      </c>
      <c r="B68" s="43">
        <f>IF($E$2-B66&gt;0,$E$2-B66,0)</f>
        <v>1238.3709258840463</v>
      </c>
      <c r="C68" s="43">
        <f t="shared" ref="C68:M68" si="32">IF($E$2-C66&gt;0,$E$2-C66,0)</f>
        <v>1106.8858990043382</v>
      </c>
      <c r="D68" s="43">
        <f t="shared" si="32"/>
        <v>1003.7965927066994</v>
      </c>
      <c r="E68" s="43">
        <f t="shared" si="32"/>
        <v>391.30819018936108</v>
      </c>
      <c r="F68" s="43">
        <f t="shared" si="32"/>
        <v>0</v>
      </c>
      <c r="G68" s="43">
        <f t="shared" si="32"/>
        <v>0</v>
      </c>
      <c r="H68" s="43">
        <f t="shared" si="32"/>
        <v>1094.1245181538175</v>
      </c>
      <c r="I68" s="43">
        <f t="shared" si="32"/>
        <v>723.56332674846772</v>
      </c>
      <c r="J68" s="43">
        <f t="shared" si="32"/>
        <v>642.932524780329</v>
      </c>
      <c r="K68" s="43">
        <f t="shared" si="32"/>
        <v>0</v>
      </c>
      <c r="L68" s="43">
        <f t="shared" si="32"/>
        <v>0</v>
      </c>
      <c r="M68" s="43">
        <f t="shared" si="32"/>
        <v>0</v>
      </c>
      <c r="N68" s="33"/>
    </row>
    <row r="69" spans="1:14" ht="32" x14ac:dyDescent="0.2">
      <c r="A69" s="42" t="s">
        <v>92</v>
      </c>
      <c r="B69" s="43">
        <f>IF($E$2-B66&gt;0,0,$E$2-B66)</f>
        <v>0</v>
      </c>
      <c r="C69" s="43">
        <f t="shared" ref="C69:M69" si="33">IF($E$2-C66&gt;0,0,$E$2-C66)</f>
        <v>0</v>
      </c>
      <c r="D69" s="43">
        <f t="shared" si="33"/>
        <v>0</v>
      </c>
      <c r="E69" s="43">
        <f t="shared" si="33"/>
        <v>0</v>
      </c>
      <c r="F69" s="43">
        <f t="shared" si="33"/>
        <v>-89.042168125749413</v>
      </c>
      <c r="G69" s="43">
        <f t="shared" si="33"/>
        <v>-153.34371301301326</v>
      </c>
      <c r="H69" s="43">
        <f t="shared" si="33"/>
        <v>0</v>
      </c>
      <c r="I69" s="43">
        <f t="shared" si="33"/>
        <v>0</v>
      </c>
      <c r="J69" s="43">
        <f t="shared" si="33"/>
        <v>0</v>
      </c>
      <c r="K69" s="43">
        <f t="shared" si="33"/>
        <v>-56.48033214033012</v>
      </c>
      <c r="L69" s="43">
        <f t="shared" si="33"/>
        <v>-981.34012369484299</v>
      </c>
      <c r="M69" s="43">
        <f t="shared" si="33"/>
        <v>-806.81658891258576</v>
      </c>
      <c r="N69" s="33"/>
    </row>
    <row r="70" spans="1:14" ht="20" x14ac:dyDescent="0.25">
      <c r="A70" s="41" t="s">
        <v>93</v>
      </c>
      <c r="N70" s="35"/>
    </row>
    <row r="71" spans="1:14" ht="20" x14ac:dyDescent="0.25">
      <c r="A71" s="45" t="s">
        <v>94</v>
      </c>
      <c r="B71" s="2">
        <f>'Financial information '!$C$7*B67</f>
        <v>11046.516296463815</v>
      </c>
      <c r="C71" s="2">
        <f>'Financial information '!$C$7*C67</f>
        <v>11572.456403982647</v>
      </c>
      <c r="D71" s="2">
        <f>'Financial information '!$C$7*D67</f>
        <v>11984.813629173203</v>
      </c>
      <c r="E71" s="2">
        <f>'Financial information '!$C$7*E67</f>
        <v>14434.767239242556</v>
      </c>
      <c r="F71" s="2">
        <f>'Financial information '!$C$7*F67</f>
        <v>16000</v>
      </c>
      <c r="G71" s="2">
        <f>'Financial information '!$C$7*G67</f>
        <v>16000</v>
      </c>
      <c r="H71" s="2">
        <f>'Financial information '!$C$7*H67</f>
        <v>11623.50192738473</v>
      </c>
      <c r="I71" s="2">
        <f>'Financial information '!$C$7*I67</f>
        <v>13105.746693006129</v>
      </c>
      <c r="J71" s="2">
        <f>'Financial information '!$C$7*J67</f>
        <v>13428.269900878684</v>
      </c>
      <c r="K71" s="2">
        <f>'Financial information '!$C$7*K67</f>
        <v>16000</v>
      </c>
      <c r="L71" s="2">
        <f>'Financial information '!$C$7*L67</f>
        <v>16000</v>
      </c>
      <c r="M71" s="2">
        <f>'Financial information '!$C$7*M67</f>
        <v>16000</v>
      </c>
      <c r="N71" s="35"/>
    </row>
    <row r="72" spans="1:14" ht="20" x14ac:dyDescent="0.25">
      <c r="A72" s="45" t="s">
        <v>95</v>
      </c>
      <c r="B72" s="2">
        <f>'Financial information '!$C$8*B67</f>
        <v>9665.7017594058379</v>
      </c>
      <c r="C72" s="2">
        <f>'Financial information '!$C$8*C67</f>
        <v>10125.899353484816</v>
      </c>
      <c r="D72" s="2">
        <f>'Financial information '!$C$8*D67</f>
        <v>10486.711925526552</v>
      </c>
      <c r="E72" s="2">
        <f>'Financial information '!$C$8*E67</f>
        <v>12630.421334337236</v>
      </c>
      <c r="F72" s="2">
        <f>'Financial information '!$C$8*F67</f>
        <v>14000</v>
      </c>
      <c r="G72" s="2">
        <f>'Financial information '!$C$8*G67</f>
        <v>14000</v>
      </c>
      <c r="H72" s="2">
        <f>'Financial information '!$C$8*H67</f>
        <v>10170.564186461639</v>
      </c>
      <c r="I72" s="2">
        <f>'Financial information '!$C$8*I67</f>
        <v>11467.528356380362</v>
      </c>
      <c r="J72" s="2">
        <f>'Financial information '!$C$8*J67</f>
        <v>11749.736163268848</v>
      </c>
      <c r="K72" s="2">
        <f>'Financial information '!$C$8*K67</f>
        <v>14000</v>
      </c>
      <c r="L72" s="2">
        <f>'Financial information '!$C$8*L67</f>
        <v>14000</v>
      </c>
      <c r="M72" s="2">
        <f>'Financial information '!$C$8*M67</f>
        <v>14000</v>
      </c>
      <c r="N72" s="35"/>
    </row>
    <row r="73" spans="1:14" ht="20" x14ac:dyDescent="0.25">
      <c r="A73" s="45" t="s">
        <v>96</v>
      </c>
      <c r="B73" s="2">
        <f>B71+B72</f>
        <v>20712.218055869653</v>
      </c>
      <c r="C73" s="2">
        <f t="shared" ref="C73:M73" si="34">C71+C72</f>
        <v>21698.355757467463</v>
      </c>
      <c r="D73" s="2">
        <f t="shared" si="34"/>
        <v>22471.525554699754</v>
      </c>
      <c r="E73" s="2">
        <f t="shared" si="34"/>
        <v>27065.188573579791</v>
      </c>
      <c r="F73" s="2">
        <f t="shared" si="34"/>
        <v>30000</v>
      </c>
      <c r="G73" s="2">
        <f t="shared" si="34"/>
        <v>30000</v>
      </c>
      <c r="H73" s="2">
        <f t="shared" si="34"/>
        <v>21794.066113846369</v>
      </c>
      <c r="I73" s="2">
        <f t="shared" si="34"/>
        <v>24573.275049386491</v>
      </c>
      <c r="J73" s="2">
        <f t="shared" si="34"/>
        <v>25178.006064147532</v>
      </c>
      <c r="K73" s="2">
        <f t="shared" si="34"/>
        <v>30000</v>
      </c>
      <c r="L73" s="2">
        <f t="shared" si="34"/>
        <v>30000</v>
      </c>
      <c r="M73" s="2">
        <f t="shared" si="34"/>
        <v>30000</v>
      </c>
      <c r="N73" s="35"/>
    </row>
    <row r="74" spans="1:14" ht="19" x14ac:dyDescent="0.25">
      <c r="A74" s="45"/>
      <c r="N74" s="35"/>
    </row>
    <row r="75" spans="1:14" ht="20" x14ac:dyDescent="0.25">
      <c r="A75" s="41" t="s">
        <v>97</v>
      </c>
      <c r="B75" s="2">
        <f>'Financial information '!$G$12</f>
        <v>5550</v>
      </c>
      <c r="C75" s="2">
        <f>'Financial information '!$G$12</f>
        <v>5550</v>
      </c>
      <c r="D75" s="2">
        <f>'Financial information '!$G$12</f>
        <v>5550</v>
      </c>
      <c r="E75" s="2">
        <f>'Financial information '!$G$12</f>
        <v>5550</v>
      </c>
      <c r="F75" s="2">
        <f>'Financial information '!$G$12</f>
        <v>5550</v>
      </c>
      <c r="G75" s="2">
        <f>'Financial information '!$G$12</f>
        <v>5550</v>
      </c>
      <c r="H75" s="2">
        <f>'Financial information '!$G$12</f>
        <v>5550</v>
      </c>
      <c r="I75" s="2">
        <f>'Financial information '!$G$12</f>
        <v>5550</v>
      </c>
      <c r="J75" s="2">
        <f>'Financial information '!$G$12</f>
        <v>5550</v>
      </c>
      <c r="K75" s="2">
        <f>'Financial information '!$G$12</f>
        <v>5550</v>
      </c>
      <c r="L75" s="2">
        <f>'Financial information '!$G$12</f>
        <v>5550</v>
      </c>
      <c r="M75" s="2">
        <f>'Financial information '!$G$12</f>
        <v>5550</v>
      </c>
      <c r="N75" s="35"/>
    </row>
    <row r="76" spans="1:14" ht="20" x14ac:dyDescent="0.25">
      <c r="A76" s="41" t="s">
        <v>120</v>
      </c>
      <c r="B76" s="65">
        <f>B46</f>
        <v>5500</v>
      </c>
      <c r="C76" s="65">
        <f t="shared" ref="C76:M76" si="35">C46</f>
        <v>5500</v>
      </c>
      <c r="D76" s="65">
        <f t="shared" si="35"/>
        <v>5500</v>
      </c>
      <c r="E76" s="65">
        <f t="shared" si="35"/>
        <v>5500</v>
      </c>
      <c r="F76" s="65">
        <f t="shared" si="35"/>
        <v>5500</v>
      </c>
      <c r="G76" s="65">
        <f t="shared" si="35"/>
        <v>5500</v>
      </c>
      <c r="H76" s="65">
        <f t="shared" si="35"/>
        <v>5500</v>
      </c>
      <c r="I76" s="65">
        <f t="shared" si="35"/>
        <v>5500</v>
      </c>
      <c r="J76" s="65">
        <f t="shared" si="35"/>
        <v>5500</v>
      </c>
      <c r="K76" s="65">
        <f t="shared" si="35"/>
        <v>5500</v>
      </c>
      <c r="L76" s="65">
        <f t="shared" si="35"/>
        <v>5500</v>
      </c>
      <c r="M76" s="65">
        <f t="shared" si="35"/>
        <v>5500</v>
      </c>
      <c r="N76" s="35"/>
    </row>
    <row r="77" spans="1:14" ht="20" x14ac:dyDescent="0.25">
      <c r="A77" s="45" t="s">
        <v>98</v>
      </c>
      <c r="B77" s="2">
        <f>B75+B76</f>
        <v>11050</v>
      </c>
      <c r="C77" s="2">
        <f t="shared" ref="C77:M77" si="36">C75+C76</f>
        <v>11050</v>
      </c>
      <c r="D77" s="2">
        <f t="shared" si="36"/>
        <v>11050</v>
      </c>
      <c r="E77" s="2">
        <f t="shared" si="36"/>
        <v>11050</v>
      </c>
      <c r="F77" s="2">
        <f t="shared" si="36"/>
        <v>11050</v>
      </c>
      <c r="G77" s="2">
        <f t="shared" si="36"/>
        <v>11050</v>
      </c>
      <c r="H77" s="2">
        <f t="shared" si="36"/>
        <v>11050</v>
      </c>
      <c r="I77" s="2">
        <f t="shared" si="36"/>
        <v>11050</v>
      </c>
      <c r="J77" s="2">
        <f t="shared" si="36"/>
        <v>11050</v>
      </c>
      <c r="K77" s="2">
        <f t="shared" si="36"/>
        <v>11050</v>
      </c>
      <c r="L77" s="2">
        <f t="shared" si="36"/>
        <v>11050</v>
      </c>
      <c r="M77" s="2">
        <f t="shared" si="36"/>
        <v>11050</v>
      </c>
      <c r="N77" s="35"/>
    </row>
    <row r="78" spans="1:14" ht="19" x14ac:dyDescent="0.25">
      <c r="A78" s="41"/>
      <c r="N78" s="35"/>
    </row>
    <row r="79" spans="1:14" ht="20" x14ac:dyDescent="0.25">
      <c r="A79" s="41" t="s">
        <v>99</v>
      </c>
      <c r="N79" s="35"/>
    </row>
    <row r="80" spans="1:14" ht="40" x14ac:dyDescent="0.25">
      <c r="A80" s="45" t="s">
        <v>100</v>
      </c>
      <c r="B80" s="2">
        <f>'Financial information '!$C$15*$E$2+'Financial information '!$C$16*$E$2</f>
        <v>1400</v>
      </c>
      <c r="C80" s="2">
        <f>'Financial information '!$C$15*$E$2+'Financial information '!$C$16*$E$2</f>
        <v>1400</v>
      </c>
      <c r="D80" s="2">
        <f>'Financial information '!$C$15*$E$2+'Financial information '!$C$16*$E$2</f>
        <v>1400</v>
      </c>
      <c r="E80" s="2">
        <f>'Financial information '!$C$15*$E$2+'Financial information '!$C$16*$E$2</f>
        <v>1400</v>
      </c>
      <c r="F80" s="2">
        <f>'Financial information '!$C$15*$E$2+'Financial information '!$C$16*$E$2</f>
        <v>1400</v>
      </c>
      <c r="G80" s="2">
        <f>'Financial information '!$C$15*$E$2+'Financial information '!$C$16*$E$2</f>
        <v>1400</v>
      </c>
      <c r="H80" s="2">
        <f>'Financial information '!$C$15*$E$2+'Financial information '!$C$16*$E$2</f>
        <v>1400</v>
      </c>
      <c r="I80" s="2">
        <f>'Financial information '!$C$15*$E$2+'Financial information '!$C$16*$E$2</f>
        <v>1400</v>
      </c>
      <c r="J80" s="2">
        <f>'Financial information '!$C$15*$E$2+'Financial information '!$C$16*$E$2</f>
        <v>1400</v>
      </c>
      <c r="K80" s="2">
        <f>'Financial information '!$C$15*$E$2+'Financial information '!$C$16*$E$2</f>
        <v>1400</v>
      </c>
      <c r="L80" s="2">
        <f>'Financial information '!$C$15*$E$2+'Financial information '!$C$16*$E$2</f>
        <v>1400</v>
      </c>
      <c r="M80" s="2">
        <f>'Financial information '!$C$15*$E$2+'Financial information '!$C$16*$E$2</f>
        <v>1400</v>
      </c>
      <c r="N80" s="35"/>
    </row>
    <row r="81" spans="1:14" ht="40" x14ac:dyDescent="0.25">
      <c r="A81" s="45" t="s">
        <v>101</v>
      </c>
      <c r="B81" s="2">
        <f>'Financial information '!$C$9*$E$2</f>
        <v>2000</v>
      </c>
      <c r="C81" s="2">
        <f>'Financial information '!$C$9*$E$2</f>
        <v>2000</v>
      </c>
      <c r="D81" s="2">
        <f>'Financial information '!$C$9*$E$2</f>
        <v>2000</v>
      </c>
      <c r="E81" s="2">
        <f>'Financial information '!$C$9*$E$2</f>
        <v>2000</v>
      </c>
      <c r="F81" s="2">
        <f>'Financial information '!$C$9*$E$2</f>
        <v>2000</v>
      </c>
      <c r="G81" s="2">
        <f>'Financial information '!$C$9*$E$2</f>
        <v>2000</v>
      </c>
      <c r="H81" s="2">
        <f>'Financial information '!$C$9*$E$2</f>
        <v>2000</v>
      </c>
      <c r="I81" s="2">
        <f>'Financial information '!$C$9*$E$2</f>
        <v>2000</v>
      </c>
      <c r="J81" s="2">
        <f>'Financial information '!$C$9*$E$2</f>
        <v>2000</v>
      </c>
      <c r="K81" s="2">
        <f>'Financial information '!$C$9*$E$2</f>
        <v>2000</v>
      </c>
      <c r="L81" s="2">
        <f>'Financial information '!$C$9*$E$2</f>
        <v>2000</v>
      </c>
      <c r="M81" s="2">
        <f>'Financial information '!$C$9*$E$2</f>
        <v>2000</v>
      </c>
      <c r="N81" s="35"/>
    </row>
    <row r="82" spans="1:14" ht="40" x14ac:dyDescent="0.25">
      <c r="A82" s="41" t="s">
        <v>102</v>
      </c>
      <c r="B82" s="2">
        <f>B80+B81</f>
        <v>3400</v>
      </c>
      <c r="C82" s="2">
        <f t="shared" ref="C82:M82" si="37">C80+C81</f>
        <v>3400</v>
      </c>
      <c r="D82" s="2">
        <f t="shared" si="37"/>
        <v>3400</v>
      </c>
      <c r="E82" s="2">
        <f t="shared" si="37"/>
        <v>3400</v>
      </c>
      <c r="F82" s="2">
        <f t="shared" si="37"/>
        <v>3400</v>
      </c>
      <c r="G82" s="2">
        <f t="shared" si="37"/>
        <v>3400</v>
      </c>
      <c r="H82" s="2">
        <f t="shared" si="37"/>
        <v>3400</v>
      </c>
      <c r="I82" s="2">
        <f t="shared" si="37"/>
        <v>3400</v>
      </c>
      <c r="J82" s="2">
        <f t="shared" si="37"/>
        <v>3400</v>
      </c>
      <c r="K82" s="2">
        <f t="shared" si="37"/>
        <v>3400</v>
      </c>
      <c r="L82" s="2">
        <f t="shared" si="37"/>
        <v>3400</v>
      </c>
      <c r="M82" s="2">
        <f t="shared" si="37"/>
        <v>3400</v>
      </c>
      <c r="N82" s="35"/>
    </row>
    <row r="83" spans="1:14" ht="20" x14ac:dyDescent="0.25">
      <c r="A83" s="41" t="s">
        <v>103</v>
      </c>
      <c r="B83" s="2">
        <f>B82+B77</f>
        <v>14450</v>
      </c>
      <c r="C83" s="2">
        <f t="shared" ref="C83:M83" si="38">C82+C77</f>
        <v>14450</v>
      </c>
      <c r="D83" s="2">
        <f t="shared" si="38"/>
        <v>14450</v>
      </c>
      <c r="E83" s="2">
        <f t="shared" si="38"/>
        <v>14450</v>
      </c>
      <c r="F83" s="2">
        <f t="shared" si="38"/>
        <v>14450</v>
      </c>
      <c r="G83" s="2">
        <f t="shared" si="38"/>
        <v>14450</v>
      </c>
      <c r="H83" s="2">
        <f t="shared" si="38"/>
        <v>14450</v>
      </c>
      <c r="I83" s="2">
        <f t="shared" si="38"/>
        <v>14450</v>
      </c>
      <c r="J83" s="2">
        <f t="shared" si="38"/>
        <v>14450</v>
      </c>
      <c r="K83" s="2">
        <f t="shared" si="38"/>
        <v>14450</v>
      </c>
      <c r="L83" s="2">
        <f t="shared" si="38"/>
        <v>14450</v>
      </c>
      <c r="M83" s="2">
        <f t="shared" si="38"/>
        <v>14450</v>
      </c>
      <c r="N83" s="35"/>
    </row>
    <row r="85" spans="1:14" ht="16" x14ac:dyDescent="0.2">
      <c r="A85" s="2" t="s">
        <v>104</v>
      </c>
      <c r="B85" s="2">
        <f>($F$2*B69)</f>
        <v>0</v>
      </c>
      <c r="C85" s="2">
        <f t="shared" ref="C85:M85" si="39">($F$2*C69)</f>
        <v>0</v>
      </c>
      <c r="D85" s="2">
        <f t="shared" si="39"/>
        <v>0</v>
      </c>
      <c r="E85" s="2">
        <f t="shared" si="39"/>
        <v>0</v>
      </c>
      <c r="F85" s="2">
        <f t="shared" si="39"/>
        <v>-267.12650437724824</v>
      </c>
      <c r="G85" s="2">
        <f t="shared" si="39"/>
        <v>-460.03113903903977</v>
      </c>
      <c r="H85" s="2">
        <f t="shared" si="39"/>
        <v>0</v>
      </c>
      <c r="I85" s="2">
        <f t="shared" si="39"/>
        <v>0</v>
      </c>
      <c r="J85" s="2">
        <f t="shared" si="39"/>
        <v>0</v>
      </c>
      <c r="K85" s="2">
        <f t="shared" si="39"/>
        <v>-169.44099642099036</v>
      </c>
      <c r="L85" s="2">
        <f t="shared" si="39"/>
        <v>-2944.020371084529</v>
      </c>
      <c r="M85" s="2">
        <f t="shared" si="39"/>
        <v>-2420.4497667377573</v>
      </c>
    </row>
    <row r="86" spans="1:14" ht="16" x14ac:dyDescent="0.2">
      <c r="A86" s="2" t="s">
        <v>105</v>
      </c>
      <c r="B86" s="2">
        <f>$G$2*B68</f>
        <v>1547.9636573550579</v>
      </c>
      <c r="C86" s="2">
        <f t="shared" ref="C86:M86" si="40">$G$2*C68</f>
        <v>1383.6073737554227</v>
      </c>
      <c r="D86" s="2">
        <f t="shared" si="40"/>
        <v>1254.7457408833743</v>
      </c>
      <c r="E86" s="2">
        <f t="shared" si="40"/>
        <v>489.13523773670136</v>
      </c>
      <c r="F86" s="2">
        <f t="shared" si="40"/>
        <v>0</v>
      </c>
      <c r="G86" s="2">
        <f t="shared" si="40"/>
        <v>0</v>
      </c>
      <c r="H86" s="2">
        <f t="shared" si="40"/>
        <v>1367.6556476922719</v>
      </c>
      <c r="I86" s="2">
        <f t="shared" si="40"/>
        <v>904.45415843558465</v>
      </c>
      <c r="J86" s="2">
        <f t="shared" si="40"/>
        <v>803.66565597541125</v>
      </c>
      <c r="K86" s="2">
        <f t="shared" si="40"/>
        <v>0</v>
      </c>
      <c r="L86" s="2">
        <f t="shared" si="40"/>
        <v>0</v>
      </c>
      <c r="M86" s="2">
        <f t="shared" si="40"/>
        <v>0</v>
      </c>
    </row>
    <row r="87" spans="1:14" x14ac:dyDescent="0.2">
      <c r="N87" s="53" t="s">
        <v>114</v>
      </c>
    </row>
    <row r="88" spans="1:14" ht="40" x14ac:dyDescent="0.25">
      <c r="A88" s="46" t="s">
        <v>106</v>
      </c>
      <c r="B88" s="2">
        <f>B73-B83+B85+B86</f>
        <v>7810.1817132247106</v>
      </c>
      <c r="C88" s="2">
        <f t="shared" ref="C88:M88" si="41">C73-C83+C85+C86</f>
        <v>8631.9631312228867</v>
      </c>
      <c r="D88" s="2">
        <f t="shared" si="41"/>
        <v>9276.2712955831284</v>
      </c>
      <c r="E88" s="2">
        <f t="shared" si="41"/>
        <v>13104.323811316493</v>
      </c>
      <c r="F88" s="2">
        <f t="shared" si="41"/>
        <v>15282.873495622753</v>
      </c>
      <c r="G88" s="2">
        <f t="shared" si="41"/>
        <v>15089.96886096096</v>
      </c>
      <c r="H88" s="2">
        <f t="shared" si="41"/>
        <v>8711.7217615386417</v>
      </c>
      <c r="I88" s="2">
        <f t="shared" si="41"/>
        <v>11027.729207822076</v>
      </c>
      <c r="J88" s="2">
        <f t="shared" si="41"/>
        <v>11531.671720122944</v>
      </c>
      <c r="K88" s="2">
        <f t="shared" si="41"/>
        <v>15380.55900357901</v>
      </c>
      <c r="L88" s="2">
        <f t="shared" si="41"/>
        <v>12605.979628915471</v>
      </c>
      <c r="M88" s="2">
        <f t="shared" si="41"/>
        <v>13129.550233262242</v>
      </c>
      <c r="N88" s="34">
        <f>SUM(B88:M88)</f>
        <v>141582.79386317133</v>
      </c>
    </row>
    <row r="89" spans="1:14" x14ac:dyDescent="0.2">
      <c r="N89" s="3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81DA-5198-4EFF-84F9-24C6DB3F2EF4}">
  <dimension ref="A1:N1048576"/>
  <sheetViews>
    <sheetView tabSelected="1" topLeftCell="A19" zoomScale="114" zoomScaleNormal="100" workbookViewId="0">
      <selection activeCell="C4" sqref="C4"/>
    </sheetView>
  </sheetViews>
  <sheetFormatPr baseColWidth="10" defaultColWidth="8.83203125" defaultRowHeight="15" x14ac:dyDescent="0.2"/>
  <cols>
    <col min="1" max="1" width="24.1640625" style="2" customWidth="1"/>
    <col min="2" max="3" width="16.83203125" customWidth="1"/>
    <col min="4" max="4" width="15.5" customWidth="1"/>
    <col min="5" max="5" width="14.6640625" customWidth="1"/>
    <col min="6" max="6" width="15" bestFit="1" customWidth="1"/>
    <col min="7" max="7" width="12.6640625" bestFit="1" customWidth="1"/>
    <col min="8" max="8" width="21.5" customWidth="1"/>
    <col min="9" max="11" width="12.1640625" bestFit="1" customWidth="1"/>
    <col min="12" max="12" width="11.6640625" customWidth="1"/>
    <col min="13" max="13" width="9.6640625" bestFit="1" customWidth="1"/>
    <col min="14" max="14" width="9" bestFit="1" customWidth="1"/>
  </cols>
  <sheetData>
    <row r="1" spans="1:14" ht="23" thickBot="1" x14ac:dyDescent="0.3">
      <c r="A1" s="80" t="s">
        <v>158</v>
      </c>
      <c r="B1" s="9" t="s">
        <v>184</v>
      </c>
      <c r="C1" s="9"/>
      <c r="D1" s="9"/>
      <c r="E1" s="9"/>
    </row>
    <row r="2" spans="1:14" ht="16" thickBot="1" x14ac:dyDescent="0.25">
      <c r="A2" s="81"/>
      <c r="B2" s="139" t="s">
        <v>159</v>
      </c>
      <c r="C2" s="140"/>
      <c r="D2" s="140"/>
      <c r="E2" s="82"/>
    </row>
    <row r="3" spans="1:14" ht="17" thickBot="1" x14ac:dyDescent="0.25">
      <c r="A3" s="81" t="s">
        <v>160</v>
      </c>
      <c r="B3" s="83" t="s">
        <v>73</v>
      </c>
      <c r="C3" s="84" t="s">
        <v>183</v>
      </c>
      <c r="D3" s="85" t="s">
        <v>117</v>
      </c>
      <c r="E3" s="86"/>
    </row>
    <row r="4" spans="1:14" x14ac:dyDescent="0.2">
      <c r="A4" s="87" t="s">
        <v>181</v>
      </c>
      <c r="B4" s="88">
        <f>'Prof current operations'!N88</f>
        <v>178203.60312681351</v>
      </c>
      <c r="C4" s="89">
        <f>'Prof current operations'!N27</f>
        <v>214716.02629550558</v>
      </c>
      <c r="D4" s="90">
        <f>'Prof current operations'!N57</f>
        <v>215862.78512272961</v>
      </c>
      <c r="E4" s="89"/>
      <c r="H4" s="133"/>
      <c r="I4" s="133" t="str">
        <f>A11</f>
        <v>Maximin</v>
      </c>
      <c r="J4" s="133" t="str">
        <f>A18</f>
        <v>Maximax</v>
      </c>
      <c r="K4" s="133" t="str">
        <f>A25</f>
        <v>Laplace</v>
      </c>
      <c r="L4" s="133" t="str">
        <f>A32</f>
        <v xml:space="preserve">Minimax Regret </v>
      </c>
      <c r="M4" s="133" t="s">
        <v>172</v>
      </c>
      <c r="N4" s="133" t="s">
        <v>179</v>
      </c>
    </row>
    <row r="5" spans="1:14" ht="16" x14ac:dyDescent="0.2">
      <c r="A5" s="91" t="s">
        <v>182</v>
      </c>
      <c r="B5" s="92">
        <f>'Prof franchise '!$N$88</f>
        <v>141582.79386317133</v>
      </c>
      <c r="C5" s="93">
        <f>'Prof franchise '!$N$28</f>
        <v>119947.0034475866</v>
      </c>
      <c r="D5" s="94">
        <f>'Prof franchise '!$N$58</f>
        <v>119947.0034475866</v>
      </c>
      <c r="E5" s="93"/>
      <c r="H5" s="133" t="str">
        <f>A4</f>
        <v>Current Operation</v>
      </c>
      <c r="I5" s="134">
        <f>F14</f>
        <v>178203.60312681351</v>
      </c>
      <c r="J5" s="134">
        <f>F21</f>
        <v>215862.78512272961</v>
      </c>
      <c r="K5" s="134">
        <f>F28</f>
        <v>202927.47151501625</v>
      </c>
      <c r="L5" s="134">
        <f>F35</f>
        <v>0</v>
      </c>
      <c r="M5" s="135">
        <f>F45</f>
        <v>205817.27226877736</v>
      </c>
      <c r="N5" s="133">
        <f>F61</f>
        <v>0</v>
      </c>
    </row>
    <row r="6" spans="1:14" ht="16" thickBot="1" x14ac:dyDescent="0.25">
      <c r="A6" s="95"/>
      <c r="B6" s="96"/>
      <c r="C6" s="97"/>
      <c r="D6" s="98"/>
      <c r="E6" s="93"/>
      <c r="H6" s="133" t="str">
        <f>A5</f>
        <v xml:space="preserve">Franchise </v>
      </c>
      <c r="I6" s="134">
        <f>F15</f>
        <v>119947.0034475866</v>
      </c>
      <c r="J6" s="134">
        <f>F22</f>
        <v>141582.79386317133</v>
      </c>
      <c r="K6" s="134">
        <f>F29</f>
        <v>127158.93358611484</v>
      </c>
      <c r="L6" s="134">
        <f>F36</f>
        <v>95915.781675143007</v>
      </c>
      <c r="M6" s="135">
        <f>F46</f>
        <v>125355.95105148279</v>
      </c>
      <c r="N6" s="133">
        <f>F62</f>
        <v>80461.321217294593</v>
      </c>
    </row>
    <row r="7" spans="1:14" x14ac:dyDescent="0.2">
      <c r="A7" s="99"/>
      <c r="B7" s="9"/>
      <c r="C7" s="9"/>
      <c r="D7" s="9" t="s">
        <v>0</v>
      </c>
      <c r="E7" s="9"/>
    </row>
    <row r="8" spans="1:14" x14ac:dyDescent="0.2">
      <c r="A8" s="136" t="s">
        <v>161</v>
      </c>
      <c r="B8" s="136"/>
      <c r="C8" s="9"/>
      <c r="D8" s="9"/>
      <c r="E8" s="9"/>
    </row>
    <row r="9" spans="1:14" x14ac:dyDescent="0.2">
      <c r="A9" s="136"/>
      <c r="B9" s="136"/>
      <c r="C9" s="9"/>
      <c r="D9" s="9"/>
      <c r="E9" s="9"/>
    </row>
    <row r="10" spans="1:14" x14ac:dyDescent="0.2">
      <c r="A10" s="99"/>
      <c r="B10" s="9"/>
      <c r="C10" s="9"/>
      <c r="D10" s="9"/>
      <c r="E10" s="9"/>
    </row>
    <row r="11" spans="1:14" ht="17" thickBot="1" x14ac:dyDescent="0.25">
      <c r="A11" s="100" t="s">
        <v>162</v>
      </c>
      <c r="B11" s="9"/>
      <c r="C11" s="9"/>
      <c r="D11" s="9"/>
      <c r="E11" s="9"/>
    </row>
    <row r="12" spans="1:14" ht="16" thickBot="1" x14ac:dyDescent="0.25">
      <c r="A12" s="101"/>
      <c r="B12" s="141" t="s">
        <v>159</v>
      </c>
      <c r="C12" s="142"/>
      <c r="D12" s="142"/>
      <c r="E12" s="102"/>
      <c r="F12" s="9"/>
    </row>
    <row r="13" spans="1:14" ht="16" x14ac:dyDescent="0.2">
      <c r="A13" s="103" t="s">
        <v>160</v>
      </c>
      <c r="B13" s="104" t="str">
        <f>B3</f>
        <v xml:space="preserve">Low </v>
      </c>
      <c r="C13" s="104" t="str">
        <f t="shared" ref="C13:D16" si="0">C3</f>
        <v xml:space="preserve">Average </v>
      </c>
      <c r="D13" s="104" t="str">
        <f t="shared" si="0"/>
        <v xml:space="preserve">High </v>
      </c>
      <c r="E13" s="104"/>
      <c r="F13" s="105" t="s">
        <v>163</v>
      </c>
      <c r="G13" t="s">
        <v>164</v>
      </c>
    </row>
    <row r="14" spans="1:14" ht="16" x14ac:dyDescent="0.2">
      <c r="A14" s="106" t="str">
        <f>A4</f>
        <v>Current Operation</v>
      </c>
      <c r="B14" s="107">
        <f>B4</f>
        <v>178203.60312681351</v>
      </c>
      <c r="C14" s="107">
        <f t="shared" si="0"/>
        <v>214716.02629550558</v>
      </c>
      <c r="D14" s="107">
        <f t="shared" si="0"/>
        <v>215862.78512272961</v>
      </c>
      <c r="E14" s="107"/>
      <c r="F14" s="108">
        <f>MIN(B14:E14)</f>
        <v>178203.60312681351</v>
      </c>
      <c r="G14" s="109">
        <f>IF(F14=MAX($F$14:$F$16),F14, )</f>
        <v>178203.60312681351</v>
      </c>
    </row>
    <row r="15" spans="1:14" ht="16" x14ac:dyDescent="0.2">
      <c r="A15" s="106" t="str">
        <f t="shared" ref="A15:A16" si="1">A5</f>
        <v xml:space="preserve">Franchise </v>
      </c>
      <c r="B15" s="107">
        <f>B5</f>
        <v>141582.79386317133</v>
      </c>
      <c r="C15" s="107">
        <f t="shared" si="0"/>
        <v>119947.0034475866</v>
      </c>
      <c r="D15" s="107">
        <f t="shared" si="0"/>
        <v>119947.0034475866</v>
      </c>
      <c r="E15" s="107"/>
      <c r="F15" s="108">
        <f t="shared" ref="F15:F16" si="2">MIN(B15:E15)</f>
        <v>119947.0034475866</v>
      </c>
      <c r="G15" s="109">
        <f>IF(F15=MAX($F$14:$F$16),F15, )</f>
        <v>0</v>
      </c>
    </row>
    <row r="16" spans="1:14" x14ac:dyDescent="0.2">
      <c r="A16" s="106">
        <f t="shared" si="1"/>
        <v>0</v>
      </c>
      <c r="B16" s="107">
        <f>B6</f>
        <v>0</v>
      </c>
      <c r="C16" s="107">
        <f t="shared" si="0"/>
        <v>0</v>
      </c>
      <c r="D16" s="107">
        <f t="shared" si="0"/>
        <v>0</v>
      </c>
      <c r="E16" s="107"/>
      <c r="F16" s="108">
        <f t="shared" si="2"/>
        <v>0</v>
      </c>
      <c r="G16" s="109">
        <f>IF(F16=MAX($F$14:$F$16),F16, )</f>
        <v>0</v>
      </c>
    </row>
    <row r="17" spans="1:7" x14ac:dyDescent="0.2">
      <c r="A17" s="99"/>
      <c r="B17" s="9"/>
      <c r="C17" s="9"/>
      <c r="D17" s="9"/>
      <c r="F17" s="110"/>
    </row>
    <row r="18" spans="1:7" ht="17" thickBot="1" x14ac:dyDescent="0.25">
      <c r="A18" s="100" t="s">
        <v>165</v>
      </c>
      <c r="B18" s="9"/>
      <c r="C18" s="9"/>
      <c r="D18" s="9"/>
      <c r="E18" s="9"/>
      <c r="F18" s="9"/>
    </row>
    <row r="19" spans="1:7" ht="16" thickBot="1" x14ac:dyDescent="0.25">
      <c r="A19" s="111"/>
      <c r="B19" s="137" t="s">
        <v>159</v>
      </c>
      <c r="C19" s="137"/>
      <c r="D19" s="137"/>
      <c r="E19" s="102"/>
      <c r="F19" s="9"/>
    </row>
    <row r="20" spans="1:7" ht="16" x14ac:dyDescent="0.2">
      <c r="A20" s="111" t="s">
        <v>160</v>
      </c>
      <c r="B20" s="112" t="str">
        <f>B13</f>
        <v xml:space="preserve">Low </v>
      </c>
      <c r="C20" s="112" t="str">
        <f t="shared" ref="C20:D23" si="3">C13</f>
        <v xml:space="preserve">Average </v>
      </c>
      <c r="D20" s="112" t="str">
        <f t="shared" si="3"/>
        <v xml:space="preserve">High </v>
      </c>
      <c r="E20" s="104"/>
      <c r="F20" s="105" t="s">
        <v>164</v>
      </c>
    </row>
    <row r="21" spans="1:7" ht="16" x14ac:dyDescent="0.2">
      <c r="A21" s="106" t="str">
        <f>A14</f>
        <v>Current Operation</v>
      </c>
      <c r="B21" s="107">
        <f>B14</f>
        <v>178203.60312681351</v>
      </c>
      <c r="C21" s="107">
        <f t="shared" si="3"/>
        <v>214716.02629550558</v>
      </c>
      <c r="D21" s="107">
        <f t="shared" si="3"/>
        <v>215862.78512272961</v>
      </c>
      <c r="E21" s="107"/>
      <c r="F21" s="113">
        <f>MAX(B21:E21)</f>
        <v>215862.78512272961</v>
      </c>
      <c r="G21" s="109">
        <f>IF(F21=MAX($F$21:$F$23),F21, )</f>
        <v>215862.78512272961</v>
      </c>
    </row>
    <row r="22" spans="1:7" ht="16" x14ac:dyDescent="0.2">
      <c r="A22" s="106" t="str">
        <f t="shared" ref="A22:A23" si="4">A15</f>
        <v xml:space="preserve">Franchise </v>
      </c>
      <c r="B22" s="107">
        <f>B15</f>
        <v>141582.79386317133</v>
      </c>
      <c r="C22" s="107">
        <f t="shared" si="3"/>
        <v>119947.0034475866</v>
      </c>
      <c r="D22" s="107">
        <f t="shared" si="3"/>
        <v>119947.0034475866</v>
      </c>
      <c r="E22" s="107"/>
      <c r="F22" s="113">
        <f t="shared" ref="F22:F23" si="5">MAX(B22:E22)</f>
        <v>141582.79386317133</v>
      </c>
      <c r="G22" s="109">
        <f>IF(F22=MAX($F$21:$F$23),F22, )</f>
        <v>0</v>
      </c>
    </row>
    <row r="23" spans="1:7" x14ac:dyDescent="0.2">
      <c r="A23" s="106">
        <f t="shared" si="4"/>
        <v>0</v>
      </c>
      <c r="B23" s="107">
        <f>B16</f>
        <v>0</v>
      </c>
      <c r="C23" s="107">
        <f t="shared" si="3"/>
        <v>0</v>
      </c>
      <c r="D23" s="107">
        <f t="shared" si="3"/>
        <v>0</v>
      </c>
      <c r="E23" s="107"/>
      <c r="F23" s="113">
        <f t="shared" si="5"/>
        <v>0</v>
      </c>
      <c r="G23" s="109">
        <f>IF(F23=MAX($F$21:$F$23),F23, )</f>
        <v>0</v>
      </c>
    </row>
    <row r="24" spans="1:7" x14ac:dyDescent="0.2">
      <c r="A24" s="99"/>
      <c r="B24" s="9"/>
      <c r="C24" s="9"/>
      <c r="D24" s="9"/>
      <c r="F24" s="44"/>
    </row>
    <row r="25" spans="1:7" ht="17" thickBot="1" x14ac:dyDescent="0.25">
      <c r="A25" s="100" t="s">
        <v>166</v>
      </c>
      <c r="B25" s="9"/>
      <c r="C25" s="9"/>
      <c r="D25" s="9"/>
      <c r="F25" s="44"/>
    </row>
    <row r="26" spans="1:7" ht="16" thickBot="1" x14ac:dyDescent="0.25">
      <c r="A26" s="111"/>
      <c r="B26" s="137" t="s">
        <v>159</v>
      </c>
      <c r="C26" s="137"/>
      <c r="D26" s="137"/>
      <c r="E26" s="102"/>
      <c r="F26" s="44"/>
    </row>
    <row r="27" spans="1:7" ht="16" x14ac:dyDescent="0.2">
      <c r="A27" s="103" t="s">
        <v>160</v>
      </c>
      <c r="B27" s="112" t="str">
        <f>B20</f>
        <v xml:space="preserve">Low </v>
      </c>
      <c r="C27" s="112" t="str">
        <f t="shared" ref="C27:D30" si="6">C20</f>
        <v xml:space="preserve">Average </v>
      </c>
      <c r="D27" s="112" t="str">
        <f t="shared" si="6"/>
        <v xml:space="preserve">High </v>
      </c>
      <c r="E27" s="104"/>
      <c r="F27" s="114" t="s">
        <v>167</v>
      </c>
    </row>
    <row r="28" spans="1:7" ht="16" x14ac:dyDescent="0.2">
      <c r="A28" s="115" t="str">
        <f>A21</f>
        <v>Current Operation</v>
      </c>
      <c r="B28" s="107">
        <f>B21</f>
        <v>178203.60312681351</v>
      </c>
      <c r="C28" s="107">
        <f t="shared" si="6"/>
        <v>214716.02629550558</v>
      </c>
      <c r="D28" s="107">
        <f t="shared" si="6"/>
        <v>215862.78512272961</v>
      </c>
      <c r="E28" s="104"/>
      <c r="F28" s="108">
        <f>AVERAGE(B28:E28)</f>
        <v>202927.47151501625</v>
      </c>
      <c r="G28" s="109">
        <f>IF(F28=MAX($F$28:$F$30),F28, )</f>
        <v>202927.47151501625</v>
      </c>
    </row>
    <row r="29" spans="1:7" ht="16" x14ac:dyDescent="0.2">
      <c r="A29" s="115" t="str">
        <f t="shared" ref="A29:A30" si="7">A22</f>
        <v xml:space="preserve">Franchise </v>
      </c>
      <c r="B29" s="107">
        <f>B22</f>
        <v>141582.79386317133</v>
      </c>
      <c r="C29" s="107">
        <f t="shared" si="6"/>
        <v>119947.0034475866</v>
      </c>
      <c r="D29" s="107">
        <f t="shared" si="6"/>
        <v>119947.0034475866</v>
      </c>
      <c r="E29" s="104"/>
      <c r="F29" s="108">
        <f>AVERAGE(B29:E29)</f>
        <v>127158.93358611484</v>
      </c>
      <c r="G29" s="109">
        <f>IF(F29=MAX($F$28:$F$30),F29, )</f>
        <v>0</v>
      </c>
    </row>
    <row r="30" spans="1:7" x14ac:dyDescent="0.2">
      <c r="A30" s="115">
        <f t="shared" si="7"/>
        <v>0</v>
      </c>
      <c r="B30" s="107">
        <f>B23</f>
        <v>0</v>
      </c>
      <c r="C30" s="107">
        <f t="shared" si="6"/>
        <v>0</v>
      </c>
      <c r="D30" s="107">
        <f t="shared" si="6"/>
        <v>0</v>
      </c>
      <c r="E30" s="104"/>
      <c r="F30" s="108">
        <f>AVERAGE(B30:E30)</f>
        <v>0</v>
      </c>
      <c r="G30" s="109">
        <f>IF(F30=MAX($F$28:$F$30),F30, )</f>
        <v>0</v>
      </c>
    </row>
    <row r="31" spans="1:7" x14ac:dyDescent="0.2">
      <c r="A31" s="99"/>
      <c r="B31" s="9"/>
      <c r="C31" s="9"/>
      <c r="D31" s="9"/>
      <c r="F31" s="44"/>
    </row>
    <row r="32" spans="1:7" ht="17" thickBot="1" x14ac:dyDescent="0.25">
      <c r="A32" s="116" t="s">
        <v>168</v>
      </c>
      <c r="B32" s="9"/>
      <c r="C32" s="9"/>
      <c r="D32" s="9"/>
      <c r="F32" s="44"/>
    </row>
    <row r="33" spans="1:7" ht="17" thickBot="1" x14ac:dyDescent="0.25">
      <c r="A33" s="111" t="s">
        <v>169</v>
      </c>
      <c r="B33" s="137" t="s">
        <v>159</v>
      </c>
      <c r="C33" s="137"/>
      <c r="D33" s="137"/>
      <c r="E33" s="102"/>
      <c r="F33" s="44"/>
    </row>
    <row r="34" spans="1:7" ht="16" x14ac:dyDescent="0.2">
      <c r="A34" s="103" t="s">
        <v>160</v>
      </c>
      <c r="B34" s="112" t="str">
        <f>B27</f>
        <v xml:space="preserve">Low </v>
      </c>
      <c r="C34" s="112" t="str">
        <f t="shared" ref="C34:D34" si="8">C27</f>
        <v xml:space="preserve">Average </v>
      </c>
      <c r="D34" s="112" t="str">
        <f t="shared" si="8"/>
        <v xml:space="preserve">High </v>
      </c>
      <c r="E34" s="104"/>
      <c r="F34" s="114" t="s">
        <v>170</v>
      </c>
      <c r="G34" t="s">
        <v>163</v>
      </c>
    </row>
    <row r="35" spans="1:7" ht="17" thickBot="1" x14ac:dyDescent="0.25">
      <c r="A35" s="106" t="str">
        <f>A28</f>
        <v>Current Operation</v>
      </c>
      <c r="B35" s="107">
        <f>MAX(B$4:B$6)-B4</f>
        <v>0</v>
      </c>
      <c r="C35" s="107">
        <f t="shared" ref="C35:D36" si="9">MAX(C$4:C$6)-C4</f>
        <v>0</v>
      </c>
      <c r="D35" s="107">
        <f t="shared" si="9"/>
        <v>0</v>
      </c>
      <c r="E35" s="107"/>
      <c r="F35" s="117">
        <f>MAX(B35:E35)</f>
        <v>0</v>
      </c>
      <c r="G35" s="44">
        <f>IF(F35=MIN($F$35:$F$37),F35, )</f>
        <v>0</v>
      </c>
    </row>
    <row r="36" spans="1:7" ht="17" thickBot="1" x14ac:dyDescent="0.25">
      <c r="A36" s="106" t="str">
        <f t="shared" ref="A36:A37" si="10">A29</f>
        <v xml:space="preserve">Franchise </v>
      </c>
      <c r="B36" s="107">
        <f>MAX(B$4:B$6)-B5</f>
        <v>36620.809263642179</v>
      </c>
      <c r="C36" s="107">
        <f t="shared" si="9"/>
        <v>94769.022847918983</v>
      </c>
      <c r="D36" s="107">
        <f t="shared" si="9"/>
        <v>95915.781675143007</v>
      </c>
      <c r="E36" s="107"/>
      <c r="F36" s="117">
        <f t="shared" ref="F36:F37" si="11">MAX(B36:E36)</f>
        <v>95915.781675143007</v>
      </c>
      <c r="G36" s="44">
        <f>IF(F36=MIN($F$35:$F$37),F36, )</f>
        <v>0</v>
      </c>
    </row>
    <row r="37" spans="1:7" ht="16" thickBot="1" x14ac:dyDescent="0.25">
      <c r="A37" s="106">
        <f t="shared" si="10"/>
        <v>0</v>
      </c>
      <c r="B37" s="118"/>
      <c r="C37" s="118"/>
      <c r="D37" s="118"/>
      <c r="E37" s="107"/>
      <c r="F37" s="117">
        <f t="shared" si="11"/>
        <v>0</v>
      </c>
      <c r="G37" s="44">
        <f>IF(F37=MIN($F$35:$F$37),F37, )</f>
        <v>0</v>
      </c>
    </row>
    <row r="38" spans="1:7" x14ac:dyDescent="0.2">
      <c r="A38" s="99"/>
      <c r="B38" s="9"/>
      <c r="C38" s="9"/>
      <c r="D38" s="9"/>
      <c r="F38" s="44"/>
    </row>
    <row r="39" spans="1:7" x14ac:dyDescent="0.2">
      <c r="A39" s="136" t="s">
        <v>171</v>
      </c>
      <c r="B39" s="136"/>
      <c r="C39" s="9"/>
      <c r="D39" s="9"/>
      <c r="F39" s="44"/>
    </row>
    <row r="40" spans="1:7" x14ac:dyDescent="0.2">
      <c r="A40" s="136"/>
      <c r="B40" s="136"/>
      <c r="C40" s="9"/>
      <c r="D40" s="9"/>
      <c r="F40" s="44"/>
    </row>
    <row r="41" spans="1:7" ht="17" thickBot="1" x14ac:dyDescent="0.25">
      <c r="A41" s="100" t="s">
        <v>172</v>
      </c>
      <c r="B41" s="9"/>
      <c r="C41" s="9"/>
      <c r="D41" s="9"/>
      <c r="F41" s="44"/>
    </row>
    <row r="42" spans="1:7" ht="16" thickBot="1" x14ac:dyDescent="0.25">
      <c r="A42" s="111"/>
      <c r="B42" s="137" t="s">
        <v>159</v>
      </c>
      <c r="C42" s="137"/>
      <c r="D42" s="137"/>
      <c r="E42" s="102"/>
      <c r="F42" s="9"/>
    </row>
    <row r="43" spans="1:7" x14ac:dyDescent="0.2">
      <c r="A43" s="119"/>
      <c r="B43" s="112" t="str">
        <f>B34</f>
        <v xml:space="preserve">Low </v>
      </c>
      <c r="C43" s="112" t="str">
        <f t="shared" ref="C43:D43" si="12">C34</f>
        <v xml:space="preserve">Average </v>
      </c>
      <c r="D43" s="112" t="str">
        <f t="shared" si="12"/>
        <v xml:space="preserve">High </v>
      </c>
      <c r="E43" s="104"/>
      <c r="F43" s="105" t="s">
        <v>173</v>
      </c>
    </row>
    <row r="44" spans="1:7" ht="16" x14ac:dyDescent="0.2">
      <c r="A44" s="120" t="s">
        <v>174</v>
      </c>
      <c r="B44" s="121">
        <v>0.25</v>
      </c>
      <c r="C44" s="121">
        <v>0.55000000000000004</v>
      </c>
      <c r="D44" s="121">
        <v>0.2</v>
      </c>
      <c r="E44" s="104"/>
      <c r="F44" s="122">
        <f>SUM(B44:E44)</f>
        <v>1</v>
      </c>
    </row>
    <row r="45" spans="1:7" ht="16" x14ac:dyDescent="0.2">
      <c r="A45" s="106" t="str">
        <f>A35</f>
        <v>Current Operation</v>
      </c>
      <c r="B45" s="107">
        <f t="shared" ref="B45:D47" si="13">B28</f>
        <v>178203.60312681351</v>
      </c>
      <c r="C45" s="107">
        <f t="shared" si="13"/>
        <v>214716.02629550558</v>
      </c>
      <c r="D45" s="107">
        <f t="shared" si="13"/>
        <v>215862.78512272961</v>
      </c>
      <c r="E45" s="107"/>
      <c r="F45" s="123">
        <f>SUMPRODUCT($B$44:$E$44,B45:E45)</f>
        <v>205817.27226877736</v>
      </c>
      <c r="G45" s="44">
        <f>IF(F45=MAX($F$45:$F$47),F45, )</f>
        <v>205817.27226877736</v>
      </c>
    </row>
    <row r="46" spans="1:7" ht="16" x14ac:dyDescent="0.2">
      <c r="A46" s="106" t="str">
        <f t="shared" ref="A46:A47" si="14">A36</f>
        <v xml:space="preserve">Franchise </v>
      </c>
      <c r="B46" s="107">
        <f>B29</f>
        <v>141582.79386317133</v>
      </c>
      <c r="C46" s="107">
        <f t="shared" si="13"/>
        <v>119947.0034475866</v>
      </c>
      <c r="D46" s="107">
        <f t="shared" si="13"/>
        <v>119947.0034475866</v>
      </c>
      <c r="E46" s="107"/>
      <c r="F46" s="123">
        <f t="shared" ref="F46" si="15">SUMPRODUCT($B$44:$E$44,B46:E46)</f>
        <v>125355.95105148279</v>
      </c>
      <c r="G46" s="44">
        <f>IF(F46=MAX($F$45:$F$47),F46, )</f>
        <v>0</v>
      </c>
    </row>
    <row r="47" spans="1:7" x14ac:dyDescent="0.2">
      <c r="A47" s="106">
        <f t="shared" si="14"/>
        <v>0</v>
      </c>
      <c r="B47" s="107">
        <f>B30</f>
        <v>0</v>
      </c>
      <c r="C47" s="107">
        <f t="shared" si="13"/>
        <v>0</v>
      </c>
      <c r="D47" s="107">
        <f t="shared" si="13"/>
        <v>0</v>
      </c>
      <c r="E47" s="107"/>
      <c r="F47" s="123">
        <f>SUMPRODUCT($B$44:$E$44,B47:E47)</f>
        <v>0</v>
      </c>
      <c r="G47" s="44">
        <f>IF(F47=MAX($F$45:$F$47),F47, )</f>
        <v>0</v>
      </c>
    </row>
    <row r="48" spans="1:7" x14ac:dyDescent="0.2">
      <c r="A48" s="99"/>
      <c r="B48" s="124"/>
      <c r="C48" s="124"/>
      <c r="D48" s="124"/>
      <c r="F48" s="44"/>
    </row>
    <row r="49" spans="1:8" ht="17" thickBot="1" x14ac:dyDescent="0.25">
      <c r="A49" s="100" t="s">
        <v>175</v>
      </c>
      <c r="B49" s="9"/>
      <c r="C49" s="9"/>
      <c r="D49" s="9"/>
      <c r="F49" s="44"/>
    </row>
    <row r="50" spans="1:8" ht="16" thickBot="1" x14ac:dyDescent="0.25">
      <c r="A50" s="125"/>
      <c r="B50" s="138" t="s">
        <v>159</v>
      </c>
      <c r="C50" s="138"/>
      <c r="D50" s="138"/>
      <c r="E50" s="102"/>
      <c r="F50" s="44"/>
    </row>
    <row r="51" spans="1:8" x14ac:dyDescent="0.2">
      <c r="A51" s="115"/>
      <c r="B51" s="112" t="str">
        <f>B43</f>
        <v xml:space="preserve">Low </v>
      </c>
      <c r="C51" s="112" t="str">
        <f t="shared" ref="C51:D51" si="16">C43</f>
        <v xml:space="preserve">Average </v>
      </c>
      <c r="D51" s="112" t="str">
        <f t="shared" si="16"/>
        <v xml:space="preserve">High </v>
      </c>
      <c r="E51" s="104"/>
      <c r="F51" s="114" t="s">
        <v>176</v>
      </c>
    </row>
    <row r="52" spans="1:8" ht="16" x14ac:dyDescent="0.2">
      <c r="A52" s="120" t="s">
        <v>174</v>
      </c>
      <c r="B52" s="121">
        <f>B44</f>
        <v>0.25</v>
      </c>
      <c r="C52" s="121">
        <f>C44</f>
        <v>0.55000000000000004</v>
      </c>
      <c r="D52" s="121">
        <f>D44</f>
        <v>0.2</v>
      </c>
      <c r="E52" s="121"/>
      <c r="F52" s="123"/>
    </row>
    <row r="53" spans="1:8" ht="17" thickBot="1" x14ac:dyDescent="0.25">
      <c r="A53" s="126" t="s">
        <v>177</v>
      </c>
      <c r="B53" s="127">
        <f>MAX(B45:B47)</f>
        <v>178203.60312681351</v>
      </c>
      <c r="C53" s="127">
        <f>MAX(C45:C47)</f>
        <v>214716.02629550558</v>
      </c>
      <c r="D53" s="127">
        <f>MAX(D45:D47)</f>
        <v>215862.78512272961</v>
      </c>
      <c r="E53" s="127"/>
      <c r="F53" s="128">
        <f>SUMPRODUCT(B52:E52,B53:E53)</f>
        <v>205817.27226877736</v>
      </c>
    </row>
    <row r="54" spans="1:8" x14ac:dyDescent="0.2">
      <c r="A54" s="99"/>
      <c r="B54" s="9"/>
      <c r="C54" s="9"/>
      <c r="D54" s="9"/>
      <c r="E54" s="104"/>
      <c r="F54" s="44"/>
    </row>
    <row r="55" spans="1:8" ht="16" x14ac:dyDescent="0.2">
      <c r="A55" s="100" t="s">
        <v>178</v>
      </c>
      <c r="B55" s="129">
        <f>F53-MAX(F45:F47)</f>
        <v>0</v>
      </c>
      <c r="C55" s="9"/>
      <c r="D55" s="9"/>
      <c r="F55" s="44"/>
    </row>
    <row r="56" spans="1:8" x14ac:dyDescent="0.2">
      <c r="F56" s="36"/>
    </row>
    <row r="57" spans="1:8" ht="17" thickBot="1" x14ac:dyDescent="0.25">
      <c r="A57" s="100" t="s">
        <v>179</v>
      </c>
      <c r="F57" s="36"/>
      <c r="H57" t="s">
        <v>0</v>
      </c>
    </row>
    <row r="58" spans="1:8" ht="17" thickBot="1" x14ac:dyDescent="0.25">
      <c r="A58" s="111" t="s">
        <v>180</v>
      </c>
      <c r="B58" s="137" t="s">
        <v>159</v>
      </c>
      <c r="C58" s="137"/>
      <c r="D58" s="137"/>
      <c r="E58" s="102"/>
      <c r="F58" s="44"/>
    </row>
    <row r="59" spans="1:8" ht="16" x14ac:dyDescent="0.2">
      <c r="A59" s="103" t="s">
        <v>160</v>
      </c>
      <c r="B59" s="112" t="str">
        <f>B51</f>
        <v xml:space="preserve">Low </v>
      </c>
      <c r="C59" s="112" t="str">
        <f t="shared" ref="C59:D59" si="17">C51</f>
        <v xml:space="preserve">Average </v>
      </c>
      <c r="D59" s="112" t="str">
        <f t="shared" si="17"/>
        <v xml:space="preserve">High </v>
      </c>
      <c r="E59" s="104"/>
      <c r="F59" s="114" t="s">
        <v>179</v>
      </c>
    </row>
    <row r="60" spans="1:8" ht="16" x14ac:dyDescent="0.2">
      <c r="A60" s="120" t="s">
        <v>174</v>
      </c>
      <c r="B60" s="130">
        <f>B52</f>
        <v>0.25</v>
      </c>
      <c r="C60" s="130">
        <f>C52</f>
        <v>0.55000000000000004</v>
      </c>
      <c r="D60" s="130">
        <f>D52</f>
        <v>0.2</v>
      </c>
      <c r="E60" s="130"/>
      <c r="F60" s="123"/>
      <c r="G60" t="s">
        <v>163</v>
      </c>
    </row>
    <row r="61" spans="1:8" ht="16" x14ac:dyDescent="0.2">
      <c r="A61" s="106" t="str">
        <f>A45</f>
        <v>Current Operation</v>
      </c>
      <c r="B61" s="107">
        <f>MAX(B$4:B$6)-B4</f>
        <v>0</v>
      </c>
      <c r="C61" s="107">
        <f t="shared" ref="C61:D62" si="18">MAX(C$4:C$6)-C4</f>
        <v>0</v>
      </c>
      <c r="D61" s="107">
        <f t="shared" si="18"/>
        <v>0</v>
      </c>
      <c r="E61" s="107"/>
      <c r="F61" s="123">
        <f t="shared" ref="F61:F62" si="19">SUMPRODUCT($B$60:$E$60,B61:E61)</f>
        <v>0</v>
      </c>
      <c r="G61" s="44">
        <f>IF(F61=MIN($F$61:$F$63),F61, )</f>
        <v>0</v>
      </c>
    </row>
    <row r="62" spans="1:8" ht="16" x14ac:dyDescent="0.2">
      <c r="A62" s="106" t="str">
        <f t="shared" ref="A62:A63" si="20">A46</f>
        <v xml:space="preserve">Franchise </v>
      </c>
      <c r="B62" s="107">
        <f>MAX(B$4:B$6)-B5</f>
        <v>36620.809263642179</v>
      </c>
      <c r="C62" s="107">
        <f t="shared" si="18"/>
        <v>94769.022847918983</v>
      </c>
      <c r="D62" s="107">
        <f t="shared" si="18"/>
        <v>95915.781675143007</v>
      </c>
      <c r="E62" s="107"/>
      <c r="F62" s="123">
        <f t="shared" si="19"/>
        <v>80461.321217294593</v>
      </c>
      <c r="G62" s="44">
        <f>IF(F62=MIN($F$61:$F$63),F62, )</f>
        <v>0</v>
      </c>
    </row>
    <row r="63" spans="1:8" ht="16" thickBot="1" x14ac:dyDescent="0.25">
      <c r="A63" s="106">
        <f t="shared" si="20"/>
        <v>0</v>
      </c>
      <c r="B63" s="131"/>
      <c r="C63" s="131"/>
      <c r="D63" s="131"/>
      <c r="E63" s="131"/>
      <c r="F63" s="123"/>
      <c r="G63" s="44">
        <f>IF(F63=MIN($F$61:$F$63),F63, )</f>
        <v>0</v>
      </c>
    </row>
    <row r="64" spans="1:8" x14ac:dyDescent="0.2">
      <c r="F64" s="36"/>
    </row>
    <row r="65" spans="5:6" x14ac:dyDescent="0.2">
      <c r="F65" s="36"/>
    </row>
    <row r="66" spans="5:6" x14ac:dyDescent="0.2">
      <c r="F66" s="36"/>
    </row>
    <row r="67" spans="5:6" x14ac:dyDescent="0.2">
      <c r="F67" s="36"/>
    </row>
    <row r="68" spans="5:6" x14ac:dyDescent="0.2">
      <c r="F68" s="36"/>
    </row>
    <row r="69" spans="5:6" x14ac:dyDescent="0.2">
      <c r="E69" s="36"/>
    </row>
    <row r="1048576" spans="12:12" x14ac:dyDescent="0.2">
      <c r="L1048576" s="132" t="e">
        <f>#REF!</f>
        <v>#REF!</v>
      </c>
    </row>
  </sheetData>
  <mergeCells count="10">
    <mergeCell ref="A39:B40"/>
    <mergeCell ref="B42:D42"/>
    <mergeCell ref="B50:D50"/>
    <mergeCell ref="B58:D58"/>
    <mergeCell ref="B2:D2"/>
    <mergeCell ref="A8:B9"/>
    <mergeCell ref="B12:D12"/>
    <mergeCell ref="B19:D19"/>
    <mergeCell ref="B26:D26"/>
    <mergeCell ref="B33:D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sets</vt:lpstr>
      <vt:lpstr>Financial information </vt:lpstr>
      <vt:lpstr>Monthly data</vt:lpstr>
      <vt:lpstr>Prof current operations</vt:lpstr>
      <vt:lpstr>Prof franchise </vt:lpstr>
      <vt:lpstr>Part 3 Decision 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Swenson-Roth</dc:creator>
  <cp:lastModifiedBy>Microsoft Office User</cp:lastModifiedBy>
  <dcterms:created xsi:type="dcterms:W3CDTF">2017-09-02T22:04:34Z</dcterms:created>
  <dcterms:modified xsi:type="dcterms:W3CDTF">2019-12-04T22:17:26Z</dcterms:modified>
</cp:coreProperties>
</file>