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Studium\6.Semester\KI\geneticAlgorithmKI\"/>
    </mc:Choice>
  </mc:AlternateContent>
  <xr:revisionPtr revIDLastSave="0" documentId="13_ncr:1_{7FD99B20-EA58-4DF4-BC71-6B271011D613}" xr6:coauthVersionLast="47" xr6:coauthVersionMax="47" xr10:uidLastSave="{00000000-0000-0000-0000-000000000000}"/>
  <bookViews>
    <workbookView xWindow="-108" yWindow="-108" windowWidth="23256" windowHeight="12456" activeTab="2" xr2:uid="{6CEC15FD-3C43-4B9F-9C8F-8E3C6C81C947}"/>
  </bookViews>
  <sheets>
    <sheet name="Auftraege" sheetId="1" r:id="rId1"/>
    <sheet name="Lkws" sheetId="2" r:id="rId2"/>
    <sheet name="Bewertu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9" i="3"/>
  <c r="B7" i="3"/>
  <c r="AG15" i="3"/>
  <c r="AG16" i="3"/>
  <c r="AG17" i="3"/>
  <c r="AG18" i="3"/>
  <c r="AG19" i="3"/>
  <c r="AG20" i="3"/>
  <c r="AG21" i="3"/>
  <c r="AF16" i="3"/>
  <c r="AF15" i="3"/>
  <c r="AH15" i="3" s="1"/>
  <c r="AF17" i="3"/>
  <c r="AF18" i="3"/>
  <c r="AF19" i="3"/>
  <c r="AF20" i="3"/>
  <c r="AH20" i="3" s="1"/>
  <c r="AF21" i="3"/>
  <c r="A32" i="1"/>
  <c r="B28" i="3" s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4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2" i="3"/>
  <c r="B6" i="3"/>
  <c r="B2" i="3"/>
  <c r="B3" i="3" s="1"/>
  <c r="H32" i="1"/>
  <c r="G32" i="1"/>
  <c r="B9" i="3" s="1"/>
  <c r="B11" i="3" s="1"/>
  <c r="D32" i="1"/>
  <c r="B1" i="3" s="1"/>
  <c r="B9" i="2"/>
  <c r="C9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AH19" i="3" l="1"/>
  <c r="AH18" i="3"/>
  <c r="AH16" i="3"/>
  <c r="AH21" i="3"/>
  <c r="AH17" i="3"/>
  <c r="K32" i="1"/>
  <c r="B5" i="3" s="1"/>
  <c r="AF22" i="3"/>
  <c r="AE25" i="3"/>
  <c r="W25" i="3"/>
  <c r="O25" i="3"/>
  <c r="G25" i="3"/>
  <c r="AC25" i="3"/>
  <c r="U25" i="3"/>
  <c r="M25" i="3"/>
  <c r="E25" i="3"/>
  <c r="AB25" i="3"/>
  <c r="T25" i="3"/>
  <c r="L25" i="3"/>
  <c r="D25" i="3"/>
  <c r="AA25" i="3"/>
  <c r="S25" i="3"/>
  <c r="K25" i="3"/>
  <c r="C25" i="3"/>
  <c r="Z25" i="3"/>
  <c r="R25" i="3"/>
  <c r="J25" i="3"/>
  <c r="Y25" i="3"/>
  <c r="Q25" i="3"/>
  <c r="I25" i="3"/>
  <c r="B25" i="3"/>
  <c r="X25" i="3"/>
  <c r="P25" i="3"/>
  <c r="H25" i="3"/>
  <c r="AD25" i="3"/>
  <c r="V25" i="3"/>
  <c r="N25" i="3"/>
  <c r="F25" i="3"/>
  <c r="B27" i="3" l="1"/>
  <c r="B29" i="3" s="1"/>
</calcChain>
</file>

<file path=xl/sharedStrings.xml><?xml version="1.0" encoding="utf-8"?>
<sst xmlns="http://schemas.openxmlformats.org/spreadsheetml/2006/main" count="97" uniqueCount="69">
  <si>
    <t>AuftragsNr</t>
  </si>
  <si>
    <t>Ziel</t>
  </si>
  <si>
    <t>Entfernung (km)+</t>
  </si>
  <si>
    <t>Kisten</t>
  </si>
  <si>
    <t>Gewicht(proKiste)</t>
  </si>
  <si>
    <t>Bonus(Zeitlimit)</t>
  </si>
  <si>
    <t>Bonus(Euro)</t>
  </si>
  <si>
    <t>Entlohnung(Euro)</t>
  </si>
  <si>
    <t>Strafe(Zeitlimit)</t>
  </si>
  <si>
    <t>Strafe(Euro)</t>
  </si>
  <si>
    <t>A</t>
  </si>
  <si>
    <t>B</t>
  </si>
  <si>
    <t>C</t>
  </si>
  <si>
    <t>D</t>
  </si>
  <si>
    <t>E</t>
  </si>
  <si>
    <t>Lkw</t>
  </si>
  <si>
    <t>LKWNr</t>
  </si>
  <si>
    <t>Kapa_Kisten(Anzahl)</t>
  </si>
  <si>
    <t>Kapa_Zuladung(kg)</t>
  </si>
  <si>
    <t>Geschwindigkeit (km/h)</t>
  </si>
  <si>
    <t>Ergebnis</t>
  </si>
  <si>
    <t>Gesamtgewicht</t>
  </si>
  <si>
    <t>Zu transportierende Kisten:</t>
  </si>
  <si>
    <t>Zu transportierendes Gewicht:</t>
  </si>
  <si>
    <t>LKW Kapazität Kisten:</t>
  </si>
  <si>
    <t>LKW Kapazität Gewicht:</t>
  </si>
  <si>
    <t>Maximal erreichbarer Profit</t>
  </si>
  <si>
    <t>höchster erreichter Profit</t>
  </si>
  <si>
    <t>Mit der Lösung:</t>
  </si>
  <si>
    <t>1</t>
  </si>
  <si>
    <t>2</t>
  </si>
  <si>
    <t>22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</si>
  <si>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</si>
  <si>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</si>
  <si>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</si>
  <si>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</si>
  <si>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</si>
  <si>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</si>
  <si>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</si>
  <si>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</si>
  <si>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</si>
  <si>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</si>
  <si>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</si>
  <si>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</si>
  <si>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</si>
  <si>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</si>
  <si>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</si>
  <si>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</si>
  <si>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</si>
  <si>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</si>
  <si>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</si>
  <si>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</si>
  <si>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</si>
  <si>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</si>
  <si>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</si>
  <si>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</si>
  <si>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</si>
  <si>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</si>
  <si>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</si>
  <si>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Auftrag erfüllt?</t>
  </si>
  <si>
    <t>Auftragspensum</t>
  </si>
  <si>
    <t xml:space="preserve">Anzahl Aufträge Gesamt: </t>
  </si>
  <si>
    <t>Anzahl erfüllter Aufträge:</t>
  </si>
  <si>
    <t>AnzahlKisten</t>
  </si>
  <si>
    <t>Lkw Voll?</t>
  </si>
  <si>
    <t>Lkw KistenLimit</t>
  </si>
  <si>
    <t>Prozentual</t>
  </si>
  <si>
    <t>Erfüllungsrate</t>
  </si>
  <si>
    <t>Ohne Boni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</si>
</sst>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84DA1-BD07-42CE-AD72-908508D9B69F}" name="Tabelle1" displayName="Tabelle1" ref="A1:K32" totalsRowCount="1">
  <autoFilter ref="A1:K31" xr:uid="{19C84DA1-BD07-42CE-AD72-908508D9B69F}"/>
  <sortState xmlns:xlrd2="http://schemas.microsoft.com/office/spreadsheetml/2017/richdata2" ref="A2:K31">
    <sortCondition ref="A1:A31"/>
  </sortState>
  <tableColumns count="11">
    <tableColumn id="1" xr3:uid="{FB81B840-E1F4-48CF-9F64-5C4ED90CC58B}" name="AuftragsNr" totalsRowFunction="countNums"/>
    <tableColumn id="2" xr3:uid="{AE844E3D-8447-4DB7-970F-DD2E4BFCE5AB}" name="Ziel"/>
    <tableColumn id="3" xr3:uid="{0A8B0605-5394-4B98-A6F7-ED4E60ECC831}" name="Entfernung (km)+"/>
    <tableColumn id="4" xr3:uid="{B0137EC8-D063-41D1-9C5C-9D648C7BB7A0}" name="Kisten" totalsRowFunction="sum"/>
    <tableColumn id="5" xr3:uid="{A88BD3CA-A8FD-433D-BD9A-603E0DA6DABA}" name="Gewicht(proKiste)"/>
    <tableColumn id="6" xr3:uid="{78073A97-64FA-4CFE-A9E5-DA61CBA353C0}" name="Bonus(Zeitlimit)"/>
    <tableColumn id="7" xr3:uid="{96D716B3-3693-4120-B818-D416F086B1FC}" name="Bonus(Euro)" totalsRowFunction="sum"/>
    <tableColumn id="8" xr3:uid="{23353401-EA4B-402C-B82E-64C89FB71140}" name="Entlohnung(Euro)" totalsRowFunction="sum"/>
    <tableColumn id="9" xr3:uid="{366894E0-01F7-4113-8D5C-13D19D87E48B}" name="Strafe(Zeitlimit)"/>
    <tableColumn id="10" xr3:uid="{877DF7E7-17A4-431E-9C9E-465C13CE5480}" name="Strafe(Euro)"/>
    <tableColumn id="11" xr3:uid="{7BBAF10C-B35F-4EB6-8362-828EF7B829DE}" name="Gesamtgewicht" totalsRowFunction="sum" dataDxfId="7">
      <calculatedColumnFormula>Tabelle1[[#This Row],[Kisten]]*Tabelle1[[#This Row],[Gewicht(proKiste)]]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BD0BB-60DF-4A42-BD2C-C5E46158B6CC}" name="Tabelle2" displayName="Tabelle2" ref="A1:D9" totalsRowCount="1">
  <autoFilter ref="A1:D8" xr:uid="{CC2BD0BB-60DF-4A42-BD2C-C5E46158B6CC}"/>
  <tableColumns count="4">
    <tableColumn id="1" xr3:uid="{6D8EE876-0068-43FE-8AD6-B0FC1C213A8D}" name="LKWNr" totalsRowLabel="Ergebnis"/>
    <tableColumn id="2" xr3:uid="{2AF1FBEF-BD75-4DBF-9EAE-18AF55A7E692}" name="Kapa_Kisten(Anzahl)" totalsRowFunction="sum"/>
    <tableColumn id="3" xr3:uid="{4AB08739-8F11-4AF0-8C7F-40BB60218AEA}" name="Kapa_Zuladung(kg)" totalsRowFunction="sum"/>
    <tableColumn id="4" xr3:uid="{8ED1FC8E-4E1A-4EA9-9818-B711A6277E15}" name="Geschwindigkeit (km/h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87F0F-57CC-44C1-A3A2-AE70998E84CC}" name="Tabelle3" displayName="Tabelle3" ref="A14:AH22" totalsRowCount="1">
  <autoFilter ref="A14:AH21" xr:uid="{C0587F0F-57CC-44C1-A3A2-AE70998E84CC}"/>
  <tableColumns count="34">
    <tableColumn id="1" xr3:uid="{1501013A-1198-4D61-963C-583F7E821121}" name="Lkw" totalsRowLabel="Ergebnis"/>
    <tableColumn id="2" xr3:uid="{6AA87C47-4224-4342-B2E5-A38D078B46A7}" name="1" totalsRowFunction="sum"/>
    <tableColumn id="3" xr3:uid="{7EFB7D92-FB7E-4258-8FBC-71C9A41D1E80}" name="2" totalsRowFunction="sum"/>
    <tableColumn id="4" xr3:uid="{F6B9096F-90BA-42B9-864A-E0D0725DFCF2}" name="3" totalsRowFunction="sum"/>
    <tableColumn id="5" xr3:uid="{6A113499-883B-4E30-A2B3-87EEFE8CB44C}" name="4" totalsRowFunction="sum"/>
    <tableColumn id="6" xr3:uid="{2E6EEB3D-6D50-4FDB-88AD-C485BDCAAE8F}" name="5" totalsRowFunction="sum"/>
    <tableColumn id="7" xr3:uid="{507E7226-AAD5-4959-992E-3A32698E03CA}" name="6" totalsRowFunction="sum"/>
    <tableColumn id="8" xr3:uid="{E24AD7A2-55D3-4A4F-9773-F5C687B1252D}" name="7" totalsRowFunction="sum"/>
    <tableColumn id="9" xr3:uid="{CB345A8B-DB45-45E9-BD39-9ED306BB7F14}" name="8" totalsRowFunction="sum"/>
    <tableColumn id="10" xr3:uid="{AFBCEF05-B883-4741-BD7C-487DACD9DB0B}" name="9" totalsRowFunction="sum"/>
    <tableColumn id="11" xr3:uid="{FD61C62C-F39B-4BB8-BC6D-F9ED0701CC1B}" name="10" totalsRowFunction="sum"/>
    <tableColumn id="12" xr3:uid="{43BC60BC-6028-4511-A6C6-171A49F213FF}" name="11" totalsRowFunction="sum"/>
    <tableColumn id="13" xr3:uid="{61708716-20DE-4A6F-A9CD-FACC3D7CF47D}" name="12" totalsRowFunction="sum"/>
    <tableColumn id="14" xr3:uid="{54A60D09-87C2-435C-92F0-5FFAF70F4368}" name="13" totalsRowFunction="sum"/>
    <tableColumn id="15" xr3:uid="{397CE5D8-AADF-4BF2-B374-7FAE06D75826}" name="14" totalsRowFunction="sum"/>
    <tableColumn id="16" xr3:uid="{24CE90E1-E7C9-43E6-BCBF-8CD0A4890A9E}" name="15" totalsRowFunction="sum"/>
    <tableColumn id="17" xr3:uid="{22286FBC-30A8-4B85-80B4-5BF48D874913}" name="16" totalsRowFunction="sum"/>
    <tableColumn id="18" xr3:uid="{56001276-7A0B-4D84-A0F7-30E84C2333D4}" name="17" totalsRowFunction="sum"/>
    <tableColumn id="19" xr3:uid="{D26D80D3-E1CB-45FB-9F27-73C8AB77BF22}" name="18" totalsRowFunction="sum"/>
    <tableColumn id="20" xr3:uid="{39FB0C9A-9527-41C4-B17E-F341123052EF}" name="19" totalsRowFunction="sum"/>
    <tableColumn id="21" xr3:uid="{D777855D-5B18-4196-B5A4-244EB17D16B0}" name="20" totalsRowFunction="sum"/>
    <tableColumn id="22" xr3:uid="{6D781F4E-4BD4-4733-BD56-96153A61C85C}" name="21" totalsRowFunction="sum"/>
    <tableColumn id="23" xr3:uid="{D7BBE035-17D9-4D0C-A536-5AFF1BFD786F}" name="22" totalsRowFunction="sum"/>
    <tableColumn id="24" xr3:uid="{86966AD5-03C1-4B6E-8364-7623918440EA}" name="23" totalsRowFunction="sum"/>
    <tableColumn id="25" xr3:uid="{1226F925-D050-41E1-90D3-E348F95B95EF}" name="24" totalsRowFunction="sum"/>
    <tableColumn id="26" xr3:uid="{FFBEF6B1-1B20-45CA-B15E-EF9556E14D8E}" name="25" totalsRowFunction="sum"/>
    <tableColumn id="27" xr3:uid="{4F65E843-3302-4419-9088-CDE2A6384142}" name="26" totalsRowFunction="sum"/>
    <tableColumn id="28" xr3:uid="{B69D4E67-E632-47AA-A518-3D58F05BC2FA}" name="27" totalsRowFunction="sum"/>
    <tableColumn id="29" xr3:uid="{133077D5-C004-4B4F-ADCA-66AF9FBED5F5}" name="28" totalsRowFunction="sum"/>
    <tableColumn id="30" xr3:uid="{79859CBE-7BA8-4B92-96C7-048876B0EE26}" name="29" totalsRowFunction="sum"/>
    <tableColumn id="31" xr3:uid="{1507F701-393A-4786-A134-788AD9AD6DCB}" name="30" totalsRowFunction="sum"/>
    <tableColumn id="32" xr3:uid="{68E78E0A-5603-4716-889A-423DEA2A91C5}" name="AnzahlKisten" totalsRowFunction="sum" dataDxfId="6">
      <calculatedColumnFormula>SUM(Tabelle3[[#This Row],[1]:[30]])</calculatedColumnFormula>
    </tableColumn>
    <tableColumn id="33" xr3:uid="{DAA4725A-D67E-4526-8C43-C597DBB96C09}" name="Lkw KistenLimit" dataDxfId="5">
      <calculatedColumnFormula xml:space="preserve"> VLOOKUP(Tabelle3[[#This Row],[Lkw]],Tabelle2[],2,FALSE)</calculatedColumnFormula>
    </tableColumn>
    <tableColumn id="38" xr3:uid="{3FF06F2A-1E18-4D3C-AF63-C536F9BF7BCD}" name="Lkw Voll?" dataDxfId="4">
      <calculatedColumnFormula>IF(Tabelle3[[#This Row],[AnzahlKisten]]=Tabelle3[[#This Row],[Lkw KistenLimit]],TRUE,FALSE)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87D8-1039-418B-963B-5CFE9E22975B}">
  <dimension ref="A1:K32"/>
  <sheetViews>
    <sheetView workbookViewId="0">
      <selection activeCell="D35" sqref="D35"/>
    </sheetView>
  </sheetViews>
  <sheetFormatPr baseColWidth="10" defaultRowHeight="14.4" x14ac:dyDescent="0.3"/>
  <cols>
    <col min="1" max="1" width="11.6640625" customWidth="1"/>
    <col min="3" max="3" width="16.77734375" customWidth="1"/>
    <col min="5" max="5" width="17.33203125" customWidth="1"/>
    <col min="6" max="6" width="15.5546875" customWidth="1"/>
    <col min="7" max="7" width="12.77734375" customWidth="1"/>
    <col min="8" max="8" width="16.88671875" customWidth="1"/>
    <col min="9" max="9" width="15.44140625" customWidth="1"/>
    <col min="10" max="10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</row>
    <row r="2" spans="1:11" x14ac:dyDescent="0.3">
      <c r="A2">
        <v>1</v>
      </c>
      <c r="B2" t="s">
        <v>10</v>
      </c>
      <c r="C2">
        <v>240</v>
      </c>
      <c r="D2">
        <v>12</v>
      </c>
      <c r="E2">
        <v>125</v>
      </c>
      <c r="F2">
        <v>12</v>
      </c>
      <c r="G2">
        <v>200</v>
      </c>
      <c r="H2">
        <v>1870</v>
      </c>
      <c r="I2">
        <v>36</v>
      </c>
      <c r="J2">
        <v>1000</v>
      </c>
      <c r="K2">
        <f>Tabelle1[[#This Row],[Kisten]]*Tabelle1[[#This Row],[Gewicht(proKiste)]]</f>
        <v>1500</v>
      </c>
    </row>
    <row r="3" spans="1:11" x14ac:dyDescent="0.3">
      <c r="A3">
        <v>2</v>
      </c>
      <c r="B3" t="s">
        <v>10</v>
      </c>
      <c r="C3">
        <v>240</v>
      </c>
      <c r="D3">
        <v>5</v>
      </c>
      <c r="E3">
        <v>255</v>
      </c>
      <c r="G3">
        <v>0</v>
      </c>
      <c r="H3">
        <v>1000</v>
      </c>
      <c r="I3">
        <v>48</v>
      </c>
      <c r="J3">
        <v>600</v>
      </c>
      <c r="K3">
        <f>Tabelle1[[#This Row],[Kisten]]*Tabelle1[[#This Row],[Gewicht(proKiste)]]</f>
        <v>1275</v>
      </c>
    </row>
    <row r="4" spans="1:11" x14ac:dyDescent="0.3">
      <c r="A4">
        <v>3</v>
      </c>
      <c r="B4" t="s">
        <v>11</v>
      </c>
      <c r="C4">
        <v>560</v>
      </c>
      <c r="D4">
        <v>22</v>
      </c>
      <c r="E4">
        <v>145</v>
      </c>
      <c r="F4">
        <v>18</v>
      </c>
      <c r="G4">
        <v>500</v>
      </c>
      <c r="H4">
        <v>7875</v>
      </c>
      <c r="I4">
        <v>72</v>
      </c>
      <c r="J4">
        <v>3000</v>
      </c>
      <c r="K4">
        <f>Tabelle1[[#This Row],[Kisten]]*Tabelle1[[#This Row],[Gewicht(proKiste)]]</f>
        <v>3190</v>
      </c>
    </row>
    <row r="5" spans="1:11" x14ac:dyDescent="0.3">
      <c r="A5">
        <v>4</v>
      </c>
      <c r="B5" t="s">
        <v>11</v>
      </c>
      <c r="C5">
        <v>560</v>
      </c>
      <c r="D5">
        <v>9</v>
      </c>
      <c r="E5">
        <v>80</v>
      </c>
      <c r="F5">
        <v>24</v>
      </c>
      <c r="G5">
        <v>100</v>
      </c>
      <c r="H5">
        <v>1925</v>
      </c>
      <c r="I5">
        <v>60</v>
      </c>
      <c r="J5">
        <v>1000</v>
      </c>
      <c r="K5">
        <f>Tabelle1[[#This Row],[Kisten]]*Tabelle1[[#This Row],[Gewicht(proKiste)]]</f>
        <v>720</v>
      </c>
    </row>
    <row r="6" spans="1:11" x14ac:dyDescent="0.3">
      <c r="A6">
        <v>5</v>
      </c>
      <c r="B6" t="s">
        <v>12</v>
      </c>
      <c r="C6">
        <v>160</v>
      </c>
      <c r="D6">
        <v>11</v>
      </c>
      <c r="E6">
        <v>420</v>
      </c>
      <c r="F6">
        <v>18</v>
      </c>
      <c r="G6">
        <v>500</v>
      </c>
      <c r="H6">
        <v>1250</v>
      </c>
      <c r="I6">
        <v>96</v>
      </c>
      <c r="J6">
        <v>3000</v>
      </c>
      <c r="K6">
        <f>Tabelle1[[#This Row],[Kisten]]*Tabelle1[[#This Row],[Gewicht(proKiste)]]</f>
        <v>4620</v>
      </c>
    </row>
    <row r="7" spans="1:11" x14ac:dyDescent="0.3">
      <c r="A7">
        <v>6</v>
      </c>
      <c r="B7" t="s">
        <v>12</v>
      </c>
      <c r="C7">
        <v>160</v>
      </c>
      <c r="D7">
        <v>5</v>
      </c>
      <c r="E7">
        <v>250</v>
      </c>
      <c r="G7">
        <v>0</v>
      </c>
      <c r="H7">
        <v>325</v>
      </c>
      <c r="I7">
        <v>48</v>
      </c>
      <c r="J7">
        <v>500</v>
      </c>
      <c r="K7">
        <f>Tabelle1[[#This Row],[Kisten]]*Tabelle1[[#This Row],[Gewicht(proKiste)]]</f>
        <v>1250</v>
      </c>
    </row>
    <row r="8" spans="1:11" x14ac:dyDescent="0.3">
      <c r="A8">
        <v>7</v>
      </c>
      <c r="B8" t="s">
        <v>12</v>
      </c>
      <c r="C8">
        <v>160</v>
      </c>
      <c r="D8">
        <v>30</v>
      </c>
      <c r="E8">
        <v>85</v>
      </c>
      <c r="F8">
        <v>12</v>
      </c>
      <c r="G8">
        <v>500</v>
      </c>
      <c r="H8">
        <v>375</v>
      </c>
      <c r="I8">
        <v>72</v>
      </c>
      <c r="J8">
        <v>1000</v>
      </c>
      <c r="K8">
        <f>Tabelle1[[#This Row],[Kisten]]*Tabelle1[[#This Row],[Gewicht(proKiste)]]</f>
        <v>2550</v>
      </c>
    </row>
    <row r="9" spans="1:11" x14ac:dyDescent="0.3">
      <c r="A9">
        <v>8</v>
      </c>
      <c r="B9" t="s">
        <v>13</v>
      </c>
      <c r="C9">
        <v>800</v>
      </c>
      <c r="D9">
        <v>8</v>
      </c>
      <c r="E9">
        <v>260</v>
      </c>
      <c r="F9">
        <v>24</v>
      </c>
      <c r="G9">
        <v>1000</v>
      </c>
      <c r="H9">
        <v>3750</v>
      </c>
      <c r="I9">
        <v>48</v>
      </c>
      <c r="J9">
        <v>0</v>
      </c>
      <c r="K9">
        <f>Tabelle1[[#This Row],[Kisten]]*Tabelle1[[#This Row],[Gewicht(proKiste)]]</f>
        <v>2080</v>
      </c>
    </row>
    <row r="10" spans="1:11" x14ac:dyDescent="0.3">
      <c r="A10">
        <v>9</v>
      </c>
      <c r="B10" t="s">
        <v>13</v>
      </c>
      <c r="C10">
        <v>800</v>
      </c>
      <c r="D10">
        <v>40</v>
      </c>
      <c r="E10">
        <v>55</v>
      </c>
      <c r="F10">
        <v>24</v>
      </c>
      <c r="G10">
        <v>600</v>
      </c>
      <c r="H10">
        <v>2625</v>
      </c>
      <c r="I10">
        <v>72</v>
      </c>
      <c r="J10">
        <v>2000</v>
      </c>
      <c r="K10">
        <f>Tabelle1[[#This Row],[Kisten]]*Tabelle1[[#This Row],[Gewicht(proKiste)]]</f>
        <v>2200</v>
      </c>
    </row>
    <row r="11" spans="1:11" x14ac:dyDescent="0.3">
      <c r="A11">
        <v>10</v>
      </c>
      <c r="B11" t="s">
        <v>14</v>
      </c>
      <c r="C11">
        <v>480</v>
      </c>
      <c r="D11">
        <v>15</v>
      </c>
      <c r="E11">
        <v>150</v>
      </c>
      <c r="G11">
        <v>0</v>
      </c>
      <c r="H11">
        <v>3000</v>
      </c>
      <c r="J11">
        <v>0</v>
      </c>
      <c r="K11">
        <f>Tabelle1[[#This Row],[Kisten]]*Tabelle1[[#This Row],[Gewicht(proKiste)]]</f>
        <v>2250</v>
      </c>
    </row>
    <row r="12" spans="1:11" x14ac:dyDescent="0.3">
      <c r="A12">
        <v>11</v>
      </c>
      <c r="B12" t="s">
        <v>14</v>
      </c>
      <c r="C12">
        <v>480</v>
      </c>
      <c r="D12">
        <v>50</v>
      </c>
      <c r="E12">
        <v>175</v>
      </c>
      <c r="F12">
        <v>36</v>
      </c>
      <c r="G12">
        <v>200</v>
      </c>
      <c r="H12">
        <v>11250</v>
      </c>
      <c r="I12">
        <v>72</v>
      </c>
      <c r="J12">
        <v>3000</v>
      </c>
      <c r="K12">
        <f>Tabelle1[[#This Row],[Kisten]]*Tabelle1[[#This Row],[Gewicht(proKiste)]]</f>
        <v>8750</v>
      </c>
    </row>
    <row r="13" spans="1:11" x14ac:dyDescent="0.3">
      <c r="A13">
        <v>12</v>
      </c>
      <c r="B13" t="s">
        <v>14</v>
      </c>
      <c r="C13">
        <v>480</v>
      </c>
      <c r="D13">
        <v>12</v>
      </c>
      <c r="E13">
        <v>100</v>
      </c>
      <c r="F13">
        <v>24</v>
      </c>
      <c r="G13">
        <v>400</v>
      </c>
      <c r="H13">
        <v>1800</v>
      </c>
      <c r="J13">
        <v>0</v>
      </c>
      <c r="K13">
        <f>Tabelle1[[#This Row],[Kisten]]*Tabelle1[[#This Row],[Gewicht(proKiste)]]</f>
        <v>1200</v>
      </c>
    </row>
    <row r="14" spans="1:11" x14ac:dyDescent="0.3">
      <c r="A14">
        <v>13</v>
      </c>
      <c r="B14" t="s">
        <v>14</v>
      </c>
      <c r="C14">
        <v>480</v>
      </c>
      <c r="D14">
        <v>25</v>
      </c>
      <c r="E14">
        <v>200</v>
      </c>
      <c r="F14">
        <v>24</v>
      </c>
      <c r="G14">
        <v>800</v>
      </c>
      <c r="H14">
        <v>2700</v>
      </c>
      <c r="I14">
        <v>72</v>
      </c>
      <c r="J14">
        <v>1200</v>
      </c>
      <c r="K14">
        <f>Tabelle1[[#This Row],[Kisten]]*Tabelle1[[#This Row],[Gewicht(proKiste)]]</f>
        <v>5000</v>
      </c>
    </row>
    <row r="15" spans="1:11" x14ac:dyDescent="0.3">
      <c r="A15">
        <v>14</v>
      </c>
      <c r="B15" t="s">
        <v>10</v>
      </c>
      <c r="C15">
        <v>240</v>
      </c>
      <c r="D15">
        <v>28</v>
      </c>
      <c r="E15">
        <v>122</v>
      </c>
      <c r="F15">
        <v>36</v>
      </c>
      <c r="G15">
        <v>600</v>
      </c>
      <c r="H15">
        <v>2400</v>
      </c>
      <c r="I15">
        <v>72</v>
      </c>
      <c r="J15">
        <v>1000</v>
      </c>
      <c r="K15">
        <f>Tabelle1[[#This Row],[Kisten]]*Tabelle1[[#This Row],[Gewicht(proKiste)]]</f>
        <v>3416</v>
      </c>
    </row>
    <row r="16" spans="1:11" x14ac:dyDescent="0.3">
      <c r="A16">
        <v>15</v>
      </c>
      <c r="B16" t="s">
        <v>10</v>
      </c>
      <c r="C16">
        <v>240</v>
      </c>
      <c r="D16">
        <v>5</v>
      </c>
      <c r="E16">
        <v>250</v>
      </c>
      <c r="F16">
        <v>12</v>
      </c>
      <c r="G16">
        <v>1000</v>
      </c>
      <c r="H16">
        <v>1000</v>
      </c>
      <c r="I16">
        <v>72</v>
      </c>
      <c r="J16">
        <v>500</v>
      </c>
      <c r="K16">
        <f>Tabelle1[[#This Row],[Kisten]]*Tabelle1[[#This Row],[Gewicht(proKiste)]]</f>
        <v>1250</v>
      </c>
    </row>
    <row r="17" spans="1:11" x14ac:dyDescent="0.3">
      <c r="A17">
        <v>16</v>
      </c>
      <c r="B17" t="s">
        <v>10</v>
      </c>
      <c r="C17">
        <v>240</v>
      </c>
      <c r="D17">
        <v>17</v>
      </c>
      <c r="E17">
        <v>120</v>
      </c>
      <c r="F17">
        <v>18</v>
      </c>
      <c r="G17">
        <v>600</v>
      </c>
      <c r="H17">
        <v>1500</v>
      </c>
      <c r="I17">
        <v>96</v>
      </c>
      <c r="J17">
        <v>500</v>
      </c>
      <c r="K17">
        <f>Tabelle1[[#This Row],[Kisten]]*Tabelle1[[#This Row],[Gewicht(proKiste)]]</f>
        <v>2040</v>
      </c>
    </row>
    <row r="18" spans="1:11" x14ac:dyDescent="0.3">
      <c r="A18">
        <v>17</v>
      </c>
      <c r="B18" t="s">
        <v>11</v>
      </c>
      <c r="C18">
        <v>560</v>
      </c>
      <c r="D18">
        <v>25</v>
      </c>
      <c r="E18">
        <v>205</v>
      </c>
      <c r="F18">
        <v>24</v>
      </c>
      <c r="G18">
        <v>400</v>
      </c>
      <c r="H18">
        <v>4375</v>
      </c>
      <c r="I18">
        <v>72</v>
      </c>
      <c r="J18">
        <v>1000</v>
      </c>
      <c r="K18">
        <f>Tabelle1[[#This Row],[Kisten]]*Tabelle1[[#This Row],[Gewicht(proKiste)]]</f>
        <v>5125</v>
      </c>
    </row>
    <row r="19" spans="1:11" x14ac:dyDescent="0.3">
      <c r="A19">
        <v>18</v>
      </c>
      <c r="B19" t="s">
        <v>11</v>
      </c>
      <c r="C19">
        <v>560</v>
      </c>
      <c r="D19">
        <v>4</v>
      </c>
      <c r="E19">
        <v>300</v>
      </c>
      <c r="G19">
        <v>0</v>
      </c>
      <c r="H19">
        <v>3500</v>
      </c>
      <c r="I19">
        <v>96</v>
      </c>
      <c r="J19">
        <v>1000</v>
      </c>
      <c r="K19">
        <f>Tabelle1[[#This Row],[Kisten]]*Tabelle1[[#This Row],[Gewicht(proKiste)]]</f>
        <v>1200</v>
      </c>
    </row>
    <row r="20" spans="1:11" x14ac:dyDescent="0.3">
      <c r="A20">
        <v>19</v>
      </c>
      <c r="B20" t="s">
        <v>12</v>
      </c>
      <c r="C20">
        <v>160</v>
      </c>
      <c r="D20">
        <v>40</v>
      </c>
      <c r="E20">
        <v>120</v>
      </c>
      <c r="F20">
        <v>12</v>
      </c>
      <c r="G20">
        <v>200</v>
      </c>
      <c r="H20">
        <v>2000</v>
      </c>
      <c r="I20">
        <v>48</v>
      </c>
      <c r="J20">
        <v>500</v>
      </c>
      <c r="K20">
        <f>Tabelle1[[#This Row],[Kisten]]*Tabelle1[[#This Row],[Gewicht(proKiste)]]</f>
        <v>4800</v>
      </c>
    </row>
    <row r="21" spans="1:11" x14ac:dyDescent="0.3">
      <c r="A21">
        <v>20</v>
      </c>
      <c r="B21" t="s">
        <v>12</v>
      </c>
      <c r="C21">
        <v>160</v>
      </c>
      <c r="D21">
        <v>23</v>
      </c>
      <c r="E21">
        <v>175</v>
      </c>
      <c r="F21">
        <v>18</v>
      </c>
      <c r="G21">
        <v>500</v>
      </c>
      <c r="H21">
        <v>875</v>
      </c>
      <c r="I21">
        <v>48</v>
      </c>
      <c r="J21">
        <v>500</v>
      </c>
      <c r="K21">
        <f>Tabelle1[[#This Row],[Kisten]]*Tabelle1[[#This Row],[Gewicht(proKiste)]]</f>
        <v>4025</v>
      </c>
    </row>
    <row r="22" spans="1:11" x14ac:dyDescent="0.3">
      <c r="A22">
        <v>21</v>
      </c>
      <c r="B22" t="s">
        <v>12</v>
      </c>
      <c r="C22">
        <v>160</v>
      </c>
      <c r="D22">
        <v>10</v>
      </c>
      <c r="E22">
        <v>90</v>
      </c>
      <c r="F22">
        <v>24</v>
      </c>
      <c r="G22">
        <v>200</v>
      </c>
      <c r="H22">
        <v>600</v>
      </c>
      <c r="J22">
        <v>0</v>
      </c>
      <c r="K22">
        <f>Tabelle1[[#This Row],[Kisten]]*Tabelle1[[#This Row],[Gewicht(proKiste)]]</f>
        <v>900</v>
      </c>
    </row>
    <row r="23" spans="1:11" x14ac:dyDescent="0.3">
      <c r="A23">
        <v>22</v>
      </c>
      <c r="B23" t="s">
        <v>12</v>
      </c>
      <c r="C23">
        <v>160</v>
      </c>
      <c r="D23">
        <v>12</v>
      </c>
      <c r="E23">
        <v>200</v>
      </c>
      <c r="F23">
        <v>24</v>
      </c>
      <c r="G23">
        <v>400</v>
      </c>
      <c r="H23">
        <v>850</v>
      </c>
      <c r="I23">
        <v>72</v>
      </c>
      <c r="J23">
        <v>500</v>
      </c>
      <c r="K23">
        <f>Tabelle1[[#This Row],[Kisten]]*Tabelle1[[#This Row],[Gewicht(proKiste)]]</f>
        <v>2400</v>
      </c>
    </row>
    <row r="24" spans="1:11" x14ac:dyDescent="0.3">
      <c r="A24">
        <v>23</v>
      </c>
      <c r="B24" t="s">
        <v>12</v>
      </c>
      <c r="C24">
        <v>160</v>
      </c>
      <c r="D24">
        <v>22</v>
      </c>
      <c r="E24">
        <v>110</v>
      </c>
      <c r="G24">
        <v>0</v>
      </c>
      <c r="H24">
        <v>1000</v>
      </c>
      <c r="I24">
        <v>72</v>
      </c>
      <c r="J24">
        <v>400</v>
      </c>
      <c r="K24">
        <f>Tabelle1[[#This Row],[Kisten]]*Tabelle1[[#This Row],[Gewicht(proKiste)]]</f>
        <v>2420</v>
      </c>
    </row>
    <row r="25" spans="1:11" x14ac:dyDescent="0.3">
      <c r="A25">
        <v>24</v>
      </c>
      <c r="B25" t="s">
        <v>13</v>
      </c>
      <c r="C25">
        <v>800</v>
      </c>
      <c r="D25">
        <v>30</v>
      </c>
      <c r="E25">
        <v>220</v>
      </c>
      <c r="F25">
        <v>36</v>
      </c>
      <c r="G25">
        <v>1000</v>
      </c>
      <c r="H25">
        <v>7500</v>
      </c>
      <c r="I25">
        <v>72</v>
      </c>
      <c r="J25">
        <v>0</v>
      </c>
      <c r="K25">
        <f>Tabelle1[[#This Row],[Kisten]]*Tabelle1[[#This Row],[Gewicht(proKiste)]]</f>
        <v>6600</v>
      </c>
    </row>
    <row r="26" spans="1:11" x14ac:dyDescent="0.3">
      <c r="A26">
        <v>25</v>
      </c>
      <c r="B26" t="s">
        <v>13</v>
      </c>
      <c r="C26">
        <v>800</v>
      </c>
      <c r="D26">
        <v>12</v>
      </c>
      <c r="E26">
        <v>350</v>
      </c>
      <c r="F26">
        <v>48</v>
      </c>
      <c r="G26">
        <v>500</v>
      </c>
      <c r="H26">
        <v>3125</v>
      </c>
      <c r="I26">
        <v>48</v>
      </c>
      <c r="J26">
        <v>800</v>
      </c>
      <c r="K26">
        <f>Tabelle1[[#This Row],[Kisten]]*Tabelle1[[#This Row],[Gewicht(proKiste)]]</f>
        <v>4200</v>
      </c>
    </row>
    <row r="27" spans="1:11" x14ac:dyDescent="0.3">
      <c r="A27">
        <v>26</v>
      </c>
      <c r="B27" t="s">
        <v>14</v>
      </c>
      <c r="C27">
        <v>480</v>
      </c>
      <c r="D27">
        <v>5</v>
      </c>
      <c r="E27">
        <v>500</v>
      </c>
      <c r="F27">
        <v>12</v>
      </c>
      <c r="G27">
        <v>1000</v>
      </c>
      <c r="H27">
        <v>750</v>
      </c>
      <c r="J27">
        <v>0</v>
      </c>
      <c r="K27">
        <f>Tabelle1[[#This Row],[Kisten]]*Tabelle1[[#This Row],[Gewicht(proKiste)]]</f>
        <v>2500</v>
      </c>
    </row>
    <row r="28" spans="1:11" x14ac:dyDescent="0.3">
      <c r="A28">
        <v>27</v>
      </c>
      <c r="B28" t="s">
        <v>14</v>
      </c>
      <c r="C28">
        <v>480</v>
      </c>
      <c r="D28">
        <v>17</v>
      </c>
      <c r="E28">
        <v>150</v>
      </c>
      <c r="G28">
        <v>0</v>
      </c>
      <c r="H28">
        <v>1500</v>
      </c>
      <c r="I28">
        <v>48</v>
      </c>
      <c r="J28">
        <v>600</v>
      </c>
      <c r="K28">
        <f>Tabelle1[[#This Row],[Kisten]]*Tabelle1[[#This Row],[Gewicht(proKiste)]]</f>
        <v>2550</v>
      </c>
    </row>
    <row r="29" spans="1:11" x14ac:dyDescent="0.3">
      <c r="A29">
        <v>28</v>
      </c>
      <c r="B29" t="s">
        <v>14</v>
      </c>
      <c r="C29">
        <v>480</v>
      </c>
      <c r="D29">
        <v>19</v>
      </c>
      <c r="E29">
        <v>80</v>
      </c>
      <c r="F29">
        <v>24</v>
      </c>
      <c r="G29">
        <v>200</v>
      </c>
      <c r="H29">
        <v>2250</v>
      </c>
      <c r="J29">
        <v>0</v>
      </c>
      <c r="K29">
        <f>Tabelle1[[#This Row],[Kisten]]*Tabelle1[[#This Row],[Gewicht(proKiste)]]</f>
        <v>1520</v>
      </c>
    </row>
    <row r="30" spans="1:11" x14ac:dyDescent="0.3">
      <c r="A30">
        <v>29</v>
      </c>
      <c r="B30" t="s">
        <v>14</v>
      </c>
      <c r="C30">
        <v>480</v>
      </c>
      <c r="D30">
        <v>10</v>
      </c>
      <c r="E30">
        <v>10</v>
      </c>
      <c r="F30">
        <v>24</v>
      </c>
      <c r="G30">
        <v>500</v>
      </c>
      <c r="H30">
        <v>1800</v>
      </c>
      <c r="J30">
        <v>0</v>
      </c>
      <c r="K30">
        <f>Tabelle1[[#This Row],[Kisten]]*Tabelle1[[#This Row],[Gewicht(proKiste)]]</f>
        <v>100</v>
      </c>
    </row>
    <row r="31" spans="1:11" x14ac:dyDescent="0.3">
      <c r="A31">
        <v>30</v>
      </c>
      <c r="B31" t="s">
        <v>14</v>
      </c>
      <c r="C31">
        <v>480</v>
      </c>
      <c r="D31">
        <v>12</v>
      </c>
      <c r="E31">
        <v>31</v>
      </c>
      <c r="G31">
        <v>0</v>
      </c>
      <c r="H31">
        <v>3000</v>
      </c>
      <c r="I31">
        <v>24</v>
      </c>
      <c r="J31">
        <v>1400</v>
      </c>
      <c r="K31">
        <f>Tabelle1[[#This Row],[Kisten]]*Tabelle1[[#This Row],[Gewicht(proKiste)]]</f>
        <v>372</v>
      </c>
    </row>
    <row r="32" spans="1:11" x14ac:dyDescent="0.3">
      <c r="A32">
        <f>SUBTOTAL(102,Tabelle1[AuftragsNr])</f>
        <v>30</v>
      </c>
      <c r="D32">
        <f>SUBTOTAL(109,Tabelle1[Kisten])</f>
        <v>535</v>
      </c>
      <c r="G32">
        <f>SUBTOTAL(109,Tabelle1[Bonus(Euro)])</f>
        <v>11900</v>
      </c>
      <c r="H32">
        <f>SUBTOTAL(109,Tabelle1[Entlohnung(Euro)])</f>
        <v>77770</v>
      </c>
      <c r="K32">
        <f>SUBTOTAL(109,Tabelle1[Gesamtgewicht])</f>
        <v>82003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79A9-164B-45F6-9D03-092553AF349E}">
  <dimension ref="A1:D9"/>
  <sheetViews>
    <sheetView workbookViewId="0">
      <selection activeCell="D17" sqref="D17"/>
    </sheetView>
  </sheetViews>
  <sheetFormatPr baseColWidth="10" defaultRowHeight="14.4" x14ac:dyDescent="0.3"/>
  <cols>
    <col min="2" max="2" width="19.21875" customWidth="1"/>
    <col min="3" max="3" width="18" customWidth="1"/>
    <col min="4" max="4" width="21.77734375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>
        <v>1</v>
      </c>
      <c r="B2">
        <v>16</v>
      </c>
      <c r="C2">
        <v>2400</v>
      </c>
      <c r="D2">
        <v>100</v>
      </c>
    </row>
    <row r="3" spans="1:4" x14ac:dyDescent="0.3">
      <c r="A3">
        <v>2</v>
      </c>
      <c r="B3">
        <v>22</v>
      </c>
      <c r="C3">
        <v>4000</v>
      </c>
      <c r="D3">
        <v>80</v>
      </c>
    </row>
    <row r="4" spans="1:4" x14ac:dyDescent="0.3">
      <c r="A4">
        <v>3</v>
      </c>
      <c r="B4">
        <v>80</v>
      </c>
      <c r="C4">
        <v>24000</v>
      </c>
      <c r="D4">
        <v>70</v>
      </c>
    </row>
    <row r="5" spans="1:4" x14ac:dyDescent="0.3">
      <c r="A5">
        <v>4</v>
      </c>
      <c r="B5">
        <v>36</v>
      </c>
      <c r="C5">
        <v>2500</v>
      </c>
      <c r="D5">
        <v>90</v>
      </c>
    </row>
    <row r="6" spans="1:4" x14ac:dyDescent="0.3">
      <c r="A6">
        <v>5</v>
      </c>
      <c r="B6">
        <v>24</v>
      </c>
      <c r="C6">
        <v>4000</v>
      </c>
      <c r="D6">
        <v>80</v>
      </c>
    </row>
    <row r="7" spans="1:4" x14ac:dyDescent="0.3">
      <c r="A7">
        <v>6</v>
      </c>
      <c r="B7">
        <v>32</v>
      </c>
      <c r="C7">
        <v>4200</v>
      </c>
      <c r="D7">
        <v>80</v>
      </c>
    </row>
    <row r="8" spans="1:4" x14ac:dyDescent="0.3">
      <c r="A8">
        <v>7</v>
      </c>
      <c r="B8">
        <v>48</v>
      </c>
      <c r="C8">
        <v>18000</v>
      </c>
      <c r="D8">
        <v>80</v>
      </c>
    </row>
    <row r="9" spans="1:4" x14ac:dyDescent="0.3">
      <c r="A9" t="s">
        <v>20</v>
      </c>
      <c r="B9">
        <f>SUBTOTAL(109,Tabelle2[Kapa_Kisten(Anzahl)])</f>
        <v>258</v>
      </c>
      <c r="C9">
        <f>SUBTOTAL(109,Tabelle2[Kapa_Zuladung(kg)])</f>
        <v>59100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2DB1-E2D6-4B69-82FC-6928E094AD9E}">
  <dimension ref="A1:AH29"/>
  <sheetViews>
    <sheetView tabSelected="1" zoomScale="70" zoomScaleNormal="70" workbookViewId="0">
      <selection activeCell="G4" sqref="G4"/>
    </sheetView>
  </sheetViews>
  <sheetFormatPr baseColWidth="10" defaultRowHeight="14.4" x14ac:dyDescent="0.3"/>
  <cols>
    <col min="1" max="1" width="25" customWidth="1"/>
    <col min="33" max="33" width="15.5546875" customWidth="1"/>
  </cols>
  <sheetData>
    <row r="1" spans="1:34" x14ac:dyDescent="0.3">
      <c r="A1" t="s">
        <v>22</v>
      </c>
      <c r="B1">
        <f>Tabelle1[[#Totals],[Kisten]]</f>
        <v>535</v>
      </c>
    </row>
    <row r="2" spans="1:34" x14ac:dyDescent="0.3">
      <c r="A2" t="s">
        <v>24</v>
      </c>
      <c r="B2">
        <f>Tabelle2[[#Totals],[Kapa_Kisten(Anzahl)]]</f>
        <v>258</v>
      </c>
    </row>
    <row r="3" spans="1:34" x14ac:dyDescent="0.3">
      <c r="A3" t="s">
        <v>66</v>
      </c>
      <c r="B3" s="1">
        <f>B2/B1</f>
        <v>0.48224299065420562</v>
      </c>
    </row>
    <row r="5" spans="1:34" x14ac:dyDescent="0.3">
      <c r="A5" t="s">
        <v>23</v>
      </c>
      <c r="B5">
        <f>Tabelle1[[#Totals],[Gesamtgewicht]]</f>
        <v>82003</v>
      </c>
    </row>
    <row r="6" spans="1:34" x14ac:dyDescent="0.3">
      <c r="A6" t="s">
        <v>25</v>
      </c>
      <c r="B6">
        <f>Tabelle2[[#Totals],[Kapa_Zuladung(kg)]]</f>
        <v>59100</v>
      </c>
    </row>
    <row r="7" spans="1:34" x14ac:dyDescent="0.3">
      <c r="A7" t="s">
        <v>66</v>
      </c>
      <c r="B7" s="1">
        <f>B6/B5</f>
        <v>0.72070534004853481</v>
      </c>
    </row>
    <row r="9" spans="1:34" x14ac:dyDescent="0.3">
      <c r="A9" t="s">
        <v>26</v>
      </c>
      <c r="B9">
        <f>Tabelle1[[#Totals],[Bonus(Euro)]]+Tabelle1[[#Totals],[Entlohnung(Euro)]]</f>
        <v>89670</v>
      </c>
      <c r="C9" t="s">
        <v>68</v>
      </c>
      <c r="D9">
        <f>Tabelle1[[#Totals],[Entlohnung(Euro)]]</f>
        <v>77770</v>
      </c>
    </row>
    <row r="10" spans="1:34" x14ac:dyDescent="0.3">
      <c r="A10" t="s">
        <v>27</v>
      </c>
      <c r="B10">
        <v>47095</v>
      </c>
    </row>
    <row r="11" spans="1:34" x14ac:dyDescent="0.3">
      <c r="A11" t="s">
        <v>66</v>
      </c>
      <c r="B11" s="1">
        <f>B10/B9</f>
        <v>0.52520352403256387</v>
      </c>
      <c r="D11" s="1">
        <f>B10/D9</f>
        <v>0.60556769962710555</v>
      </c>
    </row>
    <row r="13" spans="1:34" x14ac:dyDescent="0.3">
      <c r="A13" t="s">
        <v>28</v>
      </c>
    </row>
    <row r="14" spans="1:34" x14ac:dyDescent="0.3">
      <c r="A14" t="s">
        <v>15</v>
      </c>
      <c r="B14" t="s">
        <v>29</v>
      </c>
      <c r="C14" t="s">
        <v>30</v>
      </c>
      <c r="D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50</v>
      </c>
      <c r="W14" t="s">
        <v>31</v>
      </c>
      <c r="X14" t="s">
        <v>51</v>
      </c>
      <c r="Y14" t="s">
        <v>52</v>
      </c>
      <c r="Z14" t="s">
        <v>53</v>
      </c>
      <c r="AA14" t="s">
        <v>54</v>
      </c>
      <c r="AB14" t="s">
        <v>55</v>
      </c>
      <c r="AC14" t="s">
        <v>56</v>
      </c>
      <c r="AD14" t="s">
        <v>57</v>
      </c>
      <c r="AE14" t="s">
        <v>58</v>
      </c>
      <c r="AF14" t="s">
        <v>63</v>
      </c>
      <c r="AG14" t="s">
        <v>65</v>
      </c>
      <c r="AH14" t="s">
        <v>64</v>
      </c>
    </row>
    <row r="15" spans="1:34" x14ac:dyDescent="0.3">
      <c r="A15">
        <v>1</v>
      </c>
      <c r="B15">
        <v>0</v>
      </c>
      <c r="C15">
        <v>0</v>
      </c>
      <c r="D15">
        <v>7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>SUM(Tabelle3[[#This Row],[1]:[30]])</f>
        <v>16</v>
      </c>
      <c r="AG15">
        <f xml:space="preserve"> VLOOKUP(Tabelle3[[#This Row],[Lkw]],Tabelle2[],2,FALSE)</f>
        <v>16</v>
      </c>
      <c r="AH15" t="b">
        <f>IF(Tabelle3[[#This Row],[AnzahlKisten]]=Tabelle3[[#This Row],[Lkw KistenLimit]],TRUE,FALSE)</f>
        <v>1</v>
      </c>
    </row>
    <row r="16" spans="1:34" x14ac:dyDescent="0.3">
      <c r="A16">
        <v>2</v>
      </c>
      <c r="B16">
        <v>0</v>
      </c>
      <c r="C16">
        <v>0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>SUM(Tabelle3[[#This Row],[1]:[30]])</f>
        <v>22</v>
      </c>
      <c r="AG16">
        <f xml:space="preserve"> VLOOKUP(Tabelle3[[#This Row],[Lkw]],Tabelle2[],2,FALSE)</f>
        <v>22</v>
      </c>
      <c r="AH16" t="b">
        <f>IF(Tabelle3[[#This Row],[AnzahlKisten]]=Tabelle3[[#This Row],[Lkw KistenLimit]],TRUE,FALSE)</f>
        <v>1</v>
      </c>
    </row>
    <row r="17" spans="1:34" x14ac:dyDescent="0.3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15</v>
      </c>
      <c r="L17">
        <v>50</v>
      </c>
      <c r="M17">
        <v>0</v>
      </c>
      <c r="N17">
        <v>15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>SUM(Tabelle3[[#This Row],[1]:[30]])</f>
        <v>80</v>
      </c>
      <c r="AG17">
        <f xml:space="preserve"> VLOOKUP(Tabelle3[[#This Row],[Lkw]],Tabelle2[],2,FALSE)</f>
        <v>80</v>
      </c>
      <c r="AH17" t="b">
        <f>IF(Tabelle3[[#This Row],[AnzahlKisten]]=Tabelle3[[#This Row],[Lkw KistenLimit]],TRUE,FALSE)</f>
        <v>1</v>
      </c>
    </row>
    <row r="18" spans="1:34" x14ac:dyDescent="0.3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12</v>
      </c>
      <c r="AF18">
        <f>SUM(Tabelle3[[#This Row],[1]:[30]])</f>
        <v>32</v>
      </c>
      <c r="AG18">
        <f xml:space="preserve"> VLOOKUP(Tabelle3[[#This Row],[Lkw]],Tabelle2[],2,FALSE)</f>
        <v>36</v>
      </c>
      <c r="AH18" t="b">
        <f>IF(Tabelle3[[#This Row],[AnzahlKisten]]=Tabelle3[[#This Row],[Lkw KistenLimit]],TRUE,FALSE)</f>
        <v>0</v>
      </c>
    </row>
    <row r="19" spans="1:34" x14ac:dyDescent="0.3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>SUM(Tabelle3[[#This Row],[1]:[30]])</f>
        <v>13</v>
      </c>
      <c r="AG19">
        <f xml:space="preserve"> VLOOKUP(Tabelle3[[#This Row],[Lkw]],Tabelle2[],2,FALSE)</f>
        <v>24</v>
      </c>
      <c r="AH19" t="b">
        <f>IF(Tabelle3[[#This Row],[AnzahlKisten]]=Tabelle3[[#This Row],[Lkw KistenLimit]],TRUE,FALSE)</f>
        <v>0</v>
      </c>
    </row>
    <row r="20" spans="1:34" x14ac:dyDescent="0.3">
      <c r="A20">
        <v>6</v>
      </c>
      <c r="B20">
        <v>12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>SUM(Tabelle3[[#This Row],[1]:[30]])</f>
        <v>23</v>
      </c>
      <c r="AG20">
        <f xml:space="preserve"> VLOOKUP(Tabelle3[[#This Row],[Lkw]],Tabelle2[],2,FALSE)</f>
        <v>32</v>
      </c>
      <c r="AH20" t="b">
        <f>IF(Tabelle3[[#This Row],[AnzahlKisten]]=Tabelle3[[#This Row],[Lkw KistenLimit]],TRUE,FALSE)</f>
        <v>0</v>
      </c>
    </row>
    <row r="21" spans="1:34" x14ac:dyDescent="0.3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8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>SUM(Tabelle3[[#This Row],[1]:[30]])</f>
        <v>48</v>
      </c>
      <c r="AG21">
        <f xml:space="preserve"> VLOOKUP(Tabelle3[[#This Row],[Lkw]],Tabelle2[],2,FALSE)</f>
        <v>48</v>
      </c>
      <c r="AH21" t="b">
        <f>IF(Tabelle3[[#This Row],[AnzahlKisten]]=Tabelle3[[#This Row],[Lkw KistenLimit]],TRUE,FALSE)</f>
        <v>1</v>
      </c>
    </row>
    <row r="22" spans="1:34" x14ac:dyDescent="0.3">
      <c r="A22" t="s">
        <v>20</v>
      </c>
      <c r="B22">
        <f>SUBTOTAL(109,Tabelle3[1])</f>
        <v>12</v>
      </c>
      <c r="C22">
        <f>SUBTOTAL(109,Tabelle3[2])</f>
        <v>5</v>
      </c>
      <c r="D22">
        <f>SUBTOTAL(109,Tabelle3[3])</f>
        <v>22</v>
      </c>
      <c r="E22">
        <f>SUBTOTAL(109,Tabelle3[4])</f>
        <v>9</v>
      </c>
      <c r="F22">
        <f>SUBTOTAL(109,Tabelle3[5])</f>
        <v>0</v>
      </c>
      <c r="G22">
        <f>SUBTOTAL(109,Tabelle3[6])</f>
        <v>0</v>
      </c>
      <c r="H22">
        <f>SUBTOTAL(109,Tabelle3[7])</f>
        <v>0</v>
      </c>
      <c r="I22">
        <f>SUBTOTAL(109,Tabelle3[8])</f>
        <v>8</v>
      </c>
      <c r="J22">
        <f>SUBTOTAL(109,Tabelle3[9])</f>
        <v>11</v>
      </c>
      <c r="K22">
        <f>SUBTOTAL(109,Tabelle3[10])</f>
        <v>15</v>
      </c>
      <c r="L22">
        <f>SUBTOTAL(109,Tabelle3[11])</f>
        <v>50</v>
      </c>
      <c r="M22">
        <f>SUBTOTAL(109,Tabelle3[12])</f>
        <v>0</v>
      </c>
      <c r="N22">
        <f>SUBTOTAL(109,Tabelle3[13])</f>
        <v>25</v>
      </c>
      <c r="O22">
        <f>SUBTOTAL(109,Tabelle3[14])</f>
        <v>1</v>
      </c>
      <c r="P22">
        <f>SUBTOTAL(109,Tabelle3[15])</f>
        <v>5</v>
      </c>
      <c r="Q22">
        <f>SUBTOTAL(109,Tabelle3[16])</f>
        <v>0</v>
      </c>
      <c r="R22">
        <f>SUBTOTAL(109,Tabelle3[17])</f>
        <v>3</v>
      </c>
      <c r="S22">
        <f>SUBTOTAL(109,Tabelle3[18])</f>
        <v>4</v>
      </c>
      <c r="T22">
        <f>SUBTOTAL(109,Tabelle3[19])</f>
        <v>0</v>
      </c>
      <c r="U22">
        <f>SUBTOTAL(109,Tabelle3[20])</f>
        <v>0</v>
      </c>
      <c r="V22">
        <f>SUBTOTAL(109,Tabelle3[21])</f>
        <v>0</v>
      </c>
      <c r="W22">
        <f>SUBTOTAL(109,Tabelle3[22])</f>
        <v>0</v>
      </c>
      <c r="X22">
        <f>SUBTOTAL(109,Tabelle3[23])</f>
        <v>0</v>
      </c>
      <c r="Y22">
        <f>SUBTOTAL(109,Tabelle3[24])</f>
        <v>30</v>
      </c>
      <c r="Z22">
        <f>SUBTOTAL(109,Tabelle3[25])</f>
        <v>12</v>
      </c>
      <c r="AA22">
        <f>SUBTOTAL(109,Tabelle3[26])</f>
        <v>0</v>
      </c>
      <c r="AB22">
        <f>SUBTOTAL(109,Tabelle3[27])</f>
        <v>0</v>
      </c>
      <c r="AC22">
        <f>SUBTOTAL(109,Tabelle3[28])</f>
        <v>0</v>
      </c>
      <c r="AD22">
        <f>SUBTOTAL(109,Tabelle3[29])</f>
        <v>10</v>
      </c>
      <c r="AE22">
        <f>SUBTOTAL(109,Tabelle3[30])</f>
        <v>12</v>
      </c>
      <c r="AF22">
        <f>SUBTOTAL(109,Tabelle3[AnzahlKisten])</f>
        <v>234</v>
      </c>
    </row>
    <row r="24" spans="1:34" x14ac:dyDescent="0.3">
      <c r="A24" t="s">
        <v>60</v>
      </c>
      <c r="B24">
        <f>VLOOKUP(VALUE(Tabelle3[[#Headers],[1]]),Tabelle1[],4,FALSE)</f>
        <v>12</v>
      </c>
      <c r="C24">
        <f>VLOOKUP(VALUE(Tabelle3[[#Headers],[2]]),Tabelle1[],4,FALSE)</f>
        <v>5</v>
      </c>
      <c r="D24">
        <f>VLOOKUP(VALUE(Tabelle3[[#Headers],[3]]),Tabelle1[],4,FALSE)</f>
        <v>22</v>
      </c>
      <c r="E24">
        <f>VLOOKUP(VALUE(Tabelle3[[#Headers],[4]]),Tabelle1[],4,FALSE)</f>
        <v>9</v>
      </c>
      <c r="F24">
        <f>VLOOKUP(VALUE(Tabelle3[[#Headers],[5]]),Tabelle1[],4,FALSE)</f>
        <v>11</v>
      </c>
      <c r="G24">
        <f>VLOOKUP(VALUE(Tabelle3[[#Headers],[6]]),Tabelle1[],4,FALSE)</f>
        <v>5</v>
      </c>
      <c r="H24">
        <f>VLOOKUP(VALUE(Tabelle3[[#Headers],[7]]),Tabelle1[],4,FALSE)</f>
        <v>30</v>
      </c>
      <c r="I24">
        <f>VLOOKUP(VALUE(Tabelle3[[#Headers],[8]]),Tabelle1[],4,FALSE)</f>
        <v>8</v>
      </c>
      <c r="J24">
        <f>VLOOKUP(VALUE(Tabelle3[[#Headers],[9]]),Tabelle1[],4,FALSE)</f>
        <v>40</v>
      </c>
      <c r="K24">
        <f>VLOOKUP(VALUE(Tabelle3[[#Headers],[10]]),Tabelle1[],4,FALSE)</f>
        <v>15</v>
      </c>
      <c r="L24">
        <f>VLOOKUP(VALUE(Tabelle3[[#Headers],[11]]),Tabelle1[],4,FALSE)</f>
        <v>50</v>
      </c>
      <c r="M24">
        <f>VLOOKUP(VALUE(Tabelle3[[#Headers],[12]]),Tabelle1[],4,FALSE)</f>
        <v>12</v>
      </c>
      <c r="N24">
        <f>VLOOKUP(VALUE(Tabelle3[[#Headers],[13]]),Tabelle1[],4,FALSE)</f>
        <v>25</v>
      </c>
      <c r="O24">
        <f>VLOOKUP(VALUE(Tabelle3[[#Headers],[14]]),Tabelle1[],4,FALSE)</f>
        <v>28</v>
      </c>
      <c r="P24">
        <f>VLOOKUP(VALUE(Tabelle3[[#Headers],[15]]),Tabelle1[],4,FALSE)</f>
        <v>5</v>
      </c>
      <c r="Q24">
        <f>VLOOKUP(VALUE(Tabelle3[[#Headers],[16]]),Tabelle1[],4,FALSE)</f>
        <v>17</v>
      </c>
      <c r="R24">
        <f>VLOOKUP(VALUE(Tabelle3[[#Headers],[17]]),Tabelle1[],4,FALSE)</f>
        <v>25</v>
      </c>
      <c r="S24">
        <f>VLOOKUP(VALUE(Tabelle3[[#Headers],[18]]),Tabelle1[],4,FALSE)</f>
        <v>4</v>
      </c>
      <c r="T24">
        <f>VLOOKUP(VALUE(Tabelle3[[#Headers],[19]]),Tabelle1[],4,FALSE)</f>
        <v>40</v>
      </c>
      <c r="U24">
        <f>VLOOKUP(VALUE(Tabelle3[[#Headers],[20]]),Tabelle1[],4,FALSE)</f>
        <v>23</v>
      </c>
      <c r="V24">
        <f>VLOOKUP(VALUE(Tabelle3[[#Headers],[21]]),Tabelle1[],4,FALSE)</f>
        <v>10</v>
      </c>
      <c r="W24">
        <f>VLOOKUP(VALUE(Tabelle3[[#Headers],[22]]),Tabelle1[],4,FALSE)</f>
        <v>12</v>
      </c>
      <c r="X24">
        <f>VLOOKUP(VALUE(Tabelle3[[#Headers],[23]]),Tabelle1[],4,FALSE)</f>
        <v>22</v>
      </c>
      <c r="Y24">
        <f>VLOOKUP(VALUE(Tabelle3[[#Headers],[24]]),Tabelle1[],4,FALSE)</f>
        <v>30</v>
      </c>
      <c r="Z24">
        <f>VLOOKUP(VALUE(Tabelle3[[#Headers],[25]]),Tabelle1[],4,FALSE)</f>
        <v>12</v>
      </c>
      <c r="AA24">
        <f>VLOOKUP(VALUE(Tabelle3[[#Headers],[26]]),Tabelle1[],4,FALSE)</f>
        <v>5</v>
      </c>
      <c r="AB24">
        <f>VLOOKUP(VALUE(Tabelle3[[#Headers],[27]]),Tabelle1[],4,FALSE)</f>
        <v>17</v>
      </c>
      <c r="AC24">
        <f>VLOOKUP(VALUE(Tabelle3[[#Headers],[28]]),Tabelle1[],4,FALSE)</f>
        <v>19</v>
      </c>
      <c r="AD24">
        <f>VLOOKUP(VALUE(Tabelle3[[#Headers],[29]]),Tabelle1[],4,FALSE)</f>
        <v>10</v>
      </c>
      <c r="AE24">
        <f>VLOOKUP(VALUE(Tabelle3[[#Headers],[30]]),Tabelle1[],4,FALSE)</f>
        <v>12</v>
      </c>
    </row>
    <row r="25" spans="1:34" x14ac:dyDescent="0.3">
      <c r="A25" t="s">
        <v>59</v>
      </c>
      <c r="B25" t="b">
        <f>IF(B24=Tabelle3[[#Totals],[1]], TRUE, FALSE)</f>
        <v>1</v>
      </c>
      <c r="C25" t="b">
        <f>IF(C24=Tabelle3[[#Totals],[2]], TRUE, FALSE)</f>
        <v>1</v>
      </c>
      <c r="D25" t="b">
        <f>IF(D24=Tabelle3[[#Totals],[3]], TRUE, FALSE)</f>
        <v>1</v>
      </c>
      <c r="E25" t="b">
        <f>IF(E24=Tabelle3[[#Totals],[4]], TRUE, FALSE)</f>
        <v>1</v>
      </c>
      <c r="F25" t="b">
        <f>IF(F24=Tabelle3[[#Totals],[5]], TRUE, FALSE)</f>
        <v>0</v>
      </c>
      <c r="G25" t="b">
        <f>IF(G24=Tabelle3[[#Totals],[6]], TRUE, FALSE)</f>
        <v>0</v>
      </c>
      <c r="H25" t="b">
        <f>IF(H24=Tabelle3[[#Totals],[7]], TRUE, FALSE)</f>
        <v>0</v>
      </c>
      <c r="I25" t="b">
        <f>IF(I24=Tabelle3[[#Totals],[8]], TRUE, FALSE)</f>
        <v>1</v>
      </c>
      <c r="J25" t="b">
        <f>IF(J24=Tabelle3[[#Totals],[9]], TRUE, FALSE)</f>
        <v>0</v>
      </c>
      <c r="K25" t="b">
        <f>IF(K24=Tabelle3[[#Totals],[10]], TRUE, FALSE)</f>
        <v>1</v>
      </c>
      <c r="L25" t="b">
        <f>IF(L24=Tabelle3[[#Totals],[11]], TRUE, FALSE)</f>
        <v>1</v>
      </c>
      <c r="M25" t="b">
        <f>IF(M24=Tabelle3[[#Totals],[12]], TRUE, FALSE)</f>
        <v>0</v>
      </c>
      <c r="N25" t="b">
        <f>IF(N24=Tabelle3[[#Totals],[13]], TRUE, FALSE)</f>
        <v>1</v>
      </c>
      <c r="O25" t="b">
        <f>IF(O24=Tabelle3[[#Totals],[14]], TRUE, FALSE)</f>
        <v>0</v>
      </c>
      <c r="P25" t="b">
        <f>IF(P24=Tabelle3[[#Totals],[15]], TRUE, FALSE)</f>
        <v>1</v>
      </c>
      <c r="Q25" t="b">
        <f>IF(Q24=Tabelle3[[#Totals],[16]], TRUE, FALSE)</f>
        <v>0</v>
      </c>
      <c r="R25" t="b">
        <f>IF(R24=Tabelle3[[#Totals],[17]], TRUE, FALSE)</f>
        <v>0</v>
      </c>
      <c r="S25" t="b">
        <f>IF(S24=Tabelle3[[#Totals],[18]], TRUE, FALSE)</f>
        <v>1</v>
      </c>
      <c r="T25" t="b">
        <f>IF(T24=Tabelle3[[#Totals],[19]], TRUE, FALSE)</f>
        <v>0</v>
      </c>
      <c r="U25" t="b">
        <f>IF(U24=Tabelle3[[#Totals],[20]], TRUE, FALSE)</f>
        <v>0</v>
      </c>
      <c r="V25" t="b">
        <f>IF(V24=Tabelle3[[#Totals],[21]], TRUE, FALSE)</f>
        <v>0</v>
      </c>
      <c r="W25" t="b">
        <f>IF(W24=Tabelle3[[#Totals],[22]], TRUE, FALSE)</f>
        <v>0</v>
      </c>
      <c r="X25" t="b">
        <f>IF(X24=Tabelle3[[#Totals],[23]], TRUE, FALSE)</f>
        <v>0</v>
      </c>
      <c r="Y25" t="b">
        <f>IF(Y24=Tabelle3[[#Totals],[24]], TRUE, FALSE)</f>
        <v>1</v>
      </c>
      <c r="Z25" t="b">
        <f>IF(Z24=Tabelle3[[#Totals],[25]], TRUE, FALSE)</f>
        <v>1</v>
      </c>
      <c r="AA25" t="b">
        <f>IF(AA24=Tabelle3[[#Totals],[26]], TRUE, FALSE)</f>
        <v>0</v>
      </c>
      <c r="AB25" t="b">
        <f>IF(AB24=Tabelle3[[#Totals],[27]], TRUE, FALSE)</f>
        <v>0</v>
      </c>
      <c r="AC25" t="b">
        <f>IF(AC24=Tabelle3[[#Totals],[28]], TRUE, FALSE)</f>
        <v>0</v>
      </c>
      <c r="AD25" t="b">
        <f>IF(AD24=Tabelle3[[#Totals],[29]], TRUE, FALSE)</f>
        <v>1</v>
      </c>
      <c r="AE25" t="b">
        <f>IF(AE24=Tabelle3[[#Totals],[30]], TRUE, FALSE)</f>
        <v>1</v>
      </c>
    </row>
    <row r="27" spans="1:34" x14ac:dyDescent="0.3">
      <c r="A27" t="s">
        <v>62</v>
      </c>
      <c r="B27">
        <f>COUNTIF(B25:AE25,TRUE)</f>
        <v>14</v>
      </c>
    </row>
    <row r="28" spans="1:34" x14ac:dyDescent="0.3">
      <c r="A28" t="s">
        <v>61</v>
      </c>
      <c r="B28">
        <f>Tabelle1[[#Totals],[AuftragsNr]]</f>
        <v>30</v>
      </c>
    </row>
    <row r="29" spans="1:34" x14ac:dyDescent="0.3">
      <c r="A29" t="s">
        <v>67</v>
      </c>
      <c r="B29" s="1">
        <f>B27/B28</f>
        <v>0.46666666666666667</v>
      </c>
    </row>
  </sheetData>
  <phoneticPr fontId="2" type="noConversion"/>
  <conditionalFormatting sqref="B15:AE22">
    <cfRule type="cellIs" dxfId="3" priority="3" operator="greaterThan">
      <formula>0</formula>
    </cfRule>
    <cfRule type="cellIs" dxfId="2" priority="4" operator="greaterThan">
      <formula>0</formula>
    </cfRule>
  </conditionalFormatting>
  <conditionalFormatting sqref="B25:AE25">
    <cfRule type="containsText" dxfId="1" priority="2" operator="containsText" text="WAHR">
      <formula>NOT(ISERROR(SEARCH("WAHR",B25)))</formula>
    </cfRule>
  </conditionalFormatting>
  <conditionalFormatting sqref="AH15:AH21">
    <cfRule type="containsText" dxfId="0" priority="1" operator="containsText" text="WAHR">
      <formula>NOT(ISERROR(SEARCH("WAHR",AH15)))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Auftraege</vt:lpstr>
      <vt:lpstr>Lkws</vt:lpstr>
      <vt:lpstr>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Niedermeier Anja (inf21097)</dc:creator>
  <cp:lastModifiedBy>Niedermeier Anja (inf21097)</cp:lastModifiedBy>
  <dcterms:created xsi:type="dcterms:W3CDTF">2024-04-16T16:17:24Z</dcterms:created>
  <dcterms:modified xsi:type="dcterms:W3CDTF">2024-04-18T20:54:13Z</dcterms:modified>
</cp:coreProperties>
</file>