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"/>
    </mc:Choice>
  </mc:AlternateContent>
  <xr:revisionPtr revIDLastSave="0" documentId="13_ncr:1_{CF51022D-CDFE-40F1-AD0F-B938A91D4DE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utcome_as_subparent" sheetId="3" r:id="rId1"/>
    <sheet name="outcome_as_parentcategory" sheetId="2" r:id="rId2"/>
    <sheet name="outcome_as_month" sheetId="4" r:id="rId3"/>
    <sheet name="Summary Statistics" sheetId="6" r:id="rId4"/>
    <sheet name="Bonus Sheet" sheetId="7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6" l="1"/>
  <c r="K9" i="6"/>
  <c r="L8" i="6"/>
  <c r="K8" i="6"/>
  <c r="L6" i="6"/>
  <c r="L5" i="6"/>
  <c r="K6" i="6"/>
  <c r="K5" i="6"/>
  <c r="L4" i="6"/>
  <c r="K4" i="6"/>
  <c r="L3" i="6"/>
  <c r="K3" i="6"/>
  <c r="D12" i="7"/>
  <c r="D2" i="7"/>
  <c r="C12" i="7"/>
  <c r="C2" i="7"/>
  <c r="B12" i="7"/>
  <c r="B2" i="7"/>
  <c r="B3" i="7" s="1"/>
  <c r="B4" i="7" s="1"/>
  <c r="I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1048576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2" i="1"/>
  <c r="E2" i="7" l="1"/>
  <c r="G2" i="7" s="1"/>
  <c r="D3" i="7"/>
  <c r="B5" i="7"/>
  <c r="E12" i="7"/>
  <c r="F12" i="7" s="1"/>
  <c r="C3" i="7"/>
  <c r="H2" i="7" l="1"/>
  <c r="E3" i="7"/>
  <c r="F3" i="7" s="1"/>
  <c r="C4" i="7"/>
  <c r="G3" i="7"/>
  <c r="C5" i="7"/>
  <c r="C6" i="7" s="1"/>
  <c r="B6" i="7"/>
  <c r="H12" i="7"/>
  <c r="G12" i="7"/>
  <c r="D4" i="7"/>
  <c r="F2" i="7"/>
  <c r="E4" i="7" l="1"/>
  <c r="F4" i="7" s="1"/>
  <c r="H4" i="7"/>
  <c r="C7" i="7"/>
  <c r="C8" i="7" s="1"/>
  <c r="H3" i="7"/>
  <c r="D5" i="7"/>
  <c r="B7" i="7"/>
  <c r="B8" i="7" s="1"/>
  <c r="G4" i="7" l="1"/>
  <c r="D6" i="7"/>
  <c r="C9" i="7"/>
  <c r="E5" i="7"/>
  <c r="H5" i="7" s="1"/>
  <c r="B9" i="7"/>
  <c r="C10" i="7" l="1"/>
  <c r="E6" i="7"/>
  <c r="F5" i="7"/>
  <c r="G5" i="7"/>
  <c r="B10" i="7"/>
  <c r="D7" i="7"/>
  <c r="D8" i="7" s="1"/>
  <c r="E8" i="7" l="1"/>
  <c r="H8" i="7" s="1"/>
  <c r="D9" i="7"/>
  <c r="D10" i="7" s="1"/>
  <c r="G6" i="7"/>
  <c r="F6" i="7"/>
  <c r="B11" i="7"/>
  <c r="E7" i="7"/>
  <c r="H7" i="7" s="1"/>
  <c r="H6" i="7"/>
  <c r="C11" i="7"/>
  <c r="E10" i="7" l="1"/>
  <c r="H10" i="7" s="1"/>
  <c r="E9" i="7"/>
  <c r="G8" i="7"/>
  <c r="F8" i="7"/>
  <c r="D11" i="7"/>
  <c r="F7" i="7"/>
  <c r="G7" i="7"/>
  <c r="G9" i="7" l="1"/>
  <c r="F9" i="7"/>
  <c r="H9" i="7"/>
  <c r="F10" i="7"/>
  <c r="G10" i="7"/>
  <c r="E11" i="7"/>
  <c r="H11" i="7" s="1"/>
  <c r="F11" i="7" l="1"/>
  <c r="G11" i="7"/>
</calcChain>
</file>

<file path=xl/sharedStrings.xml><?xml version="1.0" encoding="utf-8"?>
<sst xmlns="http://schemas.openxmlformats.org/spreadsheetml/2006/main" count="9060" uniqueCount="2113">
  <si>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</si>
  <si>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</si>
  <si>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</si>
  <si>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</si>
  <si>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</si>
  <si>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</si>
  <si>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</si>
  <si>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</si>
  <si>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</si>
  <si>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</si>
  <si>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</si>
  <si>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</si>
  <si>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</si>
  <si>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</si>
  <si>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</si>
  <si>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</si>
  <si>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</si>
  <si>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</si>
  <si>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</si>
  <si>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</si>
  <si>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</si>
  <si>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</si>
  <si>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</si>
  <si>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</si>
  <si>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</si>
  <si>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</si>
  <si>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</si>
  <si>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</si>
  <si>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</si>
  <si>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</si>
  <si>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</si>
  <si>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</si>
  <si>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</si>
  <si>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</si>
  <si>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</si>
  <si>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</si>
  <si>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</si>
  <si>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</si>
  <si>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</si>
  <si>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</si>
  <si>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</si>
  <si>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</si>
  <si>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</si>
  <si>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</si>
  <si>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</si>
  <si>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</si>
  <si>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</si>
  <si>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</si>
  <si>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</si>
  <si>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</si>
  <si>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</si>
  <si>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</si>
  <si>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</si>
  <si>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</si>
  <si>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</si>
  <si>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</si>
  <si>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</si>
  <si>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</si>
  <si>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</si>
  <si>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</si>
  <si>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</si>
  <si>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</si>
  <si>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</si>
  <si>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</si>
  <si>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</si>
  <si>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</si>
  <si>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</si>
  <si>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</si>
  <si>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</si>
  <si>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</si>
  <si>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</si>
  <si>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</si>
  <si>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</si>
  <si>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</si>
  <si>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</si>
  <si>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</si>
  <si>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</si>
  <si>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</si>
  <si>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</si>
  <si>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</si>
  <si>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</si>
  <si>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</si>
  <si>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</si>
  <si>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</si>
  <si>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</si>
  <si>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</si>
  <si>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</si>
  <si>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</si>
  <si>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</si>
  <si>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</si>
  <si>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</si>
  <si>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</si>
  <si>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</si>
  <si>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</si>
  <si>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</si>
  <si>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</si>
  <si>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</si>
  <si>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</si>
  <si>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</si>
  <si>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</si>
  <si>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</si>
  <si>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</si>
  <si>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</si>
  <si>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</si>
  <si>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</si>
  <si>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</si>
  <si>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</si>
  <si>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</si>
  <si>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</si>
  <si>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</si>
  <si>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</si>
  <si>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</si>
  <si>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</si>
  <si>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</si>
  <si>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</si>
  <si>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</si>
  <si>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</si>
  <si>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</si>
  <si>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</si>
  <si>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</si>
  <si>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</si>
  <si>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</si>
  <si>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</si>
  <si>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</si>
  <si>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</si>
  <si>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</si>
  <si>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</si>
  <si>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</si>
  <si>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</si>
  <si>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</si>
  <si>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</si>
  <si>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</si>
  <si>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</si>
  <si>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</si>
  <si>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</si>
  <si>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</si>
  <si>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</si>
  <si>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</si>
  <si>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</si>
  <si>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</si>
  <si>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</si>
  <si>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</si>
  <si>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</si>
  <si>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</si>
  <si>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</si>
  <si>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</si>
  <si>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</si>
  <si>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</si>
  <si>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</si>
  <si>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</si>
  <si>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</si>
  <si>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</si>
  <si>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</si>
  <si>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</si>
  <si>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</si>
  <si>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</si>
  <si>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</si>
  <si>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</si>
  <si>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</si>
  <si>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</si>
  <si>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</si>
  <si>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</si>
  <si>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</si>
  <si>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</si>
  <si>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</si>
  <si>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</si>
  <si>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</si>
  <si>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</si>
  <si>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</si>
  <si>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</si>
  <si>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</si>
  <si>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</si>
  <si>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</si>
  <si>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</si>
  <si>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</si>
  <si>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</si>
  <si>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</si>
  <si>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</si>
  <si>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</si>
  <si>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</si>
  <si>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</si>
  <si>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</si>
  <si>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</si>
  <si>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</si>
  <si>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</si>
  <si>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</si>
  <si>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</si>
  <si>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</si>
  <si>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</si>
  <si>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</si>
  <si>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</si>
  <si>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</si>
  <si>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</si>
  <si>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</si>
  <si>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</si>
  <si>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</si>
  <si>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</si>
  <si>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</si>
  <si>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</si>
  <si>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</si>
  <si>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</si>
  <si>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</si>
  <si>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</si>
  <si>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</si>
  <si>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</si>
  <si>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</si>
  <si>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</si>
  <si>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</si>
  <si>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</si>
  <si>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</si>
  <si>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</si>
  <si>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</si>
  <si>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</si>
  <si>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</si>
  <si>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</si>
  <si>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</si>
  <si>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</si>
  <si>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</si>
  <si>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</si>
  <si>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</si>
  <si>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</si>
  <si>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</si>
  <si>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</si>
  <si>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</si>
  <si>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</si>
  <si>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</si>
  <si>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</si>
  <si>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</si>
  <si>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</si>
  <si>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</si>
  <si>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</si>
  <si>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</si>
  <si>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</si>
  <si>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</si>
  <si>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</si>
  <si>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</si>
  <si>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</si>
  <si>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</si>
  <si>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</si>
  <si>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</si>
  <si>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</si>
  <si>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</si>
  <si>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</si>
  <si>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</si>
  <si>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</si>
  <si>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</si>
  <si>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</si>
  <si>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</si>
  <si>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</si>
  <si>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</si>
  <si>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</si>
  <si>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</si>
  <si>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</si>
  <si>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</si>
  <si>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</si>
  <si>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</si>
  <si>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</si>
  <si>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</si>
  <si>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</si>
  <si>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</si>
  <si>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</si>
  <si>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</si>
  <si>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</si>
  <si>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</si>
  <si>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</si>
  <si>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</si>
  <si>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</si>
  <si>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</si>
  <si>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</si>
  <si>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</si>
  <si>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</si>
  <si>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</si>
  <si>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</si>
  <si>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</si>
  <si>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</si>
  <si>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</si>
  <si>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</si>
  <si>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</si>
  <si>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</si>
  <si>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</si>
  <si>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</si>
  <si>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</si>
  <si>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</si>
  <si>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</si>
  <si>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</si>
  <si>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</si>
  <si>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</si>
  <si>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</si>
  <si>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</si>
  <si>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</si>
  <si>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</si>
  <si>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</si>
  <si>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</si>
  <si>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</si>
  <si>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</si>
  <si>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</si>
  <si>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</si>
  <si>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</si>
  <si>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</si>
  <si>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</si>
  <si>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</si>
  <si>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</si>
  <si>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</si>
  <si>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</si>
  <si>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</si>
  <si>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</si>
  <si>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</si>
  <si>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</si>
  <si>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</si>
  <si>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</si>
  <si>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</si>
  <si>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</si>
  <si>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</si>
  <si>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</si>
  <si>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</si>
  <si>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</si>
  <si>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</si>
  <si>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</si>
  <si>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</si>
  <si>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</si>
  <si>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</si>
  <si>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</si>
  <si>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</si>
  <si>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</si>
  <si>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</si>
  <si>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</si>
  <si>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</si>
  <si>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</si>
  <si>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</si>
  <si>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</si>
  <si>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</si>
  <si>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</si>
  <si>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</si>
  <si>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</si>
  <si>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</si>
  <si>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</si>
  <si>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</si>
  <si>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</si>
  <si>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</si>
  <si>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</si>
  <si>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</si>
  <si>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</si>
  <si>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</si>
  <si>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</si>
  <si>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</si>
  <si>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</si>
  <si>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</si>
  <si>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</si>
  <si>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</si>
  <si>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</si>
  <si>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</si>
  <si>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</si>
  <si>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</si>
  <si>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</si>
  <si>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</si>
  <si>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</si>
  <si>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</si>
  <si>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</si>
  <si>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</si>
  <si>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</si>
  <si>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</si>
  <si>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</si>
  <si>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</si>
  <si>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</si>
  <si>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</si>
  <si>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</si>
  <si>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</si>
  <si>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</si>
  <si>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</si>
  <si>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</si>
  <si>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</si>
  <si>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</si>
  <si>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</si>
  <si>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</si>
  <si>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</si>
  <si>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</si>
  <si>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</si>
  <si>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</si>
  <si>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</si>
  <si>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</si>
  <si>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</si>
  <si>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</si>
  <si>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</si>
  <si>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</si>
  <si>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</si>
  <si>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</si>
  <si>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</si>
  <si>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</si>
  <si>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</si>
  <si>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</si>
  <si>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</si>
  <si>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</si>
  <si>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</si>
  <si>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</si>
  <si>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</si>
  <si>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</si>
  <si>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</si>
  <si>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</si>
  <si>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</si>
  <si>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</si>
  <si>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</si>
  <si>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</si>
  <si>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</si>
  <si>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</si>
  <si>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</si>
  <si>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</si>
  <si>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</si>
  <si>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</si>
  <si>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</si>
  <si>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</si>
  <si>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</si>
  <si>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</si>
  <si>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</si>
  <si>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</si>
  <si>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</si>
  <si>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</si>
  <si>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</si>
  <si>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</si>
  <si>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</si>
  <si>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</si>
  <si>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</si>
  <si>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</si>
  <si>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</si>
  <si>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</si>
  <si>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</si>
  <si>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</si>
  <si>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</si>
  <si>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</si>
  <si>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</si>
  <si>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</si>
  <si>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</si>
  <si>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</si>
  <si>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</si>
  <si>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</si>
  <si>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</si>
  <si>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</si>
  <si>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</si>
  <si>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</si>
  <si>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</si>
  <si>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</si>
  <si>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</si>
  <si>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</si>
  <si>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</si>
  <si>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</si>
  <si>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</si>
  <si>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</si>
  <si>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</si>
  <si>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</si>
  <si>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</si>
  <si>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</si>
  <si>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</si>
  <si>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</si>
  <si>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</si>
  <si>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</si>
  <si>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</si>
  <si>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</si>
  <si>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</si>
  <si>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</si>
  <si>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</si>
  <si>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</si>
  <si>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</si>
  <si>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</si>
  <si>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</si>
  <si>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</si>
  <si>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</si>
  <si>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</si>
  <si>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</si>
  <si>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</si>
  <si>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</si>
  <si>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</si>
  <si>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</si>
  <si>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</si>
  <si>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</si>
  <si>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</si>
  <si>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</si>
  <si>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</si>
  <si>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</si>
  <si>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</si>
  <si>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</si>
  <si>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</si>
  <si>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</si>
  <si>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</si>
  <si>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</si>
  <si>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</si>
  <si>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</si>
  <si>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</si>
  <si>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</si>
  <si>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</si>
  <si>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</si>
  <si>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</si>
  <si>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</si>
  <si>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</si>
  <si>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</si>
  <si>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</si>
  <si>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</si>
  <si>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</si>
  <si>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</si>
  <si>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</si>
  <si>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</si>
  <si>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</si>
  <si>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</si>
  <si>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</si>
  <si>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</si>
  <si>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</si>
  <si>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</si>
  <si>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</si>
  <si>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</si>
  <si>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</si>
  <si>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</si>
  <si>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</si>
  <si>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</si>
  <si>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</si>
  <si>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</si>
  <si>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</si>
  <si>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</si>
  <si>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</si>
  <si>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</si>
  <si>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</si>
  <si>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</si>
  <si>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</si>
  <si>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</si>
  <si>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</si>
  <si>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</si>
  <si>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</si>
  <si>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</si>
  <si>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</si>
  <si>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</si>
  <si>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</si>
  <si>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</si>
  <si>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</si>
  <si>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</si>
  <si>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</si>
  <si>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</si>
  <si>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</si>
  <si>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</si>
  <si>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</si>
  <si>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</si>
  <si>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</si>
  <si>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</si>
  <si>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</si>
  <si>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</si>
  <si>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</si>
  <si>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</si>
  <si>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</si>
  <si>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</si>
  <si>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</si>
  <si>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</si>
  <si>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</si>
  <si>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</si>
  <si>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</si>
  <si>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</si>
  <si>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</si>
  <si>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</si>
  <si>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</si>
  <si>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</si>
  <si>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</si>
  <si>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</si>
  <si>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</si>
  <si>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</si>
  <si>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</si>
  <si>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</si>
  <si>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</si>
  <si>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</si>
  <si>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</si>
  <si>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</si>
  <si>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</si>
  <si>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</si>
  <si>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</si>
  <si>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</si>
  <si>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</si>
  <si>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</si>
  <si>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</si>
  <si>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</si>
  <si>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</si>
  <si>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</si>
  <si>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</si>
  <si>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</si>
  <si>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</si>
  <si>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</si>
  <si>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</si>
  <si>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</si>
  <si>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</si>
  <si>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</si>
  <si>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</si>
  <si>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</si>
  <si>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</si>
  <si>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</si>
  <si>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</si>
  <si>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</si>
  <si>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</si>
  <si>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</si>
  <si>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</si>
  <si>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</si>
  <si>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</si>
  <si>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</si>
  <si>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</si>
  <si>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</si>
  <si>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</si>
  <si>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</si>
  <si>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</si>
  <si>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</si>
  <si>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</si>
  <si>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</si>
  <si>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</si>
  <si>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</si>
  <si>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</si>
  <si>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</si>
  <si>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</si>
  <si>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</si>
  <si>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</si>
  <si>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</si>
  <si>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</si>
  <si>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</si>
  <si>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</si>
  <si>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</si>
  <si>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</si>
  <si>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</si>
  <si>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</si>
  <si>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</si>
  <si>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</si>
  <si>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</si>
  <si>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</si>
  <si>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</si>
  <si>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</si>
  <si>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</si>
  <si>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</si>
  <si>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</si>
  <si>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</si>
  <si>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</si>
  <si>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</si>
  <si>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</si>
  <si>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</si>
  <si>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</si>
  <si>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</si>
  <si>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</si>
  <si>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</si>
  <si>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</si>
  <si>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</si>
  <si>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</si>
  <si>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</si>
  <si>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</si>
  <si>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</si>
  <si>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</si>
  <si>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</si>
  <si>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</si>
  <si>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</si>
  <si>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</si>
  <si>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</si>
  <si>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</si>
  <si>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</si>
  <si>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</si>
  <si>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</si>
  <si>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</si>
  <si>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</si>
  <si>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</si>
  <si>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</si>
  <si>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</si>
  <si>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</si>
  <si>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</si>
  <si>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</si>
  <si>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</si>
  <si>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</si>
  <si>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</si>
  <si>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</si>
  <si>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</si>
  <si>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</si>
  <si>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</si>
  <si>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</si>
  <si>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</si>
  <si>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</si>
  <si>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</si>
  <si>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</si>
  <si>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</si>
  <si>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</si>
  <si>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</si>
  <si>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</si>
  <si>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</si>
  <si>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</si>
  <si>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</si>
  <si>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</si>
  <si>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</si>
  <si>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</si>
  <si>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</si>
  <si>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</si>
  <si>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</si>
  <si>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</si>
  <si>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</si>
  <si>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</si>
  <si>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</si>
  <si>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</si>
  <si>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</si>
  <si>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</si>
  <si>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</si>
  <si>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</si>
  <si>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</si>
  <si>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</si>
  <si>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</si>
  <si>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</si>
  <si>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</si>
  <si>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</si>
  <si>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</si>
  <si>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</si>
  <si>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</si>
  <si>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</si>
  <si>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</si>
  <si>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</si>
  <si>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</si>
  <si>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</si>
  <si>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</si>
  <si>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</si>
  <si>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</si>
  <si>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</si>
  <si>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</si>
  <si>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</si>
  <si>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</si>
  <si>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</si>
  <si>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</si>
  <si>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</si>
  <si>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</si>
  <si>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</si>
  <si>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</si>
  <si>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</si>
  <si>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</si>
  <si>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</si>
  <si>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</si>
  <si>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</si>
  <si>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</si>
  <si>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</si>
  <si>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</si>
  <si>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</si>
  <si>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</si>
  <si>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</si>
  <si>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</si>
  <si>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</si>
  <si>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</si>
  <si>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</si>
  <si>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</si>
  <si>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</si>
  <si>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</si>
  <si>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</si>
  <si>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</si>
  <si>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</si>
  <si>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</si>
  <si>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</si>
  <si>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</si>
  <si>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</si>
  <si>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</si>
  <si>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</si>
  <si>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</si>
  <si>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</si>
  <si>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</si>
  <si>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</si>
  <si>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</si>
  <si>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</si>
  <si>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</si>
  <si>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</si>
  <si>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</si>
  <si>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</si>
  <si>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</si>
  <si>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</si>
  <si>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</si>
  <si>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</si>
  <si>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</si>
  <si>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</si>
  <si>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</si>
  <si>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</si>
  <si>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</si>
  <si>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</si>
  <si>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</si>
  <si>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</si>
  <si>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</si>
  <si>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</si>
  <si>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</si>
  <si>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</si>
  <si>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</si>
  <si>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</si>
  <si>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</si>
  <si>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</si>
  <si>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</si>
  <si>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</si>
  <si>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</si>
  <si>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</si>
  <si>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</si>
  <si>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</si>
  <si>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</si>
  <si>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</si>
  <si>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</si>
  <si>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</si>
  <si>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</si>
  <si>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</si>
  <si>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</si>
  <si>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</si>
  <si>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</si>
  <si>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</si>
  <si>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</si>
  <si>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</si>
  <si>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</si>
  <si>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</si>
  <si>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</si>
  <si>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</si>
  <si>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</si>
  <si>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</si>
  <si>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</si>
  <si>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</si>
  <si>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</si>
  <si>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</si>
  <si>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</si>
  <si>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</si>
  <si>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</si>
  <si>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</si>
  <si>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</si>
  <si>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</si>
  <si>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</si>
  <si>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</si>
  <si>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</si>
  <si>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</si>
  <si>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</si>
  <si>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</si>
  <si>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</si>
  <si>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</si>
  <si>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</si>
  <si>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</si>
  <si>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</si>
  <si>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</si>
  <si>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</si>
  <si>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</si>
  <si>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</si>
  <si>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</si>
  <si>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</si>
  <si>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</si>
  <si>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</si>
  <si>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</si>
  <si>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</si>
  <si>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</si>
  <si>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</si>
  <si>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</si>
  <si>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</si>
  <si>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</si>
  <si>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</si>
  <si>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</si>
  <si>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</si>
  <si>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</si>
  <si>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</si>
  <si>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</si>
  <si>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</si>
  <si>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</si>
  <si>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</si>
  <si>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</si>
  <si>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</si>
  <si>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</si>
  <si>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</si>
  <si>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</si>
  <si>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</si>
  <si>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</si>
  <si>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</si>
  <si>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</si>
  <si>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</si>
  <si>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</si>
  <si>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</si>
  <si>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</si>
  <si>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</si>
  <si>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</si>
  <si>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</si>
  <si>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</si>
  <si>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</si>
  <si>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</si>
  <si>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</si>
  <si>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</si>
  <si>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</si>
  <si>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</si>
  <si>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</si>
  <si>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</si>
  <si>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</si>
  <si>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</si>
  <si>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</si>
  <si>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</si>
  <si>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</si>
  <si>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</si>
  <si>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</si>
  <si>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</si>
  <si>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</si>
  <si>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</si>
  <si>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</si>
  <si>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</si>
  <si>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</si>
  <si>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</si>
  <si>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</si>
  <si>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</si>
  <si>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</si>
  <si>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</si>
  <si>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</si>
  <si>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</si>
  <si>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</si>
  <si>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</si>
  <si>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</si>
  <si>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</si>
  <si>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</si>
  <si>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</si>
  <si>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</si>
  <si>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</si>
  <si>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</si>
  <si>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</si>
  <si>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</si>
  <si>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</si>
  <si>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</si>
  <si>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</si>
  <si>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</si>
  <si>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</si>
  <si>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</si>
  <si>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</si>
  <si>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</si>
  <si>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</si>
  <si>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</si>
  <si>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</si>
  <si>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</si>
  <si>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</si>
  <si>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</si>
  <si>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</si>
  <si>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</si>
  <si>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</si>
  <si>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</si>
  <si>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</si>
  <si>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</si>
  <si>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</si>
  <si>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</si>
  <si>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</si>
  <si>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</si>
  <si>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</si>
  <si>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</si>
  <si>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</si>
  <si>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</si>
  <si>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</si>
  <si>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</si>
  <si>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</si>
  <si>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</si>
  <si>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</si>
  <si>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</si>
  <si>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</si>
  <si>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</si>
  <si>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</si>
  <si>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</si>
  <si>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</si>
  <si>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</si>
  <si>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</si>
  <si>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</si>
  <si>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</si>
  <si>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</si>
  <si>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</si>
  <si>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</si>
  <si>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</si>
  <si>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</si>
  <si>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</si>
  <si>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</si>
  <si>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</si>
  <si>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</si>
  <si>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</si>
  <si>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</si>
  <si>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</si>
  <si>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</si>
  <si>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</si>
  <si>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</si>
  <si>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</si>
  <si>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</si>
  <si>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</si>
  <si>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</si>
  <si>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</si>
  <si>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</si>
  <si>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</si>
  <si>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</si>
  <si>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</si>
  <si>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</si>
  <si>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</si>
  <si>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</si>
  <si>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</si>
  <si>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</si>
  <si>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</si>
  <si>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</si>
  <si>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</si>
  <si>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</si>
  <si>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</si>
  <si>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</si>
  <si>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</si>
  <si>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</si>
  <si>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</si>
  <si>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</si>
  <si>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</si>
  <si>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</si>
  <si>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</si>
  <si>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</si>
  <si>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</si>
  <si>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</si>
  <si>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</si>
  <si>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</si>
  <si>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</si>
  <si>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</si>
  <si>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</si>
  <si>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</si>
  <si>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</si>
  <si>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</si>
  <si>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</si>
  <si>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</si>
  <si>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</si>
  <si>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</si>
  <si>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</si>
  <si>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</si>
  <si>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</si>
  <si>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</si>
  <si>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</si>
  <si>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</si>
  <si>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</si>
  <si>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</si>
  <si>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</si>
  <si>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</si>
  <si>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</si>
  <si>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</si>
  <si>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</si>
  <si>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</si>
  <si>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</si>
  <si>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</si>
  <si>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</si>
  <si>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</si>
  <si>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</si>
  <si>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</si>
  <si>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</si>
  <si>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</si>
  <si>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</si>
  <si>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</si>
  <si>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</si>
  <si>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</si>
  <si>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</si>
  <si>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</si>
  <si>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</si>
  <si>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</si>
  <si>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</si>
  <si>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</si>
  <si>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</si>
  <si>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</si>
  <si>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</si>
  <si>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</si>
  <si>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</si>
  <si>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</si>
  <si>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</si>
  <si>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</si>
  <si>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</si>
  <si>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</si>
  <si>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</si>
  <si>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</si>
  <si>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</si>
  <si>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</si>
  <si>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</si>
  <si>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</si>
  <si>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</si>
  <si>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</si>
  <si>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</si>
  <si>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</si>
  <si>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</si>
  <si>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</si>
  <si>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</si>
  <si>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</si>
  <si>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</si>
  <si>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</si>
  <si>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</si>
  <si>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</si>
  <si>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</si>
  <si>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</si>
  <si>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</si>
  <si>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</si>
  <si>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</si>
  <si>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</si>
  <si>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</si>
  <si>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</si>
  <si>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</si>
  <si>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</si>
  <si>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</si>
  <si>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</si>
  <si>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</si>
  <si>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</si>
  <si>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</si>
  <si>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</si>
  <si>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</si>
  <si>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</si>
  <si>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</si>
  <si>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</si>
  <si>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</si>
  <si>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</si>
  <si>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</si>
  <si>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</si>
  <si>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</si>
  <si>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</si>
  <si>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</si>
  <si>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</si>
  <si>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</si>
  <si>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</si>
  <si>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</si>
  <si>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</si>
  <si>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</si>
  <si>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</si>
  <si>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</si>
  <si>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</si>
  <si>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</si>
  <si>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</si>
  <si>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</si>
  <si>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</si>
  <si>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</si>
  <si>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</si>
  <si>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</si>
  <si>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</si>
  <si>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</si>
  <si>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</si>
  <si>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</si>
  <si>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</si>
  <si>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</si>
  <si>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</si>
  <si>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</si>
  <si>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</si>
  <si>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</si>
  <si>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</si>
  <si>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</si>
  <si>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</si>
  <si>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</si>
  <si>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</si>
  <si>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</si>
  <si>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</si>
  <si>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</si>
  <si>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</si>
  <si>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</si>
  <si>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</si>
  <si>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</si>
  <si>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</si>
  <si>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</si>
  <si>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</si>
  <si>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</si>
  <si>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</si>
  <si>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</si>
  <si>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</si>
  <si>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</si>
  <si>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</si>
  <si>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</si>
  <si>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</si>
  <si>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</si>
  <si>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</si>
  <si>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</si>
  <si>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</si>
  <si>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</si>
  <si>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</si>
  <si>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</si>
  <si>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</si>
  <si>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</si>
  <si>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</si>
  <si>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</si>
  <si>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</si>
  <si>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</si>
  <si>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</si>
  <si>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</si>
  <si>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</si>
  <si>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</si>
  <si>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</si>
  <si>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</si>
  <si>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</si>
  <si>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</si>
  <si>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</si>
  <si>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</si>
  <si>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</si>
  <si>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</si>
  <si>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</si>
  <si>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</si>
  <si>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</si>
  <si>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</si>
  <si>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</si>
  <si>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</si>
  <si>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</si>
  <si>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</si>
  <si>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</si>
  <si>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</si>
  <si>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</si>
  <si>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</si>
  <si>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</si>
  <si>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</si>
  <si>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</si>
  <si>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</si>
  <si>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</si>
  <si>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</si>
  <si>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</si>
  <si>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</si>
  <si>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</si>
  <si>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</si>
  <si>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</si>
  <si>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</si>
  <si>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</si>
  <si>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</si>
  <si>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</si>
  <si>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</si>
  <si>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</si>
  <si>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</si>
  <si>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</si>
  <si>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</si>
  <si>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</si>
  <si>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</si>
  <si>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</si>
  <si>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</si>
  <si>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</si>
  <si>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</si>
  <si>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</si>
  <si>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</si>
  <si>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</si>
  <si>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</si>
  <si>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</si>
  <si>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</si>
  <si>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</si>
  <si>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</si>
  <si>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</si>
  <si>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</si>
  <si>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</si>
  <si>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</si>
  <si>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</si>
  <si>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</si>
  <si>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</si>
  <si>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</si>
  <si>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</si>
  <si>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</si>
  <si>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</si>
  <si>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</si>
  <si>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</si>
  <si>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</si>
  <si>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</si>
  <si>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</si>
  <si>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</si>
  <si>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</si>
  <si>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</si>
  <si>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</si>
  <si>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</si>
  <si>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</si>
  <si>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</si>
  <si>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</si>
  <si>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</si>
  <si>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</si>
  <si>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</si>
  <si>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</si>
  <si>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</si>
  <si>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</si>
  <si>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</si>
  <si>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</si>
  <si>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</si>
  <si>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</si>
  <si>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</si>
  <si>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</si>
  <si>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</si>
  <si>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</si>
  <si>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</si>
  <si>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</si>
  <si>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</si>
  <si>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</si>
  <si>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</si>
  <si>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</si>
  <si>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</si>
  <si>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</si>
  <si>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</si>
  <si>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</si>
  <si>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</si>
  <si>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</si>
  <si>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</si>
  <si>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</si>
  <si>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</si>
  <si>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</si>
  <si>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</si>
  <si>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</si>
  <si>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</si>
  <si>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</si>
  <si>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</si>
  <si>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</si>
  <si>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</si>
  <si>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</si>
  <si>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</si>
  <si>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</si>
  <si>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</si>
  <si>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</si>
  <si>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</si>
  <si>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</si>
  <si>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</si>
  <si>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</si>
  <si>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</si>
  <si>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</si>
  <si>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</si>
  <si>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</si>
  <si>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</si>
  <si>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</si>
  <si>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</si>
  <si>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</si>
  <si>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</si>
  <si>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</si>
  <si>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</si>
  <si>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</si>
  <si>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</si>
  <si>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</si>
  <si>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</si>
  <si>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</si>
  <si>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</si>
  <si>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</si>
  <si>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</si>
  <si>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</si>
  <si>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</si>
  <si>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</si>
  <si>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</si>
  <si>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</si>
  <si>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</si>
  <si>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</si>
  <si>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</si>
  <si>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</si>
  <si>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</si>
  <si>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</si>
  <si>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</si>
  <si>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</si>
  <si>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</si>
  <si>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</si>
  <si>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</si>
  <si>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</si>
  <si>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</si>
  <si>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</si>
  <si>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</si>
  <si>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</si>
  <si>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</si>
  <si>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</si>
  <si>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</si>
  <si>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</si>
  <si>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</si>
  <si>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</si>
  <si>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</si>
  <si>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</si>
  <si>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</si>
  <si>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</si>
  <si>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</si>
  <si>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</si>
  <si>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</si>
  <si>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</si>
  <si>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</si>
  <si>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</si>
  <si>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</si>
  <si>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</si>
  <si>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</si>
  <si>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</si>
  <si>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</si>
  <si>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</si>
  <si>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</si>
  <si>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</si>
  <si>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</si>
  <si>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</si>
  <si>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</si>
  <si>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</si>
  <si>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</si>
  <si>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</si>
  <si>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</si>
  <si>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</si>
  <si>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</si>
  <si>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</si>
  <si>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</si>
  <si>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</si>
  <si>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</si>
  <si>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</si>
  <si>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</si>
  <si>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</si>
  <si>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</si>
  <si>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</si>
  <si>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</si>
  <si>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</si>
  <si>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</si>
  <si>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</si>
  <si>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</si>
  <si>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</si>
  <si>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</si>
  <si>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</si>
  <si>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</si>
  <si>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</si>
  <si>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</si>
  <si>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</si>
  <si>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</si>
  <si>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</si>
  <si>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</si>
  <si>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</si>
  <si>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</si>
  <si>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</si>
  <si>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</si>
  <si>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</si>
  <si>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</si>
  <si>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</si>
  <si>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</si>
  <si>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</si>
  <si>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</si>
  <si>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</si>
  <si>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</si>
  <si>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</si>
  <si>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</si>
  <si>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</si>
  <si>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</si>
  <si>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</si>
  <si>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</si>
  <si>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</si>
  <si>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</si>
  <si>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</si>
  <si>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</si>
  <si>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</si>
  <si>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</si>
  <si>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</si>
  <si>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</si>
  <si>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</si>
  <si>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</si>
  <si>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</si>
  <si>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</si>
  <si>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</si>
  <si>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</si>
  <si>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</si>
  <si>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</si>
  <si>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</si>
  <si>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</si>
  <si>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</si>
  <si>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</si>
  <si>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</si>
  <si>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</si>
  <si>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</si>
  <si>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</si>
  <si>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</si>
  <si>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</si>
  <si>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</si>
  <si>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</si>
  <si>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</si>
  <si>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</si>
  <si>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</si>
  <si>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</si>
  <si>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</si>
  <si>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</si>
  <si>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</si>
  <si>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</si>
  <si>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</si>
  <si>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</si>
  <si>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</si>
  <si>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</si>
  <si>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</si>
  <si>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</si>
  <si>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</si>
  <si>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</si>
  <si>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</si>
  <si>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</si>
  <si>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</si>
  <si>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</si>
  <si>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</si>
  <si>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</si>
  <si>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</si>
  <si>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</si>
  <si>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</si>
  <si>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</si>
  <si>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</si>
  <si>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</si>
  <si>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</si>
  <si>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</si>
  <si>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</si>
  <si>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</si>
  <si>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</si>
  <si>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</si>
  <si>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</si>
  <si>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</si>
  <si>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</si>
  <si>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</si>
  <si>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</si>
  <si>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</si>
  <si>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</si>
  <si>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</si>
  <si>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</si>
  <si>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</si>
  <si>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</si>
  <si>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</si>
  <si>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</si>
  <si>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</si>
  <si>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</si>
  <si>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</si>
  <si>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</si>
  <si>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</si>
  <si>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</si>
  <si>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</si>
  <si>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</si>
  <si>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</si>
  <si>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</si>
  <si>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</si>
  <si>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</si>
  <si>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</si>
  <si>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</si>
  <si>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</si>
  <si>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</si>
  <si>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</si>
  <si>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</si>
  <si>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</si>
  <si>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</si>
  <si>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</si>
  <si>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</si>
  <si>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</si>
  <si>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</si>
  <si>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</si>
  <si>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</si>
  <si>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</si>
  <si>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</si>
  <si>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</si>
  <si>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</si>
  <si>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</si>
  <si>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</si>
  <si>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</si>
  <si>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</si>
  <si>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</si>
  <si>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</si>
  <si>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</si>
  <si>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</si>
  <si>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</si>
  <si>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</si>
  <si>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</si>
  <si>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</si>
  <si>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</si>
  <si>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</si>
  <si>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</si>
  <si>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</si>
  <si>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</si>
  <si>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</si>
  <si>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</si>
  <si>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</si>
  <si>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</si>
  <si>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</si>
  <si>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</si>
  <si>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</si>
  <si>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</si>
  <si>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</si>
  <si>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</si>
  <si>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</si>
  <si>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</si>
  <si>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</si>
  <si>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</si>
  <si>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</si>
  <si>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</si>
  <si>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</si>
  <si>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</si>
  <si>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</si>
  <si>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</si>
  <si>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</si>
  <si>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</si>
  <si>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</si>
  <si>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</si>
  <si>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</si>
  <si>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</si>
  <si>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</si>
  <si>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</si>
  <si>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</si>
  <si>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</si>
  <si>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</si>
  <si>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</si>
  <si>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</si>
  <si>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</si>
  <si>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</si>
  <si>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</si>
  <si>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</si>
  <si>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</si>
  <si>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</si>
  <si>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</si>
  <si>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</si>
  <si>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</si>
  <si>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</si>
  <si>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</si>
  <si>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</si>
  <si>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</si>
  <si>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</si>
  <si>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</si>
  <si>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</si>
  <si>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</si>
  <si>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</si>
  <si>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</si>
  <si>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</si>
  <si>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</si>
  <si>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</si>
  <si>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</si>
  <si>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</si>
  <si>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</si>
  <si>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</si>
  <si>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</si>
  <si>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</si>
  <si>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</si>
  <si>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</si>
  <si>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</si>
  <si>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</si>
  <si>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</si>
  <si>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</si>
  <si>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</si>
  <si>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</si>
  <si>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</si>
  <si>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</si>
  <si>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</si>
  <si>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</si>
  <si>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</si>
  <si>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</si>
  <si>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</si>
  <si>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</si>
  <si>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</si>
  <si>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</si>
  <si>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</si>
  <si>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</si>
  <si>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</si>
  <si>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</si>
  <si>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</si>
  <si>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</si>
  <si>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</si>
  <si>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</si>
  <si>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</si>
  <si>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</si>
  <si>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</si>
  <si>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</si>
  <si>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</si>
  <si>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</si>
  <si>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</si>
  <si>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</si>
  <si>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</si>
  <si>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</si>
  <si>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</si>
  <si>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</si>
  <si>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</si>
  <si>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</si>
  <si>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</si>
  <si>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</si>
  <si>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</si>
  <si>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</si>
  <si>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</si>
  <si>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</si>
  <si>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</si>
  <si>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</si>
  <si>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</si>
  <si>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</si>
  <si>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</si>
  <si>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</si>
  <si>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</si>
  <si>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</si>
  <si>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</si>
  <si>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</si>
  <si>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</si>
  <si>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</si>
  <si>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</si>
  <si>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</si>
  <si>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</si>
  <si>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</si>
  <si>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</si>
  <si>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</si>
  <si>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</si>
  <si>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</si>
  <si>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</si>
  <si>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</si>
  <si>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</si>
  <si>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</si>
  <si>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</si>
  <si>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</si>
  <si>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</si>
  <si>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</si>
  <si>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</si>
  <si>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</si>
  <si>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</si>
  <si>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</si>
  <si>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</si>
  <si>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</si>
  <si>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</si>
  <si>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</si>
  <si>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</si>
  <si>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</si>
  <si>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</si>
  <si>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</si>
  <si>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</si>
  <si>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</si>
  <si>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</si>
  <si>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</si>
  <si>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</si>
  <si>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</si>
  <si>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</si>
  <si>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</si>
  <si>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</si>
  <si>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</si>
  <si>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</si>
  <si>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</si>
  <si>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</si>
  <si>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</si>
  <si>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</si>
  <si>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</si>
  <si>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</si>
  <si>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</si>
  <si>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</si>
  <si>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</si>
  <si>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</si>
  <si>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</si>
  <si>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</si>
  <si>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</si>
  <si>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</si>
  <si>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</si>
  <si>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</si>
  <si>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</si>
  <si>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</si>
  <si>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</si>
  <si>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</si>
  <si>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</si>
  <si>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</si>
  <si>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</si>
  <si>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</si>
  <si>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</si>
  <si>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</si>
  <si>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</si>
  <si>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</si>
  <si>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</si>
  <si>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</si>
  <si>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</si>
  <si>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</si>
  <si>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</si>
  <si>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</si>
  <si>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</si>
  <si>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</si>
  <si>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</si>
  <si>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</si>
  <si>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</si>
  <si>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</si>
  <si>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</si>
  <si>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</si>
  <si>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</si>
  <si>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</si>
  <si>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</si>
  <si>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</si>
  <si>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</si>
  <si>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</si>
  <si>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</si>
  <si>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</si>
  <si>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</si>
  <si>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</si>
  <si>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</si>
  <si>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</si>
  <si>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</si>
  <si>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</si>
  <si>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</si>
  <si>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</si>
  <si>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</si>
  <si>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</si>
  <si>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</si>
  <si>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</si>
  <si>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</si>
  <si>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</si>
  <si>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</si>
  <si>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</si>
  <si>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</si>
  <si>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</si>
  <si>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</si>
  <si>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</si>
  <si>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</si>
  <si>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</si>
  <si>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</si>
  <si>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</si>
  <si>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</si>
  <si>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</si>
  <si>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</si>
  <si>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</si>
  <si>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</si>
  <si>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</si>
  <si>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</si>
  <si>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</si>
  <si>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</si>
  <si>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</si>
  <si>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</si>
  <si>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</si>
  <si>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</si>
  <si>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</si>
  <si>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</si>
  <si>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</si>
  <si>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</si>
  <si>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</si>
  <si>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</si>
  <si>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</si>
  <si>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</si>
  <si>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</si>
  <si>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</si>
  <si>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</si>
  <si>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</si>
  <si>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</si>
  <si>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</si>
  <si>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</si>
  <si>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</si>
  <si>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</si>
  <si>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</si>
  <si>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</si>
  <si>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</si>
  <si>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</si>
  <si>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</si>
  <si>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</si>
  <si>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</si>
  <si>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</si>
  <si>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</si>
  <si>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</si>
  <si>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</si>
  <si>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</si>
  <si>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</si>
  <si>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</si>
  <si>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</si>
  <si>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</si>
  <si>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</si>
  <si>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</si>
  <si>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</si>
  <si>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</si>
  <si>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</si>
  <si>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</si>
  <si>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</si>
  <si>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</si>
  <si>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</si>
  <si>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</si>
  <si>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</si>
  <si>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</si>
  <si>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</si>
  <si>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</si>
  <si>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</si>
  <si>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</si>
  <si>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</si>
  <si>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</si>
  <si>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</si>
  <si>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</si>
  <si>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</si>
  <si>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</si>
  <si>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</si>
  <si>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</si>
  <si>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</si>
  <si>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</si>
  <si>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</si>
  <si>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</si>
  <si>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</si>
  <si>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</si>
  <si>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</si>
  <si>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</si>
  <si>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</si>
  <si>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</si>
  <si>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</si>
  <si>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</si>
  <si>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</si>
  <si>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</si>
  <si>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</si>
  <si>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</si>
  <si>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</si>
  <si>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</si>
  <si>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</si>
  <si>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</si>
  <si>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</si>
  <si>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</si>
  <si>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</si>
  <si>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</si>
  <si>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</si>
  <si>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</si>
  <si>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</si>
  <si>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</si>
  <si>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</si>
  <si>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</si>
  <si>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</si>
  <si>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</si>
  <si>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</si>
  <si>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</si>
  <si>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</si>
  <si>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</si>
  <si>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</si>
  <si>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</si>
  <si>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</si>
  <si>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</si>
  <si>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</si>
  <si>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</si>
  <si>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</si>
  <si>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</si>
  <si>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</si>
  <si>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</si>
  <si>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</si>
  <si>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</si>
  <si>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</si>
  <si>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</si>
  <si>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</si>
  <si>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</si>
  <si>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</si>
  <si>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</si>
  <si>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</si>
  <si>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</si>
  <si>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</si>
  <si>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</si>
  <si>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</si>
  <si>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</si>
  <si>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</si>
  <si>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</si>
  <si>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</si>
  <si>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</si>
  <si>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</si>
  <si>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</si>
  <si>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</si>
  <si>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</si>
  <si>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</si>
  <si>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</si>
  <si>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</si>
  <si>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</si>
  <si>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</si>
  <si>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</si>
  <si>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</si>
  <si>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</si>
  <si>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</si>
  <si>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</si>
  <si>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</si>
  <si>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</si>
  <si>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</si>
  <si>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</si>
  <si>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</si>
  <si>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</si>
  <si>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</si>
  <si>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</si>
  <si>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</si>
  <si>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</si>
  <si>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</si>
  <si>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</si>
  <si>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</si>
  <si>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</si>
  <si>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</si>
  <si>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</si>
  <si>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</si>
  <si>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</si>
  <si>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</si>
  <si>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</si>
  <si>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</si>
  <si>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</si>
  <si>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</si>
  <si>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</si>
  <si>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</si>
  <si>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</si>
  <si>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</si>
  <si>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</si>
  <si>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</si>
  <si>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</si>
  <si>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</si>
  <si>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</si>
  <si>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</si>
  <si>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</si>
  <si>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</si>
  <si>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</si>
  <si>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</si>
  <si>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</si>
  <si>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</si>
  <si>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</si>
  <si>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</si>
  <si>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</si>
  <si>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</si>
  <si>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</si>
  <si>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</si>
  <si>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</si>
  <si>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</si>
  <si>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</si>
  <si>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</si>
  <si>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</si>
  <si>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</si>
  <si>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</si>
  <si>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</si>
  <si>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</si>
  <si>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</si>
  <si>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</si>
  <si>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</si>
  <si>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</si>
  <si>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</si>
  <si>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</si>
  <si>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</si>
  <si>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</si>
  <si>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</si>
  <si>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</si>
  <si>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</si>
  <si>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</si>
  <si>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</si>
  <si>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</si>
  <si>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</si>
  <si>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</si>
  <si>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</si>
  <si>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</si>
  <si>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</si>
  <si>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</si>
  <si>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</si>
  <si>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</si>
  <si>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</si>
  <si>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</si>
  <si>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</si>
  <si>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</si>
  <si>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</si>
  <si>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</si>
  <si>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</si>
  <si>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</si>
  <si>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</si>
  <si>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</si>
  <si>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</si>
  <si>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</si>
  <si>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</si>
  <si>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</si>
  <si>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</si>
  <si>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</si>
  <si>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</si>
  <si>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</si>
  <si>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</si>
  <si>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</si>
  <si>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</si>
  <si>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</si>
  <si>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</si>
  <si>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</si>
  <si>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</si>
  <si>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</si>
  <si>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</si>
  <si>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</si>
  <si>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</si>
  <si>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</si>
  <si>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</si>
  <si>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</si>
  <si>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</si>
  <si>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</si>
  <si>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</si>
  <si>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</si>
  <si>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</si>
  <si>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</si>
  <si>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</si>
  <si>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</si>
  <si>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</si>
  <si>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</si>
  <si>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</si>
  <si>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</si>
  <si>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</si>
  <si>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</si>
  <si>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</si>
  <si>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</si>
  <si>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</si>
  <si>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</si>
  <si>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</si>
  <si>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</si>
  <si>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</si>
  <si>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</si>
  <si>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</si>
  <si>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</si>
  <si>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</si>
  <si>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</si>
  <si>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</si>
  <si>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</si>
  <si>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</si>
  <si>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</si>
  <si>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</si>
  <si>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</si>
  <si>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</si>
  <si>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</si>
  <si>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</si>
  <si>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</si>
  <si>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</si>
  <si>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</si>
  <si>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</si>
  <si>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</si>
  <si>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</si>
  <si>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</si>
  <si>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</si>
  <si>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</si>
  <si>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</si>
  <si>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</si>
  <si>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</si>
  <si>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</si>
  <si>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</si>
  <si>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</si>
  <si>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</si>
  <si>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</si>
  <si>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</si>
  <si>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</si>
  <si>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</si>
  <si>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</si>
  <si>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</si>
  <si>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</si>
  <si>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</si>
  <si>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</si>
  <si>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</si>
  <si>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</si>
  <si>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</si>
  <si>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</si>
  <si>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</si>
  <si>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</si>
  <si>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</si>
  <si>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</si>
  <si>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</si>
  <si>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</si>
  <si>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</si>
  <si>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</si>
  <si>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</si>
  <si>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</si>
  <si>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</si>
  <si>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</si>
  <si>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</si>
  <si>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</si>
  <si>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</si>
  <si>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</si>
  <si>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</si>
  <si>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Outcome</t>
  </si>
  <si>
    <t>Brackers_count</t>
  </si>
  <si>
    <t>Goal</t>
  </si>
  <si>
    <t>Number Successful</t>
  </si>
  <si>
    <t>Number Failed</t>
  </si>
  <si>
    <t>Number Canceled</t>
  </si>
  <si>
    <t>Percentage Successful</t>
  </si>
  <si>
    <t>Percantage Failed</t>
  </si>
  <si>
    <t>Pecentage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</si>
  <si>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</si>
  <si>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</si>
  <si>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</si>
  <si>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</si>
  <si>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</si>
  <si>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</si>
  <si>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</si>
  <si>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</si>
  <si>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</si>
  <si>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</si>
  <si>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</si>
  <si>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</si>
  <si>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mean</t>
  </si>
  <si>
    <t>median</t>
  </si>
  <si>
    <t>min number</t>
  </si>
  <si>
    <t>max number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</si>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</sst>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quotePrefix="1"/>
    <xf numFmtId="9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002060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DA0000"/>
      <color rgb="FF009BD2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[crowdfunding_project.xlsx]outcome_as_subparent!PivotTable2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outcome_as_subparent!$B$3:$B$4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outcome_as_subparent!$A$5:$A$29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outcome_as_subparent!$B$5:$B$29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5-4987-8322-2DACED83F98D}"/>
            </c:ext>
          </c:extLst>
        </c:ser>
        <c:ser>
          <c:idx val="1"/>
          <c:order val="1"/>
          <c:tx>
            <c:strRef>
              <c:f>outcome_as_subparent!$C$3:$C$4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outcome_as_subparent!$A$5:$A$29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outcome_as_subparent!$C$5:$C$29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5-4987-8322-2DACED83F98D}"/>
            </c:ext>
          </c:extLst>
        </c:ser>
        <c:ser>
          <c:idx val="2"/>
          <c:order val="2"/>
          <c:tx>
            <c:strRef>
              <c:f>outcome_as_subparent!$D$3:$D$4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outcome_as_subparent!$A$5:$A$29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outcome_as_subparent!$D$5:$D$29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5-4987-8322-2DACED83F98D}"/>
            </c:ext>
          </c:extLst>
        </c:ser>
        <c:ser>
          <c:idx val="3"/>
          <c:order val="3"/>
          <c:tx>
            <c:strRef>
              <c:f>outcome_as_subparent!$E$3:$E$4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outcome_as_subparent!$A$5:$A$29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outcome_as_subparent!$E$5:$E$29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5-4987-8322-2DACED83F9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187104"/>
        <c:axId val="105185856"/>
      </c:barChart>
      <c:catAx>
        <c:axId val="1051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5856"/>
        <c:crosses val="autoZero"/>
        <c:auto val="1"/>
        <c:lblAlgn val="ctr"/>
        <c:lblOffset val="100"/>
        <c:noMultiLvlLbl val="0"/>
      </c:catAx>
      <c:valAx>
        <c:axId val="1051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[crowdfunding_project.xlsx]outcome_as_parentcategory!PivotTable1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outcome_as_parentcategory!$B$3:$B$4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outcome_as_parentcategory!$A$5:$A$14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outcome_as_parentcategory!$B$5:$B$14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D-4717-8D39-6F63F6760032}"/>
            </c:ext>
          </c:extLst>
        </c:ser>
        <c:ser>
          <c:idx val="1"/>
          <c:order val="1"/>
          <c:tx>
            <c:strRef>
              <c:f>outcome_as_parentcategory!$C$3:$C$4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outcome_as_parentcategory!$A$5:$A$14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outcome_as_parentcategory!$C$5:$C$14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D-4717-8D39-6F63F6760032}"/>
            </c:ext>
          </c:extLst>
        </c:ser>
        <c:ser>
          <c:idx val="2"/>
          <c:order val="2"/>
          <c:tx>
            <c:strRef>
              <c:f>outcome_as_parentcategory!$D$3:$D$4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outcome_as_parentcategory!$A$5:$A$14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outcome_as_parentcategory!$D$5:$D$14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D-4717-8D39-6F63F6760032}"/>
            </c:ext>
          </c:extLst>
        </c:ser>
        <c:ser>
          <c:idx val="3"/>
          <c:order val="3"/>
          <c:tx>
            <c:strRef>
              <c:f>outcome_as_parentcategory!$E$3:$E$4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outcome_as_parentcategory!$A$5:$A$14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outcome_as_parentcategory!$E$5:$E$14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D-4717-8D39-6F63F67600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615056"/>
        <c:axId val="1776614640"/>
      </c:barChart>
      <c:catAx>
        <c:axId val="177661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14640"/>
        <c:crosses val="autoZero"/>
        <c:auto val="1"/>
        <c:lblAlgn val="ctr"/>
        <c:lblOffset val="100"/>
        <c:noMultiLvlLbl val="0"/>
      </c:catAx>
      <c:valAx>
        <c:axId val="17766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[crowdfunding_project.xlsx]outcome_as_month!PivotTable3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595759907314467E-2"/>
          <c:y val="0.17975694214693752"/>
          <c:w val="0.73129626298554984"/>
          <c:h val="0.67249001962989918"/>
        </c:manualLayout>
      </c:layout>
      <c:lineChart>
        <c:grouping val="standard"/>
        <c:varyColors val="0"/>
        <c:ser>
          <c:idx val="0"/>
          <c:order val="0"/>
          <c:tx>
            <c:strRef>
              <c:f>outcome_as_month!$B$4:$B$5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outcome_as_month!$A$6:$A$18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outcome_as_month!$B$6:$B$18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2-4E2A-BD50-71C98C06C117}"/>
            </c:ext>
          </c:extLst>
        </c:ser>
        <c:ser>
          <c:idx val="1"/>
          <c:order val="1"/>
          <c:tx>
            <c:strRef>
              <c:f>outcome_as_month!$C$4:$C$5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outcome_as_month!$A$6:$A$18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outcome_as_month!$C$6:$C$18</c:f>
              <c:numCache>
                <c:formatCode>General</c:formatCode>
                <c:ptCount val="12"/>
                <c:pt idx="0">
                  <c:v>37</c:v>
                </c:pt>
                <c:pt idx="1">
                  <c:v>24</c:v>
                </c:pt>
                <c:pt idx="2">
                  <c:v>35</c:v>
                </c:pt>
                <c:pt idx="3">
                  <c:v>25</c:v>
                </c:pt>
                <c:pt idx="4">
                  <c:v>35</c:v>
                </c:pt>
                <c:pt idx="5">
                  <c:v>35</c:v>
                </c:pt>
                <c:pt idx="6">
                  <c:v>29</c:v>
                </c:pt>
                <c:pt idx="7">
                  <c:v>35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A2-4E2A-BD50-71C98C06C117}"/>
            </c:ext>
          </c:extLst>
        </c:ser>
        <c:ser>
          <c:idx val="2"/>
          <c:order val="2"/>
          <c:tx>
            <c:strRef>
              <c:f>outcome_as_month!$D$4:$D$5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outcome_as_month!$A$6:$A$18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outcome_as_month!$D$6:$D$18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A2-4E2A-BD50-71C98C06C117}"/>
            </c:ext>
          </c:extLst>
        </c:ser>
        <c:ser>
          <c:idx val="3"/>
          <c:order val="3"/>
          <c:tx>
            <c:strRef>
              <c:f>outcome_as_month!$E$4:$E$5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outcome_as_month!$A$6:$A$18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outcome_as_month!$E$6:$E$18</c:f>
              <c:numCache>
                <c:formatCode>General</c:formatCode>
                <c:ptCount val="12"/>
                <c:pt idx="0">
                  <c:v>62</c:v>
                </c:pt>
                <c:pt idx="1">
                  <c:v>49</c:v>
                </c:pt>
                <c:pt idx="2">
                  <c:v>45</c:v>
                </c:pt>
                <c:pt idx="3">
                  <c:v>49</c:v>
                </c:pt>
                <c:pt idx="4">
                  <c:v>44</c:v>
                </c:pt>
                <c:pt idx="5">
                  <c:v>44</c:v>
                </c:pt>
                <c:pt idx="6">
                  <c:v>58</c:v>
                </c:pt>
                <c:pt idx="7">
                  <c:v>35</c:v>
                </c:pt>
                <c:pt idx="8">
                  <c:v>43</c:v>
                </c:pt>
                <c:pt idx="9">
                  <c:v>41</c:v>
                </c:pt>
                <c:pt idx="10">
                  <c:v>46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A2-4E2A-BD50-71C98C06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09072"/>
        <c:axId val="86408240"/>
      </c:lineChart>
      <c:catAx>
        <c:axId val="864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8240"/>
        <c:crosses val="autoZero"/>
        <c:auto val="1"/>
        <c:lblAlgn val="ctr"/>
        <c:lblOffset val="100"/>
        <c:noMultiLvlLbl val="0"/>
      </c:catAx>
      <c:valAx>
        <c:axId val="864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 Sheet'!$F$1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'Bonus Sheet'!$F$2:$F$12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9-47F5-B80A-5F84898EFFFD}"/>
            </c:ext>
          </c:extLst>
        </c:ser>
        <c:ser>
          <c:idx val="5"/>
          <c:order val="5"/>
          <c:tx>
            <c:strRef>
              <c:f>'Bonus Sheet'!$G$1</c:f>
              <c:strCache>
                <c:ptCount val="1"/>
                <c:pt idx="0">
                  <c:v>Percantage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'Bonus Sheet'!$G$2:$G$12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99-47F5-B80A-5F84898EFFFD}"/>
            </c:ext>
          </c:extLst>
        </c:ser>
        <c:ser>
          <c:idx val="6"/>
          <c:order val="6"/>
          <c:tx>
            <c:strRef>
              <c:f>'Bonus Sheet'!$H$1</c:f>
              <c:strCache>
                <c:ptCount val="1"/>
                <c:pt idx="0">
                  <c:v>Pecentage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'Bonus Sheet'!$H$2:$H$12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99-47F5-B80A-5F84898E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88800"/>
        <c:axId val="586787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Sheet'!$B$1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Sheet'!$A$2:$A$12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Sheet'!$B$2:$B$12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18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99-47F5-B80A-5F84898EFFF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Sheet'!$C$2:$C$12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99-47F5-B80A-5F84898EFF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Sheet'!$D$2:$D$12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99-47F5-B80A-5F84898EFF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Sheet'!$E$2:$E$12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21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99-47F5-B80A-5F84898EFFFD}"/>
                  </c:ext>
                </c:extLst>
              </c15:ser>
            </c15:filteredLineSeries>
          </c:ext>
        </c:extLst>
      </c:lineChart>
      <c:catAx>
        <c:axId val="5867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87136"/>
        <c:crosses val="autoZero"/>
        <c:auto val="1"/>
        <c:lblAlgn val="ctr"/>
        <c:lblOffset val="100"/>
        <c:noMultiLvlLbl val="0"/>
      </c:catAx>
      <c:valAx>
        <c:axId val="5867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4</xdr:row>
      <xdr:rowOff>114300</xdr:rowOff>
    </xdr:from>
    <xdr:to>
      <xdr:col>14</xdr:col>
      <xdr:colOff>617220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A61CD-65B0-56F5-336D-A9EC91B6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3</xdr:row>
      <xdr:rowOff>121920</xdr:rowOff>
    </xdr:from>
    <xdr:to>
      <xdr:col>13</xdr:col>
      <xdr:colOff>373380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B890B-A866-8409-6B6C-8EF9F27EF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2</xdr:row>
      <xdr:rowOff>129540</xdr:rowOff>
    </xdr:from>
    <xdr:to>
      <xdr:col>14</xdr:col>
      <xdr:colOff>76200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82D57-107B-8749-5E6D-4292E9DF2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750570</xdr:colOff>
      <xdr:row>13</xdr:row>
      <xdr:rowOff>7620</xdr:rowOff>
    </xdr:from>
    <xdr:to>
      <xdr:col>7</xdr:col>
      <xdr:colOff>906780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AD6C3-286A-84FB-35B6-14E57E509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ali" refreshedDate="44864.606318171296" createdVersion="8" refreshedVersion="8" minRefreshableVersion="3" recordCount="1000" xr:uid="{1BA05888-C9C5-4301-A0F9-D1EA0BDA108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1970-01-01T00:00:00" maxDate="2020-01-27T06:00:00" count="866">
        <d v="2015-11-28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9-10-22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4-08-19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9-01-20T06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3-09-19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</sharedItems>
      <fieldGroup par="21" base="12">
        <rangePr groupBy="months" startDate="1970-01-01T00:00:00" endDate="2020-01-27T06:00:00"/>
        <groupItems count="14">
          <s v="&lt;1970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1970-01-01T00:00:00" endDate="2020-01-27T06:00:00"/>
        <groupItems count="6">
          <s v="&lt;1970-01-01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1970-01-01T00:00:00" endDate="2020-01-27T06:00:00"/>
        <groupItems count="53">
          <s v="&lt;1970-01-01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Number Successful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x v="29"/>
    <n v="1523941200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x v="78"/>
    <n v="1529557200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x v="79"/>
    <n v="150657480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x v="80"/>
    <n v="1513576800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x v="81"/>
    <n v="1548309600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x v="82"/>
    <n v="1471582800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x v="83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x v="84"/>
    <n v="1316408400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x v="85"/>
    <n v="1431838800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x v="86"/>
    <n v="1300510800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x v="87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x v="88"/>
    <n v="1271480400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x v="89"/>
    <n v="145638000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x v="9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x v="91"/>
    <n v="1277355600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x v="92"/>
    <n v="1351054800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x v="93"/>
    <n v="1555563600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x v="94"/>
    <n v="1571634000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x v="95"/>
    <n v="1300856400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x v="96"/>
    <n v="1439874000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x v="14"/>
    <n v="1526878800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x v="101"/>
    <n v="1288674000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x v="102"/>
    <n v="1495602000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x v="103"/>
    <n v="1366434000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x v="104"/>
    <n v="1568350800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x v="105"/>
    <n v="1525928400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x v="106"/>
    <n v="1336885200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x v="107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x v="108"/>
    <n v="1538283600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x v="109"/>
    <n v="134880840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x v="110"/>
    <n v="1410152400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x v="111"/>
    <n v="1505797200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x v="112"/>
    <n v="1554872400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x v="113"/>
    <n v="1513922400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x v="114"/>
    <n v="1442638800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x v="115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x v="116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x v="117"/>
    <n v="1404363600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x v="118"/>
    <n v="1429592400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x v="119"/>
    <n v="1413608400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x v="88"/>
    <n v="1448604000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x v="121"/>
    <n v="1562302800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x v="122"/>
    <n v="1537678800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x v="123"/>
    <n v="1473570000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x v="124"/>
    <n v="1273899600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x v="125"/>
    <n v="1284008400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x v="126"/>
    <n v="1425103200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x v="127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x v="128"/>
    <n v="1386828000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x v="129"/>
    <n v="151711920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x v="130"/>
    <n v="1315026000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x v="131"/>
    <n v="1312693200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x v="132"/>
    <n v="1363064400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x v="133"/>
    <n v="1403154000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x v="134"/>
    <n v="1286859600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x v="135"/>
    <n v="1349326800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x v="136"/>
    <n v="1430974800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x v="137"/>
    <n v="1519970400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x v="138"/>
    <n v="1434603600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x v="139"/>
    <n v="1337230800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x v="154"/>
    <n v="1291960800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x v="174"/>
    <n v="1506747600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x v="175"/>
    <n v="1363582800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x v="176"/>
    <n v="1269666000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x v="133"/>
    <n v="1508648400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x v="177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x v="178"/>
    <n v="128513160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x v="179"/>
    <n v="1556946000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x v="180"/>
    <n v="1527138000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x v="181"/>
    <n v="1402117200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x v="18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x v="183"/>
    <n v="1417586400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x v="184"/>
    <n v="1457071200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x v="185"/>
    <n v="1370408400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x v="186"/>
    <n v="1552626000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x v="187"/>
    <n v="1404190800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x v="188"/>
    <n v="152350920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x v="189"/>
    <n v="1443589200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x v="190"/>
    <n v="1533445200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x v="191"/>
    <n v="1474520400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x v="192"/>
    <n v="1499403600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x v="193"/>
    <n v="1283576400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x v="194"/>
    <n v="1436590800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x v="195"/>
    <n v="1270443600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x v="153"/>
    <n v="1463115600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x v="204"/>
    <n v="1490850000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x v="205"/>
    <n v="1379653200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x v="206"/>
    <n v="1580364000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x v="207"/>
    <n v="1289714400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x v="208"/>
    <n v="1282712400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x v="209"/>
    <n v="155021040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x v="210"/>
    <n v="1322114400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x v="211"/>
    <n v="1557205200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x v="212"/>
    <n v="1323928800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x v="213"/>
    <n v="1346130000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x v="214"/>
    <n v="1311051600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x v="175"/>
    <n v="1340427600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x v="215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x v="216"/>
    <n v="1459314000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x v="217"/>
    <n v="1415426400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x v="218"/>
    <n v="139909320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x v="219"/>
    <n v="1273899600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x v="220"/>
    <n v="1432184400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x v="221"/>
    <n v="1474779600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x v="222"/>
    <n v="1500440400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x v="223"/>
    <n v="1575612000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x v="48"/>
    <n v="1374123600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x v="224"/>
    <n v="1469509200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x v="225"/>
    <n v="1309237200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x v="226"/>
    <n v="1503982800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x v="227"/>
    <n v="1487397600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x v="228"/>
    <n v="156204360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x v="229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x v="230"/>
    <n v="1515391200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x v="231"/>
    <n v="1441170000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x v="232"/>
    <n v="1281157200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x v="117"/>
    <n v="1398229200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x v="233"/>
    <n v="1495256400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x v="234"/>
    <n v="1520402400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x v="235"/>
    <n v="1409806800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x v="236"/>
    <n v="1396933200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x v="237"/>
    <n v="1376024400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x v="238"/>
    <n v="148368240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x v="239"/>
    <n v="1420437600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x v="240"/>
    <n v="1420783200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x v="241"/>
    <n v="1267423200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x v="242"/>
    <n v="1355205600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x v="243"/>
    <n v="1383109200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x v="244"/>
    <n v="1303275600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x v="24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x v="246"/>
    <n v="1298268000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x v="247"/>
    <n v="1456812000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x v="248"/>
    <n v="1363669200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x v="249"/>
    <n v="148290480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x v="250"/>
    <n v="1356588000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x v="251"/>
    <n v="1349845200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x v="54"/>
    <n v="1263016800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x v="254"/>
    <n v="1362031200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x v="255"/>
    <n v="1455602400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x v="256"/>
    <n v="1418191200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x v="257"/>
    <n v="1352440800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x v="258"/>
    <n v="1353304800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x v="259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x v="260"/>
    <n v="1291442400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x v="261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x v="262"/>
    <n v="1564894800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x v="263"/>
    <n v="1505883600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x v="264"/>
    <n v="1510380000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x v="265"/>
    <n v="1555218000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x v="266"/>
    <n v="1335243600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x v="267"/>
    <n v="1279688400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x v="268"/>
    <n v="1356069600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x v="269"/>
    <n v="153621000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x v="270"/>
    <n v="1511762400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x v="271"/>
    <n v="1333256400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x v="272"/>
    <n v="1480744800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x v="228"/>
    <n v="1333429200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x v="225"/>
    <n v="1287032400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x v="282"/>
    <n v="1541570400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x v="169"/>
    <n v="1383976800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x v="283"/>
    <n v="1550556000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x v="284"/>
    <n v="1390456800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x v="285"/>
    <n v="1458018000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x v="286"/>
    <n v="1461819600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x v="287"/>
    <n v="150415560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x v="288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x v="289"/>
    <n v="1537074000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x v="290"/>
    <n v="1452578400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x v="291"/>
    <n v="1474088400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x v="292"/>
    <n v="1461906000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x v="60"/>
    <n v="1500267600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x v="293"/>
    <n v="1340686800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x v="294"/>
    <n v="1303189200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x v="295"/>
    <n v="1318309200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x v="296"/>
    <n v="12721716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x v="297"/>
    <n v="1298872800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x v="298"/>
    <n v="1383282000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x v="299"/>
    <n v="1330495200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x v="3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x v="13"/>
    <n v="1403413200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x v="301"/>
    <n v="1574229600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x v="302"/>
    <n v="1495861200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x v="303"/>
    <n v="1392530400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x v="304"/>
    <n v="1283662800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x v="305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x v="306"/>
    <n v="1302325200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x v="307"/>
    <n v="1291788000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x v="308"/>
    <n v="139606920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x v="309"/>
    <n v="1435899600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x v="310"/>
    <n v="1531112400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x v="311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x v="312"/>
    <n v="1567314000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x v="313"/>
    <n v="1544508000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x v="314"/>
    <n v="1482472800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x v="277"/>
    <n v="1512799200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x v="315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x v="316"/>
    <n v="1364533200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x v="317"/>
    <n v="1545112800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x v="318"/>
    <n v="1516168800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x v="319"/>
    <n v="157492080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x v="320"/>
    <n v="1292479200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x v="321"/>
    <n v="1573538400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x v="322"/>
    <n v="1320382800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x v="323"/>
    <n v="1502859600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x v="324"/>
    <n v="1323756000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x v="325"/>
    <n v="1441342800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x v="326"/>
    <n v="1375333200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x v="46"/>
    <n v="1389420000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x v="327"/>
    <n v="1520056800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x v="328"/>
    <n v="143650440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x v="329"/>
    <n v="1508302800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x v="330"/>
    <n v="1425708000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x v="331"/>
    <n v="1488348000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x v="332"/>
    <n v="1502600400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x v="333"/>
    <n v="1433653200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x v="334"/>
    <n v="1441602000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x v="335"/>
    <n v="1447567200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x v="336"/>
    <n v="1562389200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x v="337"/>
    <n v="1378789200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x v="338"/>
    <n v="1488520800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x v="339"/>
    <n v="132729840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x v="340"/>
    <n v="1443416400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x v="341"/>
    <n v="1534136400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x v="342"/>
    <n v="1315026000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x v="343"/>
    <n v="1295071200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x v="344"/>
    <n v="1509426000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x v="345"/>
    <n v="1299391200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x v="191"/>
    <n v="1522818000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x v="347"/>
    <n v="1485324000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x v="348"/>
    <n v="1294120800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x v="349"/>
    <n v="141568560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x v="350"/>
    <n v="1288933200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x v="351"/>
    <n v="1363237200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x v="352"/>
    <n v="1555822800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x v="353"/>
    <n v="1427778000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x v="268"/>
    <n v="1422424800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x v="354"/>
    <n v="1503637200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x v="355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x v="356"/>
    <n v="1449900000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x v="357"/>
    <n v="1405141200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x v="358"/>
    <n v="1572933600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x v="35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x v="36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x v="361"/>
    <n v="1372395600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x v="362"/>
    <n v="1437714000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x v="363"/>
    <n v="1509771600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x v="364"/>
    <n v="155055600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x v="106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x v="365"/>
    <n v="1556600400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x v="366"/>
    <n v="1278565200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x v="367"/>
    <n v="1339909200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x v="368"/>
    <n v="1325829600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x v="369"/>
    <n v="129057840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x v="370"/>
    <n v="1380344400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x v="258"/>
    <n v="1389852000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x v="371"/>
    <n v="1294466400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x v="372"/>
    <n v="1500354000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x v="373"/>
    <n v="1375938000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x v="374"/>
    <n v="1323410400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x v="375"/>
    <n v="1539406800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x v="376"/>
    <n v="1369803600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x v="377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x v="378"/>
    <n v="1297231200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x v="379"/>
    <n v="137853000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x v="380"/>
    <n v="1572152400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x v="381"/>
    <n v="1329890400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x v="382"/>
    <n v="1276750800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x v="97"/>
    <n v="1510898400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x v="383"/>
    <n v="1532408400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x v="384"/>
    <n v="1360562400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x v="385"/>
    <n v="1571547600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x v="386"/>
    <n v="1468126800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x v="387"/>
    <n v="1492837200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x v="388"/>
    <n v="1430197200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x v="401"/>
    <n v="1316840400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x v="402"/>
    <n v="1524546000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x v="403"/>
    <n v="1438578000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x v="404"/>
    <n v="1362549600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x v="405"/>
    <n v="1413349200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x v="406"/>
    <n v="1298008800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x v="407"/>
    <n v="1394427600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x v="408"/>
    <n v="1572670800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x v="409"/>
    <n v="1531112400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x v="410"/>
    <n v="1400734800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x v="411"/>
    <n v="138674160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x v="393"/>
    <n v="1481781600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x v="367"/>
    <n v="128746440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x v="420"/>
    <n v="1311656400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x v="421"/>
    <n v="1293170400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x v="422"/>
    <n v="1355983200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x v="423"/>
    <n v="1515045600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x v="424"/>
    <n v="1366088400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x v="425"/>
    <n v="1553317200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x v="426"/>
    <n v="1542088800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x v="296"/>
    <n v="1503118800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x v="427"/>
    <n v="1278478800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x v="428"/>
    <n v="1484114400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x v="429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x v="430"/>
    <n v="1318741200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x v="431"/>
    <n v="1518242400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x v="323"/>
    <n v="1476594000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x v="432"/>
    <n v="1273554000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x v="433"/>
    <n v="1421906400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x v="434"/>
    <n v="1281589200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x v="435"/>
    <n v="1400389200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x v="436"/>
    <n v="1362808800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x v="444"/>
    <n v="1482127200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x v="445"/>
    <n v="1335934800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x v="446"/>
    <n v="1556946000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x v="447"/>
    <n v="1530075600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x v="448"/>
    <n v="1418796000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x v="449"/>
    <n v="1372482000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x v="450"/>
    <n v="1534395600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x v="451"/>
    <n v="1311397200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x v="452"/>
    <n v="142691400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x v="453"/>
    <n v="1501477200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x v="454"/>
    <n v="1269061200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x v="455"/>
    <n v="1415772000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x v="456"/>
    <n v="1331013600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x v="457"/>
    <n v="1576735200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x v="53"/>
    <n v="1411362000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x v="426"/>
    <n v="1563685200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x v="62"/>
    <n v="1495515600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x v="459"/>
    <n v="145594800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x v="173"/>
    <n v="1282366800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x v="460"/>
    <n v="1574575200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x v="461"/>
    <n v="1374901200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x v="462"/>
    <n v="1278910800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x v="46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x v="161"/>
    <n v="1332478800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x v="464"/>
    <n v="1402722000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x v="465"/>
    <n v="1496811600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x v="175"/>
    <n v="1482213600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x v="466"/>
    <n v="142026480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x v="467"/>
    <n v="1458450000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x v="336"/>
    <n v="1369803600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x v="468"/>
    <n v="1363237200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x v="469"/>
    <n v="1345870800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x v="470"/>
    <n v="1437454800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x v="471"/>
    <n v="1432011600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x v="47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x v="473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x v="293"/>
    <n v="1369717200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x v="474"/>
    <n v="1534654800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x v="475"/>
    <n v="1337058000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x v="476"/>
    <n v="1529816400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x v="477"/>
    <n v="1564894800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x v="478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x v="479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x v="480"/>
    <n v="1386741600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x v="481"/>
    <n v="1324792800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x v="482"/>
    <n v="1284354000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x v="485"/>
    <n v="1421906400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x v="486"/>
    <n v="1555909200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x v="48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x v="488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x v="489"/>
    <n v="1268114400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x v="490"/>
    <n v="1273381200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x v="491"/>
    <n v="129083760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x v="492"/>
    <n v="1454306400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x v="493"/>
    <n v="1457762400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x v="494"/>
    <n v="1389074400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x v="495"/>
    <n v="1402117200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x v="496"/>
    <n v="1284440400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x v="497"/>
    <n v="1388988000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x v="498"/>
    <n v="1516946400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x v="499"/>
    <n v="1377752400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x v="500"/>
    <n v="1534568400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x v="501"/>
    <n v="1528606800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x v="502"/>
    <n v="12848724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x v="503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x v="504"/>
    <n v="1381208400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x v="505"/>
    <n v="1562475600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x v="506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x v="507"/>
    <n v="1436158800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x v="508"/>
    <n v="1456034400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x v="169"/>
    <n v="1380171600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x v="509"/>
    <n v="1453356000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x v="510"/>
    <n v="1578981600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x v="511"/>
    <n v="153741960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x v="505"/>
    <n v="1423202400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x v="498"/>
    <n v="1422511200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x v="515"/>
    <n v="1480312800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x v="516"/>
    <n v="1294034400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x v="391"/>
    <n v="1482645600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x v="517"/>
    <n v="1399093200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x v="34"/>
    <n v="131589000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x v="518"/>
    <n v="1444021200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x v="519"/>
    <n v="1460005200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x v="520"/>
    <n v="1470718800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x v="521"/>
    <n v="1325052000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x v="522"/>
    <n v="1319000400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x v="523"/>
    <n v="1552539600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x v="488"/>
    <n v="1543816800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x v="524"/>
    <n v="1427086800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x v="525"/>
    <n v="1323064800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x v="526"/>
    <n v="1458277200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x v="527"/>
    <n v="1405141200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x v="16"/>
    <n v="128305800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x v="133"/>
    <n v="1295762400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x v="528"/>
    <n v="1419573600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x v="529"/>
    <n v="1438750800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x v="530"/>
    <n v="1444798800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x v="531"/>
    <n v="1399179600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x v="532"/>
    <n v="1576562400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x v="533"/>
    <n v="1400821200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x v="534"/>
    <n v="1510984800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x v="535"/>
    <n v="1302066000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x v="445"/>
    <n v="1322978400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x v="536"/>
    <n v="1313730000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x v="537"/>
    <n v="1394085600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x v="538"/>
    <n v="130534920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x v="531"/>
    <n v="1434344400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x v="43"/>
    <n v="1331186400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x v="539"/>
    <n v="1336539600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x v="540"/>
    <n v="1269752400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x v="8"/>
    <n v="1291615200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x v="541"/>
    <n v="1552366800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x v="542"/>
    <n v="1272171600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x v="408"/>
    <n v="1436677200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x v="543"/>
    <n v="1420092000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x v="544"/>
    <n v="1279947600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x v="545"/>
    <n v="1402203600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x v="546"/>
    <n v="1396933200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x v="547"/>
    <n v="146726280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x v="548"/>
    <n v="1270530000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x v="549"/>
    <n v="1457762400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x v="550"/>
    <n v="1575525600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x v="551"/>
    <n v="1279083600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x v="552"/>
    <n v="1424412000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x v="553"/>
    <n v="1376197200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x v="554"/>
    <n v="1402894800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x v="555"/>
    <n v="1434430800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x v="494"/>
    <n v="1447394400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x v="560"/>
    <n v="1552197600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x v="561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x v="562"/>
    <n v="1356847200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x v="563"/>
    <n v="1375765200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x v="564"/>
    <n v="1289800800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x v="565"/>
    <n v="1504501200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x v="317"/>
    <n v="1485669600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x v="575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x v="576"/>
    <n v="1581314400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x v="577"/>
    <n v="1286427600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x v="578"/>
    <n v="1278738000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x v="579"/>
    <n v="1286427600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x v="580"/>
    <n v="1467954000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x v="581"/>
    <n v="155763720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x v="582"/>
    <n v="1553922000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x v="583"/>
    <n v="1416463200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x v="584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x v="585"/>
    <n v="1491627600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x v="316"/>
    <n v="1363150800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x v="586"/>
    <n v="1330754400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x v="587"/>
    <n v="1479794400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x v="588"/>
    <n v="1281243600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x v="58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x v="46"/>
    <n v="1453356000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x v="524"/>
    <n v="1539752400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x v="594"/>
    <n v="1364101200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x v="595"/>
    <n v="1525323600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x v="596"/>
    <n v="1500872400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x v="597"/>
    <n v="1288501200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x v="598"/>
    <n v="1407128400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x v="71"/>
    <n v="13943448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x v="599"/>
    <n v="1474088400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x v="600"/>
    <n v="1460264400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x v="601"/>
    <n v="1440824400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x v="602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x v="603"/>
    <n v="1514872800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x v="604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x v="605"/>
    <n v="1442898000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x v="16"/>
    <n v="1296194400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x v="606"/>
    <n v="1440910800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x v="607"/>
    <n v="1335502800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x v="608"/>
    <n v="1544680800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x v="609"/>
    <n v="128841480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x v="610"/>
    <n v="1330581600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x v="616"/>
    <n v="145741680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x v="617"/>
    <n v="1280898000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x v="618"/>
    <n v="1522472400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x v="619"/>
    <n v="1462510800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x v="620"/>
    <n v="1317790800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x v="621"/>
    <n v="156878280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x v="622"/>
    <n v="1349413200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x v="623"/>
    <n v="1472446800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x v="624"/>
    <n v="1548050400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x v="625"/>
    <n v="1571806800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x v="211"/>
    <n v="1576476000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x v="48"/>
    <n v="1324965600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x v="609"/>
    <n v="152307720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x v="630"/>
    <n v="1489554000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x v="140"/>
    <n v="1548482400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x v="631"/>
    <n v="1384063200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x v="248"/>
    <n v="1322892000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x v="632"/>
    <n v="1350709200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x v="229"/>
    <n v="1564203600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x v="554"/>
    <n v="1509685200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x v="633"/>
    <n v="1514959200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x v="634"/>
    <n v="1448863200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x v="635"/>
    <n v="142959240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x v="636"/>
    <n v="1522645200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x v="637"/>
    <n v="1323324000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x v="638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x v="639"/>
    <n v="1265695200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x v="640"/>
    <n v="1301806800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x v="641"/>
    <n v="1374901200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x v="246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x v="642"/>
    <n v="1468904400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x v="643"/>
    <n v="1387087200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x v="644"/>
    <n v="1547445600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x v="645"/>
    <n v="1547359200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x v="646"/>
    <n v="1496293200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x v="647"/>
    <n v="1335416400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x v="648"/>
    <n v="1532149200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x v="649"/>
    <n v="1453788000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x v="650"/>
    <n v="1471496400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x v="651"/>
    <n v="147287880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x v="24"/>
    <n v="1408510800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x v="652"/>
    <n v="1281589200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x v="653"/>
    <n v="1375851600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x v="654"/>
    <n v="1315803600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x v="655"/>
    <n v="1373691600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x v="656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x v="657"/>
    <n v="1520402400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x v="658"/>
    <n v="1523336400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x v="659"/>
    <n v="1512280800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x v="660"/>
    <n v="1458709200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x v="661"/>
    <n v="1414126800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x v="323"/>
    <n v="141620400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x v="662"/>
    <n v="1288501200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x v="663"/>
    <n v="1552971600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x v="664"/>
    <n v="1465102800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x v="665"/>
    <n v="1360130400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x v="666"/>
    <n v="1432875600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x v="667"/>
    <n v="1500872400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x v="668"/>
    <n v="1492146000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x v="669"/>
    <n v="1407301200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x v="659"/>
    <n v="1486620000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x v="670"/>
    <n v="1459918800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x v="588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x v="671"/>
    <n v="147988080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x v="672"/>
    <n v="1418018400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x v="673"/>
    <n v="1341032400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x v="674"/>
    <n v="1486360800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x v="675"/>
    <n v="1274677200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x v="676"/>
    <n v="1267509600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x v="677"/>
    <n v="1445922000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x v="678"/>
    <n v="1534050000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x v="679"/>
    <n v="1277528400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x v="680"/>
    <n v="1318568400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x v="104"/>
    <n v="1284354000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x v="681"/>
    <n v="126957960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x v="609"/>
    <n v="1413781200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x v="685"/>
    <n v="1275886800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x v="686"/>
    <n v="1355983200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x v="687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x v="688"/>
    <n v="1422252000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x v="689"/>
    <n v="1305522000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x v="413"/>
    <n v="1414904400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x v="690"/>
    <n v="1520402400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x v="691"/>
    <n v="156714120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x v="692"/>
    <n v="1501131600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x v="693"/>
    <n v="1355032800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x v="694"/>
    <n v="1339477200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x v="695"/>
    <n v="1305954000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x v="696"/>
    <n v="1494392400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x v="138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x v="613"/>
    <n v="1447999200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x v="697"/>
    <n v="1388037600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x v="74"/>
    <n v="1378789200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x v="431"/>
    <n v="1467522000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x v="702"/>
    <n v="1416117600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x v="703"/>
    <n v="1563771600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x v="704"/>
    <n v="1319259600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x v="120"/>
    <n v="1292911200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x v="70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x v="689"/>
    <n v="138786480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x v="709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x v="710"/>
    <n v="1559278800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x v="644"/>
    <n v="152273160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x v="711"/>
    <n v="1306731600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x v="712"/>
    <n v="1352527200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x v="59"/>
    <n v="1372482000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x v="388"/>
    <n v="154813680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x v="720"/>
    <n v="1340859600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x v="721"/>
    <n v="1454479200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x v="722"/>
    <n v="1434430800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x v="17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x v="72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x v="596"/>
    <n v="1516600800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x v="725"/>
    <n v="142043760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x v="126"/>
    <n v="1332997200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x v="726"/>
    <n v="1574920800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x v="727"/>
    <n v="1464930000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x v="183"/>
    <n v="1345006800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x v="728"/>
    <n v="151271280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x v="729"/>
    <n v="1452492000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x v="730"/>
    <n v="1524286800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x v="731"/>
    <n v="1346907600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x v="732"/>
    <n v="1464498000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x v="344"/>
    <n v="1514181600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x v="733"/>
    <n v="1392184800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x v="734"/>
    <n v="1559365200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x v="626"/>
    <n v="1549173600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x v="735"/>
    <n v="1355032800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x v="736"/>
    <n v="1533963600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x v="737"/>
    <n v="1489381200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x v="738"/>
    <n v="1395032400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x v="739"/>
    <n v="1412485200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x v="741"/>
    <n v="1501995600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x v="742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x v="743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x v="744"/>
    <n v="1537592400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x v="745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x v="746"/>
    <n v="1520056800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x v="747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x v="427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x v="74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x v="749"/>
    <n v="1372482000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x v="750"/>
    <n v="1425621600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x v="751"/>
    <n v="1266300000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x v="752"/>
    <n v="1305867600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x v="753"/>
    <n v="153880200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x v="754"/>
    <n v="1398920400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x v="755"/>
    <n v="1405659600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x v="756"/>
    <n v="1457244000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x v="757"/>
    <n v="1529298000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x v="758"/>
    <n v="1535778000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x v="759"/>
    <n v="1327471200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x v="760"/>
    <n v="1529557200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x v="761"/>
    <n v="1535259600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x v="762"/>
    <n v="1515564000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x v="763"/>
    <n v="127709640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x v="764"/>
    <n v="1329026400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x v="765"/>
    <n v="1322978400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x v="316"/>
    <n v="1338786000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x v="518"/>
    <n v="1311656400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x v="251"/>
    <n v="1308978000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x v="766"/>
    <n v="1576389600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x v="767"/>
    <n v="1311051600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x v="768"/>
    <n v="1336712400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x v="769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x v="770"/>
    <n v="1524891600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x v="771"/>
    <n v="136366920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x v="772"/>
    <n v="1551420000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x v="773"/>
    <n v="1269838800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x v="311"/>
    <n v="1312520400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x v="781"/>
    <n v="1442552400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x v="782"/>
    <n v="1511071200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x v="783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x v="784"/>
    <n v="1389592800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x v="785"/>
    <n v="1275282000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x v="786"/>
    <n v="1294984800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x v="787"/>
    <n v="1562043600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x v="788"/>
    <n v="1469595600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x v="193"/>
    <n v="1581141600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x v="789"/>
    <n v="1488520800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x v="790"/>
    <n v="1563858000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x v="791"/>
    <n v="143892360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x v="792"/>
    <n v="1422165600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x v="707"/>
    <n v="127787400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x v="460"/>
    <n v="1399352400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x v="240"/>
    <n v="1279083600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x v="427"/>
    <n v="1395205200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x v="366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x v="796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x v="797"/>
    <n v="1277960400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x v="798"/>
    <n v="14346900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x v="799"/>
    <n v="1376110800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x v="800"/>
    <n v="1518415200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x v="61"/>
    <n v="1310878800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x v="801"/>
    <n v="1556600400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x v="802"/>
    <n v="1576994400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x v="457"/>
    <n v="1382677200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x v="803"/>
    <n v="1411189200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x v="804"/>
    <n v="1534654800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x v="805"/>
    <n v="1457762400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x v="592"/>
    <n v="1337490000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x v="530"/>
    <n v="1349672400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x v="806"/>
    <n v="1379826000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x v="807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x v="132"/>
    <n v="1304485200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x v="808"/>
    <n v="1336885200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x v="809"/>
    <n v="1530421200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x v="815"/>
    <n v="150476040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x v="816"/>
    <n v="1419660000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x v="817"/>
    <n v="1311310800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x v="818"/>
    <n v="1344315600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x v="819"/>
    <n v="1510725600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x v="820"/>
    <n v="1551247200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x v="821"/>
    <n v="1330236000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x v="822"/>
    <n v="1545112800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x v="823"/>
    <n v="1279170000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x v="2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x v="347"/>
    <n v="1507093200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x v="824"/>
    <n v="1463374800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x v="825"/>
    <n v="1344574800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x v="826"/>
    <n v="1389074400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x v="827"/>
    <n v="1494997200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x v="828"/>
    <n v="1425448800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x v="829"/>
    <n v="1404104400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x v="830"/>
    <n v="1394773200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x v="831"/>
    <n v="1366520400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x v="832"/>
    <n v="1456639200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x v="91"/>
    <n v="143831880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x v="833"/>
    <n v="1564030800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x v="834"/>
    <n v="1449295200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x v="835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x v="765"/>
    <n v="1306213200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x v="121"/>
    <n v="1356242400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x v="838"/>
    <n v="1414558800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x v="839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x v="84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x v="48"/>
    <n v="1308373200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x v="841"/>
    <n v="141231240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x v="88"/>
    <n v="1419228000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x v="325"/>
    <n v="1430974800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x v="842"/>
    <n v="1555822800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x v="843"/>
    <n v="1482818400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x v="844"/>
    <n v="1471928400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x v="845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x v="846"/>
    <n v="135036360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x v="151"/>
    <n v="1353996000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x v="847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x v="848"/>
    <n v="1329631200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x v="849"/>
    <n v="127899720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x v="850"/>
    <n v="128012040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x v="510"/>
    <n v="145810440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x v="86"/>
    <n v="1267855200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x v="464"/>
    <n v="1497675600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x v="23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x v="855"/>
    <n v="1295157600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x v="850"/>
    <n v="1577599200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x v="829"/>
    <n v="1305003600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x v="27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x v="856"/>
    <n v="1402462800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x v="857"/>
    <n v="129213360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x v="858"/>
    <n v="136893960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x v="859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x v="860"/>
    <n v="1296712800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x v="861"/>
    <n v="1520748000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x v="862"/>
    <n v="1480831200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x v="863"/>
    <n v="1426914000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x v="864"/>
    <n v="1446616800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x v="865"/>
    <n v="1517032800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x v="865"/>
    <n v="1311224400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x v="865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x v="865"/>
    <n v="1570165200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x v="865"/>
    <n v="1388556000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x v="865"/>
    <n v="1303189200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x v="86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x v="865"/>
    <n v="1480744800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x v="865"/>
    <n v="1555822800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x v="865"/>
    <n v="1458882000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x v="865"/>
    <n v="141196680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x v="865"/>
    <n v="1526878800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x v="865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x v="865"/>
    <n v="1414040400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x v="865"/>
    <n v="1543816800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x v="865"/>
    <n v="1359698400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x v="865"/>
    <n v="1390629600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x v="865"/>
    <n v="1267077600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x v="865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2ECF8-09FE-4906-BEDA-415A2EA5BAD7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ragToRow="0" dragToCol="0" dragToPage="0"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CAB06-1A9D-4DF1-8875-3FE2C9BFD702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4D808-596D-4AC2-A974-AEFA1CE0C894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  <pivotField dragToRow="0" dragToCol="0" dragToPage="0" showAll="0" defaultSubtota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F1F7-65C4-4E38-9469-B0A1E8A7B5D8}">
  <dimension ref="A1:F29"/>
  <sheetViews>
    <sheetView topLeftCell="A2" zoomScaleNormal="100" workbookViewId="0">
      <selection activeCell="P4" sqref="P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2068</v>
      </c>
    </row>
    <row r="3" spans="1:6" x14ac:dyDescent="0.3">
      <c r="A3" s="8" t="s">
        <v>2069</v>
      </c>
      <c r="B3" s="8" t="s">
        <v>2070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2049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3">
      <c r="A6" s="9" t="s">
        <v>2065</v>
      </c>
      <c r="B6" s="10"/>
      <c r="C6" s="10"/>
      <c r="D6" s="10"/>
      <c r="E6" s="10">
        <v>4</v>
      </c>
      <c r="F6" s="10">
        <v>4</v>
      </c>
    </row>
    <row r="7" spans="1:6" x14ac:dyDescent="0.3">
      <c r="A7" s="9" t="s">
        <v>2042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3">
      <c r="A8" s="9" t="s">
        <v>2044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3">
      <c r="A9" s="9" t="s">
        <v>2043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3">
      <c r="A10" s="9" t="s">
        <v>2053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3">
      <c r="A11" s="9" t="s">
        <v>2034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3">
      <c r="A12" s="9" t="s">
        <v>2045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3">
      <c r="A13" s="9" t="s">
        <v>2058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3">
      <c r="A14" s="9" t="s">
        <v>2057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3">
      <c r="A15" s="9" t="s">
        <v>2061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3">
      <c r="A16" s="9" t="s">
        <v>2048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3">
      <c r="A17" s="9" t="s">
        <v>2055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3">
      <c r="A18" s="9" t="s">
        <v>2040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3">
      <c r="A19" s="9" t="s">
        <v>2056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3">
      <c r="A20" s="9" t="s">
        <v>2036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3">
      <c r="A21" s="9" t="s">
        <v>2063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3">
      <c r="A22" s="9" t="s">
        <v>2052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3">
      <c r="A23" s="9" t="s">
        <v>2060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3">
      <c r="A24" s="9" t="s">
        <v>2059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3">
      <c r="A25" s="9" t="s">
        <v>2051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3">
      <c r="A26" s="9" t="s">
        <v>2046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3">
      <c r="A27" s="9" t="s">
        <v>2038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3">
      <c r="A28" s="9" t="s">
        <v>2062</v>
      </c>
      <c r="B28" s="10"/>
      <c r="C28" s="10"/>
      <c r="D28" s="10"/>
      <c r="E28" s="10">
        <v>3</v>
      </c>
      <c r="F28" s="10">
        <v>3</v>
      </c>
    </row>
    <row r="29" spans="1:6" x14ac:dyDescent="0.3">
      <c r="A29" s="9" t="s">
        <v>2067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722D-59A1-4386-9F23-FF81D5C66D91}">
  <dimension ref="A1:F14"/>
  <sheetViews>
    <sheetView workbookViewId="0">
      <selection activeCell="O12" sqref="O1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</cols>
  <sheetData>
    <row r="1" spans="1:6" x14ac:dyDescent="0.3">
      <c r="A1" s="8" t="s">
        <v>6</v>
      </c>
      <c r="B1" t="s">
        <v>2068</v>
      </c>
    </row>
    <row r="3" spans="1:6" x14ac:dyDescent="0.3">
      <c r="A3" s="8" t="s">
        <v>2069</v>
      </c>
      <c r="B3" s="8" t="s">
        <v>2070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9898-54E6-4BA8-8343-C6436D79693B}">
  <dimension ref="A1:F18"/>
  <sheetViews>
    <sheetView tabSelected="1" workbookViewId="0">
      <selection activeCell="F26" sqref="F2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2085</v>
      </c>
      <c r="B1" t="s">
        <v>2068</v>
      </c>
    </row>
    <row r="2" spans="1:6" x14ac:dyDescent="0.3">
      <c r="A2" s="8" t="s">
        <v>2031</v>
      </c>
      <c r="B2" t="s">
        <v>2068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2" t="s">
        <v>2073</v>
      </c>
      <c r="B6" s="10">
        <v>8</v>
      </c>
      <c r="C6" s="10">
        <v>37</v>
      </c>
      <c r="D6" s="10">
        <v>1</v>
      </c>
      <c r="E6" s="10">
        <v>62</v>
      </c>
      <c r="F6" s="10">
        <v>108</v>
      </c>
    </row>
    <row r="7" spans="1:6" x14ac:dyDescent="0.3">
      <c r="A7" s="12" t="s">
        <v>2074</v>
      </c>
      <c r="B7" s="10">
        <v>2</v>
      </c>
      <c r="C7" s="10">
        <v>24</v>
      </c>
      <c r="D7" s="10">
        <v>4</v>
      </c>
      <c r="E7" s="10">
        <v>49</v>
      </c>
      <c r="F7" s="10">
        <v>79</v>
      </c>
    </row>
    <row r="8" spans="1:6" x14ac:dyDescent="0.3">
      <c r="A8" s="12" t="s">
        <v>2075</v>
      </c>
      <c r="B8" s="10">
        <v>4</v>
      </c>
      <c r="C8" s="10">
        <v>35</v>
      </c>
      <c r="D8" s="10"/>
      <c r="E8" s="10">
        <v>45</v>
      </c>
      <c r="F8" s="10">
        <v>84</v>
      </c>
    </row>
    <row r="9" spans="1:6" x14ac:dyDescent="0.3">
      <c r="A9" s="12" t="s">
        <v>2076</v>
      </c>
      <c r="B9" s="10">
        <v>4</v>
      </c>
      <c r="C9" s="10">
        <v>25</v>
      </c>
      <c r="D9" s="10"/>
      <c r="E9" s="10">
        <v>49</v>
      </c>
      <c r="F9" s="10">
        <v>78</v>
      </c>
    </row>
    <row r="10" spans="1:6" x14ac:dyDescent="0.3">
      <c r="A10" s="12" t="s">
        <v>2077</v>
      </c>
      <c r="B10" s="10">
        <v>5</v>
      </c>
      <c r="C10" s="10">
        <v>35</v>
      </c>
      <c r="D10" s="10">
        <v>2</v>
      </c>
      <c r="E10" s="10">
        <v>44</v>
      </c>
      <c r="F10" s="10">
        <v>86</v>
      </c>
    </row>
    <row r="11" spans="1:6" x14ac:dyDescent="0.3">
      <c r="A11" s="12" t="s">
        <v>2078</v>
      </c>
      <c r="B11" s="10">
        <v>6</v>
      </c>
      <c r="C11" s="10">
        <v>35</v>
      </c>
      <c r="D11" s="10">
        <v>1</v>
      </c>
      <c r="E11" s="10">
        <v>44</v>
      </c>
      <c r="F11" s="10">
        <v>86</v>
      </c>
    </row>
    <row r="12" spans="1:6" x14ac:dyDescent="0.3">
      <c r="A12" s="12" t="s">
        <v>2079</v>
      </c>
      <c r="B12" s="10">
        <v>6</v>
      </c>
      <c r="C12" s="10">
        <v>29</v>
      </c>
      <c r="D12" s="10">
        <v>1</v>
      </c>
      <c r="E12" s="10">
        <v>58</v>
      </c>
      <c r="F12" s="10">
        <v>94</v>
      </c>
    </row>
    <row r="13" spans="1:6" x14ac:dyDescent="0.3">
      <c r="A13" s="12" t="s">
        <v>2080</v>
      </c>
      <c r="B13" s="10">
        <v>7</v>
      </c>
      <c r="C13" s="10">
        <v>35</v>
      </c>
      <c r="D13" s="10">
        <v>2</v>
      </c>
      <c r="E13" s="10">
        <v>35</v>
      </c>
      <c r="F13" s="10">
        <v>79</v>
      </c>
    </row>
    <row r="14" spans="1:6" x14ac:dyDescent="0.3">
      <c r="A14" s="12" t="s">
        <v>2081</v>
      </c>
      <c r="B14" s="10">
        <v>1</v>
      </c>
      <c r="C14" s="10">
        <v>25</v>
      </c>
      <c r="D14" s="10"/>
      <c r="E14" s="10">
        <v>43</v>
      </c>
      <c r="F14" s="10">
        <v>69</v>
      </c>
    </row>
    <row r="15" spans="1:6" x14ac:dyDescent="0.3">
      <c r="A15" s="12" t="s">
        <v>2082</v>
      </c>
      <c r="B15" s="10">
        <v>8</v>
      </c>
      <c r="C15" s="10">
        <v>26</v>
      </c>
      <c r="D15" s="10">
        <v>2</v>
      </c>
      <c r="E15" s="10">
        <v>41</v>
      </c>
      <c r="F15" s="10">
        <v>77</v>
      </c>
    </row>
    <row r="16" spans="1:6" x14ac:dyDescent="0.3">
      <c r="A16" s="12" t="s">
        <v>2083</v>
      </c>
      <c r="B16" s="10">
        <v>3</v>
      </c>
      <c r="C16" s="10">
        <v>28</v>
      </c>
      <c r="D16" s="10"/>
      <c r="E16" s="10">
        <v>46</v>
      </c>
      <c r="F16" s="10">
        <v>77</v>
      </c>
    </row>
    <row r="17" spans="1:6" x14ac:dyDescent="0.3">
      <c r="A17" s="12" t="s">
        <v>2084</v>
      </c>
      <c r="B17" s="10">
        <v>3</v>
      </c>
      <c r="C17" s="10">
        <v>30</v>
      </c>
      <c r="D17" s="10">
        <v>1</v>
      </c>
      <c r="E17" s="10">
        <v>49</v>
      </c>
      <c r="F17" s="10">
        <v>83</v>
      </c>
    </row>
    <row r="18" spans="1:6" x14ac:dyDescent="0.3">
      <c r="A18" s="12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2754-593D-463F-9FC1-D4CBEA24C8C0}">
  <dimension ref="A1:L1047940"/>
  <sheetViews>
    <sheetView zoomScale="110" zoomScaleNormal="85" workbookViewId="0">
      <selection activeCell="L11" sqref="L11"/>
    </sheetView>
  </sheetViews>
  <sheetFormatPr defaultRowHeight="15.6" x14ac:dyDescent="0.3"/>
  <cols>
    <col min="2" max="2" width="13.3984375" customWidth="1"/>
    <col min="5" max="5" width="13.69921875" customWidth="1"/>
    <col min="10" max="10" width="16.69921875" customWidth="1"/>
  </cols>
  <sheetData>
    <row r="1" spans="1:12" x14ac:dyDescent="0.3">
      <c r="A1" s="13" t="s">
        <v>2086</v>
      </c>
      <c r="B1" s="13" t="s">
        <v>2087</v>
      </c>
      <c r="D1" s="13" t="s">
        <v>2086</v>
      </c>
      <c r="E1" s="13" t="s">
        <v>2087</v>
      </c>
      <c r="F1" s="13"/>
    </row>
    <row r="2" spans="1:12" x14ac:dyDescent="0.3">
      <c r="A2" t="s">
        <v>20</v>
      </c>
      <c r="B2">
        <v>158</v>
      </c>
      <c r="D2" t="s">
        <v>14</v>
      </c>
      <c r="E2">
        <v>0</v>
      </c>
      <c r="K2" s="13" t="s">
        <v>20</v>
      </c>
      <c r="L2" s="13" t="s">
        <v>14</v>
      </c>
    </row>
    <row r="3" spans="1:12" x14ac:dyDescent="0.3">
      <c r="A3" t="s">
        <v>20</v>
      </c>
      <c r="B3">
        <v>1425</v>
      </c>
      <c r="D3" t="s">
        <v>14</v>
      </c>
      <c r="E3">
        <v>24</v>
      </c>
      <c r="J3" s="13" t="s">
        <v>2107</v>
      </c>
      <c r="K3" s="16">
        <f>AVERAGE(B2:B566)</f>
        <v>851.14690265486729</v>
      </c>
      <c r="L3" s="16">
        <f>AVERAGE(E2:E365)</f>
        <v>585.61538461538464</v>
      </c>
    </row>
    <row r="4" spans="1:12" x14ac:dyDescent="0.3">
      <c r="A4" t="s">
        <v>20</v>
      </c>
      <c r="B4">
        <v>174</v>
      </c>
      <c r="D4" t="s">
        <v>14</v>
      </c>
      <c r="E4">
        <v>53</v>
      </c>
      <c r="J4" s="13" t="s">
        <v>2108</v>
      </c>
      <c r="K4">
        <f>MEDIAN(B2:B566)</f>
        <v>201</v>
      </c>
      <c r="L4">
        <f>MEDIAN(E2:E365)</f>
        <v>114.5</v>
      </c>
    </row>
    <row r="5" spans="1:12" x14ac:dyDescent="0.3">
      <c r="A5" t="s">
        <v>20</v>
      </c>
      <c r="B5">
        <v>227</v>
      </c>
      <c r="D5" t="s">
        <v>14</v>
      </c>
      <c r="E5">
        <v>18</v>
      </c>
      <c r="J5" s="13" t="s">
        <v>2109</v>
      </c>
      <c r="K5">
        <f>MIN(B2:B566)</f>
        <v>16</v>
      </c>
      <c r="L5">
        <f>MIN(E2:E365)</f>
        <v>0</v>
      </c>
    </row>
    <row r="6" spans="1:12" x14ac:dyDescent="0.3">
      <c r="A6" t="s">
        <v>20</v>
      </c>
      <c r="B6">
        <v>220</v>
      </c>
      <c r="D6" t="s">
        <v>14</v>
      </c>
      <c r="E6">
        <v>44</v>
      </c>
      <c r="J6" s="13" t="s">
        <v>2110</v>
      </c>
      <c r="K6">
        <f>MAX(B2:B566)</f>
        <v>7295</v>
      </c>
      <c r="L6">
        <f>MAX(E2:E365)</f>
        <v>6080</v>
      </c>
    </row>
    <row r="7" spans="1:12" x14ac:dyDescent="0.3">
      <c r="A7" t="s">
        <v>20</v>
      </c>
      <c r="B7">
        <v>98</v>
      </c>
      <c r="D7" t="s">
        <v>14</v>
      </c>
      <c r="E7">
        <v>27</v>
      </c>
    </row>
    <row r="8" spans="1:12" x14ac:dyDescent="0.3">
      <c r="A8" t="s">
        <v>20</v>
      </c>
      <c r="B8">
        <v>100</v>
      </c>
      <c r="D8" t="s">
        <v>14</v>
      </c>
      <c r="E8">
        <v>55</v>
      </c>
      <c r="J8" s="13" t="s">
        <v>2111</v>
      </c>
      <c r="K8">
        <f>VAR(B2:B566)</f>
        <v>1606216.5936295739</v>
      </c>
      <c r="L8">
        <f>VAR(E2:E365)</f>
        <v>924113.45496927318</v>
      </c>
    </row>
    <row r="9" spans="1:12" x14ac:dyDescent="0.3">
      <c r="A9" t="s">
        <v>20</v>
      </c>
      <c r="B9">
        <v>1249</v>
      </c>
      <c r="D9" t="s">
        <v>14</v>
      </c>
      <c r="E9">
        <v>200</v>
      </c>
      <c r="J9" s="13" t="s">
        <v>2112</v>
      </c>
      <c r="K9" s="16">
        <f>_xlfn.STDEV.P(B2:B566)</f>
        <v>1266.2439466397898</v>
      </c>
      <c r="L9" s="16">
        <f>_xlfn.STDEV.P(E2:E365)</f>
        <v>959.98681331637863</v>
      </c>
    </row>
    <row r="10" spans="1:12" x14ac:dyDescent="0.3">
      <c r="A10" t="s">
        <v>20</v>
      </c>
      <c r="B10">
        <v>1396</v>
      </c>
      <c r="D10" t="s">
        <v>14</v>
      </c>
      <c r="E10">
        <v>452</v>
      </c>
    </row>
    <row r="11" spans="1:12" x14ac:dyDescent="0.3">
      <c r="A11" t="s">
        <v>20</v>
      </c>
      <c r="B11">
        <v>890</v>
      </c>
      <c r="D11" t="s">
        <v>14</v>
      </c>
      <c r="E11">
        <v>674</v>
      </c>
    </row>
    <row r="12" spans="1:12" x14ac:dyDescent="0.3">
      <c r="A12" t="s">
        <v>20</v>
      </c>
      <c r="B12">
        <v>142</v>
      </c>
      <c r="D12" t="s">
        <v>14</v>
      </c>
      <c r="E12">
        <v>558</v>
      </c>
    </row>
    <row r="13" spans="1:12" x14ac:dyDescent="0.3">
      <c r="A13" t="s">
        <v>20</v>
      </c>
      <c r="B13">
        <v>2673</v>
      </c>
      <c r="D13" t="s">
        <v>14</v>
      </c>
      <c r="E13">
        <v>15</v>
      </c>
    </row>
    <row r="14" spans="1:12" x14ac:dyDescent="0.3">
      <c r="A14" t="s">
        <v>20</v>
      </c>
      <c r="B14">
        <v>163</v>
      </c>
      <c r="D14" t="s">
        <v>14</v>
      </c>
      <c r="E14">
        <v>2307</v>
      </c>
    </row>
    <row r="15" spans="1:12" x14ac:dyDescent="0.3">
      <c r="A15" t="s">
        <v>20</v>
      </c>
      <c r="B15">
        <v>2220</v>
      </c>
      <c r="D15" t="s">
        <v>14</v>
      </c>
      <c r="E15">
        <v>88</v>
      </c>
    </row>
    <row r="16" spans="1:12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  <row r="1047940" spans="5:5" x14ac:dyDescent="0.3">
      <c r="E1047940">
        <v>727005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C8E2-B096-47F1-906B-B4E11D7008B5}">
  <dimension ref="A1:H13"/>
  <sheetViews>
    <sheetView zoomScaleNormal="100" workbookViewId="0">
      <selection activeCell="C22" sqref="C22"/>
    </sheetView>
  </sheetViews>
  <sheetFormatPr defaultRowHeight="15.6" x14ac:dyDescent="0.3"/>
  <cols>
    <col min="1" max="1" width="18.59765625" customWidth="1"/>
    <col min="2" max="2" width="17.09765625" customWidth="1"/>
    <col min="3" max="3" width="14.59765625" customWidth="1"/>
    <col min="4" max="4" width="15.5" customWidth="1"/>
    <col min="5" max="5" width="12.59765625" customWidth="1"/>
    <col min="6" max="6" width="19.8984375" customWidth="1"/>
    <col min="7" max="7" width="17.09765625" customWidth="1"/>
    <col min="8" max="8" width="18.5" customWidth="1"/>
  </cols>
  <sheetData>
    <row r="1" spans="1:8" x14ac:dyDescent="0.3">
      <c r="A1" s="13" t="s">
        <v>2088</v>
      </c>
      <c r="B1" s="13" t="s">
        <v>2089</v>
      </c>
      <c r="C1" s="13" t="s">
        <v>2090</v>
      </c>
      <c r="D1" s="13" t="s">
        <v>2091</v>
      </c>
      <c r="E1" s="13" t="s">
        <v>2106</v>
      </c>
      <c r="F1" s="13" t="s">
        <v>2092</v>
      </c>
      <c r="G1" s="13" t="s">
        <v>2093</v>
      </c>
      <c r="H1" s="13" t="s">
        <v>2094</v>
      </c>
    </row>
    <row r="2" spans="1:8" x14ac:dyDescent="0.3">
      <c r="A2" s="13" t="s">
        <v>2095</v>
      </c>
      <c r="B2" s="14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">
      <c r="A3" s="13" t="s">
        <v>2096</v>
      </c>
      <c r="B3">
        <f>COUNTIFS(Crowdfunding!G2:G1001,"successful",Crowdfunding!D2:D1001,"&lt;4999")-B2</f>
        <v>191</v>
      </c>
      <c r="C3">
        <f>COUNTIFS(Crowdfunding!G2:G1001,"failed",Crowdfunding!D2:D1001,"&lt;4999")- SUM('Bonus Sheet'!C2)</f>
        <v>38</v>
      </c>
      <c r="D3">
        <f>COUNTIFS(Crowdfunding!G2:G1001,"canceled",Crowdfunding!D2:D1001,"&lt;4999")- SUM('Bonus Sheet'!D2)</f>
        <v>2</v>
      </c>
      <c r="E3">
        <f t="shared" ref="E3:E12" si="0">SUM(B3:D3)</f>
        <v>231</v>
      </c>
      <c r="F3" s="15">
        <f t="shared" ref="F3:F12" si="1">B3/E3</f>
        <v>0.82683982683982682</v>
      </c>
      <c r="G3" s="15">
        <f t="shared" ref="G3:G12" si="2">C3/E3</f>
        <v>0.16450216450216451</v>
      </c>
      <c r="H3" s="15">
        <f t="shared" ref="H3:H12" si="3">D3/E3</f>
        <v>8.658008658008658E-3</v>
      </c>
    </row>
    <row r="4" spans="1:8" x14ac:dyDescent="0.3">
      <c r="A4" s="13" t="s">
        <v>2097</v>
      </c>
      <c r="B4">
        <f>COUNTIFS(Crowdfunding!G2:G1001,"successful",Crowdfunding!D2:D1001,"&lt;9999")-(B3+B2)</f>
        <v>164</v>
      </c>
      <c r="C4">
        <f>COUNTIFS(Crowdfunding!G2:G1001,"failed",Crowdfunding!D2:D1001,"&lt;9999")- SUM('Bonus Sheet'!C2:C3)</f>
        <v>126</v>
      </c>
      <c r="D4">
        <f>COUNTIFS(Crowdfunding!G2:G1001,"canceled",Crowdfunding!D2:D1001,"&lt;9999")- SUM('Bonus Sheet'!D2:D3)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">
      <c r="A5" s="13" t="s">
        <v>2098</v>
      </c>
      <c r="B5">
        <f>COUNTIFS(Crowdfunding!G2:G1001,"successful",Crowdfunding!D2:D1001,"&lt;14999")-SUM('Bonus Sheet'!B2:B4)</f>
        <v>4</v>
      </c>
      <c r="C5">
        <f>COUNTIFS(Crowdfunding!G2:G1001,"failed",Crowdfunding!D2:D1001,"&lt;14999")- SUM('Bonus Sheet'!C2:C4)</f>
        <v>5</v>
      </c>
      <c r="D5">
        <f>COUNTIFS(Crowdfunding!G2:G1001,"canceled",Crowdfunding!D2:D1001,"&lt;14999")- SUM('Bonus Sheet'!D2:D4)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">
      <c r="A6" s="13" t="s">
        <v>2099</v>
      </c>
      <c r="B6">
        <f>COUNTIFS(Crowdfunding!G2:G1001,"successful",Crowdfunding!D2:D1001,"&lt;19999")- SUM(B2:B5)</f>
        <v>10</v>
      </c>
      <c r="C6">
        <f>COUNTIFS(Crowdfunding!G2:G1001,"failed",Crowdfunding!D2:D1001,"&lt;19999")- SUM('Bonus Sheet'!C2:C5)</f>
        <v>0</v>
      </c>
      <c r="D6">
        <f>COUNTIFS(Crowdfunding!G2:G1001,"canceled",Crowdfunding!D2:D1001,"&lt;19999")- SUM('Bonus Sheet'!D2:D5)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s="13" t="s">
        <v>2100</v>
      </c>
      <c r="B7">
        <f>COUNTIFS(Crowdfunding!G2:G1001,"successful",Crowdfunding!D2:D1001,"&lt;24999")-SUM(B2:B6)</f>
        <v>7</v>
      </c>
      <c r="C7">
        <f>COUNTIFS(Crowdfunding!G2:G1001,"failed",Crowdfunding!D2:D1001,"&lt;24999")- SUM('Bonus Sheet'!C2:C6)</f>
        <v>0</v>
      </c>
      <c r="D7">
        <f>COUNTIFS(Crowdfunding!G2:G1001,"canceled",Crowdfunding!D2:D1001,"&lt;24999")- SUM('Bonus Sheet'!D2:D6)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s="13" t="s">
        <v>2101</v>
      </c>
      <c r="B8">
        <f>COUNTIFS(Crowdfunding!G2:G1001,"successful",Crowdfunding!D2:D1001,"&lt;34999")-SUM(B2:B7)</f>
        <v>18</v>
      </c>
      <c r="C8">
        <f>COUNTIFS(Crowdfunding!G2:G1001,"failed",Crowdfunding!D2:D1001,"&lt;34999")- SUM('Bonus Sheet'!C2:C7)</f>
        <v>3</v>
      </c>
      <c r="D8">
        <f>COUNTIFS(Crowdfunding!G2:G1001,"canceled",Crowdfunding!D2:D1001,"&lt;34999")- SUM('Bonus Sheet'!D2:D7)</f>
        <v>0</v>
      </c>
      <c r="E8">
        <f t="shared" si="0"/>
        <v>21</v>
      </c>
      <c r="F8" s="15">
        <f t="shared" si="1"/>
        <v>0.8571428571428571</v>
      </c>
      <c r="G8" s="15">
        <f t="shared" si="2"/>
        <v>0.14285714285714285</v>
      </c>
      <c r="H8" s="15">
        <f t="shared" si="3"/>
        <v>0</v>
      </c>
    </row>
    <row r="9" spans="1:8" x14ac:dyDescent="0.3">
      <c r="A9" s="13" t="s">
        <v>2102</v>
      </c>
      <c r="B9">
        <f>COUNTIFS(Crowdfunding!G2:G1001,"successful",Crowdfunding!D2:D1001,"&lt;39999")- SUM('Bonus Sheet'!B2:B8)</f>
        <v>8</v>
      </c>
      <c r="C9">
        <f>COUNTIFS(Crowdfunding!G2:G1001,"failed",Crowdfunding!D2:D1001,"&lt;39999")- SUM('Bonus Sheet'!C2:C8)</f>
        <v>3</v>
      </c>
      <c r="D9">
        <f>COUNTIFS(Crowdfunding!G2:G1001,"canceled",Crowdfunding!D2:D1001,"&lt;39999")- SUM('Bonus Sheet'!D2:D8)</f>
        <v>1</v>
      </c>
      <c r="E9">
        <f t="shared" si="0"/>
        <v>12</v>
      </c>
      <c r="F9" s="15">
        <f t="shared" si="1"/>
        <v>0.66666666666666663</v>
      </c>
      <c r="G9" s="15">
        <f t="shared" si="2"/>
        <v>0.25</v>
      </c>
      <c r="H9" s="15">
        <f t="shared" si="3"/>
        <v>8.3333333333333329E-2</v>
      </c>
    </row>
    <row r="10" spans="1:8" x14ac:dyDescent="0.3">
      <c r="A10" s="13" t="s">
        <v>2103</v>
      </c>
      <c r="B10">
        <f>COUNTIFS(Crowdfunding!G2:G1001,"successful",Crowdfunding!D2:D1001,"&lt;44999")- SUM('Bonus Sheet'!B2:B9)</f>
        <v>11</v>
      </c>
      <c r="C10">
        <f>COUNTIFS(Crowdfunding!G2:G1001,"failed",Crowdfunding!D2:D1001,"&lt;44999")- SUM('Bonus Sheet'!C2:C9)</f>
        <v>3</v>
      </c>
      <c r="D10">
        <f>COUNTIFS(Crowdfunding!G2:G1001,"canceled",Crowdfunding!D2:D1001,"&lt;44999")- SUM('Bonus Sheet'!D2:D9)</f>
        <v>0</v>
      </c>
      <c r="E10">
        <f t="shared" si="0"/>
        <v>14</v>
      </c>
      <c r="F10" s="15">
        <f t="shared" si="1"/>
        <v>0.7857142857142857</v>
      </c>
      <c r="G10" s="15">
        <f t="shared" si="2"/>
        <v>0.21428571428571427</v>
      </c>
      <c r="H10" s="15">
        <f t="shared" si="3"/>
        <v>0</v>
      </c>
    </row>
    <row r="11" spans="1:8" x14ac:dyDescent="0.3">
      <c r="A11" s="13" t="s">
        <v>2104</v>
      </c>
      <c r="B11">
        <f>COUNTIFS(Crowdfunding!G2:G1001,"successful",Crowdfunding!D2:D1001,"&lt;49999")- SUM('Bonus Sheet'!B2:B10)</f>
        <v>8</v>
      </c>
      <c r="C11">
        <f>COUNTIFS(Crowdfunding!G2:G1001,"failed",Crowdfunding!D2:D1001,"&lt;49999")- SUM('Bonus Sheet'!C2:C10)</f>
        <v>3</v>
      </c>
      <c r="D11">
        <f>COUNTIFS(Crowdfunding!G2:G1001,"canceled",Crowdfunding!D2:D1001,"&lt;49999")- SUM('Bonus Sheet'!D2:D10)</f>
        <v>0</v>
      </c>
      <c r="E11">
        <f t="shared" si="0"/>
        <v>11</v>
      </c>
      <c r="F11" s="15">
        <f t="shared" si="1"/>
        <v>0.72727272727272729</v>
      </c>
      <c r="G11" s="15">
        <f t="shared" si="2"/>
        <v>0.27272727272727271</v>
      </c>
      <c r="H11" s="15">
        <f t="shared" si="3"/>
        <v>0</v>
      </c>
    </row>
    <row r="12" spans="1:8" x14ac:dyDescent="0.3">
      <c r="A12" s="13" t="s">
        <v>2105</v>
      </c>
      <c r="B12">
        <f>COUNTIFS(Crowdfunding!G2:G1001,"successful",Crowdfunding!D2:D1001,"&gt;50000")</f>
        <v>114</v>
      </c>
      <c r="C12">
        <f>COUNTIFS(Crowdfunding!G2:G1001,"failed",Crowdfunding!D2:D1001,"&gt;50000")</f>
        <v>163</v>
      </c>
      <c r="D12">
        <f>COUNTIFS(Crowdfunding!G2:G1001,"canceled",Crowdfunding!D2:D1001,"&gt;50000")</f>
        <v>28</v>
      </c>
      <c r="E12">
        <f t="shared" si="0"/>
        <v>305</v>
      </c>
      <c r="F12" s="15">
        <f t="shared" si="1"/>
        <v>0.3737704918032787</v>
      </c>
      <c r="G12" s="15">
        <f t="shared" si="2"/>
        <v>0.53442622950819674</v>
      </c>
      <c r="H12" s="15">
        <f t="shared" si="3"/>
        <v>9.1803278688524587E-2</v>
      </c>
    </row>
    <row r="13" spans="1:8" x14ac:dyDescent="0.3">
      <c r="A13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8576"/>
  <sheetViews>
    <sheetView zoomScale="128" zoomScaleNormal="130" workbookViewId="0">
      <selection activeCell="I14" sqref="I1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2.8984375" style="5" customWidth="1"/>
    <col min="8" max="8" width="13" bestFit="1" customWidth="1"/>
    <col min="9" max="9" width="13" style="7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8" bestFit="1" customWidth="1"/>
    <col min="19" max="19" width="17.5" customWidth="1"/>
    <col min="20" max="20" width="21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 s="11">
        <f t="shared" ref="M3:M66" si="2">(((L22/60)/60)/24)+DATE(1970,1,1)</f>
        <v>41848.208333333336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40770.208333333336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43193.208333333328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43510.25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41811.208333333336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40681.208333333336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43312.208333333328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42280.208333333328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40218.25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43301.208333333328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43609.208333333328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42374.25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43110.25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41917.208333333336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42817.208333333328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43484.25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40600.25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43744.208333333328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40469.208333333336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41330.25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40334.208333333336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41156.208333333336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40728.208333333336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41844.208333333336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43541.208333333328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42676.208333333328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40367.208333333336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41727.208333333336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42180.208333333328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43758.208333333328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41487.208333333336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40995.208333333336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40436.208333333336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41779.208333333336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43170.25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43311.208333333328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42014.25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42979.208333333328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42268.208333333328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42898.208333333328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41107.208333333336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40595.25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42160.208333333328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42853.208333333328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43283.208333333328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40570.25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42102.208333333328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40203.25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42943.208333333328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40531.25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40484.208333333336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43799.25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42186.208333333328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42701.25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42456.208333333328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43296.208333333328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42027.25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40448.208333333336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43206.208333333328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43267.208333333328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42976.208333333328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43062.25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43482.25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42579.208333333328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1">
        <f t="shared" ref="M67:M130" si="6">(((L86/60)/60)/24)+DATE(1970,1,1)</f>
        <v>41118.208333333336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40797.208333333336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42128.208333333328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40610.25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42110.208333333328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40283.208333333336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42425.25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42588.208333333328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40352.208333333336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41202.208333333336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43562.208333333328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43752.208333333328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40612.25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42180.208333333328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42212.208333333328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41968.25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40835.208333333336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42056.25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43234.208333333328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40475.208333333336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42878.208333333328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41366.208333333336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43716.208333333328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43213.208333333328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41005.208333333336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41651.25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43354.208333333328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41174.208333333336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41875.208333333336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42990.208333333328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43564.208333333328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43056.25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42265.208333333328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40808.208333333336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41665.25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41806.208333333336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42111.208333333328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41917.208333333336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41970.25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42332.25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43598.208333333328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43362.208333333328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42596.208333333328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40310.208333333336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40417.208333333336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42038.25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40842.208333333336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41607.25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43112.25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40767.208333333336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40713.208333333336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41340.25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41797.208333333336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40457.208333333336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41180.208333333336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42115.208333333328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43156.25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42167.208333333328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41005.208333333336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40357.208333333336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43633.208333333328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41889.208333333336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40855.25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42534.208333333328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7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(((L150/60)/60)/24)+DATE(1970,1,1)</f>
        <v>42941.208333333328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41275.25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43450.25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41799.208333333336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42783.25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41201.208333333336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42502.208333333328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40262.208333333336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43743.208333333328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41638.25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42346.25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43551.208333333328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43582.208333333328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42270.208333333328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43442.25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43028.208333333328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43016.208333333328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42948.208333333328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40534.25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41435.208333333336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43518.25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41077.208333333336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42950.208333333328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41718.208333333336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41839.208333333336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41412.208333333336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42282.208333333328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42613.208333333328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42616.208333333328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40497.25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42999.208333333328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41350.208333333336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40259.208333333336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43012.208333333328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43631.208333333328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40430.208333333336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43588.208333333328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43233.208333333328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41782.208333333336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41328.25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41975.25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42433.25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41429.208333333336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43536.208333333328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41817.208333333336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43198.208333333328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42261.208333333328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43310.208333333328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42616.208333333328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42909.208333333328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40396.208333333336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42192.208333333328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40262.208333333336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41845.208333333336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40818.208333333336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42752.25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40636.208333333336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43390.208333333328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40236.25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10"/>
        <v>43340.208333333328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43048.25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10"/>
        <v>42496.208333333328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42797.25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41513.208333333336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7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(((L214/60)/60)/24)+DATE(1970,1,1)</f>
        <v>43814.25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40488.208333333336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40409.208333333336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43509.25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40869.25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43583.208333333328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40858.25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41137.208333333336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40725.208333333336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41081.208333333336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41914.208333333336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42445.208333333328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41906.208333333336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41762.208333333336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40276.208333333336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42139.208333333328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42613.208333333328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42887.208333333328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43805.25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41415.208333333336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42576.208333333328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40706.208333333336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42969.208333333328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42779.25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43641.208333333328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41754.208333333336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43083.25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42245.208333333328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40396.208333333336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41742.208333333336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42865.208333333328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43163.25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41834.208333333336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41736.208333333336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41491.208333333336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42726.25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42004.25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42006.25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40203.25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41252.25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41572.208333333336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40641.208333333336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42787.25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40590.25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42393.25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41338.25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42712.25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41251.25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41180.208333333336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40415.208333333336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40638.208333333336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40187.25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41317.25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42372.25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41950.25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41206.208333333336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41186.208333333336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4"/>
        <v>43496.25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40514.25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42345.25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43656.208333333328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42995.208333333328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43045.25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43561.208333333328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7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(((L278/60)/60)/24)+DATE(1970,1,1)</f>
        <v>41018.208333333336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40378.208333333336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41239.25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43346.208333333328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43060.25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40979.25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42701.25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42520.208333333328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41030.208333333336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42623.208333333328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42697.25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42122.208333333328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40982.208333333336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42219.208333333328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41404.208333333336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40831.208333333336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40984.208333333336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40456.208333333336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43399.208333333328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41562.208333333336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43493.25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41653.25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42426.25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42432.25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42977.208333333328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42061.25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43345.208333333328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42376.25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42589.208333333328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42448.208333333328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42930.208333333328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41066.208333333336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40651.208333333336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40807.208333333336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40277.208333333336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40590.25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41572.208333333336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40966.25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43536.208333333328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41783.208333333336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43788.25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42869.208333333328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41684.25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40402.208333333336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40673.208333333336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40634.208333333336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40507.25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41725.208333333336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42176.208333333328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43267.208333333328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42364.25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43705.208333333328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43434.25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42716.25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43077.25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40896.25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8"/>
        <v>41361.208333333336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43424.25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43110.25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43784.25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8"/>
        <v>40527.25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43780.25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8"/>
        <v>40821.208333333336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 s="11">
        <f t="shared" si="18"/>
        <v>42949.208333333328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7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(((L342/60)/60)/24)+DATE(1970,1,1)</f>
        <v>40889.25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42244.208333333328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41475.208333333336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41597.25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43122.25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42194.208333333328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42971.208333333328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42046.25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42782.25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42930.208333333328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42144.208333333328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42240.208333333328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42315.25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43651.208333333328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41520.208333333336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42757.25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40922.25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42250.208333333328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43322.208333333328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40782.208333333336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40544.25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43015.208333333328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40570.25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40904.25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43164.25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42733.25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40546.25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41930.208333333336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40464.208333333336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41308.25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43570.208333333328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42043.25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42012.25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42964.208333333328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43476.25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42293.208333333328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41826.208333333336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43760.208333333328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43241.208333333328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40843.208333333336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41448.208333333336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42163.208333333328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43024.208333333328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43509.25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42776.25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43553.208333333328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40355.208333333336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41072.208333333336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40912.25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40479.208333333336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41530.208333333336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41653.25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40549.25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42933.208333333328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2"/>
        <v>41484.208333333336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40885.25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43378.208333333328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41417.208333333336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43228.208333333328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40576.25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41502.208333333336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43765.208333333328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40914.25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40310.208333333336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(((L406/60)/60)/24)+DATE(1970,1,1)</f>
        <v>43053.25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43255.208333333328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41304.25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43751.208333333328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42541.208333333328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42843.208333333328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42122.208333333328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42884.208333333328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41642.25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43431.25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40288.208333333336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40921.25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40560.25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43407.208333333328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41035.208333333336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40899.25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42911.208333333328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42915.208333333328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40285.208333333336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40808.208333333336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43208.208333333328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42213.208333333328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41332.25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41895.208333333336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40585.25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41680.25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43737.208333333328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43273.208333333328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41761.208333333336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41603.25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42705.25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41988.25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43575.208333333328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42260.208333333328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41337.25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42680.208333333328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42916.208333333328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41025.208333333336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42980.208333333328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40451.208333333336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40748.208333333336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40515.25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41261.25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43088.25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41378.208333333336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43530.25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43394.208333333328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42935.208333333328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40365.208333333336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41568.208333333336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40809.208333333336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43141.25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42657.208333333328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40265.208333333336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42001.25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6"/>
        <v>40399.208333333336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41757.208333333336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41304.25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41639.25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43142.25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43127.25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6"/>
        <v>41409.208333333336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42331.25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7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(((L470/60)/60)/24)+DATE(1970,1,1)</f>
        <v>43569.208333333328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42142.208333333328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42716.25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41031.208333333336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43535.208333333328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43277.208333333328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41989.25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41450.208333333336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43322.208333333328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40720.208333333336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42072.208333333328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42945.208333333328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40248.25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41913.208333333336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40963.25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43811.25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41855.208333333336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43626.208333333328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43168.25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42845.208333333328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42403.25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40406.208333333336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43786.25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41456.208333333336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40336.208333333336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43645.208333333328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40990.208333333336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41800.208333333336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42876.208333333328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42724.25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42005.25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42444.208333333328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41395.208333333336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41345.208333333336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41117.208333333336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42186.208333333328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42142.208333333328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41341.25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43062.25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41373.208333333336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43310.208333333328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41034.208333333336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43251.208333333328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43671.208333333328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41825.208333333336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40430.208333333336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41614.25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40900.25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40396.208333333336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42860.208333333328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43154.25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 s="11">
        <f t="shared" si="30"/>
        <v>42012.25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43574.208333333328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42605.208333333328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41093.208333333336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40241.25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40294.208333333336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40505.25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42364.25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42405.25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30"/>
        <v>41601.25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41769.208333333336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40421.208333333336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41589.25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7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(((L534/60)/60)/24)+DATE(1970,1,1)</f>
        <v>43125.25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41479.208333333336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43329.208333333328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43259.208333333328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40414.208333333336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43342.208333333328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41539.208333333336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43647.208333333328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43225.208333333328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42165.208333333328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42391.25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41528.208333333336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42377.25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43824.25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43360.208333333328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42029.25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42461.208333333328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41422.208333333336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40968.25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41993.25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42700.25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40545.25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42723.25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41731.208333333336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40792.208333333336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42279.208333333328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42424.25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42584.208333333328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40865.25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40833.208333333336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43536.208333333328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43417.25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42078.208333333328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40862.25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42424.25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41830.208333333336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40374.208333333336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40554.25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42174.208333333328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42275.208333333328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41761.208333333336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43806.25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41779.208333333336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43040.208333333328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40613.25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40878.25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40762.208333333336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41696.25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40662.208333333336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42165.208333333328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40959.25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41024.208333333336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40255.208333333336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40499.25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43484.25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40262.208333333336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42190.208333333328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41994.25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40373.208333333336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41789.208333333336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41724.208333333336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42548.208333333328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 s="11">
        <f t="shared" si="34"/>
        <v>40253.208333333336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7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(((L598/60)/60)/24)+DATE(1970,1,1)</f>
        <v>42434.25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43786.25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40344.208333333336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42047.25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41485.208333333336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41789.208333333336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42160.208333333328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43573.208333333328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40565.25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42280.208333333328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42436.25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41721.208333333336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43530.25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43481.25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41259.25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41480.208333333336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40474.208333333336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42973.208333333328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42746.25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42489.208333333328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41537.208333333336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41794.208333333336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41396.208333333336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40669.208333333336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42559.208333333328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42626.208333333328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43205.208333333328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42201.208333333328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42029.25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43857.25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40449.208333333336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40345.208333333336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40455.208333333336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42557.208333333328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43586.208333333328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43550.208333333328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41945.208333333336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42315.25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42819.208333333328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41314.25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40926.25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42688.25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40386.208333333336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43309.208333333328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42387.25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42786.25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43451.25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42795.25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43452.25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43369.208333333328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41346.208333333336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43199.208333333328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42922.208333333328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40471.208333333336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41828.208333333336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41692.25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42587.208333333328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42468.208333333328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42240.208333333328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42796.25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43097.25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43096.25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42246.208333333328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40570.25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7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(((L662/60)/60)/24)+DATE(1970,1,1)</f>
        <v>42237.208333333328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40996.208333333336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43443.25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40458.208333333336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40959.25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40733.208333333336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41516.208333333336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41892.208333333336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41122.208333333336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42912.208333333328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42425.25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40390.208333333336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43180.208333333328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42475.208333333328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40774.208333333336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43719.208333333328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41178.208333333336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42561.208333333328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43484.25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43756.208333333328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43813.25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40898.25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41619.25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43359.208333333328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40358.208333333336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42239.208333333328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43186.208333333328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42806.25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43475.25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41576.208333333336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40874.25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41185.208333333336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43655.208333333328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43025.208333333328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43066.25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42322.25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42114.208333333328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43190.208333333328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40871.25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43641.208333333328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40203.25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40629.208333333336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41477.208333333336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41020.208333333336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42555.208333333328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41619.25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43471.25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43442.25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42877.208333333328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41018.208333333336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43295.208333333328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42393.25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42559.208333333328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42604.208333333328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41870.208333333336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40397.208333333336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41465.208333333336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40777.208333333336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41442.208333333336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2"/>
        <v>41058.208333333336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43152.25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43194.208333333328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43045.25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42431.25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(((L726/60)/60)/24)+DATE(1970,1,1)</f>
        <v>41934.208333333336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41958.25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40476.208333333336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43485.25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42515.208333333328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41309.25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42147.208333333328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42939.208333333328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42816.208333333328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41844.208333333336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42763.25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42459.208333333328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42055.25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42685.25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41959.25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41089.208333333336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42769.25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40321.208333333336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40197.25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42298.208333333328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43322.208333333328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40328.208333333336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40825.208333333336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40423.208333333336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40238.25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41920.208333333336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40360.208333333336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42446.208333333328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40395.208333333336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40321.208333333336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41210.208333333336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43096.25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42024.25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40675.208333333336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41936.208333333336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43136.25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43678.208333333328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42938.208333333328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41241.25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41037.208333333336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40676.208333333336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42840.208333333328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43362.208333333328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42283.208333333328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41619.25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41501.208333333336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41743.208333333336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43491.25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43505.25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42838.208333333328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42513.208333333328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41949.25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43650.208333333328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40809.208333333336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40768.208333333336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42230.208333333328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42573.208333333328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6"/>
        <v>40482.208333333336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40603.25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41625.25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42435.25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43582.208333333328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43186.208333333328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 s="11">
        <f t="shared" si="46"/>
        <v>40684.208333333336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7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(((L790/60)/60)/24)+DATE(1970,1,1)</f>
        <v>41202.208333333336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41786.208333333336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40223.25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42715.25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41451.208333333336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41450.208333333336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43091.25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42675.208333333328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41859.208333333336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43464.25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41060.208333333336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42399.25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42167.208333333328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43830.25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43650.208333333328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43492.25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43102.25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41958.25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40973.25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43753.208333333328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42507.208333333328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41135.208333333336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43067.25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42378.25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43206.208333333328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41148.208333333336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42517.208333333328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43068.25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41680.25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43589.208333333328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43486.25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41237.25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43310.208333333328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42794.25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41698.25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41892.208333333336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40348.208333333336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42941.208333333328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40525.25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40666.208333333336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43340.208333333328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42164.208333333328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43103.25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40994.208333333336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42299.208333333328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40588.25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41448.208333333336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42063.25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40214.25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40629.208333333336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43370.208333333328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41715.208333333336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41836.208333333336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42419.25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43266.208333333328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43338.208333333328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40930.25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43235.208333333328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43302.208333333328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43107.25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40341.208333333336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40948.25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40866.25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41031.208333333336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7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(((L854/60)/60)/24)+DATE(1970,1,1)</f>
        <v>40740.208333333336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40714.208333333336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43787.25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40712.208333333336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41023.208333333336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40944.25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43211.208333333328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41334.25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43515.25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40258.208333333336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40756.208333333336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42172.208333333328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42601.208333333328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41897.208333333336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40671.208333333336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43382.208333333328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41559.208333333336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40350.208333333336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42240.208333333328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43040.208333333328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43346.208333333328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41647.25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40291.208333333336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40556.25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43624.208333333328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42577.208333333328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43845.25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42788.25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43667.208333333328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42194.208333333328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42025.25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40323.208333333336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41763.208333333336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40335.208333333336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40416.208333333336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42202.208333333328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42836.208333333328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41710.208333333336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43640.208333333328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40880.25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40319.208333333336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42170.208333333328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41466.208333333336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43134.25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40738.208333333336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43583.208333333328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43815.25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41554.208333333336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41901.208333333336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43298.208333333328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42399.25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41034.208333333336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41186.208333333336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41536.208333333336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42868.208333333328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40660.208333333336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41031.208333333336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43255.208333333328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42026.25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43717.208333333328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41157.208333333336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43597.208333333328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41490.208333333336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42976.208333333328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7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(((L918/60)/60)/24)+DATE(1970,1,1)</f>
        <v>41991.25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40722.208333333336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41117.208333333336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43022.208333333328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43503.25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40951.25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43443.25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40373.208333333336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43769.208333333328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43000.208333333328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42502.208333333328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41102.208333333336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41637.25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42858.208333333328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42060.25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41818.208333333336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41709.208333333336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41372.208333333336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42422.25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42209.208333333328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43668.208333333328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42334.25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43263.208333333328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40670.208333333336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41244.25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40552.25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40568.25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41906.208333333336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42776.25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41004.208333333336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40710.208333333336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41908.208333333336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41985.25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42112.208333333328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43571.208333333328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42730.25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42591.208333333328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42358.25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41174.208333333336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41238.25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42360.25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40955.25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40350.208333333336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40357.208333333336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42408.25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40591.25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41592.25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40607.25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42135.208333333328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40203.25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42901.208333333328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41005.208333333336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40544.25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43821.25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40672.208333333336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41555.208333333336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41792.208333333336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40522.25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41412.208333333336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42337.25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40571.25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43138.25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42686.25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42078.208333333328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7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(((L982/60)/60)/24)+DATE(1970,1,1)</f>
        <v>42307.208333333328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43094.25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40743.208333333336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43681.208333333328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43716.208333333328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41614.25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40638.208333333336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42852.208333333328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42686.25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43571.208333333328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42432.25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41907.208333333336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43227.208333333328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42362.25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41929.208333333336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43408.208333333328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41276.25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41659.25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40220.25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42550.208333333328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25569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25569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25569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25569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25569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25569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25569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25569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25569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25569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25569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25569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25569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25569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25569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25569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25569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25569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25569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48576" spans="8:8" x14ac:dyDescent="0.3">
      <c r="H1048576">
        <f>SUM(H2:H1048575)</f>
        <v>727005</v>
      </c>
    </row>
  </sheetData>
  <autoFilter ref="A1:T1001" xr:uid="{00000000-0001-0000-0000-000000000000}"/>
  <conditionalFormatting sqref="G1:G1048576">
    <cfRule type="cellIs" dxfId="5" priority="2" operator="equal">
      <formula>"canceled"</formula>
    </cfRule>
    <cfRule type="cellIs" dxfId="4" priority="3" operator="equal">
      <formula>"canceled"</formula>
    </cfRule>
    <cfRule type="cellIs" dxfId="3" priority="4" operator="equal">
      <formula>"live"</formula>
    </cfRule>
    <cfRule type="cellIs" dxfId="2" priority="5" operator="equal">
      <formula>"live"</formula>
    </cfRule>
    <cfRule type="cellIs" dxfId="1" priority="6" operator="equal">
      <formula>"successful"</formula>
    </cfRule>
    <cfRule type="containsText" dxfId="0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DA0000"/>
        <color rgb="FF92D050"/>
        <color rgb="FF009BD2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outcome_as_subparent</vt:lpstr>
      <vt:lpstr>outcome_as_parentcategory</vt:lpstr>
      <vt:lpstr>outcome_as_month</vt:lpstr>
      <vt:lpstr>Summary Statistics</vt:lpstr>
      <vt:lpstr>Bonus Sheet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anjali</cp:lastModifiedBy>
  <dcterms:created xsi:type="dcterms:W3CDTF">2021-09-29T18:52:28Z</dcterms:created>
  <dcterms:modified xsi:type="dcterms:W3CDTF">2022-10-31T19:06:01Z</dcterms:modified>
</cp:coreProperties>
</file>